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codeName="ThisWorkbook" defaultThemeVersion="124226"/>
  <mc:AlternateContent xmlns:mc="http://schemas.openxmlformats.org/markup-compatibility/2006">
    <mc:Choice Requires="x15">
      <x15ac:absPath xmlns:x15ac="http://schemas.microsoft.com/office/spreadsheetml/2010/11/ac" url="L:\2021 Implementation of Administrative code-audit review\Data Input Worksheet\2021 DIW - Final\"/>
    </mc:Choice>
  </mc:AlternateContent>
  <xr:revisionPtr revIDLastSave="0" documentId="13_ncr:1_{C4E9067F-6B73-4253-A42A-802554F1BB8A}" xr6:coauthVersionLast="47" xr6:coauthVersionMax="47" xr10:uidLastSave="{00000000-0000-0000-0000-000000000000}"/>
  <bookViews>
    <workbookView xWindow="57480" yWindow="-120" windowWidth="29040" windowHeight="15840" tabRatio="708" xr2:uid="{00000000-000D-0000-FFFF-FFFF00000000}"/>
  </bookViews>
  <sheets>
    <sheet name="Instructions" sheetId="81" r:id="rId1"/>
    <sheet name="Unit Data from Audit Worksheet" sheetId="1" r:id="rId2"/>
    <sheet name="TD Info Completed by Auditor" sheetId="53" r:id="rId3"/>
    <sheet name="Import" sheetId="28" state="hidden" r:id="rId4"/>
    <sheet name="Performance  Indicators Print" sheetId="80" r:id="rId5"/>
    <sheet name="PI series #" sheetId="73" state="hidden" r:id="rId6"/>
    <sheet name="RSS" sheetId="30" r:id="rId7"/>
    <sheet name="Debt Service Funds (H)" sheetId="41" state="hidden" r:id="rId8"/>
    <sheet name="UAL" sheetId="75" state="hidden" r:id="rId9"/>
    <sheet name="2020 Data(H)" sheetId="74" state="hidden" r:id="rId10"/>
    <sheet name="2019 Data(H)" sheetId="42" state="hidden" r:id="rId11"/>
    <sheet name="Tax Reval Rate" sheetId="72" state="hidden" r:id="rId12"/>
    <sheet name="Unit Names(H)" sheetId="29" state="hidden" r:id="rId13"/>
    <sheet name="Electric trans" sheetId="71" r:id="rId14"/>
  </sheets>
  <externalReferences>
    <externalReference r:id="rId15"/>
  </externalReferences>
  <definedNames>
    <definedName name="Audit_Dtl">[1]Database!$AC$3:$AP$413</definedName>
    <definedName name="errorCount">'TD Info Completed by Auditor'!$U$5</definedName>
    <definedName name="_xlnm.Print_Area" localSheetId="9">'2020 Data(H)'!$B$297:$E$320</definedName>
    <definedName name="_xlnm.Print_Area" localSheetId="0">Instructions!$B$1:$B$50</definedName>
    <definedName name="_xlnm.Print_Area" localSheetId="4">'Performance  Indicators Print'!$A$1:$H$51</definedName>
    <definedName name="_xlnm.Print_Area" localSheetId="5">'PI series #'!$A$1:$I$48</definedName>
    <definedName name="_xlnm.Print_Area" localSheetId="1">'Unit Data from Audit Worksheet'!$A$7:$D$297</definedName>
    <definedName name="Print_Selection_Auditor">'TD Info Completed by Auditor'!$A$1:$N$94</definedName>
    <definedName name="Print_Selection_Internal">#REF!</definedName>
    <definedName name="_xlnm.Print_Titles" localSheetId="4">'Performance  Indicators Print'!$3:$5</definedName>
    <definedName name="_xlnm.Print_Titles" localSheetId="5">'PI series #'!$1:$4</definedName>
    <definedName name="_xlnm.Print_Titles" localSheetId="1">'Unit Data from Audit Worksheet'!$5:$5</definedName>
    <definedName name="showError">'TD Info Completed by Auditor'!$W$5</definedName>
    <definedName name="TD_IMPORT_RANGE" localSheetId="0">#REF!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10" i="28" l="1"/>
  <c r="L264" i="28"/>
  <c r="B12" i="71"/>
  <c r="B8" i="71"/>
  <c r="I359" i="74"/>
  <c r="J359" i="74"/>
  <c r="K359" i="74"/>
  <c r="L359" i="74"/>
  <c r="M359" i="74"/>
  <c r="N359" i="74"/>
  <c r="O359" i="74"/>
  <c r="P359" i="74"/>
  <c r="Q359" i="74"/>
  <c r="R359" i="74"/>
  <c r="S359" i="74"/>
  <c r="T359" i="74"/>
  <c r="U359" i="74"/>
  <c r="V359" i="74"/>
  <c r="W359" i="74"/>
  <c r="X359" i="74"/>
  <c r="Y359" i="74"/>
  <c r="Z359" i="74"/>
  <c r="AA359" i="74"/>
  <c r="AB359" i="74"/>
  <c r="AC359" i="74"/>
  <c r="AD359" i="74"/>
  <c r="AE359" i="74"/>
  <c r="AF359" i="74"/>
  <c r="AG359" i="74"/>
  <c r="AH359" i="74"/>
  <c r="AI359" i="74"/>
  <c r="AJ359" i="74"/>
  <c r="AK359" i="74"/>
  <c r="AL359" i="74"/>
  <c r="AM359" i="74"/>
  <c r="AN359" i="74"/>
  <c r="AO359" i="74"/>
  <c r="AP359" i="74"/>
  <c r="AQ359" i="74"/>
  <c r="AR359" i="74"/>
  <c r="AS359" i="74"/>
  <c r="AT359" i="74"/>
  <c r="AU359" i="74"/>
  <c r="AV359" i="74"/>
  <c r="AW359" i="74"/>
  <c r="AX359" i="74"/>
  <c r="AY359" i="74"/>
  <c r="AZ359" i="74"/>
  <c r="BA359" i="74"/>
  <c r="BB359" i="74"/>
  <c r="BC359" i="74"/>
  <c r="BD359" i="74"/>
  <c r="BE359" i="74"/>
  <c r="BF359" i="74"/>
  <c r="BG359" i="74"/>
  <c r="BH359" i="74"/>
  <c r="BI359" i="74"/>
  <c r="BJ359" i="74"/>
  <c r="BK359" i="74"/>
  <c r="BL359" i="74"/>
  <c r="BM359" i="74"/>
  <c r="BN359" i="74"/>
  <c r="BO359" i="74"/>
  <c r="BP359" i="74"/>
  <c r="BQ359" i="74"/>
  <c r="BR359" i="74"/>
  <c r="BS359" i="74"/>
  <c r="BT359" i="74"/>
  <c r="BU359" i="74"/>
  <c r="BV359" i="74"/>
  <c r="BW359" i="74"/>
  <c r="BX359" i="74"/>
  <c r="BY359" i="74"/>
  <c r="BZ359" i="74"/>
  <c r="CA359" i="74"/>
  <c r="CB359" i="74"/>
  <c r="CC359" i="74"/>
  <c r="CD359" i="74"/>
  <c r="CE359" i="74"/>
  <c r="CF359" i="74"/>
  <c r="H359" i="74"/>
  <c r="I358" i="74"/>
  <c r="J358" i="74"/>
  <c r="K358" i="74"/>
  <c r="L358" i="74"/>
  <c r="M358" i="74"/>
  <c r="N358" i="74"/>
  <c r="O358" i="74"/>
  <c r="P358" i="74"/>
  <c r="Q358" i="74"/>
  <c r="R358" i="74"/>
  <c r="S358" i="74"/>
  <c r="T358" i="74"/>
  <c r="U358" i="74"/>
  <c r="V358" i="74"/>
  <c r="W358" i="74"/>
  <c r="X358" i="74"/>
  <c r="Y358" i="74"/>
  <c r="Z358" i="74"/>
  <c r="AA358" i="74"/>
  <c r="AB358" i="74"/>
  <c r="AC358" i="74"/>
  <c r="AD358" i="74"/>
  <c r="AE358" i="74"/>
  <c r="AF358" i="74"/>
  <c r="AG358" i="74"/>
  <c r="AH358" i="74"/>
  <c r="AI358" i="74"/>
  <c r="AJ358" i="74"/>
  <c r="AK358" i="74"/>
  <c r="AL358" i="74"/>
  <c r="AM358" i="74"/>
  <c r="AN358" i="74"/>
  <c r="AO358" i="74"/>
  <c r="AP358" i="74"/>
  <c r="AQ358" i="74"/>
  <c r="AR358" i="74"/>
  <c r="AS358" i="74"/>
  <c r="AT358" i="74"/>
  <c r="AU358" i="74"/>
  <c r="AV358" i="74"/>
  <c r="AW358" i="74"/>
  <c r="AX358" i="74"/>
  <c r="AY358" i="74"/>
  <c r="AZ358" i="74"/>
  <c r="BA358" i="74"/>
  <c r="BB358" i="74"/>
  <c r="BC358" i="74"/>
  <c r="BD358" i="74"/>
  <c r="BE358" i="74"/>
  <c r="BF358" i="74"/>
  <c r="BG358" i="74"/>
  <c r="BH358" i="74"/>
  <c r="BI358" i="74"/>
  <c r="BJ358" i="74"/>
  <c r="BK358" i="74"/>
  <c r="BL358" i="74"/>
  <c r="BM358" i="74"/>
  <c r="BN358" i="74"/>
  <c r="BO358" i="74"/>
  <c r="BP358" i="74"/>
  <c r="BQ358" i="74"/>
  <c r="BR358" i="74"/>
  <c r="BS358" i="74"/>
  <c r="BT358" i="74"/>
  <c r="BU358" i="74"/>
  <c r="BV358" i="74"/>
  <c r="BW358" i="74"/>
  <c r="BX358" i="74"/>
  <c r="BY358" i="74"/>
  <c r="BZ358" i="74"/>
  <c r="CA358" i="74"/>
  <c r="CB358" i="74"/>
  <c r="CC358" i="74"/>
  <c r="CD358" i="74"/>
  <c r="CE358" i="74"/>
  <c r="CF358" i="74"/>
  <c r="H358" i="74"/>
  <c r="E85" i="53"/>
  <c r="E83" i="53"/>
  <c r="E81" i="53"/>
  <c r="F66" i="53"/>
  <c r="F64" i="53"/>
  <c r="F62" i="53"/>
  <c r="E251" i="28"/>
  <c r="E250" i="28"/>
  <c r="G410" i="74" l="1"/>
  <c r="H410" i="74"/>
  <c r="I410" i="74"/>
  <c r="J410" i="74"/>
  <c r="K410" i="74"/>
  <c r="L410" i="74"/>
  <c r="M410" i="74"/>
  <c r="M413" i="74" s="1"/>
  <c r="N410" i="74"/>
  <c r="N413" i="74" s="1"/>
  <c r="O410" i="74"/>
  <c r="P410" i="74"/>
  <c r="Q410" i="74"/>
  <c r="R410" i="74"/>
  <c r="S410" i="74"/>
  <c r="T410" i="74"/>
  <c r="U410" i="74"/>
  <c r="U413" i="74" s="1"/>
  <c r="V410" i="74"/>
  <c r="V413" i="74" s="1"/>
  <c r="W410" i="74"/>
  <c r="X410" i="74"/>
  <c r="Y410" i="74"/>
  <c r="Z410" i="74"/>
  <c r="AA410" i="74"/>
  <c r="AB410" i="74"/>
  <c r="AC410" i="74"/>
  <c r="AC413" i="74" s="1"/>
  <c r="AD410" i="74"/>
  <c r="AD413" i="74" s="1"/>
  <c r="AE410" i="74"/>
  <c r="AF410" i="74"/>
  <c r="AG410" i="74"/>
  <c r="AH410" i="74"/>
  <c r="AI410" i="74"/>
  <c r="AJ410" i="74"/>
  <c r="AK410" i="74"/>
  <c r="AK413" i="74" s="1"/>
  <c r="AL410" i="74"/>
  <c r="AL413" i="74" s="1"/>
  <c r="AM410" i="74"/>
  <c r="AN410" i="74"/>
  <c r="AO410" i="74"/>
  <c r="AP410" i="74"/>
  <c r="AQ410" i="74"/>
  <c r="AR410" i="74"/>
  <c r="AS410" i="74"/>
  <c r="AS413" i="74" s="1"/>
  <c r="AT410" i="74"/>
  <c r="AT413" i="74" s="1"/>
  <c r="AU410" i="74"/>
  <c r="AV410" i="74"/>
  <c r="AW410" i="74"/>
  <c r="AX410" i="74"/>
  <c r="AY410" i="74"/>
  <c r="AZ410" i="74"/>
  <c r="BA410" i="74"/>
  <c r="BA413" i="74" s="1"/>
  <c r="BB410" i="74"/>
  <c r="BB413" i="74" s="1"/>
  <c r="BC410" i="74"/>
  <c r="BD410" i="74"/>
  <c r="BE410" i="74"/>
  <c r="BF410" i="74"/>
  <c r="BG410" i="74"/>
  <c r="BH410" i="74"/>
  <c r="BI410" i="74"/>
  <c r="BI413" i="74" s="1"/>
  <c r="BJ410" i="74"/>
  <c r="BJ413" i="74" s="1"/>
  <c r="BK410" i="74"/>
  <c r="BL410" i="74"/>
  <c r="BM410" i="74"/>
  <c r="BN410" i="74"/>
  <c r="BO410" i="74"/>
  <c r="BP410" i="74"/>
  <c r="BQ410" i="74"/>
  <c r="BQ413" i="74" s="1"/>
  <c r="BR410" i="74"/>
  <c r="BR413" i="74" s="1"/>
  <c r="BS410" i="74"/>
  <c r="BT410" i="74"/>
  <c r="BU410" i="74"/>
  <c r="BV410" i="74"/>
  <c r="BW410" i="74"/>
  <c r="BX410" i="74"/>
  <c r="BY410" i="74"/>
  <c r="BY413" i="74" s="1"/>
  <c r="BZ410" i="74"/>
  <c r="BZ413" i="74" s="1"/>
  <c r="CA410" i="74"/>
  <c r="CB410" i="74"/>
  <c r="CC410" i="74"/>
  <c r="CD410" i="74"/>
  <c r="CE410" i="74"/>
  <c r="CF410" i="74"/>
  <c r="G411" i="74"/>
  <c r="G413" i="74" s="1"/>
  <c r="H411" i="74"/>
  <c r="H413" i="74" s="1"/>
  <c r="I411" i="74"/>
  <c r="J411" i="74"/>
  <c r="K411" i="74"/>
  <c r="L411" i="74"/>
  <c r="M411" i="74"/>
  <c r="N411" i="74"/>
  <c r="O411" i="74"/>
  <c r="O413" i="74" s="1"/>
  <c r="P411" i="74"/>
  <c r="P413" i="74" s="1"/>
  <c r="Q411" i="74"/>
  <c r="R411" i="74"/>
  <c r="S411" i="74"/>
  <c r="T411" i="74"/>
  <c r="U411" i="74"/>
  <c r="V411" i="74"/>
  <c r="W411" i="74"/>
  <c r="W413" i="74" s="1"/>
  <c r="X411" i="74"/>
  <c r="X413" i="74" s="1"/>
  <c r="Y411" i="74"/>
  <c r="Z411" i="74"/>
  <c r="AA411" i="74"/>
  <c r="AB411" i="74"/>
  <c r="AC411" i="74"/>
  <c r="AD411" i="74"/>
  <c r="AE411" i="74"/>
  <c r="AE413" i="74" s="1"/>
  <c r="AF411" i="74"/>
  <c r="AF413" i="74" s="1"/>
  <c r="AG411" i="74"/>
  <c r="AH411" i="74"/>
  <c r="AI411" i="74"/>
  <c r="AJ411" i="74"/>
  <c r="AK411" i="74"/>
  <c r="AL411" i="74"/>
  <c r="AM411" i="74"/>
  <c r="AM413" i="74" s="1"/>
  <c r="AN411" i="74"/>
  <c r="AN413" i="74" s="1"/>
  <c r="AO411" i="74"/>
  <c r="AP411" i="74"/>
  <c r="AQ411" i="74"/>
  <c r="AR411" i="74"/>
  <c r="AS411" i="74"/>
  <c r="AT411" i="74"/>
  <c r="AU411" i="74"/>
  <c r="AU413" i="74" s="1"/>
  <c r="AV411" i="74"/>
  <c r="AV413" i="74" s="1"/>
  <c r="AW411" i="74"/>
  <c r="AX411" i="74"/>
  <c r="AY411" i="74"/>
  <c r="AZ411" i="74"/>
  <c r="BA411" i="74"/>
  <c r="BB411" i="74"/>
  <c r="BC411" i="74"/>
  <c r="BC413" i="74" s="1"/>
  <c r="BD411" i="74"/>
  <c r="BD413" i="74" s="1"/>
  <c r="BE411" i="74"/>
  <c r="BF411" i="74"/>
  <c r="BG411" i="74"/>
  <c r="BH411" i="74"/>
  <c r="BI411" i="74"/>
  <c r="BJ411" i="74"/>
  <c r="BK411" i="74"/>
  <c r="BK413" i="74" s="1"/>
  <c r="BL411" i="74"/>
  <c r="BL413" i="74" s="1"/>
  <c r="BM411" i="74"/>
  <c r="BN411" i="74"/>
  <c r="BO411" i="74"/>
  <c r="BP411" i="74"/>
  <c r="BQ411" i="74"/>
  <c r="BR411" i="74"/>
  <c r="BS411" i="74"/>
  <c r="BS413" i="74" s="1"/>
  <c r="BT411" i="74"/>
  <c r="BT413" i="74" s="1"/>
  <c r="BU411" i="74"/>
  <c r="BV411" i="74"/>
  <c r="BW411" i="74"/>
  <c r="BX411" i="74"/>
  <c r="BY411" i="74"/>
  <c r="BZ411" i="74"/>
  <c r="CA411" i="74"/>
  <c r="CA413" i="74" s="1"/>
  <c r="CB411" i="74"/>
  <c r="CB413" i="74" s="1"/>
  <c r="CC411" i="74"/>
  <c r="CD411" i="74"/>
  <c r="CE411" i="74"/>
  <c r="CF411" i="74"/>
  <c r="I413" i="74"/>
  <c r="J413" i="74"/>
  <c r="K413" i="74"/>
  <c r="L413" i="74"/>
  <c r="Q413" i="74"/>
  <c r="R413" i="74"/>
  <c r="S413" i="74"/>
  <c r="T413" i="74"/>
  <c r="Y413" i="74"/>
  <c r="Z413" i="74"/>
  <c r="AA413" i="74"/>
  <c r="AB413" i="74"/>
  <c r="AG413" i="74"/>
  <c r="AH413" i="74"/>
  <c r="AI413" i="74"/>
  <c r="AJ413" i="74"/>
  <c r="AO413" i="74"/>
  <c r="AP413" i="74"/>
  <c r="AQ413" i="74"/>
  <c r="AR413" i="74"/>
  <c r="AW413" i="74"/>
  <c r="AX413" i="74"/>
  <c r="AY413" i="74"/>
  <c r="AZ413" i="74"/>
  <c r="BE413" i="74"/>
  <c r="BF413" i="74"/>
  <c r="BG413" i="74"/>
  <c r="BH413" i="74"/>
  <c r="BM413" i="74"/>
  <c r="BN413" i="74"/>
  <c r="BO413" i="74"/>
  <c r="BP413" i="74"/>
  <c r="BU413" i="74"/>
  <c r="BV413" i="74"/>
  <c r="BW413" i="74"/>
  <c r="BX413" i="74"/>
  <c r="CC413" i="74"/>
  <c r="CD413" i="74"/>
  <c r="CE413" i="74"/>
  <c r="CF413" i="74"/>
  <c r="F413" i="74"/>
  <c r="F411" i="74"/>
  <c r="F410" i="74"/>
  <c r="AO408" i="74" l="1"/>
  <c r="G362" i="74"/>
  <c r="G365" i="74"/>
  <c r="H365" i="74"/>
  <c r="I365" i="74"/>
  <c r="J365" i="74"/>
  <c r="K365" i="74"/>
  <c r="L365" i="74"/>
  <c r="M365" i="74"/>
  <c r="N365" i="74"/>
  <c r="O365" i="74"/>
  <c r="P365" i="74"/>
  <c r="Q365" i="74"/>
  <c r="R365" i="74"/>
  <c r="S365" i="74"/>
  <c r="T365" i="74"/>
  <c r="U365" i="74"/>
  <c r="V365" i="74"/>
  <c r="W365" i="74"/>
  <c r="X365" i="74"/>
  <c r="Y365" i="74"/>
  <c r="Z365" i="74"/>
  <c r="AA365" i="74"/>
  <c r="AB365" i="74"/>
  <c r="AC365" i="74"/>
  <c r="AD365" i="74"/>
  <c r="AE365" i="74"/>
  <c r="AF365" i="74"/>
  <c r="AG365" i="74"/>
  <c r="AH365" i="74"/>
  <c r="AI365" i="74"/>
  <c r="AJ365" i="74"/>
  <c r="AK365" i="74"/>
  <c r="AL365" i="74"/>
  <c r="AM365" i="74"/>
  <c r="AN365" i="74"/>
  <c r="AO365" i="74"/>
  <c r="AP365" i="74"/>
  <c r="AQ365" i="74"/>
  <c r="AR365" i="74"/>
  <c r="AS365" i="74"/>
  <c r="AT365" i="74"/>
  <c r="AU365" i="74"/>
  <c r="AV365" i="74"/>
  <c r="AW365" i="74"/>
  <c r="AX365" i="74"/>
  <c r="AY365" i="74"/>
  <c r="AZ365" i="74"/>
  <c r="BA365" i="74"/>
  <c r="BB365" i="74"/>
  <c r="BC365" i="74"/>
  <c r="BD365" i="74"/>
  <c r="BE365" i="74"/>
  <c r="BF365" i="74"/>
  <c r="BG365" i="74"/>
  <c r="BH365" i="74"/>
  <c r="BI365" i="74"/>
  <c r="BJ365" i="74"/>
  <c r="BK365" i="74"/>
  <c r="BL365" i="74"/>
  <c r="BM365" i="74"/>
  <c r="BN365" i="74"/>
  <c r="BO365" i="74"/>
  <c r="BP365" i="74"/>
  <c r="BQ365" i="74"/>
  <c r="BR365" i="74"/>
  <c r="BS365" i="74"/>
  <c r="BT365" i="74"/>
  <c r="BU365" i="74"/>
  <c r="BV365" i="74"/>
  <c r="BW365" i="74"/>
  <c r="BX365" i="74"/>
  <c r="BY365" i="74"/>
  <c r="BZ365" i="74"/>
  <c r="CA365" i="74"/>
  <c r="CB365" i="74"/>
  <c r="CC365" i="74"/>
  <c r="CD365" i="74"/>
  <c r="CE365" i="74"/>
  <c r="CF365" i="74"/>
  <c r="F365" i="74"/>
  <c r="E257" i="28"/>
  <c r="D35" i="80"/>
  <c r="E260" i="28" l="1"/>
  <c r="E259" i="28"/>
  <c r="E258" i="28"/>
  <c r="E256" i="28"/>
  <c r="E255" i="28"/>
  <c r="E253" i="28"/>
  <c r="E252" i="28"/>
  <c r="E249" i="28"/>
  <c r="E248" i="28"/>
  <c r="E247" i="28"/>
  <c r="E246" i="28"/>
  <c r="T3" i="29" l="1"/>
  <c r="U3" i="29"/>
  <c r="T4" i="29"/>
  <c r="U4" i="29"/>
  <c r="T5" i="29"/>
  <c r="U5" i="29"/>
  <c r="T6" i="29"/>
  <c r="U6" i="29"/>
  <c r="T7" i="29"/>
  <c r="U7" i="29"/>
  <c r="T8" i="29"/>
  <c r="U8" i="29"/>
  <c r="T9" i="29"/>
  <c r="U9" i="29"/>
  <c r="T10" i="29"/>
  <c r="U10" i="29"/>
  <c r="T11" i="29"/>
  <c r="U11" i="29"/>
  <c r="T12" i="29"/>
  <c r="U12" i="29"/>
  <c r="T13" i="29"/>
  <c r="U13" i="29"/>
  <c r="T14" i="29"/>
  <c r="U14" i="29"/>
  <c r="T15" i="29"/>
  <c r="U15" i="29"/>
  <c r="T16" i="29"/>
  <c r="U16" i="29"/>
  <c r="T17" i="29"/>
  <c r="U17" i="29"/>
  <c r="T18" i="29"/>
  <c r="U18" i="29"/>
  <c r="T19" i="29"/>
  <c r="U19" i="29"/>
  <c r="T20" i="29"/>
  <c r="U20" i="29"/>
  <c r="T21" i="29"/>
  <c r="U21" i="29"/>
  <c r="T22" i="29"/>
  <c r="U22" i="29"/>
  <c r="T23" i="29"/>
  <c r="U23" i="29"/>
  <c r="T24" i="29"/>
  <c r="U24" i="29"/>
  <c r="T25" i="29"/>
  <c r="U25" i="29"/>
  <c r="T26" i="29"/>
  <c r="U26" i="29"/>
  <c r="T27" i="29"/>
  <c r="U27" i="29"/>
  <c r="T28" i="29"/>
  <c r="U28" i="29"/>
  <c r="T29" i="29"/>
  <c r="U29" i="29"/>
  <c r="T30" i="29"/>
  <c r="U30" i="29"/>
  <c r="T31" i="29"/>
  <c r="U31" i="29"/>
  <c r="T32" i="29"/>
  <c r="U32" i="29"/>
  <c r="T33" i="29"/>
  <c r="U33" i="29"/>
  <c r="T34" i="29"/>
  <c r="U34" i="29"/>
  <c r="T35" i="29"/>
  <c r="U35" i="29"/>
  <c r="T36" i="29"/>
  <c r="U36" i="29"/>
  <c r="T37" i="29"/>
  <c r="U37" i="29"/>
  <c r="T38" i="29"/>
  <c r="U38" i="29"/>
  <c r="T39" i="29"/>
  <c r="U39" i="29"/>
  <c r="T40" i="29"/>
  <c r="U40" i="29"/>
  <c r="T41" i="29"/>
  <c r="U41" i="29"/>
  <c r="T42" i="29"/>
  <c r="U42" i="29"/>
  <c r="T43" i="29"/>
  <c r="U43" i="29"/>
  <c r="T44" i="29"/>
  <c r="U44" i="29"/>
  <c r="T45" i="29"/>
  <c r="U45" i="29"/>
  <c r="T46" i="29"/>
  <c r="U46" i="29"/>
  <c r="T47" i="29"/>
  <c r="U47" i="29"/>
  <c r="T48" i="29"/>
  <c r="U48" i="29"/>
  <c r="T49" i="29"/>
  <c r="U49" i="29"/>
  <c r="T50" i="29"/>
  <c r="U50" i="29"/>
  <c r="T51" i="29"/>
  <c r="U51" i="29"/>
  <c r="T52" i="29"/>
  <c r="U52" i="29"/>
  <c r="T53" i="29"/>
  <c r="U53" i="29"/>
  <c r="T54" i="29"/>
  <c r="U54" i="29"/>
  <c r="T55" i="29"/>
  <c r="U55" i="29"/>
  <c r="T56" i="29"/>
  <c r="U56" i="29"/>
  <c r="T57" i="29"/>
  <c r="U57" i="29"/>
  <c r="T58" i="29"/>
  <c r="U58" i="29"/>
  <c r="T59" i="29"/>
  <c r="U59" i="29"/>
  <c r="T60" i="29"/>
  <c r="U60" i="29"/>
  <c r="T61" i="29"/>
  <c r="U61" i="29"/>
  <c r="T62" i="29"/>
  <c r="U62" i="29"/>
  <c r="T63" i="29"/>
  <c r="U63" i="29"/>
  <c r="T64" i="29"/>
  <c r="U64" i="29"/>
  <c r="T65" i="29"/>
  <c r="U65" i="29"/>
  <c r="T66" i="29"/>
  <c r="U66" i="29"/>
  <c r="T67" i="29"/>
  <c r="U67" i="29"/>
  <c r="T68" i="29"/>
  <c r="U68" i="29"/>
  <c r="T69" i="29"/>
  <c r="U69" i="29"/>
  <c r="T70" i="29"/>
  <c r="U70" i="29"/>
  <c r="T71" i="29"/>
  <c r="U71" i="29"/>
  <c r="T72" i="29"/>
  <c r="U72" i="29"/>
  <c r="T73" i="29"/>
  <c r="U73" i="29"/>
  <c r="T74" i="29"/>
  <c r="U74" i="29"/>
  <c r="T75" i="29"/>
  <c r="U75" i="29"/>
  <c r="T76" i="29"/>
  <c r="U76" i="29"/>
  <c r="T77" i="29"/>
  <c r="U77" i="29"/>
  <c r="T78" i="29"/>
  <c r="U78" i="29"/>
  <c r="T79" i="29"/>
  <c r="U79" i="29"/>
  <c r="T80" i="29"/>
  <c r="U80" i="29"/>
  <c r="O3" i="29"/>
  <c r="P3" i="29"/>
  <c r="O4" i="29"/>
  <c r="P4" i="29"/>
  <c r="O5" i="29"/>
  <c r="P5" i="29"/>
  <c r="O6" i="29"/>
  <c r="P6" i="29"/>
  <c r="O7" i="29"/>
  <c r="P7" i="29"/>
  <c r="O8" i="29"/>
  <c r="P8" i="29"/>
  <c r="O9" i="29"/>
  <c r="P9" i="29"/>
  <c r="O10" i="29"/>
  <c r="P10" i="29"/>
  <c r="O11" i="29"/>
  <c r="P11" i="29"/>
  <c r="O12" i="29"/>
  <c r="P12" i="29"/>
  <c r="O13" i="29"/>
  <c r="P13" i="29"/>
  <c r="O14" i="29"/>
  <c r="P14" i="29"/>
  <c r="O15" i="29"/>
  <c r="P15" i="29"/>
  <c r="O16" i="29"/>
  <c r="P16" i="29"/>
  <c r="O17" i="29"/>
  <c r="P17" i="29"/>
  <c r="O18" i="29"/>
  <c r="P18" i="29"/>
  <c r="O19" i="29"/>
  <c r="P19" i="29"/>
  <c r="O20" i="29"/>
  <c r="P20" i="29"/>
  <c r="O21" i="29"/>
  <c r="P21" i="29"/>
  <c r="O22" i="29"/>
  <c r="P22" i="29"/>
  <c r="O23" i="29"/>
  <c r="P23" i="29"/>
  <c r="O24" i="29"/>
  <c r="P24" i="29"/>
  <c r="O25" i="29"/>
  <c r="P25" i="29"/>
  <c r="O26" i="29"/>
  <c r="P26" i="29"/>
  <c r="O27" i="29"/>
  <c r="P27" i="29"/>
  <c r="O28" i="29"/>
  <c r="P28" i="29"/>
  <c r="O29" i="29"/>
  <c r="P29" i="29"/>
  <c r="O30" i="29"/>
  <c r="P30" i="29"/>
  <c r="O31" i="29"/>
  <c r="P31" i="29"/>
  <c r="O32" i="29"/>
  <c r="P32" i="29"/>
  <c r="O33" i="29"/>
  <c r="P33" i="29"/>
  <c r="O34" i="29"/>
  <c r="P34" i="29"/>
  <c r="O35" i="29"/>
  <c r="P35" i="29"/>
  <c r="O36" i="29"/>
  <c r="P36" i="29"/>
  <c r="O37" i="29"/>
  <c r="P37" i="29"/>
  <c r="O38" i="29"/>
  <c r="P38" i="29"/>
  <c r="O39" i="29"/>
  <c r="P39" i="29"/>
  <c r="O40" i="29"/>
  <c r="P40" i="29"/>
  <c r="O41" i="29"/>
  <c r="P41" i="29"/>
  <c r="O42" i="29"/>
  <c r="P42" i="29"/>
  <c r="O43" i="29"/>
  <c r="P43" i="29"/>
  <c r="O44" i="29"/>
  <c r="P44" i="29"/>
  <c r="O45" i="29"/>
  <c r="P45" i="29"/>
  <c r="O46" i="29"/>
  <c r="P46" i="29"/>
  <c r="O47" i="29"/>
  <c r="P47" i="29"/>
  <c r="O48" i="29"/>
  <c r="P48" i="29"/>
  <c r="O49" i="29"/>
  <c r="P49" i="29"/>
  <c r="O50" i="29"/>
  <c r="P50" i="29"/>
  <c r="O51" i="29"/>
  <c r="P51" i="29"/>
  <c r="O52" i="29"/>
  <c r="P52" i="29"/>
  <c r="O53" i="29"/>
  <c r="P53" i="29"/>
  <c r="O54" i="29"/>
  <c r="P54" i="29"/>
  <c r="O55" i="29"/>
  <c r="P55" i="29"/>
  <c r="O56" i="29"/>
  <c r="P56" i="29"/>
  <c r="O57" i="29"/>
  <c r="P57" i="29"/>
  <c r="O58" i="29"/>
  <c r="P58" i="29"/>
  <c r="O59" i="29"/>
  <c r="P59" i="29"/>
  <c r="O60" i="29"/>
  <c r="P60" i="29"/>
  <c r="O61" i="29"/>
  <c r="P61" i="29"/>
  <c r="O62" i="29"/>
  <c r="P62" i="29"/>
  <c r="O63" i="29"/>
  <c r="P63" i="29"/>
  <c r="O64" i="29"/>
  <c r="P64" i="29"/>
  <c r="O65" i="29"/>
  <c r="P65" i="29"/>
  <c r="O66" i="29"/>
  <c r="P66" i="29"/>
  <c r="O67" i="29"/>
  <c r="P67" i="29"/>
  <c r="O68" i="29"/>
  <c r="P68" i="29"/>
  <c r="O69" i="29"/>
  <c r="P69" i="29"/>
  <c r="O70" i="29"/>
  <c r="P70" i="29"/>
  <c r="O71" i="29"/>
  <c r="P71" i="29"/>
  <c r="O72" i="29"/>
  <c r="P72" i="29"/>
  <c r="O73" i="29"/>
  <c r="P73" i="29"/>
  <c r="O74" i="29"/>
  <c r="P74" i="29"/>
  <c r="O75" i="29"/>
  <c r="P75" i="29"/>
  <c r="O76" i="29"/>
  <c r="P76" i="29"/>
  <c r="O77" i="29"/>
  <c r="P77" i="29"/>
  <c r="O78" i="29"/>
  <c r="P78" i="29"/>
  <c r="O79" i="29"/>
  <c r="P79" i="29"/>
  <c r="O80" i="29"/>
  <c r="P80" i="29"/>
  <c r="T2" i="29"/>
  <c r="U2" i="29"/>
  <c r="P2" i="29"/>
  <c r="O2" i="29"/>
  <c r="CE297" i="42" l="1"/>
  <c r="CD297" i="42"/>
  <c r="CC297" i="42"/>
  <c r="CB297" i="42"/>
  <c r="CA297" i="42"/>
  <c r="BZ297" i="42"/>
  <c r="BY297" i="42"/>
  <c r="BX297" i="42"/>
  <c r="BW297" i="42"/>
  <c r="BV297" i="42"/>
  <c r="BU297" i="42"/>
  <c r="BT297" i="42"/>
  <c r="BS297" i="42"/>
  <c r="BR297" i="42"/>
  <c r="BQ297" i="42"/>
  <c r="BP297" i="42"/>
  <c r="BO297" i="42"/>
  <c r="BN297" i="42"/>
  <c r="BM297" i="42"/>
  <c r="BL297" i="42"/>
  <c r="BK297" i="42"/>
  <c r="BJ297" i="42"/>
  <c r="BI297" i="42"/>
  <c r="BH297" i="42"/>
  <c r="BG297" i="42"/>
  <c r="BF297" i="42"/>
  <c r="BE297" i="42"/>
  <c r="BD297" i="42"/>
  <c r="BC297" i="42"/>
  <c r="BB297" i="42"/>
  <c r="BA297" i="42"/>
  <c r="AZ297" i="42"/>
  <c r="AY297" i="42"/>
  <c r="AX297" i="42"/>
  <c r="AW297" i="42"/>
  <c r="AV297" i="42"/>
  <c r="AU297" i="42"/>
  <c r="AT297" i="42"/>
  <c r="AS297" i="42"/>
  <c r="AR297" i="42"/>
  <c r="AQ297" i="42"/>
  <c r="AP297" i="42"/>
  <c r="AO297" i="42"/>
  <c r="AN297" i="42"/>
  <c r="AM297" i="42"/>
  <c r="AL297" i="42"/>
  <c r="AK297" i="42"/>
  <c r="AJ297" i="42"/>
  <c r="AI297" i="42"/>
  <c r="AH297" i="42"/>
  <c r="AG297" i="42"/>
  <c r="AF297" i="42"/>
  <c r="AE297" i="42"/>
  <c r="AD297" i="42"/>
  <c r="AC297" i="42"/>
  <c r="AB297" i="42"/>
  <c r="AA297" i="42"/>
  <c r="Z297" i="42"/>
  <c r="Y297" i="42"/>
  <c r="X297" i="42"/>
  <c r="W297" i="42"/>
  <c r="V297" i="42"/>
  <c r="U297" i="42"/>
  <c r="T297" i="42"/>
  <c r="S297" i="42"/>
  <c r="R297" i="42"/>
  <c r="Q297" i="42"/>
  <c r="P297" i="42"/>
  <c r="O297" i="42"/>
  <c r="N297" i="42"/>
  <c r="M297" i="42"/>
  <c r="L297" i="42"/>
  <c r="K297" i="42"/>
  <c r="J297" i="42"/>
  <c r="I297" i="42"/>
  <c r="H297" i="42"/>
  <c r="G297" i="42"/>
  <c r="F297" i="42"/>
  <c r="E297" i="42"/>
  <c r="CE296" i="42"/>
  <c r="CD296" i="42"/>
  <c r="CC296" i="42"/>
  <c r="CB296" i="42"/>
  <c r="CA296" i="42"/>
  <c r="BZ296" i="42"/>
  <c r="BY296" i="42"/>
  <c r="BX296" i="42"/>
  <c r="BW296" i="42"/>
  <c r="BV296" i="42"/>
  <c r="BU296" i="42"/>
  <c r="BT296" i="42"/>
  <c r="BS296" i="42"/>
  <c r="BR296" i="42"/>
  <c r="BQ296" i="42"/>
  <c r="BP296" i="42"/>
  <c r="BO296" i="42"/>
  <c r="BN296" i="42"/>
  <c r="BM296" i="42"/>
  <c r="BL296" i="42"/>
  <c r="BK296" i="42"/>
  <c r="BJ296" i="42"/>
  <c r="BI296" i="42"/>
  <c r="BH296" i="42"/>
  <c r="BG296" i="42"/>
  <c r="BF296" i="42"/>
  <c r="BE296" i="42"/>
  <c r="BD296" i="42"/>
  <c r="BC296" i="42"/>
  <c r="BB296" i="42"/>
  <c r="BA296" i="42"/>
  <c r="AZ296" i="42"/>
  <c r="AY296" i="42"/>
  <c r="AX296" i="42"/>
  <c r="AW296" i="42"/>
  <c r="AV296" i="42"/>
  <c r="AU296" i="42"/>
  <c r="AT296" i="42"/>
  <c r="AS296" i="42"/>
  <c r="AR296" i="42"/>
  <c r="AQ296" i="42"/>
  <c r="AP296" i="42"/>
  <c r="AO296" i="42"/>
  <c r="AN296" i="42"/>
  <c r="AM296" i="42"/>
  <c r="AL296" i="42"/>
  <c r="AK296" i="42"/>
  <c r="AJ296" i="42"/>
  <c r="AI296" i="42"/>
  <c r="AH296" i="42"/>
  <c r="AG296" i="42"/>
  <c r="AF296" i="42"/>
  <c r="AE296" i="42"/>
  <c r="AD296" i="42"/>
  <c r="AC296" i="42"/>
  <c r="AB296" i="42"/>
  <c r="AA296" i="42"/>
  <c r="Z296" i="42"/>
  <c r="Y296" i="42"/>
  <c r="X296" i="42"/>
  <c r="W296" i="42"/>
  <c r="V296" i="42"/>
  <c r="U296" i="42"/>
  <c r="T296" i="42"/>
  <c r="S296" i="42"/>
  <c r="R296" i="42"/>
  <c r="Q296" i="42"/>
  <c r="P296" i="42"/>
  <c r="O296" i="42"/>
  <c r="N296" i="42"/>
  <c r="M296" i="42"/>
  <c r="L296" i="42"/>
  <c r="K296" i="42"/>
  <c r="J296" i="42"/>
  <c r="I296" i="42"/>
  <c r="H296" i="42"/>
  <c r="G296" i="42"/>
  <c r="F296" i="42"/>
  <c r="E296" i="42"/>
  <c r="CE295" i="42"/>
  <c r="CD295" i="42"/>
  <c r="CC295" i="42"/>
  <c r="CB295" i="42"/>
  <c r="CA295" i="42"/>
  <c r="BZ295" i="42"/>
  <c r="BY295" i="42"/>
  <c r="BX295" i="42"/>
  <c r="BW295" i="42"/>
  <c r="BV295" i="42"/>
  <c r="BU295" i="42"/>
  <c r="BT295" i="42"/>
  <c r="BS295" i="42"/>
  <c r="BR295" i="42"/>
  <c r="BQ295" i="42"/>
  <c r="BP295" i="42"/>
  <c r="BO295" i="42"/>
  <c r="BN295" i="42"/>
  <c r="BM295" i="42"/>
  <c r="BL295" i="42"/>
  <c r="BK295" i="42"/>
  <c r="BJ295" i="42"/>
  <c r="BI295" i="42"/>
  <c r="BH295" i="42"/>
  <c r="BG295" i="42"/>
  <c r="BF295" i="42"/>
  <c r="BE295" i="42"/>
  <c r="BD295" i="42"/>
  <c r="BC295" i="42"/>
  <c r="BB295" i="42"/>
  <c r="BA295" i="42"/>
  <c r="AZ295" i="42"/>
  <c r="AY295" i="42"/>
  <c r="AX295" i="42"/>
  <c r="AW295" i="42"/>
  <c r="AV295" i="42"/>
  <c r="AU295" i="42"/>
  <c r="AT295" i="42"/>
  <c r="AS295" i="42"/>
  <c r="AR295" i="42"/>
  <c r="AQ295" i="42"/>
  <c r="AP295" i="42"/>
  <c r="AO295" i="42"/>
  <c r="AN295" i="42"/>
  <c r="AM295" i="42"/>
  <c r="AL295" i="42"/>
  <c r="AK295" i="42"/>
  <c r="AJ295" i="42"/>
  <c r="AI295" i="42"/>
  <c r="AH295" i="42"/>
  <c r="AG295" i="42"/>
  <c r="AF295" i="42"/>
  <c r="AE295" i="42"/>
  <c r="AD295" i="42"/>
  <c r="AC295" i="42"/>
  <c r="AB295" i="42"/>
  <c r="AA295" i="42"/>
  <c r="Z295" i="42"/>
  <c r="Y295" i="42"/>
  <c r="X295" i="42"/>
  <c r="W295" i="42"/>
  <c r="V295" i="42"/>
  <c r="U295" i="42"/>
  <c r="T295" i="42"/>
  <c r="S295" i="42"/>
  <c r="R295" i="42"/>
  <c r="Q295" i="42"/>
  <c r="P295" i="42"/>
  <c r="O295" i="42"/>
  <c r="N295" i="42"/>
  <c r="M295" i="42"/>
  <c r="L295" i="42"/>
  <c r="K295" i="42"/>
  <c r="J295" i="42"/>
  <c r="I295" i="42"/>
  <c r="H295" i="42"/>
  <c r="G295" i="42"/>
  <c r="F295" i="42"/>
  <c r="E295" i="42"/>
  <c r="CE294" i="42"/>
  <c r="CD294" i="42"/>
  <c r="CC294" i="42"/>
  <c r="CB294" i="42"/>
  <c r="CA294" i="42"/>
  <c r="BZ294" i="42"/>
  <c r="BY294" i="42"/>
  <c r="BX294" i="42"/>
  <c r="BW294" i="42"/>
  <c r="BV294" i="42"/>
  <c r="BU294" i="42"/>
  <c r="BT294" i="42"/>
  <c r="BS294" i="42"/>
  <c r="BR294" i="42"/>
  <c r="BQ294" i="42"/>
  <c r="BP294" i="42"/>
  <c r="BO294" i="42"/>
  <c r="BN294" i="42"/>
  <c r="BM294" i="42"/>
  <c r="BL294" i="42"/>
  <c r="BK294" i="42"/>
  <c r="BJ294" i="42"/>
  <c r="BI294" i="42"/>
  <c r="BH294" i="42"/>
  <c r="BG294" i="42"/>
  <c r="BF294" i="42"/>
  <c r="BE294" i="42"/>
  <c r="BD294" i="42"/>
  <c r="BC294" i="42"/>
  <c r="BB294" i="42"/>
  <c r="BA294" i="42"/>
  <c r="AZ294" i="42"/>
  <c r="AY294" i="42"/>
  <c r="AX294" i="42"/>
  <c r="AW294" i="42"/>
  <c r="AV294" i="42"/>
  <c r="AU294" i="42"/>
  <c r="AT294" i="42"/>
  <c r="AS294" i="42"/>
  <c r="AR294" i="42"/>
  <c r="AQ294" i="42"/>
  <c r="AP294" i="42"/>
  <c r="AO294" i="42"/>
  <c r="AN294" i="42"/>
  <c r="AM294" i="42"/>
  <c r="AL294" i="42"/>
  <c r="AK294" i="42"/>
  <c r="AJ294" i="42"/>
  <c r="AI294" i="42"/>
  <c r="AH294" i="42"/>
  <c r="AG294" i="42"/>
  <c r="AF294" i="42"/>
  <c r="AE294" i="42"/>
  <c r="AD294" i="42"/>
  <c r="AC294" i="42"/>
  <c r="AB294" i="42"/>
  <c r="AA294" i="42"/>
  <c r="Z294" i="42"/>
  <c r="Y294" i="42"/>
  <c r="X294" i="42"/>
  <c r="W294" i="42"/>
  <c r="V294" i="42"/>
  <c r="U294" i="42"/>
  <c r="T294" i="42"/>
  <c r="S294" i="42"/>
  <c r="R294" i="42"/>
  <c r="Q294" i="42"/>
  <c r="P294" i="42"/>
  <c r="O294" i="42"/>
  <c r="N294" i="42"/>
  <c r="M294" i="42"/>
  <c r="L294" i="42"/>
  <c r="K294" i="42"/>
  <c r="J294" i="42"/>
  <c r="I294" i="42"/>
  <c r="H294" i="42"/>
  <c r="G294" i="42"/>
  <c r="F294" i="42"/>
  <c r="E294" i="42"/>
  <c r="CE293" i="42"/>
  <c r="CD293" i="42"/>
  <c r="CC293" i="42"/>
  <c r="CB293" i="42"/>
  <c r="CA293" i="42"/>
  <c r="BZ293" i="42"/>
  <c r="BY293" i="42"/>
  <c r="BX293" i="42"/>
  <c r="BW293" i="42"/>
  <c r="BV293" i="42"/>
  <c r="BU293" i="42"/>
  <c r="BT293" i="42"/>
  <c r="BS293" i="42"/>
  <c r="BR293" i="42"/>
  <c r="BQ293" i="42"/>
  <c r="BP293" i="42"/>
  <c r="BO293" i="42"/>
  <c r="BN293" i="42"/>
  <c r="BM293" i="42"/>
  <c r="BL293" i="42"/>
  <c r="BK293" i="42"/>
  <c r="BJ293" i="42"/>
  <c r="BI293" i="42"/>
  <c r="BH293" i="42"/>
  <c r="BG293" i="42"/>
  <c r="BF293" i="42"/>
  <c r="BE293" i="42"/>
  <c r="BD293" i="42"/>
  <c r="BC293" i="42"/>
  <c r="BB293" i="42"/>
  <c r="BA293" i="42"/>
  <c r="AZ293" i="42"/>
  <c r="AY293" i="42"/>
  <c r="AX293" i="42"/>
  <c r="AW293" i="42"/>
  <c r="AV293" i="42"/>
  <c r="AU293" i="42"/>
  <c r="AT293" i="42"/>
  <c r="AS293" i="42"/>
  <c r="AR293" i="42"/>
  <c r="AQ293" i="42"/>
  <c r="AP293" i="42"/>
  <c r="AO293" i="42"/>
  <c r="AN293" i="42"/>
  <c r="AM293" i="42"/>
  <c r="AL293" i="42"/>
  <c r="AK293" i="42"/>
  <c r="AJ293" i="42"/>
  <c r="AI293" i="42"/>
  <c r="AH293" i="42"/>
  <c r="AG293" i="42"/>
  <c r="AF293" i="42"/>
  <c r="AE293" i="42"/>
  <c r="AD293" i="42"/>
  <c r="AC293" i="42"/>
  <c r="AB293" i="42"/>
  <c r="AA293" i="42"/>
  <c r="Z293" i="42"/>
  <c r="Y293" i="42"/>
  <c r="X293" i="42"/>
  <c r="W293" i="42"/>
  <c r="V293" i="42"/>
  <c r="U293" i="42"/>
  <c r="T293" i="42"/>
  <c r="S293" i="42"/>
  <c r="R293" i="42"/>
  <c r="Q293" i="42"/>
  <c r="P293" i="42"/>
  <c r="O293" i="42"/>
  <c r="N293" i="42"/>
  <c r="M293" i="42"/>
  <c r="L293" i="42"/>
  <c r="K293" i="42"/>
  <c r="J293" i="42"/>
  <c r="I293" i="42"/>
  <c r="H293" i="42"/>
  <c r="G293" i="42"/>
  <c r="F293" i="42"/>
  <c r="E293" i="42"/>
  <c r="CB292" i="42"/>
  <c r="CA292" i="42"/>
  <c r="BT292" i="42"/>
  <c r="BS292" i="42"/>
  <c r="BL292" i="42"/>
  <c r="BK292" i="42"/>
  <c r="BD292" i="42"/>
  <c r="BC292" i="42"/>
  <c r="AV292" i="42"/>
  <c r="AU292" i="42"/>
  <c r="AN292" i="42"/>
  <c r="AM292" i="42"/>
  <c r="AF292" i="42"/>
  <c r="AE292" i="42"/>
  <c r="X292" i="42"/>
  <c r="W292" i="42"/>
  <c r="P292" i="42"/>
  <c r="O292" i="42"/>
  <c r="H292" i="42"/>
  <c r="G292" i="42"/>
  <c r="CE291" i="42"/>
  <c r="CD291" i="42"/>
  <c r="CC291" i="42"/>
  <c r="CB291" i="42"/>
  <c r="CA291" i="42"/>
  <c r="BZ291" i="42"/>
  <c r="BY291" i="42"/>
  <c r="BX291" i="42"/>
  <c r="BW291" i="42"/>
  <c r="BV291" i="42"/>
  <c r="BU291" i="42"/>
  <c r="BT291" i="42"/>
  <c r="BS291" i="42"/>
  <c r="BR291" i="42"/>
  <c r="BQ291" i="42"/>
  <c r="BP291" i="42"/>
  <c r="BO291" i="42"/>
  <c r="BN291" i="42"/>
  <c r="BM291" i="42"/>
  <c r="BL291" i="42"/>
  <c r="BK291" i="42"/>
  <c r="BJ291" i="42"/>
  <c r="BI291" i="42"/>
  <c r="BH291" i="42"/>
  <c r="BG291" i="42"/>
  <c r="BF291" i="42"/>
  <c r="BE291" i="42"/>
  <c r="BD291" i="42"/>
  <c r="BC291" i="42"/>
  <c r="BB291" i="42"/>
  <c r="BA291" i="42"/>
  <c r="AZ291" i="42"/>
  <c r="AY291" i="42"/>
  <c r="AX291" i="42"/>
  <c r="AW291" i="42"/>
  <c r="AV291" i="42"/>
  <c r="AU291" i="42"/>
  <c r="AT291" i="42"/>
  <c r="AS291" i="42"/>
  <c r="AR291" i="42"/>
  <c r="AQ291" i="42"/>
  <c r="AP291" i="42"/>
  <c r="AO291" i="42"/>
  <c r="AN291" i="42"/>
  <c r="AM291" i="42"/>
  <c r="AL291" i="42"/>
  <c r="AK291" i="42"/>
  <c r="AJ291" i="42"/>
  <c r="AI291" i="42"/>
  <c r="AH291" i="42"/>
  <c r="AG291" i="42"/>
  <c r="AF291" i="42"/>
  <c r="AE291" i="42"/>
  <c r="AD291" i="42"/>
  <c r="AC291" i="42"/>
  <c r="AB291" i="42"/>
  <c r="AA291" i="42"/>
  <c r="Z291" i="42"/>
  <c r="Y291" i="42"/>
  <c r="X291" i="42"/>
  <c r="W291" i="42"/>
  <c r="V291" i="42"/>
  <c r="U291" i="42"/>
  <c r="T291" i="42"/>
  <c r="S291" i="42"/>
  <c r="R291" i="42"/>
  <c r="Q291" i="42"/>
  <c r="P291" i="42"/>
  <c r="O291" i="42"/>
  <c r="N291" i="42"/>
  <c r="M291" i="42"/>
  <c r="L291" i="42"/>
  <c r="K291" i="42"/>
  <c r="J291" i="42"/>
  <c r="I291" i="42"/>
  <c r="H291" i="42"/>
  <c r="G291" i="42"/>
  <c r="F291" i="42"/>
  <c r="E291" i="42"/>
  <c r="CE290" i="42"/>
  <c r="CE292" i="42" s="1"/>
  <c r="CD290" i="42"/>
  <c r="CD292" i="42" s="1"/>
  <c r="CC290" i="42"/>
  <c r="CC292" i="42" s="1"/>
  <c r="CB290" i="42"/>
  <c r="CA290" i="42"/>
  <c r="BZ290" i="42"/>
  <c r="BZ292" i="42" s="1"/>
  <c r="BY290" i="42"/>
  <c r="BY292" i="42" s="1"/>
  <c r="BX290" i="42"/>
  <c r="BX292" i="42" s="1"/>
  <c r="BW290" i="42"/>
  <c r="BW292" i="42" s="1"/>
  <c r="BV290" i="42"/>
  <c r="BV292" i="42" s="1"/>
  <c r="BU290" i="42"/>
  <c r="BU292" i="42" s="1"/>
  <c r="BT290" i="42"/>
  <c r="BS290" i="42"/>
  <c r="BR290" i="42"/>
  <c r="BR292" i="42" s="1"/>
  <c r="BQ290" i="42"/>
  <c r="BQ292" i="42" s="1"/>
  <c r="BP290" i="42"/>
  <c r="BP292" i="42" s="1"/>
  <c r="BO290" i="42"/>
  <c r="BO292" i="42" s="1"/>
  <c r="BN290" i="42"/>
  <c r="BN292" i="42" s="1"/>
  <c r="BM290" i="42"/>
  <c r="BM292" i="42" s="1"/>
  <c r="BL290" i="42"/>
  <c r="BK290" i="42"/>
  <c r="BJ290" i="42"/>
  <c r="BJ292" i="42" s="1"/>
  <c r="BI290" i="42"/>
  <c r="BI292" i="42" s="1"/>
  <c r="BH290" i="42"/>
  <c r="BH292" i="42" s="1"/>
  <c r="BG290" i="42"/>
  <c r="BG292" i="42" s="1"/>
  <c r="BF290" i="42"/>
  <c r="BF292" i="42" s="1"/>
  <c r="BE290" i="42"/>
  <c r="BE292" i="42" s="1"/>
  <c r="BD290" i="42"/>
  <c r="BC290" i="42"/>
  <c r="BB290" i="42"/>
  <c r="BB292" i="42" s="1"/>
  <c r="BA290" i="42"/>
  <c r="BA292" i="42" s="1"/>
  <c r="AZ290" i="42"/>
  <c r="AZ292" i="42" s="1"/>
  <c r="AY290" i="42"/>
  <c r="AY292" i="42" s="1"/>
  <c r="AX290" i="42"/>
  <c r="AX292" i="42" s="1"/>
  <c r="AW290" i="42"/>
  <c r="AW292" i="42" s="1"/>
  <c r="AV290" i="42"/>
  <c r="AU290" i="42"/>
  <c r="AT290" i="42"/>
  <c r="AT292" i="42" s="1"/>
  <c r="AS290" i="42"/>
  <c r="AS292" i="42" s="1"/>
  <c r="AR290" i="42"/>
  <c r="AR292" i="42" s="1"/>
  <c r="AQ290" i="42"/>
  <c r="AQ292" i="42" s="1"/>
  <c r="AP290" i="42"/>
  <c r="AP292" i="42" s="1"/>
  <c r="AO290" i="42"/>
  <c r="AO292" i="42" s="1"/>
  <c r="AN290" i="42"/>
  <c r="AM290" i="42"/>
  <c r="AL290" i="42"/>
  <c r="AL292" i="42" s="1"/>
  <c r="AK290" i="42"/>
  <c r="AK292" i="42" s="1"/>
  <c r="AJ290" i="42"/>
  <c r="AJ292" i="42" s="1"/>
  <c r="AI290" i="42"/>
  <c r="AI292" i="42" s="1"/>
  <c r="AH290" i="42"/>
  <c r="AH292" i="42" s="1"/>
  <c r="AG290" i="42"/>
  <c r="AG292" i="42" s="1"/>
  <c r="AF290" i="42"/>
  <c r="AE290" i="42"/>
  <c r="AD290" i="42"/>
  <c r="AD292" i="42" s="1"/>
  <c r="AC290" i="42"/>
  <c r="AC292" i="42" s="1"/>
  <c r="AB290" i="42"/>
  <c r="AB292" i="42" s="1"/>
  <c r="AA290" i="42"/>
  <c r="AA292" i="42" s="1"/>
  <c r="Z290" i="42"/>
  <c r="Z292" i="42" s="1"/>
  <c r="Y290" i="42"/>
  <c r="Y292" i="42" s="1"/>
  <c r="X290" i="42"/>
  <c r="W290" i="42"/>
  <c r="V290" i="42"/>
  <c r="V292" i="42" s="1"/>
  <c r="U290" i="42"/>
  <c r="U292" i="42" s="1"/>
  <c r="T290" i="42"/>
  <c r="T292" i="42" s="1"/>
  <c r="S290" i="42"/>
  <c r="S292" i="42" s="1"/>
  <c r="R290" i="42"/>
  <c r="R292" i="42" s="1"/>
  <c r="Q290" i="42"/>
  <c r="Q292" i="42" s="1"/>
  <c r="P290" i="42"/>
  <c r="O290" i="42"/>
  <c r="N290" i="42"/>
  <c r="N292" i="42" s="1"/>
  <c r="M290" i="42"/>
  <c r="M292" i="42" s="1"/>
  <c r="L290" i="42"/>
  <c r="L292" i="42" s="1"/>
  <c r="K290" i="42"/>
  <c r="K292" i="42" s="1"/>
  <c r="J290" i="42"/>
  <c r="J292" i="42" s="1"/>
  <c r="I290" i="42"/>
  <c r="I292" i="42" s="1"/>
  <c r="H290" i="42"/>
  <c r="G290" i="42"/>
  <c r="F290" i="42"/>
  <c r="F292" i="42" s="1"/>
  <c r="E290" i="42"/>
  <c r="E292" i="42" s="1"/>
  <c r="E97" i="1" l="1"/>
  <c r="E96" i="1"/>
  <c r="E95" i="1"/>
  <c r="E94" i="1"/>
  <c r="E93" i="1"/>
  <c r="E92" i="1"/>
  <c r="E91" i="1"/>
  <c r="E90" i="1"/>
  <c r="E100" i="1"/>
  <c r="F298" i="42" l="1"/>
  <c r="G298" i="42"/>
  <c r="H298" i="42"/>
  <c r="I298" i="42"/>
  <c r="J298" i="42"/>
  <c r="J299" i="42" s="1"/>
  <c r="K298" i="42"/>
  <c r="K299" i="42" s="1"/>
  <c r="L298" i="42"/>
  <c r="M298" i="42"/>
  <c r="M299" i="42" s="1"/>
  <c r="N298" i="42"/>
  <c r="O298" i="42"/>
  <c r="P298" i="42"/>
  <c r="Q298" i="42"/>
  <c r="R298" i="42"/>
  <c r="R299" i="42" s="1"/>
  <c r="S298" i="42"/>
  <c r="S299" i="42" s="1"/>
  <c r="T298" i="42"/>
  <c r="U298" i="42"/>
  <c r="U299" i="42" s="1"/>
  <c r="V298" i="42"/>
  <c r="W298" i="42"/>
  <c r="X298" i="42"/>
  <c r="Y298" i="42"/>
  <c r="Z298" i="42"/>
  <c r="AA298" i="42"/>
  <c r="AA299" i="42" s="1"/>
  <c r="AB298" i="42"/>
  <c r="AC298" i="42"/>
  <c r="AC299" i="42" s="1"/>
  <c r="AD298" i="42"/>
  <c r="AE298" i="42"/>
  <c r="AF298" i="42"/>
  <c r="AG298" i="42"/>
  <c r="AH298" i="42"/>
  <c r="AI298" i="42"/>
  <c r="AI299" i="42" s="1"/>
  <c r="AJ298" i="42"/>
  <c r="AK298" i="42"/>
  <c r="AK299" i="42" s="1"/>
  <c r="AL298" i="42"/>
  <c r="AM298" i="42"/>
  <c r="AN298" i="42"/>
  <c r="AO298" i="42"/>
  <c r="AP298" i="42"/>
  <c r="AP299" i="42" s="1"/>
  <c r="AQ298" i="42"/>
  <c r="AQ299" i="42" s="1"/>
  <c r="AR298" i="42"/>
  <c r="AS298" i="42"/>
  <c r="AS299" i="42" s="1"/>
  <c r="AT298" i="42"/>
  <c r="AU298" i="42"/>
  <c r="AV298" i="42"/>
  <c r="AW298" i="42"/>
  <c r="AX298" i="42"/>
  <c r="AX299" i="42" s="1"/>
  <c r="AY298" i="42"/>
  <c r="AY299" i="42" s="1"/>
  <c r="AZ298" i="42"/>
  <c r="BA298" i="42"/>
  <c r="BA299" i="42" s="1"/>
  <c r="BB298" i="42"/>
  <c r="BC298" i="42"/>
  <c r="BD298" i="42"/>
  <c r="BE298" i="42"/>
  <c r="BF298" i="42"/>
  <c r="BF299" i="42" s="1"/>
  <c r="BG298" i="42"/>
  <c r="BG299" i="42" s="1"/>
  <c r="BH298" i="42"/>
  <c r="BI298" i="42"/>
  <c r="BI299" i="42" s="1"/>
  <c r="BJ298" i="42"/>
  <c r="BK298" i="42"/>
  <c r="BL298" i="42"/>
  <c r="BM298" i="42"/>
  <c r="BN298" i="42"/>
  <c r="BN299" i="42" s="1"/>
  <c r="BO298" i="42"/>
  <c r="BO299" i="42" s="1"/>
  <c r="BP298" i="42"/>
  <c r="BQ298" i="42"/>
  <c r="BQ299" i="42" s="1"/>
  <c r="BR298" i="42"/>
  <c r="BS298" i="42"/>
  <c r="BT298" i="42"/>
  <c r="BU298" i="42"/>
  <c r="BV298" i="42"/>
  <c r="BV299" i="42" s="1"/>
  <c r="BW298" i="42"/>
  <c r="BW299" i="42" s="1"/>
  <c r="BX298" i="42"/>
  <c r="BY298" i="42"/>
  <c r="BY299" i="42" s="1"/>
  <c r="BZ298" i="42"/>
  <c r="CA298" i="42"/>
  <c r="CB298" i="42"/>
  <c r="F299" i="42"/>
  <c r="G299" i="42"/>
  <c r="H299" i="42"/>
  <c r="I299" i="42"/>
  <c r="L299" i="42"/>
  <c r="N299" i="42"/>
  <c r="O299" i="42"/>
  <c r="P299" i="42"/>
  <c r="Q299" i="42"/>
  <c r="T299" i="42"/>
  <c r="V299" i="42"/>
  <c r="W299" i="42"/>
  <c r="X299" i="42"/>
  <c r="Y299" i="42"/>
  <c r="Z299" i="42"/>
  <c r="AB299" i="42"/>
  <c r="AD299" i="42"/>
  <c r="AE299" i="42"/>
  <c r="AF299" i="42"/>
  <c r="AG299" i="42"/>
  <c r="AH299" i="42"/>
  <c r="AJ299" i="42"/>
  <c r="AL299" i="42"/>
  <c r="AM299" i="42"/>
  <c r="AN299" i="42"/>
  <c r="AO299" i="42"/>
  <c r="AR299" i="42"/>
  <c r="AT299" i="42"/>
  <c r="AU299" i="42"/>
  <c r="AV299" i="42"/>
  <c r="AW299" i="42"/>
  <c r="AZ299" i="42"/>
  <c r="BB299" i="42"/>
  <c r="BC299" i="42"/>
  <c r="BD299" i="42"/>
  <c r="BE299" i="42"/>
  <c r="BH299" i="42"/>
  <c r="BJ299" i="42"/>
  <c r="BK299" i="42"/>
  <c r="BL299" i="42"/>
  <c r="BM299" i="42"/>
  <c r="BP299" i="42"/>
  <c r="BR299" i="42"/>
  <c r="BS299" i="42"/>
  <c r="BT299" i="42"/>
  <c r="BU299" i="42"/>
  <c r="BX299" i="42"/>
  <c r="BZ299" i="42"/>
  <c r="CA299" i="42"/>
  <c r="CB299" i="42"/>
  <c r="F300" i="42"/>
  <c r="G300" i="42"/>
  <c r="H300" i="42"/>
  <c r="I300" i="42"/>
  <c r="J300" i="42"/>
  <c r="K300" i="42"/>
  <c r="L300" i="42"/>
  <c r="M300" i="42"/>
  <c r="N300" i="42"/>
  <c r="O300" i="42"/>
  <c r="P300" i="42"/>
  <c r="Q300" i="42"/>
  <c r="R300" i="42"/>
  <c r="S300" i="42"/>
  <c r="T300" i="42"/>
  <c r="U300" i="42"/>
  <c r="V300" i="42"/>
  <c r="W300" i="42"/>
  <c r="X300" i="42"/>
  <c r="Y300" i="42"/>
  <c r="Z300" i="42"/>
  <c r="AA300" i="42"/>
  <c r="AB300" i="42"/>
  <c r="AC300" i="42"/>
  <c r="AD300" i="42"/>
  <c r="AE300" i="42"/>
  <c r="AF300" i="42"/>
  <c r="AG300" i="42"/>
  <c r="AH300" i="42"/>
  <c r="AI300" i="42"/>
  <c r="AJ300" i="42"/>
  <c r="AK300" i="42"/>
  <c r="AL300" i="42"/>
  <c r="AM300" i="42"/>
  <c r="AN300" i="42"/>
  <c r="AO300" i="42"/>
  <c r="AP300" i="42"/>
  <c r="AQ300" i="42"/>
  <c r="AR300" i="42"/>
  <c r="AS300" i="42"/>
  <c r="AT300" i="42"/>
  <c r="AU300" i="42"/>
  <c r="AV300" i="42"/>
  <c r="AW300" i="42"/>
  <c r="AX300" i="42"/>
  <c r="AY300" i="42"/>
  <c r="AZ300" i="42"/>
  <c r="BA300" i="42"/>
  <c r="BB300" i="42"/>
  <c r="BC300" i="42"/>
  <c r="BD300" i="42"/>
  <c r="BE300" i="42"/>
  <c r="BF300" i="42"/>
  <c r="BG300" i="42"/>
  <c r="BH300" i="42"/>
  <c r="BI300" i="42"/>
  <c r="BJ300" i="42"/>
  <c r="BK300" i="42"/>
  <c r="BL300" i="42"/>
  <c r="BM300" i="42"/>
  <c r="BN300" i="42"/>
  <c r="BO300" i="42"/>
  <c r="BP300" i="42"/>
  <c r="BQ300" i="42"/>
  <c r="BR300" i="42"/>
  <c r="BS300" i="42"/>
  <c r="BT300" i="42"/>
  <c r="BU300" i="42"/>
  <c r="BV300" i="42"/>
  <c r="BW300" i="42"/>
  <c r="BX300" i="42"/>
  <c r="BY300" i="42"/>
  <c r="BZ300" i="42"/>
  <c r="CA300" i="42"/>
  <c r="CB300" i="42"/>
  <c r="F301" i="42"/>
  <c r="G301" i="42"/>
  <c r="H301" i="42"/>
  <c r="I301" i="42"/>
  <c r="J301" i="42"/>
  <c r="K301" i="42"/>
  <c r="L301" i="42"/>
  <c r="M301" i="42"/>
  <c r="N301" i="42"/>
  <c r="O301" i="42"/>
  <c r="P301" i="42"/>
  <c r="Q301" i="42"/>
  <c r="R301" i="42"/>
  <c r="S301" i="42"/>
  <c r="T301" i="42"/>
  <c r="U301" i="42"/>
  <c r="V301" i="42"/>
  <c r="W301" i="42"/>
  <c r="X301" i="42"/>
  <c r="Y301" i="42"/>
  <c r="Z301" i="42"/>
  <c r="AA301" i="42"/>
  <c r="AB301" i="42"/>
  <c r="AC301" i="42"/>
  <c r="AD301" i="42"/>
  <c r="AE301" i="42"/>
  <c r="AF301" i="42"/>
  <c r="AG301" i="42"/>
  <c r="AH301" i="42"/>
  <c r="AI301" i="42"/>
  <c r="AJ301" i="42"/>
  <c r="AK301" i="42"/>
  <c r="AL301" i="42"/>
  <c r="AM301" i="42"/>
  <c r="AN301" i="42"/>
  <c r="AO301" i="42"/>
  <c r="AP301" i="42"/>
  <c r="AQ301" i="42"/>
  <c r="AR301" i="42"/>
  <c r="AS301" i="42"/>
  <c r="AT301" i="42"/>
  <c r="AU301" i="42"/>
  <c r="AV301" i="42"/>
  <c r="AW301" i="42"/>
  <c r="AX301" i="42"/>
  <c r="AY301" i="42"/>
  <c r="AZ301" i="42"/>
  <c r="BA301" i="42"/>
  <c r="BB301" i="42"/>
  <c r="BC301" i="42"/>
  <c r="BD301" i="42"/>
  <c r="BE301" i="42"/>
  <c r="BF301" i="42"/>
  <c r="BG301" i="42"/>
  <c r="BH301" i="42"/>
  <c r="BI301" i="42"/>
  <c r="BJ301" i="42"/>
  <c r="BK301" i="42"/>
  <c r="BL301" i="42"/>
  <c r="BM301" i="42"/>
  <c r="BN301" i="42"/>
  <c r="BO301" i="42"/>
  <c r="BP301" i="42"/>
  <c r="BQ301" i="42"/>
  <c r="BR301" i="42"/>
  <c r="BS301" i="42"/>
  <c r="BT301" i="42"/>
  <c r="BU301" i="42"/>
  <c r="BV301" i="42"/>
  <c r="BW301" i="42"/>
  <c r="BX301" i="42"/>
  <c r="BY301" i="42"/>
  <c r="BZ301" i="42"/>
  <c r="CA301" i="42"/>
  <c r="CB301" i="42"/>
  <c r="F302" i="42"/>
  <c r="G302" i="42"/>
  <c r="H302" i="42"/>
  <c r="I302" i="42"/>
  <c r="J302" i="42"/>
  <c r="K302" i="42"/>
  <c r="L302" i="42"/>
  <c r="M302" i="42"/>
  <c r="N302" i="42"/>
  <c r="O302" i="42"/>
  <c r="P302" i="42"/>
  <c r="Q302" i="42"/>
  <c r="R302" i="42"/>
  <c r="S302" i="42"/>
  <c r="T302" i="42"/>
  <c r="U302" i="42"/>
  <c r="V302" i="42"/>
  <c r="W302" i="42"/>
  <c r="X302" i="42"/>
  <c r="Y302" i="42"/>
  <c r="Z302" i="42"/>
  <c r="AA302" i="42"/>
  <c r="AB302" i="42"/>
  <c r="AC302" i="42"/>
  <c r="AD302" i="42"/>
  <c r="AE302" i="42"/>
  <c r="AF302" i="42"/>
  <c r="AG302" i="42"/>
  <c r="AH302" i="42"/>
  <c r="AI302" i="42"/>
  <c r="AJ302" i="42"/>
  <c r="AK302" i="42"/>
  <c r="AL302" i="42"/>
  <c r="AM302" i="42"/>
  <c r="AN302" i="42"/>
  <c r="AO302" i="42"/>
  <c r="AP302" i="42"/>
  <c r="AQ302" i="42"/>
  <c r="AR302" i="42"/>
  <c r="AS302" i="42"/>
  <c r="AT302" i="42"/>
  <c r="AU302" i="42"/>
  <c r="AV302" i="42"/>
  <c r="AW302" i="42"/>
  <c r="AX302" i="42"/>
  <c r="AY302" i="42"/>
  <c r="AZ302" i="42"/>
  <c r="BA302" i="42"/>
  <c r="BB302" i="42"/>
  <c r="BC302" i="42"/>
  <c r="BD302" i="42"/>
  <c r="BE302" i="42"/>
  <c r="BF302" i="42"/>
  <c r="BG302" i="42"/>
  <c r="BH302" i="42"/>
  <c r="BI302" i="42"/>
  <c r="BJ302" i="42"/>
  <c r="BK302" i="42"/>
  <c r="BL302" i="42"/>
  <c r="BM302" i="42"/>
  <c r="BN302" i="42"/>
  <c r="BO302" i="42"/>
  <c r="BP302" i="42"/>
  <c r="BQ302" i="42"/>
  <c r="BR302" i="42"/>
  <c r="BS302" i="42"/>
  <c r="BT302" i="42"/>
  <c r="BU302" i="42"/>
  <c r="BV302" i="42"/>
  <c r="BW302" i="42"/>
  <c r="BX302" i="42"/>
  <c r="BY302" i="42"/>
  <c r="BZ302" i="42"/>
  <c r="CA302" i="42"/>
  <c r="CB302" i="42"/>
  <c r="F303" i="42"/>
  <c r="G303" i="42"/>
  <c r="H303" i="42"/>
  <c r="I303" i="42"/>
  <c r="J303" i="42"/>
  <c r="K303" i="42"/>
  <c r="L303" i="42"/>
  <c r="M303" i="42"/>
  <c r="N303" i="42"/>
  <c r="O303" i="42"/>
  <c r="P303" i="42"/>
  <c r="Q303" i="42"/>
  <c r="R303" i="42"/>
  <c r="S303" i="42"/>
  <c r="T303" i="42"/>
  <c r="U303" i="42"/>
  <c r="V303" i="42"/>
  <c r="W303" i="42"/>
  <c r="X303" i="42"/>
  <c r="Y303" i="42"/>
  <c r="Z303" i="42"/>
  <c r="AA303" i="42"/>
  <c r="AB303" i="42"/>
  <c r="AC303" i="42"/>
  <c r="AD303" i="42"/>
  <c r="AE303" i="42"/>
  <c r="AF303" i="42"/>
  <c r="AG303" i="42"/>
  <c r="AH303" i="42"/>
  <c r="AI303" i="42"/>
  <c r="AJ303" i="42"/>
  <c r="AK303" i="42"/>
  <c r="AL303" i="42"/>
  <c r="AM303" i="42"/>
  <c r="AN303" i="42"/>
  <c r="AO303" i="42"/>
  <c r="AP303" i="42"/>
  <c r="AQ303" i="42"/>
  <c r="AR303" i="42"/>
  <c r="AS303" i="42"/>
  <c r="AT303" i="42"/>
  <c r="AU303" i="42"/>
  <c r="AV303" i="42"/>
  <c r="AW303" i="42"/>
  <c r="AX303" i="42"/>
  <c r="AY303" i="42"/>
  <c r="AZ303" i="42"/>
  <c r="BA303" i="42"/>
  <c r="BB303" i="42"/>
  <c r="BC303" i="42"/>
  <c r="BD303" i="42"/>
  <c r="BE303" i="42"/>
  <c r="BF303" i="42"/>
  <c r="BG303" i="42"/>
  <c r="BH303" i="42"/>
  <c r="BI303" i="42"/>
  <c r="BJ303" i="42"/>
  <c r="BK303" i="42"/>
  <c r="BL303" i="42"/>
  <c r="BM303" i="42"/>
  <c r="BN303" i="42"/>
  <c r="BO303" i="42"/>
  <c r="BP303" i="42"/>
  <c r="BQ303" i="42"/>
  <c r="BR303" i="42"/>
  <c r="BS303" i="42"/>
  <c r="BT303" i="42"/>
  <c r="BU303" i="42"/>
  <c r="BV303" i="42"/>
  <c r="BW303" i="42"/>
  <c r="BX303" i="42"/>
  <c r="BY303" i="42"/>
  <c r="BZ303" i="42"/>
  <c r="CA303" i="42"/>
  <c r="CB303" i="42"/>
  <c r="F304" i="42"/>
  <c r="G304" i="42"/>
  <c r="H304" i="42"/>
  <c r="I304" i="42"/>
  <c r="J304" i="42"/>
  <c r="K304" i="42"/>
  <c r="L304" i="42"/>
  <c r="M304" i="42"/>
  <c r="N304" i="42"/>
  <c r="O304" i="42"/>
  <c r="P304" i="42"/>
  <c r="Q304" i="42"/>
  <c r="R304" i="42"/>
  <c r="S304" i="42"/>
  <c r="T304" i="42"/>
  <c r="U304" i="42"/>
  <c r="V304" i="42"/>
  <c r="W304" i="42"/>
  <c r="X304" i="42"/>
  <c r="Y304" i="42"/>
  <c r="Z304" i="42"/>
  <c r="AA304" i="42"/>
  <c r="AB304" i="42"/>
  <c r="AC304" i="42"/>
  <c r="AD304" i="42"/>
  <c r="AE304" i="42"/>
  <c r="AF304" i="42"/>
  <c r="AG304" i="42"/>
  <c r="AH304" i="42"/>
  <c r="AI304" i="42"/>
  <c r="AJ304" i="42"/>
  <c r="AK304" i="42"/>
  <c r="AL304" i="42"/>
  <c r="AM304" i="42"/>
  <c r="AN304" i="42"/>
  <c r="AO304" i="42"/>
  <c r="AP304" i="42"/>
  <c r="AQ304" i="42"/>
  <c r="AR304" i="42"/>
  <c r="AS304" i="42"/>
  <c r="AT304" i="42"/>
  <c r="AU304" i="42"/>
  <c r="AV304" i="42"/>
  <c r="AW304" i="42"/>
  <c r="AX304" i="42"/>
  <c r="AY304" i="42"/>
  <c r="AZ304" i="42"/>
  <c r="BA304" i="42"/>
  <c r="BB304" i="42"/>
  <c r="BC304" i="42"/>
  <c r="BD304" i="42"/>
  <c r="BE304" i="42"/>
  <c r="BF304" i="42"/>
  <c r="BG304" i="42"/>
  <c r="BH304" i="42"/>
  <c r="BI304" i="42"/>
  <c r="BJ304" i="42"/>
  <c r="BK304" i="42"/>
  <c r="BL304" i="42"/>
  <c r="BM304" i="42"/>
  <c r="BN304" i="42"/>
  <c r="BO304" i="42"/>
  <c r="BP304" i="42"/>
  <c r="BQ304" i="42"/>
  <c r="BR304" i="42"/>
  <c r="BS304" i="42"/>
  <c r="BT304" i="42"/>
  <c r="BU304" i="42"/>
  <c r="BV304" i="42"/>
  <c r="BW304" i="42"/>
  <c r="BX304" i="42"/>
  <c r="BY304" i="42"/>
  <c r="BZ304" i="42"/>
  <c r="CA304" i="42"/>
  <c r="CB304" i="42"/>
  <c r="F305" i="42"/>
  <c r="G305" i="42"/>
  <c r="H305" i="42"/>
  <c r="I305" i="42"/>
  <c r="J305" i="42"/>
  <c r="K305" i="42"/>
  <c r="L305" i="42"/>
  <c r="M305" i="42"/>
  <c r="N305" i="42"/>
  <c r="O305" i="42"/>
  <c r="P305" i="42"/>
  <c r="Q305" i="42"/>
  <c r="R305" i="42"/>
  <c r="S305" i="42"/>
  <c r="T305" i="42"/>
  <c r="U305" i="42"/>
  <c r="V305" i="42"/>
  <c r="W305" i="42"/>
  <c r="X305" i="42"/>
  <c r="Y305" i="42"/>
  <c r="Z305" i="42"/>
  <c r="AA305" i="42"/>
  <c r="AB305" i="42"/>
  <c r="AC305" i="42"/>
  <c r="AD305" i="42"/>
  <c r="AE305" i="42"/>
  <c r="AF305" i="42"/>
  <c r="AG305" i="42"/>
  <c r="AH305" i="42"/>
  <c r="AI305" i="42"/>
  <c r="AJ305" i="42"/>
  <c r="AK305" i="42"/>
  <c r="AL305" i="42"/>
  <c r="AM305" i="42"/>
  <c r="AN305" i="42"/>
  <c r="AO305" i="42"/>
  <c r="AP305" i="42"/>
  <c r="AQ305" i="42"/>
  <c r="AR305" i="42"/>
  <c r="AS305" i="42"/>
  <c r="AT305" i="42"/>
  <c r="AU305" i="42"/>
  <c r="AV305" i="42"/>
  <c r="AW305" i="42"/>
  <c r="AX305" i="42"/>
  <c r="AY305" i="42"/>
  <c r="AZ305" i="42"/>
  <c r="BA305" i="42"/>
  <c r="BB305" i="42"/>
  <c r="BC305" i="42"/>
  <c r="BD305" i="42"/>
  <c r="BE305" i="42"/>
  <c r="BF305" i="42"/>
  <c r="BG305" i="42"/>
  <c r="BH305" i="42"/>
  <c r="BI305" i="42"/>
  <c r="BJ305" i="42"/>
  <c r="BK305" i="42"/>
  <c r="BL305" i="42"/>
  <c r="BM305" i="42"/>
  <c r="BN305" i="42"/>
  <c r="BO305" i="42"/>
  <c r="BP305" i="42"/>
  <c r="BQ305" i="42"/>
  <c r="BR305" i="42"/>
  <c r="BS305" i="42"/>
  <c r="BT305" i="42"/>
  <c r="BU305" i="42"/>
  <c r="BV305" i="42"/>
  <c r="BW305" i="42"/>
  <c r="BX305" i="42"/>
  <c r="BY305" i="42"/>
  <c r="BZ305" i="42"/>
  <c r="CA305" i="42"/>
  <c r="CB305" i="42"/>
  <c r="E305" i="42"/>
  <c r="E304" i="42"/>
  <c r="E303" i="42"/>
  <c r="E302" i="42"/>
  <c r="E301" i="42"/>
  <c r="E300" i="42"/>
  <c r="E298" i="42"/>
  <c r="E299" i="42" s="1"/>
  <c r="A327" i="1" l="1"/>
  <c r="D27" i="73" l="1"/>
  <c r="D29" i="73"/>
  <c r="D31" i="73"/>
  <c r="D33" i="73"/>
  <c r="D35" i="73"/>
  <c r="D37" i="73"/>
  <c r="D39" i="73"/>
  <c r="D41" i="73"/>
  <c r="D43" i="73"/>
  <c r="D45" i="73"/>
  <c r="M51" i="80" l="1"/>
  <c r="K10" i="80" l="1"/>
  <c r="E10" i="80"/>
  <c r="B4" i="80"/>
  <c r="M14" i="80" l="1"/>
  <c r="M24" i="80"/>
  <c r="M23" i="80"/>
  <c r="M16" i="80"/>
  <c r="M21" i="80"/>
  <c r="M17" i="80"/>
  <c r="N18" i="80"/>
  <c r="H53" i="53" l="1"/>
  <c r="G160" i="1" l="1"/>
  <c r="G140" i="1"/>
  <c r="F323" i="1"/>
  <c r="E323" i="1"/>
  <c r="F322" i="1"/>
  <c r="E322" i="1"/>
  <c r="F321" i="1"/>
  <c r="E321" i="1"/>
  <c r="F320" i="1"/>
  <c r="E320" i="1"/>
  <c r="F319" i="1"/>
  <c r="E319" i="1"/>
  <c r="G172" i="1"/>
  <c r="H160" i="1"/>
  <c r="I140" i="1"/>
  <c r="H140" i="1"/>
  <c r="E127" i="1"/>
  <c r="E126" i="1"/>
  <c r="E125" i="1"/>
  <c r="E124" i="1"/>
  <c r="E123" i="1"/>
  <c r="E120" i="1"/>
  <c r="E119" i="1"/>
  <c r="E118" i="1"/>
  <c r="E117" i="1"/>
  <c r="E116" i="1"/>
  <c r="E115" i="1"/>
  <c r="E114" i="1"/>
  <c r="E113" i="1"/>
  <c r="E112" i="1"/>
  <c r="E111" i="1"/>
  <c r="E110" i="1"/>
  <c r="E109" i="1"/>
  <c r="E108" i="1"/>
  <c r="E107" i="1"/>
  <c r="E106" i="1"/>
  <c r="E105" i="1"/>
  <c r="E104" i="1"/>
  <c r="E103" i="1"/>
  <c r="E56" i="1"/>
  <c r="E55" i="1"/>
  <c r="E54" i="1"/>
  <c r="E53" i="1"/>
  <c r="E52" i="1"/>
  <c r="E51" i="1"/>
  <c r="E50" i="1"/>
  <c r="E49" i="1"/>
  <c r="E57" i="1"/>
  <c r="E48" i="1"/>
  <c r="E47" i="1"/>
  <c r="E46" i="1"/>
  <c r="G9" i="1"/>
  <c r="E96" i="28" l="1"/>
  <c r="L96" i="28" s="1"/>
  <c r="E97" i="28"/>
  <c r="L97" i="28" s="1"/>
  <c r="E98" i="28"/>
  <c r="L98" i="28" s="1"/>
  <c r="A97" i="28"/>
  <c r="B97" i="28"/>
  <c r="C97" i="28"/>
  <c r="E47" i="28"/>
  <c r="L47" i="28" s="1"/>
  <c r="A47" i="28"/>
  <c r="B47" i="28"/>
  <c r="C47" i="28"/>
  <c r="J299" i="28" l="1"/>
  <c r="J298" i="28"/>
  <c r="J301" i="28"/>
  <c r="J300" i="28" l="1"/>
  <c r="J302" i="28" s="1"/>
  <c r="A96" i="28"/>
  <c r="B96" i="28"/>
  <c r="C96" i="28"/>
  <c r="A98" i="28"/>
  <c r="B98" i="28"/>
  <c r="C98" i="28"/>
  <c r="E93" i="28"/>
  <c r="L93" i="28" s="1"/>
  <c r="E92" i="28"/>
  <c r="L92" i="28" s="1"/>
  <c r="A93" i="28"/>
  <c r="W93" i="28" s="1"/>
  <c r="B93" i="28"/>
  <c r="C93" i="28"/>
  <c r="C92" i="28"/>
  <c r="B92" i="28"/>
  <c r="A92" i="28"/>
  <c r="W92" i="28" s="1"/>
  <c r="E38" i="28"/>
  <c r="L38" i="28" s="1"/>
  <c r="E39" i="28"/>
  <c r="L39" i="28" s="1"/>
  <c r="E40" i="28"/>
  <c r="L40" i="28" s="1"/>
  <c r="E41" i="28"/>
  <c r="L41" i="28" s="1"/>
  <c r="E42" i="28"/>
  <c r="L42" i="28" s="1"/>
  <c r="E43" i="28"/>
  <c r="L43" i="28" s="1"/>
  <c r="E44" i="28"/>
  <c r="L44" i="28" s="1"/>
  <c r="E45" i="28"/>
  <c r="L45" i="28" s="1"/>
  <c r="E46" i="28"/>
  <c r="L46" i="28" s="1"/>
  <c r="E48" i="28"/>
  <c r="L48" i="28" s="1"/>
  <c r="E49" i="28"/>
  <c r="L49" i="28" s="1"/>
  <c r="E50" i="28"/>
  <c r="L50" i="28" s="1"/>
  <c r="E51" i="28"/>
  <c r="L51" i="28" s="1"/>
  <c r="A49" i="28"/>
  <c r="B49" i="28"/>
  <c r="C49" i="28"/>
  <c r="A50" i="28"/>
  <c r="B50" i="28"/>
  <c r="C50" i="28"/>
  <c r="A51" i="28"/>
  <c r="B51" i="28"/>
  <c r="C51" i="28"/>
  <c r="A38" i="28"/>
  <c r="B38" i="28"/>
  <c r="C38" i="28"/>
  <c r="A39" i="28"/>
  <c r="B39" i="28"/>
  <c r="C39" i="28"/>
  <c r="A40" i="28"/>
  <c r="B40" i="28"/>
  <c r="C40" i="28"/>
  <c r="A41" i="28"/>
  <c r="B41" i="28"/>
  <c r="C41" i="28"/>
  <c r="A42" i="28"/>
  <c r="B42" i="28"/>
  <c r="C42" i="28"/>
  <c r="A43" i="28"/>
  <c r="B43" i="28"/>
  <c r="C43" i="28"/>
  <c r="A44" i="28"/>
  <c r="B44" i="28"/>
  <c r="C44" i="28"/>
  <c r="A45" i="28"/>
  <c r="B45" i="28"/>
  <c r="C45" i="28"/>
  <c r="A46" i="28"/>
  <c r="B46" i="28"/>
  <c r="C46" i="28"/>
  <c r="A48" i="28"/>
  <c r="B48" i="28"/>
  <c r="C48" i="28"/>
  <c r="E113" i="28" l="1"/>
  <c r="L113" i="28" s="1"/>
  <c r="E114" i="28"/>
  <c r="L114" i="28" s="1"/>
  <c r="E104" i="28"/>
  <c r="L104" i="28" s="1"/>
  <c r="E105" i="28"/>
  <c r="L105" i="28" s="1"/>
  <c r="E106" i="28"/>
  <c r="L106" i="28" s="1"/>
  <c r="E107" i="28"/>
  <c r="L107" i="28" s="1"/>
  <c r="E108" i="28"/>
  <c r="L108" i="28" s="1"/>
  <c r="E109" i="28"/>
  <c r="L109" i="28" s="1"/>
  <c r="E99" i="28"/>
  <c r="L99" i="28" s="1"/>
  <c r="E100" i="28"/>
  <c r="L100" i="28" s="1"/>
  <c r="E101" i="28"/>
  <c r="L101" i="28" s="1"/>
  <c r="E102" i="28"/>
  <c r="L102" i="28" s="1"/>
  <c r="A113" i="28"/>
  <c r="B113" i="28"/>
  <c r="C113" i="28"/>
  <c r="A114" i="28"/>
  <c r="B114" i="28"/>
  <c r="C114" i="28"/>
  <c r="A109" i="28"/>
  <c r="B109" i="28"/>
  <c r="C109" i="28"/>
  <c r="A104" i="28"/>
  <c r="B104" i="28"/>
  <c r="C104" i="28"/>
  <c r="A105" i="28"/>
  <c r="B105" i="28"/>
  <c r="C105" i="28"/>
  <c r="A106" i="28"/>
  <c r="B106" i="28"/>
  <c r="C106" i="28"/>
  <c r="A107" i="28"/>
  <c r="B107" i="28"/>
  <c r="C107" i="28"/>
  <c r="A108" i="28"/>
  <c r="B108" i="28"/>
  <c r="C108" i="28"/>
  <c r="A99" i="28"/>
  <c r="B99" i="28"/>
  <c r="C99" i="28"/>
  <c r="A100" i="28"/>
  <c r="B100" i="28"/>
  <c r="C100" i="28"/>
  <c r="A101" i="28"/>
  <c r="B101" i="28"/>
  <c r="C101" i="28"/>
  <c r="A102" i="28"/>
  <c r="B102" i="28"/>
  <c r="C102" i="28"/>
  <c r="E85" i="28" l="1"/>
  <c r="L85" i="28" s="1"/>
  <c r="E86" i="28"/>
  <c r="L86" i="28" s="1"/>
  <c r="E87" i="28"/>
  <c r="L87" i="28" s="1"/>
  <c r="E88" i="28"/>
  <c r="L88" i="28" s="1"/>
  <c r="A85" i="28"/>
  <c r="W85" i="28" s="1"/>
  <c r="B85" i="28"/>
  <c r="C85" i="28"/>
  <c r="A86" i="28"/>
  <c r="W86" i="28" s="1"/>
  <c r="B86" i="28"/>
  <c r="C86" i="28"/>
  <c r="A87" i="28"/>
  <c r="W87" i="28" s="1"/>
  <c r="B87" i="28"/>
  <c r="C87" i="28"/>
  <c r="A88" i="28"/>
  <c r="W88" i="28" s="1"/>
  <c r="B88" i="28"/>
  <c r="C88" i="28"/>
  <c r="E296" i="1"/>
  <c r="E295" i="1"/>
  <c r="E294" i="1"/>
  <c r="E293" i="1"/>
  <c r="E292" i="1"/>
  <c r="E291" i="1"/>
  <c r="E290" i="1"/>
  <c r="E289" i="1"/>
  <c r="E286" i="1"/>
  <c r="E284" i="1"/>
  <c r="E282" i="1"/>
  <c r="E279" i="1"/>
  <c r="E278" i="1"/>
  <c r="E277" i="1"/>
  <c r="E274" i="1"/>
  <c r="E273" i="1"/>
  <c r="E272" i="1"/>
  <c r="E271" i="1"/>
  <c r="E270" i="1"/>
  <c r="E268" i="1"/>
  <c r="E267" i="1"/>
  <c r="E266" i="1"/>
  <c r="E265" i="1"/>
  <c r="E262" i="1"/>
  <c r="E260" i="1"/>
  <c r="E259" i="1"/>
  <c r="E258" i="1"/>
  <c r="E257" i="1"/>
  <c r="E255" i="1"/>
  <c r="E254" i="1"/>
  <c r="E253" i="1"/>
  <c r="E248" i="1"/>
  <c r="E247" i="1"/>
  <c r="E246" i="1"/>
  <c r="E245" i="1"/>
  <c r="E242" i="1"/>
  <c r="E241" i="1"/>
  <c r="E240" i="1"/>
  <c r="E239" i="1"/>
  <c r="E236" i="1"/>
  <c r="E235" i="1"/>
  <c r="E234" i="1"/>
  <c r="E233" i="1"/>
  <c r="E229" i="1"/>
  <c r="E228" i="1"/>
  <c r="E221" i="1"/>
  <c r="E220" i="1"/>
  <c r="E216" i="1"/>
  <c r="E214" i="1"/>
  <c r="E212" i="1"/>
  <c r="E210" i="1"/>
  <c r="E209" i="1"/>
  <c r="E208" i="1"/>
  <c r="E206" i="1"/>
  <c r="E205" i="1"/>
  <c r="E204" i="1"/>
  <c r="E199" i="1"/>
  <c r="E198" i="1"/>
  <c r="E197" i="1"/>
  <c r="E196" i="1"/>
  <c r="E195" i="1"/>
  <c r="E194" i="1"/>
  <c r="E193" i="1"/>
  <c r="E192" i="1"/>
  <c r="E191" i="1"/>
  <c r="E190" i="1"/>
  <c r="E189" i="1"/>
  <c r="E188" i="1"/>
  <c r="E187" i="1"/>
  <c r="E185" i="1"/>
  <c r="E184" i="1"/>
  <c r="E183" i="1"/>
  <c r="E182" i="1"/>
  <c r="E181" i="1"/>
  <c r="E179" i="1"/>
  <c r="E178" i="1"/>
  <c r="E177" i="1"/>
  <c r="E176" i="1"/>
  <c r="E175" i="1"/>
  <c r="E174" i="1"/>
  <c r="E173" i="1"/>
  <c r="E172" i="1"/>
  <c r="E171" i="1"/>
  <c r="E168" i="1"/>
  <c r="E167" i="1"/>
  <c r="E166" i="1"/>
  <c r="E165" i="1"/>
  <c r="E164" i="1"/>
  <c r="E163" i="1"/>
  <c r="E162" i="1"/>
  <c r="E161" i="1"/>
  <c r="E160" i="1"/>
  <c r="E159" i="1"/>
  <c r="E158" i="1"/>
  <c r="E157" i="1"/>
  <c r="E156" i="1"/>
  <c r="E155" i="1"/>
  <c r="E154" i="1"/>
  <c r="E153" i="1"/>
  <c r="E152" i="1"/>
  <c r="E151" i="1"/>
  <c r="E149" i="1"/>
  <c r="E148" i="1"/>
  <c r="E147" i="1"/>
  <c r="E146" i="1"/>
  <c r="E145" i="1"/>
  <c r="E144" i="1"/>
  <c r="E143" i="1"/>
  <c r="E142" i="1"/>
  <c r="E141" i="1"/>
  <c r="E140" i="1"/>
  <c r="E139" i="1"/>
  <c r="E138" i="1"/>
  <c r="E137" i="1"/>
  <c r="E136" i="1"/>
  <c r="E135" i="1"/>
  <c r="E134" i="1"/>
  <c r="E133" i="1"/>
  <c r="E132" i="1"/>
  <c r="E131" i="1"/>
  <c r="E101" i="1"/>
  <c r="E98" i="1"/>
  <c r="E89" i="1"/>
  <c r="E87" i="1"/>
  <c r="E86" i="1"/>
  <c r="E85" i="1"/>
  <c r="E84" i="1"/>
  <c r="E83" i="1"/>
  <c r="E82" i="1"/>
  <c r="E81" i="1"/>
  <c r="E80" i="1"/>
  <c r="E79" i="1"/>
  <c r="E78" i="1"/>
  <c r="E77" i="1"/>
  <c r="E73" i="1"/>
  <c r="E72" i="1"/>
  <c r="G89" i="1" s="1"/>
  <c r="E71" i="1"/>
  <c r="E70" i="1"/>
  <c r="E69" i="1"/>
  <c r="E68" i="1"/>
  <c r="E67" i="1"/>
  <c r="E66" i="1"/>
  <c r="E65" i="1"/>
  <c r="E64" i="1"/>
  <c r="E63" i="1"/>
  <c r="E62" i="1"/>
  <c r="E61" i="1"/>
  <c r="E60" i="1"/>
  <c r="E59" i="1"/>
  <c r="E42" i="1"/>
  <c r="E41" i="1"/>
  <c r="E39" i="1"/>
  <c r="E38" i="1"/>
  <c r="E37" i="1"/>
  <c r="E36" i="1"/>
  <c r="E35" i="1"/>
  <c r="E34" i="1"/>
  <c r="E33" i="1"/>
  <c r="E32" i="1"/>
  <c r="E31" i="1"/>
  <c r="E30" i="1"/>
  <c r="E29" i="1"/>
  <c r="E28" i="1"/>
  <c r="E26" i="1"/>
  <c r="E25" i="1"/>
  <c r="E23" i="1"/>
  <c r="E22" i="1"/>
  <c r="E21" i="1"/>
  <c r="E20" i="1"/>
  <c r="E19" i="1"/>
  <c r="E18" i="1"/>
  <c r="E17" i="1"/>
  <c r="E16" i="1"/>
  <c r="E15" i="1"/>
  <c r="E14" i="1"/>
  <c r="E13" i="1"/>
  <c r="E11" i="1"/>
  <c r="E10" i="1"/>
  <c r="E8" i="1"/>
  <c r="E7" i="1"/>
  <c r="E12" i="1" l="1"/>
  <c r="E9" i="1"/>
  <c r="H38" i="1"/>
  <c r="G38" i="1" s="1"/>
  <c r="A95" i="28"/>
  <c r="B95" i="28"/>
  <c r="C95" i="28"/>
  <c r="E95" i="28"/>
  <c r="L95" i="28" s="1"/>
  <c r="A103" i="28"/>
  <c r="B103" i="28"/>
  <c r="C103" i="28"/>
  <c r="E103" i="28"/>
  <c r="L103" i="28" s="1"/>
  <c r="A110" i="28"/>
  <c r="B110" i="28"/>
  <c r="C110" i="28"/>
  <c r="L110" i="28"/>
  <c r="A111" i="28"/>
  <c r="B111" i="28"/>
  <c r="C111" i="28"/>
  <c r="E111" i="28"/>
  <c r="L111" i="28" s="1"/>
  <c r="A112" i="28"/>
  <c r="B112" i="28"/>
  <c r="C112" i="28"/>
  <c r="E112" i="28"/>
  <c r="L112" i="28" s="1"/>
  <c r="E94" i="28"/>
  <c r="L94" i="28" s="1"/>
  <c r="C94" i="28"/>
  <c r="B94" i="28"/>
  <c r="A94" i="28"/>
  <c r="N26" i="80" l="1"/>
  <c r="D26" i="80" s="1"/>
  <c r="M23" i="73"/>
  <c r="D23" i="73" s="1"/>
  <c r="C281" i="28"/>
  <c r="F26" i="80" l="1"/>
  <c r="G87" i="53"/>
  <c r="L266" i="28" l="1"/>
  <c r="L267" i="28"/>
  <c r="N20" i="80" s="1"/>
  <c r="L268" i="28"/>
  <c r="N13" i="80" s="1"/>
  <c r="E244" i="28"/>
  <c r="L252" i="28"/>
  <c r="C252" i="28"/>
  <c r="A252" i="28"/>
  <c r="W252" i="28" s="1"/>
  <c r="G273" i="1" l="1"/>
  <c r="E290" i="28"/>
  <c r="E278" i="28" l="1"/>
  <c r="E281" i="28" l="1"/>
  <c r="E287" i="28"/>
  <c r="C290" i="28" l="1"/>
  <c r="L290" i="28"/>
  <c r="A290" i="28"/>
  <c r="E90" i="28"/>
  <c r="L90" i="28" s="1"/>
  <c r="C90" i="28"/>
  <c r="B90" i="28"/>
  <c r="A90" i="28"/>
  <c r="W90" i="28" s="1"/>
  <c r="E81" i="28"/>
  <c r="L81" i="28" s="1"/>
  <c r="E82" i="28"/>
  <c r="L82" i="28" s="1"/>
  <c r="E83" i="28"/>
  <c r="L83" i="28" s="1"/>
  <c r="E84" i="28"/>
  <c r="L84" i="28" s="1"/>
  <c r="B81" i="28"/>
  <c r="C81" i="28"/>
  <c r="B82" i="28"/>
  <c r="C82" i="28"/>
  <c r="B83" i="28"/>
  <c r="C83" i="28"/>
  <c r="B84" i="28"/>
  <c r="C84" i="28"/>
  <c r="A81" i="28"/>
  <c r="W81" i="28" s="1"/>
  <c r="A82" i="28"/>
  <c r="W82" i="28" s="1"/>
  <c r="A83" i="28"/>
  <c r="W83" i="28" s="1"/>
  <c r="A84" i="28"/>
  <c r="W84" i="28" s="1"/>
  <c r="G199" i="1" l="1"/>
  <c r="G183" i="1"/>
  <c r="G132" i="1"/>
  <c r="H74" i="53" l="1"/>
  <c r="H72" i="53"/>
  <c r="H70" i="53"/>
  <c r="H68" i="53"/>
  <c r="H66" i="53"/>
  <c r="H64" i="53"/>
  <c r="H62" i="53"/>
  <c r="H60" i="53"/>
  <c r="H55" i="53"/>
  <c r="H51" i="53"/>
  <c r="H49" i="53"/>
  <c r="H47" i="53"/>
  <c r="H45" i="53"/>
  <c r="H43" i="53"/>
  <c r="H41" i="53"/>
  <c r="H57" i="53"/>
  <c r="H78" i="53"/>
  <c r="H76" i="53"/>
  <c r="G180" i="1" l="1"/>
  <c r="D25" i="73"/>
  <c r="D17" i="73"/>
  <c r="C17" i="73"/>
  <c r="B17" i="73"/>
  <c r="B11" i="73"/>
  <c r="C11" i="73"/>
  <c r="D11" i="73"/>
  <c r="E243" i="28" l="1"/>
  <c r="L243" i="28" s="1"/>
  <c r="B20" i="71" s="1"/>
  <c r="C243" i="28"/>
  <c r="A243" i="28"/>
  <c r="B2" i="71"/>
  <c r="W243" i="28" l="1"/>
  <c r="L253" i="28"/>
  <c r="D43" i="80" s="1"/>
  <c r="C253" i="28"/>
  <c r="A253" i="28"/>
  <c r="F43" i="80" l="1"/>
  <c r="D40" i="73"/>
  <c r="F40" i="73" s="1"/>
  <c r="W253" i="28"/>
  <c r="G222" i="1"/>
  <c r="C258" i="28"/>
  <c r="C257" i="28"/>
  <c r="C256" i="28"/>
  <c r="C255" i="28"/>
  <c r="C260" i="28"/>
  <c r="C259" i="28"/>
  <c r="C254" i="28"/>
  <c r="C251" i="28"/>
  <c r="C250" i="28"/>
  <c r="C249" i="28"/>
  <c r="C248" i="28"/>
  <c r="L244" i="28" l="1"/>
  <c r="H244" i="28"/>
  <c r="A244" i="28"/>
  <c r="C244" i="28"/>
  <c r="H229" i="28"/>
  <c r="A229" i="28"/>
  <c r="B229" i="28"/>
  <c r="C229" i="28"/>
  <c r="E229" i="28"/>
  <c r="L229" i="28" s="1"/>
  <c r="F19" i="71" s="1"/>
  <c r="H191" i="28"/>
  <c r="H192" i="28"/>
  <c r="H193" i="28"/>
  <c r="E191" i="28"/>
  <c r="L191" i="28" s="1"/>
  <c r="E192" i="28"/>
  <c r="L192" i="28" s="1"/>
  <c r="E193" i="28"/>
  <c r="L193" i="28" s="1"/>
  <c r="B191" i="28"/>
  <c r="C191" i="28"/>
  <c r="B192" i="28"/>
  <c r="C192" i="28"/>
  <c r="B193" i="28"/>
  <c r="C193" i="28"/>
  <c r="A191" i="28"/>
  <c r="A192" i="28"/>
  <c r="A193" i="28"/>
  <c r="H160" i="28"/>
  <c r="E161" i="28"/>
  <c r="L161" i="28" s="1"/>
  <c r="A161" i="28"/>
  <c r="B161" i="28"/>
  <c r="C161" i="28"/>
  <c r="E68" i="28"/>
  <c r="L68" i="28" s="1"/>
  <c r="E67" i="28"/>
  <c r="L67" i="28" s="1"/>
  <c r="C68" i="28"/>
  <c r="C67" i="28"/>
  <c r="B68" i="28"/>
  <c r="B67" i="28"/>
  <c r="A68" i="28"/>
  <c r="A67" i="28"/>
  <c r="L247" i="28"/>
  <c r="L246" i="28"/>
  <c r="E254" i="28"/>
  <c r="C247" i="28"/>
  <c r="C246" i="28"/>
  <c r="A258" i="28"/>
  <c r="A257" i="28"/>
  <c r="A256" i="28"/>
  <c r="A255" i="28"/>
  <c r="A260" i="28"/>
  <c r="A259" i="28"/>
  <c r="A254" i="28"/>
  <c r="A251" i="28"/>
  <c r="A250" i="28"/>
  <c r="A249" i="28"/>
  <c r="A248" i="28"/>
  <c r="A247" i="28"/>
  <c r="A246" i="28"/>
  <c r="D28" i="73" l="1"/>
  <c r="F28" i="73" s="1"/>
  <c r="K44" i="73"/>
  <c r="L47" i="80"/>
  <c r="D33" i="80"/>
  <c r="F33" i="80" s="1"/>
  <c r="D30" i="73"/>
  <c r="F30" i="73" s="1"/>
  <c r="D45" i="80"/>
  <c r="F45" i="80" s="1"/>
  <c r="D42" i="73"/>
  <c r="F42" i="73" s="1"/>
  <c r="D31" i="80"/>
  <c r="F31" i="80" s="1"/>
  <c r="W246" i="28"/>
  <c r="W260" i="28"/>
  <c r="W192" i="28"/>
  <c r="W247" i="28"/>
  <c r="W255" i="28"/>
  <c r="W191" i="28"/>
  <c r="W248" i="28"/>
  <c r="W249" i="28"/>
  <c r="W257" i="28"/>
  <c r="W254" i="28"/>
  <c r="W250" i="28"/>
  <c r="W258" i="28"/>
  <c r="W161" i="28"/>
  <c r="W244" i="28"/>
  <c r="W259" i="28"/>
  <c r="W193" i="28"/>
  <c r="W256" i="28"/>
  <c r="W251" i="28"/>
  <c r="L254" i="28"/>
  <c r="L259" i="28"/>
  <c r="L258" i="28"/>
  <c r="L260" i="28"/>
  <c r="L248" i="28"/>
  <c r="L249" i="28"/>
  <c r="L250" i="28"/>
  <c r="L256" i="28"/>
  <c r="L251" i="28"/>
  <c r="L257" i="28"/>
  <c r="L44" i="73" l="1"/>
  <c r="M47" i="80"/>
  <c r="M44" i="73"/>
  <c r="N47" i="80"/>
  <c r="D48" i="73"/>
  <c r="F48" i="73" s="1"/>
  <c r="D51" i="80"/>
  <c r="F51" i="80" s="1"/>
  <c r="D29" i="80"/>
  <c r="F29" i="80" s="1"/>
  <c r="D26" i="73"/>
  <c r="F26" i="73" s="1"/>
  <c r="F35" i="80"/>
  <c r="D32" i="73"/>
  <c r="F32" i="73" s="1"/>
  <c r="D41" i="80"/>
  <c r="F41" i="80" s="1"/>
  <c r="D38" i="73"/>
  <c r="F38" i="73" s="1"/>
  <c r="D44" i="73"/>
  <c r="D47" i="80" l="1"/>
  <c r="B2" i="73"/>
  <c r="C9" i="73" s="1"/>
  <c r="C8" i="73" l="1"/>
  <c r="C6" i="73"/>
  <c r="L14" i="73"/>
  <c r="L13" i="73"/>
  <c r="L20" i="73"/>
  <c r="L19" i="73"/>
  <c r="L18" i="73"/>
  <c r="L12" i="73"/>
  <c r="H28" i="53"/>
  <c r="E27" i="53"/>
  <c r="G11" i="53" l="1"/>
  <c r="G88" i="53" s="1"/>
  <c r="E96" i="53"/>
  <c r="G89" i="53" l="1"/>
  <c r="E286" i="28" l="1"/>
  <c r="L286" i="28" s="1"/>
  <c r="Q286" i="28" s="1"/>
  <c r="L287" i="28"/>
  <c r="Q287" i="28" s="1"/>
  <c r="E288" i="28"/>
  <c r="L288" i="28" s="1"/>
  <c r="Q288" i="28" s="1"/>
  <c r="E289" i="28"/>
  <c r="L289" i="28" s="1"/>
  <c r="Q289" i="28" s="1"/>
  <c r="E285" i="28"/>
  <c r="L285" i="28" s="1"/>
  <c r="Q285" i="28" s="1"/>
  <c r="A286" i="28"/>
  <c r="A287" i="28"/>
  <c r="A288" i="28"/>
  <c r="A289" i="28"/>
  <c r="A285" i="28"/>
  <c r="G310" i="1"/>
  <c r="F283" i="28" s="1"/>
  <c r="G311" i="1"/>
  <c r="F284" i="28" s="1"/>
  <c r="F281" i="28"/>
  <c r="G309" i="1"/>
  <c r="F282" i="28" s="1"/>
  <c r="G305" i="1"/>
  <c r="F278" i="28" s="1"/>
  <c r="G306" i="1"/>
  <c r="F279" i="28" s="1"/>
  <c r="G307" i="1"/>
  <c r="F280" i="28" s="1"/>
  <c r="G304" i="1"/>
  <c r="F277" i="28" s="1"/>
  <c r="C286" i="28" l="1"/>
  <c r="C287" i="28"/>
  <c r="C288" i="28"/>
  <c r="C289" i="28"/>
  <c r="C285" i="28"/>
  <c r="G263" i="1" l="1"/>
  <c r="G157" i="1"/>
  <c r="G19" i="1"/>
  <c r="F289" i="28"/>
  <c r="F288" i="28"/>
  <c r="F287" i="28"/>
  <c r="F286" i="28"/>
  <c r="F285" i="28"/>
  <c r="G147" i="1" l="1"/>
  <c r="G166" i="1" l="1"/>
  <c r="G165" i="1"/>
  <c r="G164" i="1"/>
  <c r="G163" i="1"/>
  <c r="G162" i="1"/>
  <c r="G161" i="1"/>
  <c r="G155" i="1"/>
  <c r="G146" i="1"/>
  <c r="G145" i="1"/>
  <c r="G144" i="1"/>
  <c r="G143" i="1"/>
  <c r="G142" i="1"/>
  <c r="G141" i="1"/>
  <c r="Y276" i="28" l="1"/>
  <c r="D3" i="1" l="1"/>
  <c r="B5" i="80" l="1"/>
  <c r="L4" i="28"/>
  <c r="L16" i="80"/>
  <c r="M13" i="80"/>
  <c r="M20" i="80"/>
  <c r="L24" i="80"/>
  <c r="L20" i="80"/>
  <c r="L14" i="80"/>
  <c r="D39" i="80"/>
  <c r="L23" i="80"/>
  <c r="L13" i="80"/>
  <c r="L17" i="80"/>
  <c r="L21" i="80"/>
  <c r="B3" i="71"/>
  <c r="B13" i="71"/>
  <c r="B3" i="73"/>
  <c r="Y266" i="28"/>
  <c r="B9" i="73" l="1"/>
  <c r="K36" i="73"/>
  <c r="D36" i="73"/>
  <c r="F36" i="73" s="1"/>
  <c r="H39" i="80"/>
  <c r="F39" i="80"/>
  <c r="B24" i="80"/>
  <c r="B23" i="80"/>
  <c r="C23" i="80"/>
  <c r="C24" i="80"/>
  <c r="C16" i="80"/>
  <c r="C17" i="80"/>
  <c r="B16" i="80"/>
  <c r="B17" i="80"/>
  <c r="L11" i="73"/>
  <c r="L17" i="73"/>
  <c r="B8" i="73"/>
  <c r="B6" i="73"/>
  <c r="K18" i="73"/>
  <c r="K17" i="73"/>
  <c r="K14" i="73"/>
  <c r="K20" i="73"/>
  <c r="K12" i="73"/>
  <c r="K11" i="73"/>
  <c r="K19" i="73"/>
  <c r="K13" i="73"/>
  <c r="M17" i="73"/>
  <c r="M11" i="73"/>
  <c r="Y268" i="28"/>
  <c r="Y267" i="28"/>
  <c r="B18" i="73" l="1"/>
  <c r="B20" i="73"/>
  <c r="B19" i="73"/>
  <c r="B12" i="73"/>
  <c r="B14" i="73"/>
  <c r="B13" i="73"/>
  <c r="C20" i="73"/>
  <c r="C19" i="73"/>
  <c r="C18" i="73"/>
  <c r="C12" i="73"/>
  <c r="C14" i="73"/>
  <c r="C13" i="73"/>
  <c r="N236" i="28" l="1"/>
  <c r="X276" i="28"/>
  <c r="W124" i="28"/>
  <c r="W125" i="28"/>
  <c r="W126" i="28"/>
  <c r="W127" i="28"/>
  <c r="W128" i="28"/>
  <c r="W129" i="28"/>
  <c r="W221" i="28"/>
  <c r="W266" i="28"/>
  <c r="W267" i="28"/>
  <c r="W268" i="28"/>
  <c r="W276" i="28"/>
  <c r="W291" i="28"/>
  <c r="W4" i="28"/>
  <c r="E232" i="28"/>
  <c r="L232" i="28" s="1"/>
  <c r="H4" i="30" l="1"/>
  <c r="F4" i="30"/>
  <c r="B4" i="30"/>
  <c r="F295" i="28"/>
  <c r="E295" i="28"/>
  <c r="C295" i="28"/>
  <c r="B295" i="28"/>
  <c r="A295" i="28"/>
  <c r="E284" i="28"/>
  <c r="C284" i="28"/>
  <c r="A284" i="28"/>
  <c r="E283" i="28"/>
  <c r="C283" i="28"/>
  <c r="A283" i="28"/>
  <c r="E282" i="28"/>
  <c r="C282" i="28"/>
  <c r="A282" i="28"/>
  <c r="A281" i="28"/>
  <c r="E280" i="28"/>
  <c r="C280" i="28"/>
  <c r="A280" i="28"/>
  <c r="E279" i="28"/>
  <c r="C279" i="28"/>
  <c r="A279" i="28"/>
  <c r="C278" i="28"/>
  <c r="A278" i="28"/>
  <c r="E277" i="28"/>
  <c r="L277" i="28" s="1"/>
  <c r="Q277" i="28" s="1"/>
  <c r="C277" i="28"/>
  <c r="A277" i="28"/>
  <c r="H245" i="28"/>
  <c r="E245" i="28"/>
  <c r="L245" i="28" s="1"/>
  <c r="C245" i="28"/>
  <c r="A245" i="28"/>
  <c r="E242" i="28"/>
  <c r="L242" i="28" s="1"/>
  <c r="C242" i="28"/>
  <c r="A242" i="28"/>
  <c r="H241" i="28"/>
  <c r="E241" i="28"/>
  <c r="L241" i="28" s="1"/>
  <c r="C241" i="28"/>
  <c r="B241" i="28"/>
  <c r="A241" i="28"/>
  <c r="H240" i="28"/>
  <c r="E240" i="28"/>
  <c r="L240" i="28" s="1"/>
  <c r="C240" i="28"/>
  <c r="B240" i="28"/>
  <c r="A240" i="28"/>
  <c r="E239" i="28"/>
  <c r="L239" i="28" s="1"/>
  <c r="C239" i="28"/>
  <c r="B239" i="28"/>
  <c r="A239" i="28"/>
  <c r="E238" i="28"/>
  <c r="L238" i="28" s="1"/>
  <c r="C238" i="28"/>
  <c r="B238" i="28"/>
  <c r="A238" i="28"/>
  <c r="E237" i="28"/>
  <c r="L237" i="28" s="1"/>
  <c r="C237" i="28"/>
  <c r="B237" i="28"/>
  <c r="A237" i="28"/>
  <c r="E236" i="28"/>
  <c r="L236" i="28" s="1"/>
  <c r="C236" i="28"/>
  <c r="B236" i="28"/>
  <c r="A236" i="28"/>
  <c r="E235" i="28"/>
  <c r="L235" i="28" s="1"/>
  <c r="C235" i="28"/>
  <c r="B235" i="28"/>
  <c r="A235" i="28"/>
  <c r="E234" i="28"/>
  <c r="L234" i="28" s="1"/>
  <c r="C234" i="28"/>
  <c r="B234" i="28"/>
  <c r="A234" i="28"/>
  <c r="E233" i="28"/>
  <c r="L233" i="28" s="1"/>
  <c r="C233" i="28"/>
  <c r="B233" i="28"/>
  <c r="A233" i="28"/>
  <c r="H232" i="28"/>
  <c r="C232" i="28"/>
  <c r="B232" i="28"/>
  <c r="A232" i="28"/>
  <c r="H231" i="28"/>
  <c r="E231" i="28"/>
  <c r="C231" i="28"/>
  <c r="B231" i="28"/>
  <c r="A231" i="28"/>
  <c r="H230" i="28"/>
  <c r="E230" i="28"/>
  <c r="L230" i="28" s="1"/>
  <c r="C230" i="28"/>
  <c r="B230" i="28"/>
  <c r="A230" i="28"/>
  <c r="H228" i="28"/>
  <c r="E228" i="28"/>
  <c r="L228" i="28" s="1"/>
  <c r="C228" i="28"/>
  <c r="B228" i="28"/>
  <c r="A228" i="28"/>
  <c r="H227" i="28"/>
  <c r="E227" i="28"/>
  <c r="L227" i="28" s="1"/>
  <c r="C227" i="28"/>
  <c r="B227" i="28"/>
  <c r="A227" i="28"/>
  <c r="H226" i="28"/>
  <c r="E226" i="28"/>
  <c r="L226" i="28" s="1"/>
  <c r="C226" i="28"/>
  <c r="B226" i="28"/>
  <c r="A226" i="28"/>
  <c r="E225" i="28"/>
  <c r="L225" i="28" s="1"/>
  <c r="C225" i="28"/>
  <c r="B225" i="28"/>
  <c r="A225" i="28"/>
  <c r="H224" i="28"/>
  <c r="E224" i="28"/>
  <c r="L224" i="28" s="1"/>
  <c r="C224" i="28"/>
  <c r="B224" i="28"/>
  <c r="A224" i="28"/>
  <c r="H223" i="28"/>
  <c r="E223" i="28"/>
  <c r="L223" i="28" s="1"/>
  <c r="C223" i="28"/>
  <c r="B223" i="28"/>
  <c r="A223" i="28"/>
  <c r="H222" i="28"/>
  <c r="E222" i="28"/>
  <c r="L222" i="28" s="1"/>
  <c r="C222" i="28"/>
  <c r="B222" i="28"/>
  <c r="A222" i="28"/>
  <c r="E221" i="28"/>
  <c r="L221" i="28" s="1"/>
  <c r="C221" i="28"/>
  <c r="E220" i="28"/>
  <c r="L220" i="28" s="1"/>
  <c r="C220" i="28"/>
  <c r="B220" i="28"/>
  <c r="A220" i="28"/>
  <c r="H219" i="28"/>
  <c r="E219" i="28"/>
  <c r="L219" i="28" s="1"/>
  <c r="C219" i="28"/>
  <c r="B219" i="28"/>
  <c r="A219" i="28"/>
  <c r="H218" i="28"/>
  <c r="E218" i="28"/>
  <c r="L218" i="28" s="1"/>
  <c r="C218" i="28"/>
  <c r="B218" i="28"/>
  <c r="A218" i="28"/>
  <c r="H217" i="28"/>
  <c r="E217" i="28"/>
  <c r="L217" i="28" s="1"/>
  <c r="C217" i="28"/>
  <c r="B217" i="28"/>
  <c r="A217" i="28"/>
  <c r="E216" i="28"/>
  <c r="L216" i="28" s="1"/>
  <c r="C216" i="28"/>
  <c r="B216" i="28"/>
  <c r="A216" i="28"/>
  <c r="E215" i="28"/>
  <c r="L215" i="28" s="1"/>
  <c r="C215" i="28"/>
  <c r="B215" i="28"/>
  <c r="A215" i="28"/>
  <c r="H214" i="28"/>
  <c r="E214" i="28"/>
  <c r="L214" i="28" s="1"/>
  <c r="C214" i="28"/>
  <c r="B214" i="28"/>
  <c r="A214" i="28"/>
  <c r="H213" i="28"/>
  <c r="E213" i="28"/>
  <c r="L213" i="28" s="1"/>
  <c r="C213" i="28"/>
  <c r="B213" i="28"/>
  <c r="A213" i="28"/>
  <c r="H212" i="28"/>
  <c r="E212" i="28"/>
  <c r="L212" i="28" s="1"/>
  <c r="C212" i="28"/>
  <c r="B212" i="28"/>
  <c r="A212" i="28"/>
  <c r="H211" i="28"/>
  <c r="E211" i="28"/>
  <c r="L211" i="28" s="1"/>
  <c r="C211" i="28"/>
  <c r="B211" i="28"/>
  <c r="A211" i="28"/>
  <c r="H210" i="28"/>
  <c r="E210" i="28"/>
  <c r="L210" i="28" s="1"/>
  <c r="C210" i="28"/>
  <c r="B210" i="28"/>
  <c r="A210" i="28"/>
  <c r="H209" i="28"/>
  <c r="E209" i="28"/>
  <c r="L209" i="28" s="1"/>
  <c r="C209" i="28"/>
  <c r="B209" i="28"/>
  <c r="A209" i="28"/>
  <c r="H208" i="28"/>
  <c r="E208" i="28"/>
  <c r="L208" i="28" s="1"/>
  <c r="C208" i="28"/>
  <c r="B208" i="28"/>
  <c r="A208" i="28"/>
  <c r="H207" i="28"/>
  <c r="E207" i="28"/>
  <c r="L207" i="28" s="1"/>
  <c r="C207" i="28"/>
  <c r="B207" i="28"/>
  <c r="A207" i="28"/>
  <c r="H206" i="28"/>
  <c r="E206" i="28"/>
  <c r="L206" i="28" s="1"/>
  <c r="C206" i="28"/>
  <c r="B206" i="28"/>
  <c r="A206" i="28"/>
  <c r="H205" i="28"/>
  <c r="E205" i="28"/>
  <c r="L205" i="28" s="1"/>
  <c r="C205" i="28"/>
  <c r="B205" i="28"/>
  <c r="A205" i="28"/>
  <c r="H204" i="28"/>
  <c r="E204" i="28"/>
  <c r="L204" i="28" s="1"/>
  <c r="C204" i="28"/>
  <c r="B204" i="28"/>
  <c r="A204" i="28"/>
  <c r="H203" i="28"/>
  <c r="E203" i="28"/>
  <c r="L203" i="28" s="1"/>
  <c r="C203" i="28"/>
  <c r="B203" i="28"/>
  <c r="A203" i="28"/>
  <c r="H202" i="28"/>
  <c r="E202" i="28"/>
  <c r="L202" i="28" s="1"/>
  <c r="C202" i="28"/>
  <c r="B202" i="28"/>
  <c r="A202" i="28"/>
  <c r="H201" i="28"/>
  <c r="E201" i="28"/>
  <c r="L201" i="28" s="1"/>
  <c r="C201" i="28"/>
  <c r="B201" i="28"/>
  <c r="A201" i="28"/>
  <c r="H200" i="28"/>
  <c r="E200" i="28"/>
  <c r="L200" i="28" s="1"/>
  <c r="C200" i="28"/>
  <c r="B200" i="28"/>
  <c r="A200" i="28"/>
  <c r="H199" i="28"/>
  <c r="E199" i="28"/>
  <c r="L199" i="28" s="1"/>
  <c r="C199" i="28"/>
  <c r="B199" i="28"/>
  <c r="A199" i="28"/>
  <c r="H198" i="28"/>
  <c r="E198" i="28"/>
  <c r="L198" i="28" s="1"/>
  <c r="C198" i="28"/>
  <c r="B198" i="28"/>
  <c r="A198" i="28"/>
  <c r="H197" i="28"/>
  <c r="E197" i="28"/>
  <c r="L197" i="28" s="1"/>
  <c r="C197" i="28"/>
  <c r="B197" i="28"/>
  <c r="A197" i="28"/>
  <c r="H196" i="28"/>
  <c r="E196" i="28"/>
  <c r="L196" i="28" s="1"/>
  <c r="C196" i="28"/>
  <c r="B196" i="28"/>
  <c r="A196" i="28"/>
  <c r="H195" i="28"/>
  <c r="C195" i="28"/>
  <c r="B195" i="28"/>
  <c r="A195" i="28"/>
  <c r="H194" i="28"/>
  <c r="C194" i="28"/>
  <c r="B194" i="28"/>
  <c r="A194" i="28"/>
  <c r="H190" i="28"/>
  <c r="E190" i="28"/>
  <c r="L190" i="28" s="1"/>
  <c r="C190" i="28"/>
  <c r="B190" i="28"/>
  <c r="A190" i="28"/>
  <c r="H189" i="28"/>
  <c r="E189" i="28"/>
  <c r="L189" i="28" s="1"/>
  <c r="C189" i="28"/>
  <c r="B189" i="28"/>
  <c r="A189" i="28"/>
  <c r="H188" i="28"/>
  <c r="E188" i="28"/>
  <c r="L188" i="28" s="1"/>
  <c r="C188" i="28"/>
  <c r="B188" i="28"/>
  <c r="A188" i="28"/>
  <c r="E187" i="28"/>
  <c r="L187" i="28" s="1"/>
  <c r="C187" i="28"/>
  <c r="B187" i="28"/>
  <c r="A187" i="28"/>
  <c r="H186" i="28"/>
  <c r="E186" i="28"/>
  <c r="L186" i="28" s="1"/>
  <c r="C186" i="28"/>
  <c r="B186" i="28"/>
  <c r="A186" i="28"/>
  <c r="H185" i="28"/>
  <c r="E185" i="28"/>
  <c r="L185" i="28" s="1"/>
  <c r="C185" i="28"/>
  <c r="B185" i="28"/>
  <c r="A185" i="28"/>
  <c r="H184" i="28"/>
  <c r="E184" i="28"/>
  <c r="L184" i="28" s="1"/>
  <c r="C184" i="28"/>
  <c r="B184" i="28"/>
  <c r="A184" i="28"/>
  <c r="H183" i="28"/>
  <c r="E183" i="28"/>
  <c r="L183" i="28" s="1"/>
  <c r="C183" i="28"/>
  <c r="B183" i="28"/>
  <c r="A183" i="28"/>
  <c r="H182" i="28"/>
  <c r="E182" i="28"/>
  <c r="L182" i="28" s="1"/>
  <c r="C182" i="28"/>
  <c r="B182" i="28"/>
  <c r="A182" i="28"/>
  <c r="H181" i="28"/>
  <c r="E181" i="28"/>
  <c r="L181" i="28" s="1"/>
  <c r="C181" i="28"/>
  <c r="B181" i="28"/>
  <c r="A181" i="28"/>
  <c r="H180" i="28"/>
  <c r="E180" i="28"/>
  <c r="L180" i="28" s="1"/>
  <c r="C180" i="28"/>
  <c r="B180" i="28"/>
  <c r="A180" i="28"/>
  <c r="H179" i="28"/>
  <c r="E179" i="28"/>
  <c r="L179" i="28" s="1"/>
  <c r="C179" i="28"/>
  <c r="B179" i="28"/>
  <c r="A179" i="28"/>
  <c r="H178" i="28"/>
  <c r="E178" i="28"/>
  <c r="L178" i="28" s="1"/>
  <c r="C178" i="28"/>
  <c r="B178" i="28"/>
  <c r="A178" i="28"/>
  <c r="H177" i="28"/>
  <c r="E177" i="28"/>
  <c r="L177" i="28" s="1"/>
  <c r="F14" i="71" s="1"/>
  <c r="C177" i="28"/>
  <c r="B177" i="28"/>
  <c r="A177" i="28"/>
  <c r="H176" i="28"/>
  <c r="E176" i="28"/>
  <c r="L176" i="28" s="1"/>
  <c r="C176" i="28"/>
  <c r="B176" i="28"/>
  <c r="A176" i="28"/>
  <c r="H175" i="28"/>
  <c r="E175" i="28"/>
  <c r="L175" i="28" s="1"/>
  <c r="C175" i="28"/>
  <c r="B175" i="28"/>
  <c r="A175" i="28"/>
  <c r="H174" i="28"/>
  <c r="E174" i="28"/>
  <c r="L174" i="28" s="1"/>
  <c r="C174" i="28"/>
  <c r="B174" i="28"/>
  <c r="A174" i="28"/>
  <c r="H173" i="28"/>
  <c r="E173" i="28"/>
  <c r="L173" i="28" s="1"/>
  <c r="C173" i="28"/>
  <c r="B173" i="28"/>
  <c r="A173" i="28"/>
  <c r="H172" i="28"/>
  <c r="E172" i="28"/>
  <c r="L172" i="28" s="1"/>
  <c r="C172" i="28"/>
  <c r="B172" i="28"/>
  <c r="A172" i="28"/>
  <c r="H171" i="28"/>
  <c r="E171" i="28"/>
  <c r="L171" i="28" s="1"/>
  <c r="C171" i="28"/>
  <c r="B171" i="28"/>
  <c r="A171" i="28"/>
  <c r="H170" i="28"/>
  <c r="E170" i="28"/>
  <c r="L170" i="28" s="1"/>
  <c r="C170" i="28"/>
  <c r="B170" i="28"/>
  <c r="A170" i="28"/>
  <c r="H169" i="28"/>
  <c r="E169" i="28"/>
  <c r="L169" i="28" s="1"/>
  <c r="C169" i="28"/>
  <c r="B169" i="28"/>
  <c r="A169" i="28"/>
  <c r="H168" i="28"/>
  <c r="E168" i="28"/>
  <c r="L168" i="28" s="1"/>
  <c r="C168" i="28"/>
  <c r="B168" i="28"/>
  <c r="A168" i="28"/>
  <c r="H167" i="28"/>
  <c r="E167" i="28"/>
  <c r="L167" i="28" s="1"/>
  <c r="C167" i="28"/>
  <c r="B167" i="28"/>
  <c r="A167" i="28"/>
  <c r="H166" i="28"/>
  <c r="E166" i="28"/>
  <c r="L166" i="28" s="1"/>
  <c r="C166" i="28"/>
  <c r="B166" i="28"/>
  <c r="A166" i="28"/>
  <c r="H165" i="28"/>
  <c r="E165" i="28"/>
  <c r="L165" i="28" s="1"/>
  <c r="C165" i="28"/>
  <c r="B165" i="28"/>
  <c r="A165" i="28"/>
  <c r="H164" i="28"/>
  <c r="E164" i="28"/>
  <c r="L164" i="28" s="1"/>
  <c r="C164" i="28"/>
  <c r="B164" i="28"/>
  <c r="A164" i="28"/>
  <c r="H163" i="28"/>
  <c r="E163" i="28"/>
  <c r="L163" i="28" s="1"/>
  <c r="C163" i="28"/>
  <c r="B163" i="28"/>
  <c r="A163" i="28"/>
  <c r="H162" i="28"/>
  <c r="E162" i="28"/>
  <c r="L162" i="28" s="1"/>
  <c r="C162" i="28"/>
  <c r="B162" i="28"/>
  <c r="A162" i="28"/>
  <c r="E160" i="28"/>
  <c r="L160" i="28" s="1"/>
  <c r="C160" i="28"/>
  <c r="B160" i="28"/>
  <c r="A160" i="28"/>
  <c r="H159" i="28"/>
  <c r="E159" i="28"/>
  <c r="L159" i="28" s="1"/>
  <c r="C159" i="28"/>
  <c r="B159" i="28"/>
  <c r="A159" i="28"/>
  <c r="H158" i="28"/>
  <c r="E158" i="28"/>
  <c r="L158" i="28" s="1"/>
  <c r="C158" i="28"/>
  <c r="B158" i="28"/>
  <c r="A158" i="28"/>
  <c r="H157" i="28"/>
  <c r="E157" i="28"/>
  <c r="L157" i="28" s="1"/>
  <c r="C157" i="28"/>
  <c r="B157" i="28"/>
  <c r="A157" i="28"/>
  <c r="H156" i="28"/>
  <c r="E156" i="28"/>
  <c r="L156" i="28" s="1"/>
  <c r="C156" i="28"/>
  <c r="B156" i="28"/>
  <c r="A156" i="28"/>
  <c r="H155" i="28"/>
  <c r="E155" i="28"/>
  <c r="L155" i="28" s="1"/>
  <c r="C155" i="28"/>
  <c r="B155" i="28"/>
  <c r="A155" i="28"/>
  <c r="H154" i="28"/>
  <c r="E154" i="28"/>
  <c r="L154" i="28" s="1"/>
  <c r="C154" i="28"/>
  <c r="B154" i="28"/>
  <c r="A154" i="28"/>
  <c r="H153" i="28"/>
  <c r="E153" i="28"/>
  <c r="L153" i="28" s="1"/>
  <c r="C153" i="28"/>
  <c r="B153" i="28"/>
  <c r="A153" i="28"/>
  <c r="H152" i="28"/>
  <c r="E152" i="28"/>
  <c r="L152" i="28" s="1"/>
  <c r="C152" i="28"/>
  <c r="B152" i="28"/>
  <c r="A152" i="28"/>
  <c r="H151" i="28"/>
  <c r="E151" i="28"/>
  <c r="L151" i="28" s="1"/>
  <c r="C151" i="28"/>
  <c r="B151" i="28"/>
  <c r="A151" i="28"/>
  <c r="H150" i="28"/>
  <c r="E150" i="28"/>
  <c r="L150" i="28" s="1"/>
  <c r="C150" i="28"/>
  <c r="B150" i="28"/>
  <c r="A150" i="28"/>
  <c r="H149" i="28"/>
  <c r="E149" i="28"/>
  <c r="L149" i="28" s="1"/>
  <c r="C149" i="28"/>
  <c r="B149" i="28"/>
  <c r="A149" i="28"/>
  <c r="H148" i="28"/>
  <c r="E148" i="28"/>
  <c r="L148" i="28" s="1"/>
  <c r="C148" i="28"/>
  <c r="B148" i="28"/>
  <c r="A148" i="28"/>
  <c r="H147" i="28"/>
  <c r="E147" i="28"/>
  <c r="L147" i="28" s="1"/>
  <c r="C147" i="28"/>
  <c r="B147" i="28"/>
  <c r="A147" i="28"/>
  <c r="H146" i="28"/>
  <c r="E146" i="28"/>
  <c r="L146" i="28" s="1"/>
  <c r="C146" i="28"/>
  <c r="B146" i="28"/>
  <c r="A146" i="28"/>
  <c r="H145" i="28"/>
  <c r="E145" i="28"/>
  <c r="L145" i="28" s="1"/>
  <c r="C145" i="28"/>
  <c r="B145" i="28"/>
  <c r="A145" i="28"/>
  <c r="H144" i="28"/>
  <c r="E144" i="28"/>
  <c r="L144" i="28" s="1"/>
  <c r="C144" i="28"/>
  <c r="B144" i="28"/>
  <c r="A144" i="28"/>
  <c r="H143" i="28"/>
  <c r="C143" i="28"/>
  <c r="B143" i="28"/>
  <c r="A143" i="28"/>
  <c r="H142" i="28"/>
  <c r="E142" i="28"/>
  <c r="L142" i="28" s="1"/>
  <c r="C142" i="28"/>
  <c r="B142" i="28"/>
  <c r="A142" i="28"/>
  <c r="H141" i="28"/>
  <c r="E141" i="28"/>
  <c r="L141" i="28" s="1"/>
  <c r="C141" i="28"/>
  <c r="B141" i="28"/>
  <c r="A141" i="28"/>
  <c r="H140" i="28"/>
  <c r="E140" i="28"/>
  <c r="L140" i="28" s="1"/>
  <c r="C140" i="28"/>
  <c r="B140" i="28"/>
  <c r="A140" i="28"/>
  <c r="E139" i="28"/>
  <c r="L139" i="28" s="1"/>
  <c r="C139" i="28"/>
  <c r="B139" i="28"/>
  <c r="A139" i="28"/>
  <c r="H138" i="28"/>
  <c r="E138" i="28"/>
  <c r="L138" i="28" s="1"/>
  <c r="C138" i="28"/>
  <c r="B138" i="28"/>
  <c r="A138" i="28"/>
  <c r="H137" i="28"/>
  <c r="E137" i="28"/>
  <c r="L137" i="28" s="1"/>
  <c r="C137" i="28"/>
  <c r="B137" i="28"/>
  <c r="A137" i="28"/>
  <c r="E136" i="28"/>
  <c r="L136" i="28" s="1"/>
  <c r="C136" i="28"/>
  <c r="B136" i="28"/>
  <c r="A136" i="28"/>
  <c r="H135" i="28"/>
  <c r="E135" i="28"/>
  <c r="L135" i="28" s="1"/>
  <c r="C135" i="28"/>
  <c r="B135" i="28"/>
  <c r="A135" i="28"/>
  <c r="H134" i="28"/>
  <c r="E134" i="28"/>
  <c r="L134" i="28" s="1"/>
  <c r="C134" i="28"/>
  <c r="B134" i="28"/>
  <c r="A134" i="28"/>
  <c r="H133" i="28"/>
  <c r="E133" i="28"/>
  <c r="L133" i="28" s="1"/>
  <c r="C133" i="28"/>
  <c r="B133" i="28"/>
  <c r="A133" i="28"/>
  <c r="H132" i="28"/>
  <c r="E132" i="28"/>
  <c r="L132" i="28" s="1"/>
  <c r="C132" i="28"/>
  <c r="B132" i="28"/>
  <c r="A132" i="28"/>
  <c r="H131" i="28"/>
  <c r="E131" i="28"/>
  <c r="L131" i="28" s="1"/>
  <c r="C131" i="28"/>
  <c r="B131" i="28"/>
  <c r="A131" i="28"/>
  <c r="H130" i="28"/>
  <c r="E130" i="28"/>
  <c r="L130" i="28" s="1"/>
  <c r="C130" i="28"/>
  <c r="B130" i="28"/>
  <c r="A130" i="28"/>
  <c r="E129" i="28"/>
  <c r="L129" i="28" s="1"/>
  <c r="C129" i="28"/>
  <c r="B129" i="28"/>
  <c r="E128" i="28"/>
  <c r="L128" i="28" s="1"/>
  <c r="C128" i="28"/>
  <c r="B128" i="28"/>
  <c r="E127" i="28"/>
  <c r="L127" i="28" s="1"/>
  <c r="C127" i="28"/>
  <c r="B127" i="28"/>
  <c r="E126" i="28"/>
  <c r="L126" i="28" s="1"/>
  <c r="C126" i="28"/>
  <c r="B126" i="28"/>
  <c r="E125" i="28"/>
  <c r="L125" i="28" s="1"/>
  <c r="C125" i="28"/>
  <c r="B125" i="28"/>
  <c r="C124" i="28"/>
  <c r="B124" i="28"/>
  <c r="E123" i="28"/>
  <c r="L123" i="28" s="1"/>
  <c r="C123" i="28"/>
  <c r="B123" i="28"/>
  <c r="A123" i="28"/>
  <c r="H122" i="28"/>
  <c r="E122" i="28"/>
  <c r="L122" i="28" s="1"/>
  <c r="C122" i="28"/>
  <c r="B122" i="28"/>
  <c r="A122" i="28"/>
  <c r="E121" i="28"/>
  <c r="L121" i="28" s="1"/>
  <c r="C121" i="28"/>
  <c r="B121" i="28"/>
  <c r="A121" i="28"/>
  <c r="H120" i="28"/>
  <c r="E120" i="28"/>
  <c r="L120" i="28" s="1"/>
  <c r="C120" i="28"/>
  <c r="B120" i="28"/>
  <c r="A120" i="28"/>
  <c r="H119" i="28"/>
  <c r="E119" i="28"/>
  <c r="L119" i="28" s="1"/>
  <c r="C119" i="28"/>
  <c r="B119" i="28"/>
  <c r="A119" i="28"/>
  <c r="E118" i="28"/>
  <c r="L118" i="28" s="1"/>
  <c r="C118" i="28"/>
  <c r="B118" i="28"/>
  <c r="A118" i="28"/>
  <c r="H117" i="28"/>
  <c r="E117" i="28"/>
  <c r="L117" i="28" s="1"/>
  <c r="C117" i="28"/>
  <c r="B117" i="28"/>
  <c r="A117" i="28"/>
  <c r="H116" i="28"/>
  <c r="E116" i="28"/>
  <c r="L116" i="28" s="1"/>
  <c r="C116" i="28"/>
  <c r="B116" i="28"/>
  <c r="A116" i="28"/>
  <c r="H115" i="28"/>
  <c r="E115" i="28"/>
  <c r="L115" i="28" s="1"/>
  <c r="C115" i="28"/>
  <c r="A115" i="28"/>
  <c r="H91" i="28"/>
  <c r="C91" i="28"/>
  <c r="B91" i="28"/>
  <c r="A91" i="28"/>
  <c r="H89" i="28"/>
  <c r="E89" i="28"/>
  <c r="L89" i="28" s="1"/>
  <c r="C89" i="28"/>
  <c r="B89" i="28"/>
  <c r="A89" i="28"/>
  <c r="H80" i="28"/>
  <c r="E80" i="28"/>
  <c r="L80" i="28" s="1"/>
  <c r="C80" i="28"/>
  <c r="B80" i="28"/>
  <c r="A80" i="28"/>
  <c r="H79" i="28"/>
  <c r="E79" i="28"/>
  <c r="L79" i="28" s="1"/>
  <c r="C79" i="28"/>
  <c r="B79" i="28"/>
  <c r="A79" i="28"/>
  <c r="H78" i="28"/>
  <c r="E78" i="28"/>
  <c r="L78" i="28" s="1"/>
  <c r="C78" i="28"/>
  <c r="B78" i="28"/>
  <c r="A78" i="28"/>
  <c r="H77" i="28"/>
  <c r="E77" i="28"/>
  <c r="L77" i="28" s="1"/>
  <c r="C77" i="28"/>
  <c r="B77" i="28"/>
  <c r="A77" i="28"/>
  <c r="H76" i="28"/>
  <c r="E76" i="28"/>
  <c r="L76" i="28" s="1"/>
  <c r="C76" i="28"/>
  <c r="B76" i="28"/>
  <c r="A76" i="28"/>
  <c r="H75" i="28"/>
  <c r="E75" i="28"/>
  <c r="L75" i="28" s="1"/>
  <c r="C75" i="28"/>
  <c r="B75" i="28"/>
  <c r="A75" i="28"/>
  <c r="H74" i="28"/>
  <c r="E74" i="28"/>
  <c r="L74" i="28" s="1"/>
  <c r="C74" i="28"/>
  <c r="B74" i="28"/>
  <c r="A74" i="28"/>
  <c r="H73" i="28"/>
  <c r="E73" i="28"/>
  <c r="L73" i="28" s="1"/>
  <c r="C73" i="28"/>
  <c r="B73" i="28"/>
  <c r="A73" i="28"/>
  <c r="H72" i="28"/>
  <c r="E72" i="28"/>
  <c r="L72" i="28" s="1"/>
  <c r="C72" i="28"/>
  <c r="B72" i="28"/>
  <c r="A72" i="28"/>
  <c r="H71" i="28"/>
  <c r="E71" i="28"/>
  <c r="L71" i="28" s="1"/>
  <c r="C71" i="28"/>
  <c r="B71" i="28"/>
  <c r="A71" i="28"/>
  <c r="H70" i="28"/>
  <c r="E70" i="28"/>
  <c r="L70" i="28" s="1"/>
  <c r="C70" i="28"/>
  <c r="B70" i="28"/>
  <c r="A70" i="28"/>
  <c r="H69" i="28"/>
  <c r="E69" i="28"/>
  <c r="L69" i="28" s="1"/>
  <c r="C69" i="28"/>
  <c r="B69" i="28"/>
  <c r="A69" i="28"/>
  <c r="H66" i="28"/>
  <c r="E66" i="28"/>
  <c r="L66" i="28" s="1"/>
  <c r="C66" i="28"/>
  <c r="B66" i="28"/>
  <c r="A66" i="28"/>
  <c r="H65" i="28"/>
  <c r="E65" i="28"/>
  <c r="L65" i="28" s="1"/>
  <c r="D12" i="80" s="1"/>
  <c r="F12" i="80" s="1"/>
  <c r="C65" i="28"/>
  <c r="B65" i="28"/>
  <c r="A65" i="28"/>
  <c r="H64" i="28"/>
  <c r="E64" i="28"/>
  <c r="L64" i="28" s="1"/>
  <c r="C64" i="28"/>
  <c r="B64" i="28"/>
  <c r="A64" i="28"/>
  <c r="H63" i="28"/>
  <c r="E63" i="28"/>
  <c r="L63" i="28" s="1"/>
  <c r="C63" i="28"/>
  <c r="B63" i="28"/>
  <c r="A63" i="28"/>
  <c r="H62" i="28"/>
  <c r="E62" i="28"/>
  <c r="L62" i="28" s="1"/>
  <c r="C62" i="28"/>
  <c r="B62" i="28"/>
  <c r="A62" i="28"/>
  <c r="H61" i="28"/>
  <c r="E61" i="28"/>
  <c r="L61" i="28" s="1"/>
  <c r="C61" i="28"/>
  <c r="B61" i="28"/>
  <c r="A61" i="28"/>
  <c r="H60" i="28"/>
  <c r="E60" i="28"/>
  <c r="L60" i="28" s="1"/>
  <c r="C60" i="28"/>
  <c r="B60" i="28"/>
  <c r="A60" i="28"/>
  <c r="H59" i="28"/>
  <c r="E59" i="28"/>
  <c r="L59" i="28" s="1"/>
  <c r="C59" i="28"/>
  <c r="B59" i="28"/>
  <c r="A59" i="28"/>
  <c r="H58" i="28"/>
  <c r="E58" i="28"/>
  <c r="L58" i="28" s="1"/>
  <c r="C58" i="28"/>
  <c r="B58" i="28"/>
  <c r="A58" i="28"/>
  <c r="H57" i="28"/>
  <c r="E57" i="28"/>
  <c r="L57" i="28" s="1"/>
  <c r="C57" i="28"/>
  <c r="B57" i="28"/>
  <c r="A57" i="28"/>
  <c r="H56" i="28"/>
  <c r="E56" i="28"/>
  <c r="L56" i="28" s="1"/>
  <c r="C56" i="28"/>
  <c r="B56" i="28"/>
  <c r="A56" i="28"/>
  <c r="H55" i="28"/>
  <c r="E55" i="28"/>
  <c r="L55" i="28" s="1"/>
  <c r="C55" i="28"/>
  <c r="B55" i="28"/>
  <c r="A55" i="28"/>
  <c r="E54" i="28"/>
  <c r="L54" i="28" s="1"/>
  <c r="C54" i="28"/>
  <c r="B54" i="28"/>
  <c r="A54" i="28"/>
  <c r="H53" i="28"/>
  <c r="E53" i="28"/>
  <c r="L53" i="28" s="1"/>
  <c r="C53" i="28"/>
  <c r="B53" i="28"/>
  <c r="A53" i="28"/>
  <c r="H52" i="28"/>
  <c r="E52" i="28"/>
  <c r="L52" i="28" s="1"/>
  <c r="C52" i="28"/>
  <c r="B52" i="28"/>
  <c r="A52" i="28"/>
  <c r="H37" i="28"/>
  <c r="E37" i="28"/>
  <c r="L37" i="28" s="1"/>
  <c r="C37" i="28"/>
  <c r="B37" i="28"/>
  <c r="A37" i="28"/>
  <c r="H36" i="28"/>
  <c r="E36" i="28"/>
  <c r="L36" i="28" s="1"/>
  <c r="C36" i="28"/>
  <c r="B36" i="28"/>
  <c r="A36" i="28"/>
  <c r="H35" i="28"/>
  <c r="E35" i="28"/>
  <c r="L35" i="28" s="1"/>
  <c r="C35" i="28"/>
  <c r="B35" i="28"/>
  <c r="A35" i="28"/>
  <c r="H34" i="28"/>
  <c r="E34" i="28"/>
  <c r="L34" i="28" s="1"/>
  <c r="C34" i="28"/>
  <c r="B34" i="28"/>
  <c r="A34" i="28"/>
  <c r="H33" i="28"/>
  <c r="E33" i="28"/>
  <c r="L33" i="28" s="1"/>
  <c r="C33" i="28"/>
  <c r="B33" i="28"/>
  <c r="A33" i="28"/>
  <c r="H32" i="28"/>
  <c r="E32" i="28"/>
  <c r="L32" i="28" s="1"/>
  <c r="C32" i="28"/>
  <c r="B32" i="28"/>
  <c r="A32" i="28"/>
  <c r="H31" i="28"/>
  <c r="E31" i="28"/>
  <c r="L31" i="28" s="1"/>
  <c r="C31" i="28"/>
  <c r="B31" i="28"/>
  <c r="A31" i="28"/>
  <c r="H30" i="28"/>
  <c r="E30" i="28"/>
  <c r="L30" i="28" s="1"/>
  <c r="C30" i="28"/>
  <c r="B30" i="28"/>
  <c r="A30" i="28"/>
  <c r="H29" i="28"/>
  <c r="E29" i="28"/>
  <c r="L29" i="28" s="1"/>
  <c r="C29" i="28"/>
  <c r="B29" i="28"/>
  <c r="A29" i="28"/>
  <c r="H28" i="28"/>
  <c r="E28" i="28"/>
  <c r="L28" i="28" s="1"/>
  <c r="C28" i="28"/>
  <c r="B28" i="28"/>
  <c r="A28" i="28"/>
  <c r="H27" i="28"/>
  <c r="E27" i="28"/>
  <c r="L27" i="28" s="1"/>
  <c r="C27" i="28"/>
  <c r="B27" i="28"/>
  <c r="A27" i="28"/>
  <c r="H26" i="28"/>
  <c r="E26" i="28"/>
  <c r="L26" i="28" s="1"/>
  <c r="C26" i="28"/>
  <c r="B26" i="28"/>
  <c r="A26" i="28"/>
  <c r="H25" i="28"/>
  <c r="E25" i="28"/>
  <c r="L25" i="28" s="1"/>
  <c r="C25" i="28"/>
  <c r="B25" i="28"/>
  <c r="A25" i="28"/>
  <c r="H24" i="28"/>
  <c r="E24" i="28"/>
  <c r="L24" i="28" s="1"/>
  <c r="C24" i="28"/>
  <c r="B24" i="28"/>
  <c r="A24" i="28"/>
  <c r="H23" i="28"/>
  <c r="E23" i="28"/>
  <c r="L23" i="28" s="1"/>
  <c r="C23" i="28"/>
  <c r="B23" i="28"/>
  <c r="A23" i="28"/>
  <c r="H22" i="28"/>
  <c r="E22" i="28"/>
  <c r="L22" i="28" s="1"/>
  <c r="C22" i="28"/>
  <c r="B22" i="28"/>
  <c r="A22" i="28"/>
  <c r="H21" i="28"/>
  <c r="E21" i="28"/>
  <c r="L21" i="28" s="1"/>
  <c r="C21" i="28"/>
  <c r="B21" i="28"/>
  <c r="A21" i="28"/>
  <c r="H20" i="28"/>
  <c r="E20" i="28"/>
  <c r="L20" i="28" s="1"/>
  <c r="C20" i="28"/>
  <c r="B20" i="28"/>
  <c r="A20" i="28"/>
  <c r="H19" i="28"/>
  <c r="E19" i="28"/>
  <c r="L19" i="28" s="1"/>
  <c r="C19" i="28"/>
  <c r="B19" i="28"/>
  <c r="A19" i="28"/>
  <c r="H18" i="28"/>
  <c r="E18" i="28"/>
  <c r="L18" i="28" s="1"/>
  <c r="C18" i="28"/>
  <c r="B18" i="28"/>
  <c r="A18" i="28"/>
  <c r="H17" i="28"/>
  <c r="E17" i="28"/>
  <c r="C17" i="28"/>
  <c r="B17" i="28"/>
  <c r="A17" i="28"/>
  <c r="E16" i="28"/>
  <c r="L16" i="28" s="1"/>
  <c r="C16" i="28"/>
  <c r="B16" i="28"/>
  <c r="A16" i="28"/>
  <c r="E15" i="28"/>
  <c r="L15" i="28" s="1"/>
  <c r="C15" i="28"/>
  <c r="B15" i="28"/>
  <c r="A15" i="28"/>
  <c r="E14" i="28"/>
  <c r="L14" i="28" s="1"/>
  <c r="C14" i="28"/>
  <c r="B14" i="28"/>
  <c r="A14" i="28"/>
  <c r="E13" i="28"/>
  <c r="L13" i="28" s="1"/>
  <c r="C13" i="28"/>
  <c r="B13" i="28"/>
  <c r="A13" i="28"/>
  <c r="E12" i="28"/>
  <c r="L12" i="28" s="1"/>
  <c r="C12" i="28"/>
  <c r="B12" i="28"/>
  <c r="A12" i="28"/>
  <c r="E11" i="28"/>
  <c r="L11" i="28" s="1"/>
  <c r="C11" i="28"/>
  <c r="B11" i="28"/>
  <c r="A11" i="28"/>
  <c r="H10" i="28"/>
  <c r="C10" i="28"/>
  <c r="B10" i="28"/>
  <c r="A10" i="28"/>
  <c r="H9" i="28"/>
  <c r="E9" i="28"/>
  <c r="L9" i="28" s="1"/>
  <c r="C9" i="28"/>
  <c r="B9" i="28"/>
  <c r="A9" i="28"/>
  <c r="H8" i="28"/>
  <c r="E8" i="28"/>
  <c r="L8" i="28" s="1"/>
  <c r="C8" i="28"/>
  <c r="B8" i="28"/>
  <c r="A8" i="28"/>
  <c r="H7" i="28"/>
  <c r="G7" i="28"/>
  <c r="E7" i="28"/>
  <c r="C7" i="28"/>
  <c r="B7" i="28"/>
  <c r="A7" i="28"/>
  <c r="H6" i="28"/>
  <c r="E6" i="28"/>
  <c r="L6" i="28" s="1"/>
  <c r="C6" i="28"/>
  <c r="B6" i="28"/>
  <c r="A6" i="28"/>
  <c r="H5" i="28"/>
  <c r="E5" i="28"/>
  <c r="L5" i="28" s="1"/>
  <c r="C5" i="28"/>
  <c r="B5" i="28"/>
  <c r="A5" i="28"/>
  <c r="C2" i="28"/>
  <c r="G302" i="1"/>
  <c r="G298" i="1"/>
  <c r="H295" i="1"/>
  <c r="G295" i="1" s="1"/>
  <c r="H294" i="1"/>
  <c r="G294" i="1" s="1"/>
  <c r="H293" i="1"/>
  <c r="G293" i="1" s="1"/>
  <c r="G292" i="1"/>
  <c r="G291" i="1"/>
  <c r="G290" i="1"/>
  <c r="G289" i="1"/>
  <c r="G282" i="1"/>
  <c r="G279" i="1"/>
  <c r="G278" i="1"/>
  <c r="G277" i="1"/>
  <c r="H274" i="1"/>
  <c r="G274" i="1" s="1"/>
  <c r="H273" i="1"/>
  <c r="H272" i="1"/>
  <c r="G271" i="1"/>
  <c r="H268" i="1"/>
  <c r="G268" i="1" s="1"/>
  <c r="H267" i="1"/>
  <c r="G267" i="1"/>
  <c r="H266" i="1"/>
  <c r="G266" i="1"/>
  <c r="G265" i="1"/>
  <c r="L260" i="1"/>
  <c r="G260" i="1"/>
  <c r="G259" i="1"/>
  <c r="G258" i="1"/>
  <c r="G257" i="1"/>
  <c r="G255" i="1"/>
  <c r="F249" i="1"/>
  <c r="G248" i="1"/>
  <c r="G247" i="1"/>
  <c r="G246" i="1"/>
  <c r="G245" i="1"/>
  <c r="F243" i="1"/>
  <c r="G242" i="1"/>
  <c r="G241" i="1"/>
  <c r="G240" i="1"/>
  <c r="G239" i="1"/>
  <c r="F237" i="1"/>
  <c r="E195" i="28"/>
  <c r="L195" i="28" s="1"/>
  <c r="E194" i="28"/>
  <c r="L194" i="28" s="1"/>
  <c r="G221" i="1"/>
  <c r="G216" i="1"/>
  <c r="G212" i="1"/>
  <c r="G210" i="1"/>
  <c r="G209" i="1"/>
  <c r="G206" i="1"/>
  <c r="G205" i="1"/>
  <c r="H198" i="1"/>
  <c r="G198" i="1" s="1"/>
  <c r="G197" i="1"/>
  <c r="G196" i="1"/>
  <c r="G195" i="1"/>
  <c r="G194" i="1"/>
  <c r="G193" i="1"/>
  <c r="G192" i="1"/>
  <c r="G191" i="1"/>
  <c r="G190" i="1"/>
  <c r="G189" i="1"/>
  <c r="G188" i="1"/>
  <c r="H182" i="1"/>
  <c r="G182" i="1" s="1"/>
  <c r="G181" i="1"/>
  <c r="G179" i="1"/>
  <c r="G178" i="1"/>
  <c r="G177" i="1"/>
  <c r="G175" i="1"/>
  <c r="G174" i="1"/>
  <c r="G173" i="1"/>
  <c r="H168" i="1"/>
  <c r="G168" i="1" s="1"/>
  <c r="G154" i="1"/>
  <c r="G152" i="1"/>
  <c r="G151" i="1"/>
  <c r="H149" i="1"/>
  <c r="G149" i="1"/>
  <c r="H183" i="1"/>
  <c r="E124" i="28"/>
  <c r="L124" i="28" s="1"/>
  <c r="G138" i="1"/>
  <c r="G136" i="1"/>
  <c r="G116" i="28"/>
  <c r="G101" i="1"/>
  <c r="G98" i="1"/>
  <c r="H87" i="1"/>
  <c r="G87" i="1" s="1"/>
  <c r="G85" i="1"/>
  <c r="G82" i="1"/>
  <c r="G80" i="1"/>
  <c r="G79" i="1"/>
  <c r="H72" i="1"/>
  <c r="G72" i="1"/>
  <c r="H89" i="1"/>
  <c r="G71" i="1"/>
  <c r="G70" i="1"/>
  <c r="G69" i="1"/>
  <c r="G68" i="1"/>
  <c r="G67" i="1"/>
  <c r="G66" i="1"/>
  <c r="G65" i="1"/>
  <c r="G64" i="1"/>
  <c r="G63" i="1"/>
  <c r="G62" i="1"/>
  <c r="G61" i="1"/>
  <c r="G60" i="1"/>
  <c r="G59" i="1"/>
  <c r="G42" i="1"/>
  <c r="G39" i="1"/>
  <c r="O34" i="28"/>
  <c r="H37" i="1"/>
  <c r="G37" i="1" s="1"/>
  <c r="O33" i="28"/>
  <c r="G35" i="1"/>
  <c r="G34" i="1"/>
  <c r="G33" i="1"/>
  <c r="G32" i="1"/>
  <c r="G31" i="1"/>
  <c r="G30" i="1"/>
  <c r="G29" i="1"/>
  <c r="G28" i="1"/>
  <c r="G26" i="1"/>
  <c r="G25" i="1"/>
  <c r="H23" i="1"/>
  <c r="G23" i="1" s="1"/>
  <c r="O21" i="28"/>
  <c r="O20" i="28"/>
  <c r="G20" i="1"/>
  <c r="G18" i="1"/>
  <c r="G11" i="1"/>
  <c r="G10" i="1"/>
  <c r="G8" i="1"/>
  <c r="G7" i="1"/>
  <c r="L291" i="28"/>
  <c r="Y291" i="28" s="1"/>
  <c r="D6" i="73" l="1"/>
  <c r="F9" i="80" s="1"/>
  <c r="N24" i="80"/>
  <c r="D24" i="80" s="1"/>
  <c r="F24" i="80" s="1"/>
  <c r="N23" i="80"/>
  <c r="D23" i="80" s="1"/>
  <c r="F23" i="80" s="1"/>
  <c r="D34" i="73"/>
  <c r="F34" i="73" s="1"/>
  <c r="M18" i="80"/>
  <c r="D18" i="80" s="1"/>
  <c r="D37" i="80"/>
  <c r="F37" i="80" s="1"/>
  <c r="N17" i="80"/>
  <c r="D17" i="80" s="1"/>
  <c r="F17" i="80" s="1"/>
  <c r="N16" i="80"/>
  <c r="D16" i="80" s="1"/>
  <c r="F16" i="80" s="1"/>
  <c r="N14" i="80"/>
  <c r="L7" i="80"/>
  <c r="L8" i="80" s="1"/>
  <c r="M20" i="73"/>
  <c r="F20" i="73" s="1"/>
  <c r="M14" i="73"/>
  <c r="D14" i="73" s="1"/>
  <c r="D9" i="73"/>
  <c r="D8" i="73"/>
  <c r="M12" i="73"/>
  <c r="F12" i="73" s="1"/>
  <c r="F14" i="80" s="1"/>
  <c r="M19" i="73"/>
  <c r="D19" i="73" s="1"/>
  <c r="F19" i="73" s="1"/>
  <c r="G124" i="28"/>
  <c r="F124" i="28"/>
  <c r="K15" i="73"/>
  <c r="K5" i="73"/>
  <c r="E6" i="73" s="1"/>
  <c r="D10" i="73"/>
  <c r="F10" i="73" s="1"/>
  <c r="L263" i="28"/>
  <c r="L262" i="28"/>
  <c r="M13" i="73"/>
  <c r="W180" i="28"/>
  <c r="W198" i="28"/>
  <c r="W280" i="28"/>
  <c r="W7" i="28"/>
  <c r="W56" i="28"/>
  <c r="W64" i="28"/>
  <c r="W74" i="28"/>
  <c r="W91" i="28"/>
  <c r="W116" i="28"/>
  <c r="W121" i="28"/>
  <c r="W132" i="28"/>
  <c r="W137" i="28"/>
  <c r="W142" i="28"/>
  <c r="W147" i="28"/>
  <c r="W155" i="28"/>
  <c r="W169" i="28"/>
  <c r="W177" i="28"/>
  <c r="W185" i="28"/>
  <c r="W190" i="28"/>
  <c r="W203" i="28"/>
  <c r="W211" i="28"/>
  <c r="W216" i="28"/>
  <c r="W225" i="28"/>
  <c r="W231" i="28"/>
  <c r="W283" i="28"/>
  <c r="W150" i="28"/>
  <c r="W18" i="28"/>
  <c r="W26" i="28"/>
  <c r="W34" i="28"/>
  <c r="W61" i="28"/>
  <c r="W71" i="28"/>
  <c r="W79" i="28"/>
  <c r="W123" i="28"/>
  <c r="W144" i="28"/>
  <c r="W152" i="28"/>
  <c r="W160" i="28"/>
  <c r="W166" i="28"/>
  <c r="W174" i="28"/>
  <c r="W182" i="28"/>
  <c r="W195" i="28"/>
  <c r="W200" i="28"/>
  <c r="W208" i="28"/>
  <c r="W218" i="28"/>
  <c r="W222" i="28"/>
  <c r="W227" i="28"/>
  <c r="W233" i="28"/>
  <c r="W235" i="28"/>
  <c r="W237" i="28"/>
  <c r="W239" i="28"/>
  <c r="W278" i="28"/>
  <c r="W206" i="28"/>
  <c r="W16" i="28"/>
  <c r="W37" i="28"/>
  <c r="W23" i="28"/>
  <c r="W53" i="28"/>
  <c r="W58" i="28"/>
  <c r="W66" i="28"/>
  <c r="W139" i="28"/>
  <c r="W149" i="28"/>
  <c r="W157" i="28"/>
  <c r="W163" i="28"/>
  <c r="W171" i="28"/>
  <c r="W179" i="28"/>
  <c r="W187" i="28"/>
  <c r="W197" i="28"/>
  <c r="W205" i="28"/>
  <c r="W213" i="28"/>
  <c r="W241" i="28"/>
  <c r="W245" i="28"/>
  <c r="W281" i="28"/>
  <c r="W32" i="28"/>
  <c r="W6" i="28"/>
  <c r="W9" i="28"/>
  <c r="W20" i="28"/>
  <c r="W28" i="28"/>
  <c r="W36" i="28"/>
  <c r="W55" i="28"/>
  <c r="W63" i="28"/>
  <c r="W73" i="28"/>
  <c r="W89" i="28"/>
  <c r="W120" i="28"/>
  <c r="W131" i="28"/>
  <c r="W141" i="28"/>
  <c r="W146" i="28"/>
  <c r="W154" i="28"/>
  <c r="W168" i="28"/>
  <c r="W176" i="28"/>
  <c r="W184" i="28"/>
  <c r="W189" i="28"/>
  <c r="W202" i="28"/>
  <c r="W210" i="28"/>
  <c r="W220" i="28"/>
  <c r="W224" i="28"/>
  <c r="W230" i="28"/>
  <c r="W284" i="28"/>
  <c r="W24" i="28"/>
  <c r="W54" i="28"/>
  <c r="W59" i="28"/>
  <c r="W69" i="28"/>
  <c r="W77" i="28"/>
  <c r="W214" i="28"/>
  <c r="W242" i="28"/>
  <c r="W12" i="28"/>
  <c r="W21" i="28"/>
  <c r="W29" i="28"/>
  <c r="W118" i="28"/>
  <c r="W11" i="28"/>
  <c r="W13" i="28"/>
  <c r="W15" i="28"/>
  <c r="W17" i="28"/>
  <c r="W25" i="28"/>
  <c r="W33" i="28"/>
  <c r="W60" i="28"/>
  <c r="W70" i="28"/>
  <c r="W78" i="28"/>
  <c r="W115" i="28"/>
  <c r="W122" i="28"/>
  <c r="W136" i="28"/>
  <c r="W151" i="28"/>
  <c r="W159" i="28"/>
  <c r="W165" i="28"/>
  <c r="W173" i="28"/>
  <c r="W181" i="28"/>
  <c r="W199" i="28"/>
  <c r="W207" i="28"/>
  <c r="W215" i="28"/>
  <c r="W217" i="28"/>
  <c r="W226" i="28"/>
  <c r="W279" i="28"/>
  <c r="W135" i="28"/>
  <c r="W164" i="28"/>
  <c r="W172" i="28"/>
  <c r="W14" i="28"/>
  <c r="W31" i="28"/>
  <c r="W76" i="28"/>
  <c r="W134" i="28"/>
  <c r="W22" i="28"/>
  <c r="W30" i="28"/>
  <c r="W52" i="28"/>
  <c r="W57" i="28"/>
  <c r="W65" i="28"/>
  <c r="W75" i="28"/>
  <c r="W117" i="28"/>
  <c r="W133" i="28"/>
  <c r="W138" i="28"/>
  <c r="W143" i="28"/>
  <c r="W148" i="28"/>
  <c r="W156" i="28"/>
  <c r="W162" i="28"/>
  <c r="W170" i="28"/>
  <c r="W178" i="28"/>
  <c r="W186" i="28"/>
  <c r="W194" i="28"/>
  <c r="W196" i="28"/>
  <c r="W204" i="28"/>
  <c r="W212" i="28"/>
  <c r="W232" i="28"/>
  <c r="W234" i="28"/>
  <c r="W236" i="28"/>
  <c r="W238" i="28"/>
  <c r="W240" i="28"/>
  <c r="W282" i="28"/>
  <c r="W158" i="28"/>
  <c r="W10" i="28"/>
  <c r="W5" i="28"/>
  <c r="W8" i="28"/>
  <c r="W19" i="28"/>
  <c r="W27" i="28"/>
  <c r="W35" i="28"/>
  <c r="W62" i="28"/>
  <c r="W72" i="28"/>
  <c r="W80" i="28"/>
  <c r="W119" i="28"/>
  <c r="W130" i="28"/>
  <c r="W140" i="28"/>
  <c r="W145" i="28"/>
  <c r="W153" i="28"/>
  <c r="W167" i="28"/>
  <c r="W175" i="28"/>
  <c r="W183" i="28"/>
  <c r="W188" i="28"/>
  <c r="W201" i="28"/>
  <c r="W209" i="28"/>
  <c r="W219" i="28"/>
  <c r="W223" i="28"/>
  <c r="W228" i="28"/>
  <c r="W277" i="28"/>
  <c r="L231" i="28"/>
  <c r="Y231" i="28" s="1"/>
  <c r="L7" i="28"/>
  <c r="L17" i="28"/>
  <c r="F233" i="28"/>
  <c r="Y233" i="28"/>
  <c r="Y277" i="28"/>
  <c r="O151" i="28"/>
  <c r="L279" i="28"/>
  <c r="L282" i="28"/>
  <c r="Q282" i="28" s="1"/>
  <c r="L280" i="28"/>
  <c r="X233" i="28"/>
  <c r="L283" i="28"/>
  <c r="Q283" i="28" s="1"/>
  <c r="L278" i="28"/>
  <c r="L281" i="28"/>
  <c r="Y170" i="28"/>
  <c r="L284" i="28"/>
  <c r="Q284" i="28" s="1"/>
  <c r="X266" i="28"/>
  <c r="X267" i="28"/>
  <c r="E143" i="28"/>
  <c r="L143" i="28" s="1"/>
  <c r="M18" i="73" s="1"/>
  <c r="F18" i="73" s="1"/>
  <c r="F21" i="80" s="1"/>
  <c r="E230" i="1"/>
  <c r="E10" i="28"/>
  <c r="L10" i="28" s="1"/>
  <c r="L261" i="28" s="1"/>
  <c r="G12" i="1"/>
  <c r="Y66" i="28"/>
  <c r="G13" i="1"/>
  <c r="G14" i="1"/>
  <c r="G15" i="1"/>
  <c r="G16" i="1"/>
  <c r="G17" i="1"/>
  <c r="E91" i="28"/>
  <c r="L91" i="28" s="1"/>
  <c r="O133" i="28"/>
  <c r="E237" i="1"/>
  <c r="O65" i="28"/>
  <c r="O19" i="28"/>
  <c r="E243" i="1"/>
  <c r="X268" i="28"/>
  <c r="Y55" i="28"/>
  <c r="F9" i="28"/>
  <c r="Y136" i="28"/>
  <c r="E249" i="1"/>
  <c r="H199" i="1"/>
  <c r="F230" i="1"/>
  <c r="F250" i="1" s="1"/>
  <c r="Y156" i="28"/>
  <c r="E9" i="80" l="1"/>
  <c r="N21" i="80"/>
  <c r="K9" i="73"/>
  <c r="F9" i="73" s="1"/>
  <c r="L11" i="80"/>
  <c r="D20" i="73"/>
  <c r="G143" i="28"/>
  <c r="F143" i="28"/>
  <c r="D12" i="73"/>
  <c r="F14" i="73"/>
  <c r="D13" i="73"/>
  <c r="F13" i="73" s="1"/>
  <c r="D15" i="73"/>
  <c r="F15" i="73" s="1"/>
  <c r="K8" i="73"/>
  <c r="L8" i="73" s="1"/>
  <c r="L10" i="80" s="1"/>
  <c r="E8" i="73"/>
  <c r="K6" i="73"/>
  <c r="L6" i="73" s="1"/>
  <c r="L9" i="80" s="1"/>
  <c r="L265" i="28"/>
  <c r="B19" i="71"/>
  <c r="B21" i="71" s="1"/>
  <c r="G19" i="71" s="1"/>
  <c r="B9" i="71"/>
  <c r="F27" i="71" s="1"/>
  <c r="X231" i="28"/>
  <c r="F34" i="28"/>
  <c r="G178" i="28"/>
  <c r="Q178" i="28" s="1"/>
  <c r="Q138" i="28"/>
  <c r="F80" i="28"/>
  <c r="Q153" i="28"/>
  <c r="G153" i="28" s="1"/>
  <c r="Q120" i="28"/>
  <c r="G120" i="28" s="1"/>
  <c r="F164" i="28"/>
  <c r="Q55" i="28"/>
  <c r="G55" i="28" s="1"/>
  <c r="F131" i="28"/>
  <c r="Q168" i="28"/>
  <c r="G168" i="28" s="1"/>
  <c r="Y280" i="28"/>
  <c r="Q280" i="28"/>
  <c r="Y281" i="28"/>
  <c r="Q281" i="28"/>
  <c r="Q151" i="28"/>
  <c r="Y237" i="28"/>
  <c r="Y279" i="28"/>
  <c r="Q279" i="28"/>
  <c r="Y122" i="28"/>
  <c r="Q122" i="28"/>
  <c r="G122" i="28" s="1"/>
  <c r="Y238" i="28"/>
  <c r="Y239" i="28"/>
  <c r="Y278" i="28"/>
  <c r="Q278" i="28"/>
  <c r="Q131" i="28"/>
  <c r="G131" i="28" s="1"/>
  <c r="F162" i="28"/>
  <c r="Y162" i="28"/>
  <c r="F148" i="28"/>
  <c r="Y148" i="28"/>
  <c r="Y283" i="28"/>
  <c r="X151" i="28"/>
  <c r="Y151" i="28"/>
  <c r="Y73" i="28"/>
  <c r="X129" i="28"/>
  <c r="Y129" i="28"/>
  <c r="F214" i="28"/>
  <c r="Y214" i="28"/>
  <c r="F18" i="28"/>
  <c r="Y18" i="28"/>
  <c r="F142" i="28"/>
  <c r="Y142" i="28"/>
  <c r="X21" i="28"/>
  <c r="Y21" i="28"/>
  <c r="F213" i="28"/>
  <c r="Y213" i="28"/>
  <c r="X241" i="28"/>
  <c r="Y241" i="28"/>
  <c r="F76" i="28"/>
  <c r="Y76" i="28"/>
  <c r="F25" i="28"/>
  <c r="Y25" i="28"/>
  <c r="X201" i="28"/>
  <c r="Y201" i="28"/>
  <c r="X117" i="28"/>
  <c r="Y117" i="28"/>
  <c r="F228" i="28"/>
  <c r="Y228" i="28"/>
  <c r="X178" i="28"/>
  <c r="Y178" i="28"/>
  <c r="X78" i="28"/>
  <c r="Y78" i="28"/>
  <c r="X5" i="28"/>
  <c r="Y5" i="28"/>
  <c r="X150" i="28"/>
  <c r="Y150" i="28"/>
  <c r="F140" i="28"/>
  <c r="Y140" i="28"/>
  <c r="F138" i="28"/>
  <c r="Y138" i="28"/>
  <c r="X127" i="28"/>
  <c r="Y127" i="28"/>
  <c r="X242" i="28"/>
  <c r="Y242" i="28"/>
  <c r="F63" i="28"/>
  <c r="Y63" i="28"/>
  <c r="X216" i="28"/>
  <c r="Y216" i="28"/>
  <c r="X58" i="28"/>
  <c r="Y58" i="28"/>
  <c r="X206" i="28"/>
  <c r="Y206" i="28"/>
  <c r="F137" i="28"/>
  <c r="Y137" i="28"/>
  <c r="X16" i="28"/>
  <c r="Y16" i="28"/>
  <c r="X219" i="28"/>
  <c r="Y219" i="28"/>
  <c r="X208" i="28"/>
  <c r="Y208" i="28"/>
  <c r="F235" i="28"/>
  <c r="Y235" i="28"/>
  <c r="X72" i="28"/>
  <c r="Y72" i="28"/>
  <c r="F169" i="28"/>
  <c r="Y169" i="28"/>
  <c r="Y180" i="28"/>
  <c r="X74" i="28"/>
  <c r="Y74" i="28"/>
  <c r="F227" i="28"/>
  <c r="Y227" i="28"/>
  <c r="F184" i="28"/>
  <c r="Y184" i="28"/>
  <c r="Y284" i="28"/>
  <c r="F135" i="28"/>
  <c r="Y135" i="28"/>
  <c r="X245" i="28"/>
  <c r="Y245" i="28"/>
  <c r="F130" i="28"/>
  <c r="Y130" i="28"/>
  <c r="F224" i="28"/>
  <c r="Y224" i="28"/>
  <c r="X133" i="28"/>
  <c r="Y133" i="28"/>
  <c r="X197" i="28"/>
  <c r="Y197" i="28"/>
  <c r="X222" i="28"/>
  <c r="Y222" i="28"/>
  <c r="X36" i="28"/>
  <c r="Y36" i="28"/>
  <c r="X190" i="28"/>
  <c r="Y190" i="28"/>
  <c r="X53" i="28"/>
  <c r="Y53" i="28"/>
  <c r="X198" i="28"/>
  <c r="Y198" i="28"/>
  <c r="F223" i="28"/>
  <c r="Y223" i="28"/>
  <c r="X132" i="28"/>
  <c r="Y132" i="28"/>
  <c r="X14" i="28"/>
  <c r="Y14" i="28"/>
  <c r="X167" i="28"/>
  <c r="Y167" i="28"/>
  <c r="X185" i="28"/>
  <c r="Y185" i="28"/>
  <c r="X200" i="28"/>
  <c r="Y200" i="28"/>
  <c r="Y65" i="28"/>
  <c r="F177" i="28"/>
  <c r="Y177" i="28"/>
  <c r="F218" i="28"/>
  <c r="Y218" i="28"/>
  <c r="X17" i="28"/>
  <c r="Y17" i="28"/>
  <c r="F212" i="28"/>
  <c r="Y212" i="28"/>
  <c r="F77" i="28"/>
  <c r="Y77" i="28"/>
  <c r="F226" i="28"/>
  <c r="Y226" i="28"/>
  <c r="X80" i="28"/>
  <c r="Y80" i="28"/>
  <c r="X210" i="28"/>
  <c r="Y210" i="28"/>
  <c r="F9" i="30"/>
  <c r="H9" i="30" s="1"/>
  <c r="Y57" i="28"/>
  <c r="X179" i="28"/>
  <c r="Y179" i="28"/>
  <c r="X33" i="28"/>
  <c r="Y33" i="28"/>
  <c r="F174" i="28"/>
  <c r="Y174" i="28"/>
  <c r="X20" i="28"/>
  <c r="Y20" i="28"/>
  <c r="X160" i="28"/>
  <c r="Y160" i="28"/>
  <c r="X195" i="28"/>
  <c r="Y195" i="28"/>
  <c r="F144" i="28"/>
  <c r="Y144" i="28"/>
  <c r="Y183" i="28"/>
  <c r="F116" i="28"/>
  <c r="Y116" i="28"/>
  <c r="X194" i="28"/>
  <c r="Y194" i="28"/>
  <c r="X199" i="28"/>
  <c r="Y199" i="28"/>
  <c r="X118" i="28"/>
  <c r="Y118" i="28"/>
  <c r="X24" i="28"/>
  <c r="Y24" i="28"/>
  <c r="X131" i="28"/>
  <c r="Y131" i="28"/>
  <c r="F20" i="30"/>
  <c r="Y60" i="28"/>
  <c r="X164" i="28"/>
  <c r="Y164" i="28"/>
  <c r="X12" i="28"/>
  <c r="Y12" i="28"/>
  <c r="F211" i="28"/>
  <c r="Y211" i="28"/>
  <c r="Y79" i="28"/>
  <c r="X165" i="28"/>
  <c r="Y165" i="28"/>
  <c r="X34" i="28"/>
  <c r="Y34" i="28"/>
  <c r="F8" i="28"/>
  <c r="Y8" i="28"/>
  <c r="X230" i="28"/>
  <c r="Y230" i="28"/>
  <c r="X204" i="28"/>
  <c r="Y204" i="28"/>
  <c r="X157" i="28"/>
  <c r="Y157" i="28"/>
  <c r="X75" i="28"/>
  <c r="Y75" i="28"/>
  <c r="X155" i="28"/>
  <c r="Y155" i="28"/>
  <c r="X32" i="28"/>
  <c r="Y32" i="28"/>
  <c r="X119" i="28"/>
  <c r="Y119" i="28"/>
  <c r="X7" i="28"/>
  <c r="Y7" i="28"/>
  <c r="X196" i="28"/>
  <c r="Y196" i="28"/>
  <c r="X69" i="28"/>
  <c r="Y69" i="28"/>
  <c r="X215" i="28"/>
  <c r="Y215" i="28"/>
  <c r="F62" i="28"/>
  <c r="Y62" i="28"/>
  <c r="X202" i="28"/>
  <c r="Y202" i="28"/>
  <c r="X52" i="28"/>
  <c r="Y52" i="28"/>
  <c r="X171" i="28"/>
  <c r="Y171" i="28"/>
  <c r="X15" i="28"/>
  <c r="Y15" i="28"/>
  <c r="F146" i="28"/>
  <c r="Y146" i="28"/>
  <c r="X9" i="28"/>
  <c r="Y9" i="28"/>
  <c r="F149" i="28"/>
  <c r="Y149" i="28"/>
  <c r="Y282" i="28"/>
  <c r="X126" i="28"/>
  <c r="Y126" i="28"/>
  <c r="F175" i="28"/>
  <c r="Y175" i="28"/>
  <c r="F64" i="28"/>
  <c r="Y64" i="28"/>
  <c r="X124" i="28"/>
  <c r="Y124" i="28"/>
  <c r="F145" i="28"/>
  <c r="Y145" i="28"/>
  <c r="F35" i="28"/>
  <c r="Y35" i="28"/>
  <c r="X70" i="28"/>
  <c r="Y70" i="28"/>
  <c r="F221" i="28"/>
  <c r="Y221" i="28"/>
  <c r="X220" i="28"/>
  <c r="Y220" i="28"/>
  <c r="F182" i="28"/>
  <c r="Y182" i="28"/>
  <c r="F31" i="28"/>
  <c r="Y31" i="28"/>
  <c r="X121" i="28"/>
  <c r="Y121" i="28"/>
  <c r="X203" i="28"/>
  <c r="Y203" i="28"/>
  <c r="X225" i="28"/>
  <c r="Y225" i="28"/>
  <c r="X232" i="28"/>
  <c r="Y232" i="28"/>
  <c r="X153" i="28"/>
  <c r="Y153" i="28"/>
  <c r="F71" i="28"/>
  <c r="Y71" i="28"/>
  <c r="X152" i="28"/>
  <c r="Y152" i="28"/>
  <c r="F6" i="28"/>
  <c r="Y6" i="28"/>
  <c r="F186" i="28"/>
  <c r="Y186" i="28"/>
  <c r="F59" i="28"/>
  <c r="Y59" i="28"/>
  <c r="F181" i="28"/>
  <c r="Y181" i="28"/>
  <c r="F27" i="28"/>
  <c r="Y27" i="28"/>
  <c r="X189" i="28"/>
  <c r="Y189" i="28"/>
  <c r="F30" i="28"/>
  <c r="Y30" i="28"/>
  <c r="X163" i="28"/>
  <c r="Y163" i="28"/>
  <c r="X13" i="28"/>
  <c r="Y13" i="28"/>
  <c r="F141" i="28"/>
  <c r="Y141" i="28"/>
  <c r="X240" i="28"/>
  <c r="Y240" i="28"/>
  <c r="F139" i="28"/>
  <c r="Y139" i="28"/>
  <c r="F236" i="28"/>
  <c r="Y236" i="28"/>
  <c r="X61" i="28"/>
  <c r="Y61" i="28"/>
  <c r="X158" i="28"/>
  <c r="Y158" i="28"/>
  <c r="F56" i="28"/>
  <c r="Y56" i="28"/>
  <c r="F29" i="28"/>
  <c r="Y29" i="28"/>
  <c r="X120" i="28"/>
  <c r="Y120" i="28"/>
  <c r="F217" i="28"/>
  <c r="Y217" i="28"/>
  <c r="X168" i="28"/>
  <c r="Y168" i="28"/>
  <c r="F172" i="28"/>
  <c r="Y172" i="28"/>
  <c r="X128" i="28"/>
  <c r="Y128" i="28"/>
  <c r="X125" i="28"/>
  <c r="Y125" i="28"/>
  <c r="X187" i="28"/>
  <c r="Y187" i="28"/>
  <c r="F28" i="28"/>
  <c r="Y28" i="28"/>
  <c r="X209" i="28"/>
  <c r="Y209" i="28"/>
  <c r="X207" i="28"/>
  <c r="Y207" i="28"/>
  <c r="X188" i="28"/>
  <c r="Y188" i="28"/>
  <c r="X115" i="28"/>
  <c r="Y115" i="28"/>
  <c r="X166" i="28"/>
  <c r="Y166" i="28"/>
  <c r="X123" i="28"/>
  <c r="Y123" i="28"/>
  <c r="F23" i="28"/>
  <c r="Y23" i="28"/>
  <c r="X205" i="28"/>
  <c r="Y205" i="28"/>
  <c r="X176" i="28"/>
  <c r="Y176" i="28"/>
  <c r="X54" i="28"/>
  <c r="Y54" i="28"/>
  <c r="X173" i="28"/>
  <c r="Y173" i="28"/>
  <c r="X19" i="28"/>
  <c r="Y19" i="28"/>
  <c r="F159" i="28"/>
  <c r="Y159" i="28"/>
  <c r="F22" i="28"/>
  <c r="Y22" i="28"/>
  <c r="F154" i="28"/>
  <c r="Y154" i="28"/>
  <c r="X11" i="28"/>
  <c r="Y11" i="28"/>
  <c r="X89" i="28"/>
  <c r="Y89" i="28"/>
  <c r="F134" i="28"/>
  <c r="Y134" i="28"/>
  <c r="X234" i="28"/>
  <c r="Y234" i="28"/>
  <c r="X26" i="28"/>
  <c r="Y26" i="28"/>
  <c r="F147" i="28"/>
  <c r="Y147" i="28"/>
  <c r="F37" i="28"/>
  <c r="Y37" i="28"/>
  <c r="X4" i="28"/>
  <c r="Y4" i="28"/>
  <c r="X122" i="28"/>
  <c r="F122" i="28"/>
  <c r="X278" i="28"/>
  <c r="X283" i="28"/>
  <c r="X280" i="28"/>
  <c r="X279" i="28"/>
  <c r="X291" i="28"/>
  <c r="X281" i="28"/>
  <c r="X284" i="28"/>
  <c r="X282" i="28"/>
  <c r="F11" i="30"/>
  <c r="H11" i="30" s="1"/>
  <c r="F61" i="28"/>
  <c r="F17" i="30"/>
  <c r="F171" i="28"/>
  <c r="X277" i="28"/>
  <c r="F60" i="28"/>
  <c r="F26" i="28"/>
  <c r="F24" i="28"/>
  <c r="X238" i="28"/>
  <c r="X237" i="28"/>
  <c r="X239" i="28"/>
  <c r="X18" i="28"/>
  <c r="X130" i="28"/>
  <c r="X212" i="28"/>
  <c r="F52" i="28"/>
  <c r="F7" i="30"/>
  <c r="H7" i="30" s="1"/>
  <c r="F73" i="28"/>
  <c r="X116" i="28"/>
  <c r="F120" i="28"/>
  <c r="X35" i="28"/>
  <c r="X57" i="28"/>
  <c r="X139" i="28"/>
  <c r="X223" i="28"/>
  <c r="X137" i="28"/>
  <c r="F8" i="30"/>
  <c r="F53" i="28"/>
  <c r="X138" i="28"/>
  <c r="F57" i="28"/>
  <c r="X186" i="28"/>
  <c r="X56" i="28"/>
  <c r="D1" i="28"/>
  <c r="G151" i="28"/>
  <c r="X60" i="28"/>
  <c r="H239" i="28"/>
  <c r="Q239" i="28" s="1"/>
  <c r="F14" i="30"/>
  <c r="X227" i="28"/>
  <c r="X62" i="28"/>
  <c r="X140" i="28"/>
  <c r="X182" i="28"/>
  <c r="X147" i="28"/>
  <c r="X141" i="28"/>
  <c r="G164" i="28"/>
  <c r="Q164" i="28" s="1"/>
  <c r="X148" i="28"/>
  <c r="X218" i="28"/>
  <c r="X28" i="28"/>
  <c r="X64" i="28"/>
  <c r="X226" i="28"/>
  <c r="X156" i="28"/>
  <c r="X31" i="28"/>
  <c r="X170" i="28"/>
  <c r="X77" i="28"/>
  <c r="X217" i="28"/>
  <c r="X174" i="28"/>
  <c r="X134" i="28"/>
  <c r="X214" i="28"/>
  <c r="X23" i="28"/>
  <c r="F170" i="28"/>
  <c r="X162" i="28"/>
  <c r="X181" i="28"/>
  <c r="X27" i="28"/>
  <c r="X235" i="28"/>
  <c r="X22" i="28"/>
  <c r="X65" i="28"/>
  <c r="X146" i="28"/>
  <c r="X169" i="28"/>
  <c r="X76" i="28"/>
  <c r="X142" i="28"/>
  <c r="X25" i="28"/>
  <c r="F234" i="28"/>
  <c r="X8" i="28"/>
  <c r="X224" i="28"/>
  <c r="X154" i="28"/>
  <c r="X73" i="28"/>
  <c r="X211" i="28"/>
  <c r="X236" i="28"/>
  <c r="X144" i="28"/>
  <c r="X228" i="28"/>
  <c r="X183" i="28"/>
  <c r="X37" i="28"/>
  <c r="F151" i="28"/>
  <c r="Y143" i="28"/>
  <c r="X221" i="28"/>
  <c r="X135" i="28"/>
  <c r="X59" i="28"/>
  <c r="X184" i="28"/>
  <c r="X63" i="28"/>
  <c r="X149" i="28"/>
  <c r="X180" i="28"/>
  <c r="X175" i="28"/>
  <c r="X29" i="28"/>
  <c r="X172" i="28"/>
  <c r="H225" i="28"/>
  <c r="Q225" i="28" s="1"/>
  <c r="X213" i="28"/>
  <c r="X136" i="28"/>
  <c r="X55" i="28"/>
  <c r="X66" i="28"/>
  <c r="F58" i="28"/>
  <c r="X145" i="28"/>
  <c r="X159" i="28"/>
  <c r="X30" i="28"/>
  <c r="X6" i="28"/>
  <c r="X177" i="28"/>
  <c r="X79" i="28"/>
  <c r="X71" i="28"/>
  <c r="F17" i="28"/>
  <c r="F5" i="28"/>
  <c r="F179" i="28"/>
  <c r="F55" i="28"/>
  <c r="G34" i="28"/>
  <c r="Q34" i="28" s="1"/>
  <c r="G65" i="28"/>
  <c r="Q65" i="28" s="1"/>
  <c r="F66" i="28"/>
  <c r="F65" i="28"/>
  <c r="F21" i="28"/>
  <c r="E250" i="1"/>
  <c r="H238" i="28"/>
  <c r="Q238" i="28" s="1"/>
  <c r="G21" i="28"/>
  <c r="Q21" i="28" s="1"/>
  <c r="G179" i="28"/>
  <c r="Q179" i="28" s="1"/>
  <c r="F185" i="28"/>
  <c r="F188" i="28"/>
  <c r="F133" i="28"/>
  <c r="G133" i="28"/>
  <c r="Q133" i="28" s="1"/>
  <c r="F153" i="28"/>
  <c r="F117" i="28"/>
  <c r="F168" i="28"/>
  <c r="F167" i="28"/>
  <c r="F29" i="30"/>
  <c r="F75" i="28"/>
  <c r="F74" i="28"/>
  <c r="F28" i="30"/>
  <c r="H28" i="30" s="1"/>
  <c r="F33" i="28"/>
  <c r="F7" i="28"/>
  <c r="G163" i="28"/>
  <c r="Q163" i="28" s="1"/>
  <c r="F163" i="28"/>
  <c r="F79" i="28"/>
  <c r="G79" i="28"/>
  <c r="Q79" i="28" s="1"/>
  <c r="G80" i="28"/>
  <c r="Q80" i="28" s="1"/>
  <c r="G33" i="28"/>
  <c r="Q33" i="28" s="1"/>
  <c r="F72" i="28"/>
  <c r="F26" i="30"/>
  <c r="H26" i="30" s="1"/>
  <c r="F178" i="28"/>
  <c r="H220" i="28"/>
  <c r="Q220" i="28" s="1"/>
  <c r="F219" i="28"/>
  <c r="H237" i="28"/>
  <c r="Q237" i="28" s="1"/>
  <c r="F230" i="28"/>
  <c r="F10" i="30"/>
  <c r="F222" i="28"/>
  <c r="D18" i="73" l="1"/>
  <c r="F32" i="71"/>
  <c r="F23" i="71"/>
  <c r="F29" i="71" s="1"/>
  <c r="G239" i="28"/>
  <c r="G237" i="28"/>
  <c r="X10" i="28"/>
  <c r="Y10" i="28"/>
  <c r="F91" i="28"/>
  <c r="Y91" i="28"/>
  <c r="G238" i="28"/>
  <c r="F239" i="28"/>
  <c r="F10" i="28"/>
  <c r="X91" i="28"/>
  <c r="X143" i="28"/>
  <c r="F225" i="28"/>
  <c r="F238" i="28"/>
  <c r="F30" i="30"/>
  <c r="H29" i="30"/>
  <c r="H30" i="30" s="1"/>
  <c r="F220" i="28"/>
  <c r="F12" i="30"/>
  <c r="H10" i="30"/>
  <c r="H12" i="30" s="1"/>
  <c r="F237" i="28"/>
  <c r="D49" i="80" l="1"/>
  <c r="F49" i="80" s="1"/>
  <c r="D46" i="73"/>
  <c r="F46" i="73" s="1"/>
  <c r="F30" i="71"/>
  <c r="L295" i="28"/>
  <c r="J295" i="28"/>
  <c r="H32" i="30"/>
  <c r="F15" i="30"/>
  <c r="F18" i="30" s="1"/>
  <c r="F32" i="30"/>
  <c r="C22" i="30" l="1"/>
  <c r="F21" i="30"/>
  <c r="C21" i="30"/>
  <c r="F23" i="73" l="1"/>
</calcChain>
</file>

<file path=xl/sharedStrings.xml><?xml version="1.0" encoding="utf-8"?>
<sst xmlns="http://schemas.openxmlformats.org/spreadsheetml/2006/main" count="4316" uniqueCount="1835">
  <si>
    <t xml:space="preserve">Unit Number:      </t>
  </si>
  <si>
    <t>Description of Requested Amount from Audited Financial Statements</t>
  </si>
  <si>
    <t>Capital Assets for Governmental Activities</t>
  </si>
  <si>
    <t>Buildings</t>
  </si>
  <si>
    <t>Plant / distributions systems / water lines</t>
  </si>
  <si>
    <t>Infrastructure(other infrastructure)</t>
  </si>
  <si>
    <t xml:space="preserve">Electric Fund </t>
  </si>
  <si>
    <t>Construction in progress</t>
  </si>
  <si>
    <t>Capital Assets for Electric Fund</t>
  </si>
  <si>
    <t>Gross value:</t>
  </si>
  <si>
    <t>Notes to the Financial Statements -Summary Changes in Long-Term Liability</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</si>
  <si>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</si>
  <si>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</si>
  <si>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</si>
  <si>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</si>
  <si>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</si>
  <si>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</si>
  <si>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</si>
  <si>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</si>
  <si>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</si>
  <si>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Total Assets Gross value of assets being depreciated for Electric Fund</t>
  </si>
  <si>
    <t>Total accumulated depreciation for Electric Fund assets</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</si>
  <si>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</si>
  <si>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</si>
  <si>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</si>
  <si>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</si>
  <si>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</si>
  <si>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</si>
  <si>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</si>
  <si>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</si>
  <si>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t>Upload Amounts</t>
  </si>
  <si>
    <t xml:space="preserve"> </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</si>
  <si>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</si>
  <si>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</si>
  <si>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</si>
  <si>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</si>
  <si>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</si>
  <si>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</si>
  <si>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</si>
  <si>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</si>
  <si>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</si>
  <si>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</si>
  <si>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Description</t>
  </si>
  <si>
    <t>Account #</t>
  </si>
  <si>
    <t>Fiscal Year Reviewer Corrections</t>
  </si>
  <si>
    <t>Fiscal Year Unit Input</t>
  </si>
  <si>
    <t xml:space="preserve">                    FINISHED</t>
  </si>
  <si>
    <t>IMPORT</t>
  </si>
  <si>
    <t>Annual depreciation expense:</t>
  </si>
  <si>
    <t>Errors</t>
  </si>
  <si>
    <t>Other Financial Information</t>
  </si>
  <si>
    <t>Yes</t>
  </si>
  <si>
    <t>No</t>
  </si>
  <si>
    <t>Property Tax Increase for Year Audited</t>
  </si>
  <si>
    <t>Property Tax Increase for budget year after fiscal year being reported</t>
  </si>
  <si>
    <t>Cash &amp; Tax Memo</t>
  </si>
  <si>
    <t>Dashboard</t>
  </si>
  <si>
    <t>Water Sewer Memo</t>
  </si>
  <si>
    <t>Electric Memo</t>
  </si>
  <si>
    <t>Review Summary</t>
  </si>
  <si>
    <t>Error Detection</t>
  </si>
  <si>
    <t>Water Sewer Memo,
Dashboard,
Water Sewer Dashboard</t>
  </si>
  <si>
    <t>Water Sewer Memo, Water Sewer Dashboard</t>
  </si>
  <si>
    <t>Electric Memo,
Dashboard</t>
  </si>
  <si>
    <t>Water Sewer Memo, Water Sewer Dashboard, Dashboard</t>
  </si>
  <si>
    <t>Electrical Memo</t>
  </si>
  <si>
    <t>Dashboard,
Electric Memo</t>
  </si>
  <si>
    <t>Cash &amp; Tax Memo,
Dashboard</t>
  </si>
  <si>
    <t>Dashboard,
Water Sewer Memo</t>
  </si>
  <si>
    <t>Review Summary - FBA</t>
  </si>
  <si>
    <t>General Info used to evaluate health of unit</t>
  </si>
  <si>
    <t>Fiduciary Funds</t>
  </si>
  <si>
    <t>Calculation</t>
  </si>
  <si>
    <t>Total</t>
  </si>
  <si>
    <t>Without Including Restricted Cash</t>
  </si>
  <si>
    <t>Fund Balance Available for Appropriation - G.S. §159-8(a)</t>
  </si>
  <si>
    <t>Unrestricted Cash and Investments ………………………………..…………………..</t>
  </si>
  <si>
    <t>Restricted cash and investments (This would normally include Powell Bill, Bond Proceeds, consolidated funds such as capital reserve funds or tax revaluation funds)</t>
  </si>
  <si>
    <t>Encumbrances at June 30 (listed in the notes)……………………………...…………………………</t>
  </si>
  <si>
    <t>Unavailable or Unearned Revenues Arising from Cash Receipts ……………………………</t>
  </si>
  <si>
    <t>ü</t>
  </si>
  <si>
    <t>Fund Balance Available for Appropriation ……………………………………………………….</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</si>
  <si>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</si>
  <si>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</si>
  <si>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</si>
  <si>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</si>
  <si>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</si>
  <si>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</si>
  <si>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</si>
  <si>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</si>
  <si>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</si>
  <si>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</si>
  <si>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</si>
  <si>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</si>
  <si>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</si>
  <si>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</si>
  <si>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</si>
  <si>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Total Expenditures (As Adjusted) ………………………………...…………………….</t>
  </si>
  <si>
    <t xml:space="preserve">    Fund Balance Available  as % of Expenditures …………………………..........</t>
  </si>
  <si>
    <t xml:space="preserve"> Restricted Cash</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</si>
  <si>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</si>
  <si>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</si>
  <si>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</si>
  <si>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</si>
  <si>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</si>
  <si>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</si>
  <si>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</si>
  <si>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</si>
  <si>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</si>
  <si>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</si>
  <si>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</si>
  <si>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</si>
  <si>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Statutory Calculation of Fund Balance Available for Appropriation At June 30 for the General Fund
Restricted - Stabilization by State Statute</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</si>
  <si>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</si>
  <si>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</si>
  <si>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</si>
  <si>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</si>
  <si>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</si>
  <si>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</si>
  <si>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</si>
  <si>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</si>
  <si>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</si>
  <si>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</si>
  <si>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</si>
  <si>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</si>
  <si>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</si>
  <si>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</si>
  <si>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</si>
  <si>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</si>
  <si>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</si>
  <si>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</si>
  <si>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</si>
  <si>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</si>
  <si>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</si>
  <si>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</si>
  <si>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</si>
  <si>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</si>
  <si>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</si>
  <si>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</si>
  <si>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</si>
  <si>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</si>
  <si>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</si>
  <si>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</si>
  <si>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out</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</si>
  <si>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</si>
  <si>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</si>
  <si>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</si>
  <si>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</si>
  <si>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</si>
  <si>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</si>
  <si>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</si>
  <si>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</si>
  <si>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</si>
  <si>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Total Liabilities and deferred inflows</t>
  </si>
  <si>
    <t>Total Net position</t>
  </si>
  <si>
    <t xml:space="preserve">Statement of Net Position - Electric Fund </t>
  </si>
  <si>
    <t>Amount of inventories and prepaids</t>
  </si>
  <si>
    <t>Total liabilities and total deferred inflows</t>
  </si>
  <si>
    <t>Total net position</t>
  </si>
  <si>
    <t>Total Operating revenues</t>
  </si>
  <si>
    <t>Depreciation and amortization expense</t>
  </si>
  <si>
    <t>Total Operating expenses</t>
  </si>
  <si>
    <t>Interest expense</t>
  </si>
  <si>
    <t>Charges for services</t>
  </si>
  <si>
    <t>Electrical power purchases</t>
  </si>
  <si>
    <t>Fiduciary Statements</t>
  </si>
  <si>
    <t>Cash and Investment Note</t>
  </si>
  <si>
    <t>OPEB Note</t>
  </si>
  <si>
    <t>Transfer Note</t>
  </si>
  <si>
    <t>Fund Balance Note</t>
  </si>
  <si>
    <t>Amount of the Water Sewer Fund Balance appropriated in next year's budget?</t>
  </si>
  <si>
    <t>Analysis of Current Tax Levy Schedule</t>
  </si>
  <si>
    <t>Accumulated depreciation</t>
  </si>
  <si>
    <t>Gov.-Capital Assets Schedule in the Notes</t>
  </si>
  <si>
    <t>WS-Capital Assets Schedule in the Notes</t>
  </si>
  <si>
    <t>WS Capital Assets Schedule-Gross Value</t>
  </si>
  <si>
    <t>WS Capital Assets Schedule-Annual Depreciation</t>
  </si>
  <si>
    <t>WS Capital Assets Schedule-Accumulated Depreciation</t>
  </si>
  <si>
    <t>Electric Assets</t>
  </si>
  <si>
    <t>Electric Accumulated Depreciation</t>
  </si>
  <si>
    <t>Budget Actual Statement for Water Sewer Fund-Modified Accrual Basis</t>
  </si>
  <si>
    <t>Liabilities……………………………………………………………….………………………….</t>
  </si>
  <si>
    <t>Statement of Revenues, Expenses, and Changes in Fund Net Position</t>
  </si>
  <si>
    <t>Gov - Restricted Cash &amp; Investments</t>
  </si>
  <si>
    <t>GA-Total Unrestricted Cash &amp; Investments</t>
  </si>
  <si>
    <t>Gov - Internal Balance</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</si>
  <si>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</si>
  <si>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</si>
  <si>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</si>
  <si>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</si>
  <si>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</si>
  <si>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</si>
  <si>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</si>
  <si>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</si>
  <si>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</si>
  <si>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</si>
  <si>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</si>
  <si>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</si>
  <si>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</si>
  <si>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</si>
  <si>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</si>
  <si>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</si>
  <si>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</si>
  <si>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</si>
  <si>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</si>
  <si>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</si>
  <si>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</si>
  <si>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</si>
  <si>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</si>
  <si>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</si>
  <si>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</si>
  <si>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</si>
  <si>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</si>
  <si>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</si>
  <si>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</si>
  <si>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</si>
  <si>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</si>
  <si>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</si>
  <si>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</si>
  <si>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</si>
  <si>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</si>
  <si>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</si>
  <si>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</si>
  <si>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</si>
  <si>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</si>
  <si>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</si>
  <si>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</si>
  <si>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</si>
  <si>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</si>
  <si>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</si>
  <si>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</si>
  <si>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</si>
  <si>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</si>
  <si>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</si>
  <si>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</si>
  <si>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</si>
  <si>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</si>
  <si>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</si>
  <si>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</si>
  <si>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</si>
  <si>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</si>
  <si>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</si>
  <si>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</si>
  <si>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</si>
  <si>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</si>
  <si>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</si>
  <si>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</si>
  <si>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</si>
  <si>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</si>
  <si>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</si>
  <si>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</si>
  <si>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</si>
  <si>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</si>
  <si>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</si>
  <si>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</si>
  <si>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</si>
  <si>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</si>
  <si>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OPEB- ARC</t>
  </si>
  <si>
    <t>OPEB- Obligation</t>
  </si>
  <si>
    <t>OPEB- Actuarial Value of Assets</t>
  </si>
  <si>
    <t>OPEB- UAAL</t>
  </si>
  <si>
    <t>OPEB- UAAL % of Payroll</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</si>
  <si>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</si>
  <si>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</si>
  <si>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</si>
  <si>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</si>
  <si>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</si>
  <si>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</si>
  <si>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</si>
  <si>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</si>
  <si>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</si>
  <si>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</si>
  <si>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</si>
  <si>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</si>
  <si>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</si>
  <si>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Comb-Proprietary Funds- Inventories &amp; Prepaids in Curr Assets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</si>
  <si>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</si>
  <si>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</si>
  <si>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</si>
  <si>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</si>
  <si>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</si>
  <si>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</si>
  <si>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</si>
  <si>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</si>
  <si>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</si>
  <si>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</si>
  <si>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</si>
  <si>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</si>
  <si>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</si>
  <si>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</si>
  <si>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</si>
  <si>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</si>
  <si>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</si>
  <si>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</si>
  <si>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</si>
  <si>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</si>
  <si>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</si>
  <si>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Unit Number</t>
  </si>
  <si>
    <t>CCH 4</t>
  </si>
  <si>
    <t>CCH 5</t>
  </si>
  <si>
    <t>CCH 6</t>
  </si>
  <si>
    <t>CCH 7</t>
  </si>
  <si>
    <t>CCH 9</t>
  </si>
  <si>
    <t>CCH 11</t>
  </si>
  <si>
    <t>CCH 12</t>
  </si>
  <si>
    <t>CCH 13</t>
  </si>
  <si>
    <t>C-EF- Current liabilities (Inc. Def Rev, Excl. BANs &amp; Comp Abs)</t>
  </si>
  <si>
    <t>CCH 14</t>
  </si>
  <si>
    <t>CCH 16</t>
  </si>
  <si>
    <t>CCH 17</t>
  </si>
  <si>
    <t>CCH 19</t>
  </si>
  <si>
    <t>CCH 20</t>
  </si>
  <si>
    <t>CCH 21</t>
  </si>
  <si>
    <t>CCH 22</t>
  </si>
  <si>
    <t>CCH 23</t>
  </si>
  <si>
    <t>CCH 31</t>
  </si>
  <si>
    <t xml:space="preserve">Combined Totals of all Proprietary Funds - Depreciation &amp; Amortization Expense </t>
  </si>
  <si>
    <t>CCH 32</t>
  </si>
  <si>
    <t>Combined Totals of all Proprietary Funds - Cash Flow from Operating</t>
  </si>
  <si>
    <t>CCH 33</t>
  </si>
  <si>
    <t>Hospital-EF- Unrestricted Cash &amp; Invest</t>
  </si>
  <si>
    <t>CCH 34</t>
  </si>
  <si>
    <t>CCH 35</t>
  </si>
  <si>
    <t>CCH 36</t>
  </si>
  <si>
    <t xml:space="preserve">Hospital-EF- Total LT Debt (non current portion only) (BS) </t>
  </si>
  <si>
    <t>CCH 37</t>
  </si>
  <si>
    <t>CCH 38</t>
  </si>
  <si>
    <t>Hospital-EF- Principal Paid on LTD (SCF)</t>
  </si>
  <si>
    <t>CCH 39</t>
  </si>
  <si>
    <t>Hospital-EF- Net Patient Revenue (IS)</t>
  </si>
  <si>
    <t>CCH 40</t>
  </si>
  <si>
    <t>Hospital-EF- Interest expenses (IS)</t>
  </si>
  <si>
    <t>CCH 41</t>
  </si>
  <si>
    <t>WS-EF- Current Assets (unrestricted, excl. inventory and prepaids)</t>
  </si>
  <si>
    <t>CCH 43</t>
  </si>
  <si>
    <t>CCH 44</t>
  </si>
  <si>
    <t>CCH 45</t>
  </si>
  <si>
    <t>CCH 46</t>
  </si>
  <si>
    <t>CCH 47</t>
  </si>
  <si>
    <t>CCH 48</t>
  </si>
  <si>
    <t>CCH 49</t>
  </si>
  <si>
    <t>CCH 50</t>
  </si>
  <si>
    <t>CCH 51</t>
  </si>
  <si>
    <t>CCH 52</t>
  </si>
  <si>
    <t>CCH 53</t>
  </si>
  <si>
    <t>CCH 54</t>
  </si>
  <si>
    <t>CCH 55</t>
  </si>
  <si>
    <t>CCH 61</t>
  </si>
  <si>
    <t>CCH 80</t>
  </si>
  <si>
    <t>CCH 81</t>
  </si>
  <si>
    <t>CCH 82</t>
  </si>
  <si>
    <t>CCH 83</t>
  </si>
  <si>
    <t>CCH 84</t>
  </si>
  <si>
    <t>CCH 85</t>
  </si>
  <si>
    <t>CCH 88</t>
  </si>
  <si>
    <t>CCH 89</t>
  </si>
  <si>
    <t>CCH 90</t>
  </si>
  <si>
    <t>CCH 91</t>
  </si>
  <si>
    <t>CCH 92</t>
  </si>
  <si>
    <t>CCH 93</t>
  </si>
  <si>
    <t>CCH 94</t>
  </si>
  <si>
    <t>CCH 97</t>
  </si>
  <si>
    <t>CCH 98</t>
  </si>
  <si>
    <t>CCH 99</t>
  </si>
  <si>
    <t>CCH 100</t>
  </si>
  <si>
    <t>CCH 101</t>
  </si>
  <si>
    <t>CCH 102</t>
  </si>
  <si>
    <t>CCH 103</t>
  </si>
  <si>
    <t>Hospital-EF- Capital Outlays</t>
  </si>
  <si>
    <t>CCH 104</t>
  </si>
  <si>
    <t>CCH 107</t>
  </si>
  <si>
    <t>CCH 108</t>
  </si>
  <si>
    <t xml:space="preserve">Counties Only- Local Current Expense to BOEs </t>
  </si>
  <si>
    <t>CCH 147</t>
  </si>
  <si>
    <t xml:space="preserve">Counties Only- Capital Outlay Contribution to BOEs </t>
  </si>
  <si>
    <t>CCH 148</t>
  </si>
  <si>
    <t xml:space="preserve">BOE Only-- Local Current Exp. Revenue from County. </t>
  </si>
  <si>
    <t>CCH 149</t>
  </si>
  <si>
    <t xml:space="preserve">BOE- Only-- Capital outlay revenue from county (GF, SRF, CPF) </t>
  </si>
  <si>
    <t>CCH 150</t>
  </si>
  <si>
    <t>CCH 171</t>
  </si>
  <si>
    <t>CCH 191</t>
  </si>
  <si>
    <t>CCH 192</t>
  </si>
  <si>
    <t>Combined Totals of all Proprietary Funds - Capital Contributions</t>
  </si>
  <si>
    <t>CCH 193</t>
  </si>
  <si>
    <t>Hospital-EF- Capital contributions (only positive)</t>
  </si>
  <si>
    <t>CCH 194</t>
  </si>
  <si>
    <t>GF- Total cash &amp; investments (restricted &amp; unrestricted)</t>
  </si>
  <si>
    <t>CCH 231</t>
  </si>
  <si>
    <t>All cash and investments (unit-wide, w/ fiduciary fds, &amp; restricted cash)</t>
  </si>
  <si>
    <t>CCH 251</t>
  </si>
  <si>
    <t>CCH 252</t>
  </si>
  <si>
    <t>CCH 253</t>
  </si>
  <si>
    <t>CCH 254</t>
  </si>
  <si>
    <t>CCH 255</t>
  </si>
  <si>
    <t>BOE Only- Timber Receipts Revenue</t>
  </si>
  <si>
    <t>CCH 274</t>
  </si>
  <si>
    <t>CCH 294</t>
  </si>
  <si>
    <t>Public Housing Authority- HUD Capital grants amount (SCF, don't include operating grants)</t>
  </si>
  <si>
    <t>CCH 314</t>
  </si>
  <si>
    <t>Public Housing Authority- Amount paid for capital asset acquisition (SCF)</t>
  </si>
  <si>
    <t>CCH 315</t>
  </si>
  <si>
    <t>Public Housing Authority - Operating income (loss)</t>
  </si>
  <si>
    <t>CCH 316</t>
  </si>
  <si>
    <t>CCH 320</t>
  </si>
  <si>
    <t>CCH 321</t>
  </si>
  <si>
    <t>CCH 322</t>
  </si>
  <si>
    <t>CCH 323</t>
  </si>
  <si>
    <t>CCH 324</t>
  </si>
  <si>
    <t>CCH 325</t>
  </si>
  <si>
    <t>CCH 326</t>
  </si>
  <si>
    <t>CCH 327</t>
  </si>
  <si>
    <t>CCH 328</t>
  </si>
  <si>
    <t>CCH 330</t>
  </si>
  <si>
    <t>CCH 331</t>
  </si>
  <si>
    <t>CCH 332</t>
  </si>
  <si>
    <t>CCH 333</t>
  </si>
  <si>
    <t>CCH 334</t>
  </si>
  <si>
    <t>CCH 335</t>
  </si>
  <si>
    <t>CCH 336</t>
  </si>
  <si>
    <t>CCH 337</t>
  </si>
  <si>
    <t>CCH 338</t>
  </si>
  <si>
    <t>CCH 339</t>
  </si>
  <si>
    <t>CCH 340</t>
  </si>
  <si>
    <t>CCH 341</t>
  </si>
  <si>
    <t>CCH 342</t>
  </si>
  <si>
    <t>CCH 343</t>
  </si>
  <si>
    <t>CCH 344</t>
  </si>
  <si>
    <t>CCH 346</t>
  </si>
  <si>
    <t>CCH 347</t>
  </si>
  <si>
    <t>CCH 349</t>
  </si>
  <si>
    <t>CCH 350</t>
  </si>
  <si>
    <t>CCH 351</t>
  </si>
  <si>
    <t>CCH 352</t>
  </si>
  <si>
    <t>CCH 353</t>
  </si>
  <si>
    <t>CCH 354</t>
  </si>
  <si>
    <t>CCH 357</t>
  </si>
  <si>
    <t>CCH 359</t>
  </si>
  <si>
    <t>CCH 360</t>
  </si>
  <si>
    <t>CCH 361</t>
  </si>
  <si>
    <t>CCH 362</t>
  </si>
  <si>
    <t>CCH 363</t>
  </si>
  <si>
    <t>CCH 364</t>
  </si>
  <si>
    <t>CCH 365</t>
  </si>
  <si>
    <t>CCH 366</t>
  </si>
  <si>
    <t>CCH 367</t>
  </si>
  <si>
    <t>CCH 368</t>
  </si>
  <si>
    <t>CCH 369</t>
  </si>
  <si>
    <t>CCH 370</t>
  </si>
  <si>
    <t>CCH 371</t>
  </si>
  <si>
    <t>CCH 373</t>
  </si>
  <si>
    <t>CCH 375</t>
  </si>
  <si>
    <t>CCH 376</t>
  </si>
  <si>
    <t>CCH 377</t>
  </si>
  <si>
    <t>CCH 378</t>
  </si>
  <si>
    <t>CCH 379</t>
  </si>
  <si>
    <t>CCH 380</t>
  </si>
  <si>
    <t>CCH 381</t>
  </si>
  <si>
    <t>CCH 382</t>
  </si>
  <si>
    <t>CCH 383</t>
  </si>
  <si>
    <t>CCH 384</t>
  </si>
  <si>
    <t>CCH 385</t>
  </si>
  <si>
    <t>CCH 386</t>
  </si>
  <si>
    <t>CCH 387</t>
  </si>
  <si>
    <t>CCH 388</t>
  </si>
  <si>
    <t>CCH 389</t>
  </si>
  <si>
    <t>CCH 391</t>
  </si>
  <si>
    <t>CCH 500</t>
  </si>
  <si>
    <t>CCH 501</t>
  </si>
  <si>
    <t>CCH 502</t>
  </si>
  <si>
    <t>CCH 503</t>
  </si>
  <si>
    <t>CCH 504</t>
  </si>
  <si>
    <t>CCH 505</t>
  </si>
  <si>
    <t>CCH 506</t>
  </si>
  <si>
    <t>CCH 507</t>
  </si>
  <si>
    <t>CCH 508</t>
  </si>
  <si>
    <t>CCH 509</t>
  </si>
  <si>
    <t>CCH 510</t>
  </si>
  <si>
    <t>CCH 511</t>
  </si>
  <si>
    <t>CCH 512</t>
  </si>
  <si>
    <t>CCH 513</t>
  </si>
  <si>
    <t>CCH 514</t>
  </si>
  <si>
    <t>CCH 515</t>
  </si>
  <si>
    <t>CCH 516</t>
  </si>
  <si>
    <t>CCH 517</t>
  </si>
  <si>
    <t>CCH 518</t>
  </si>
  <si>
    <t>CCH 519</t>
  </si>
  <si>
    <t>CCH 520</t>
  </si>
  <si>
    <t>CCH 521</t>
  </si>
  <si>
    <t>CCH 522</t>
  </si>
  <si>
    <t>CCH 523</t>
  </si>
  <si>
    <t>CCH 524</t>
  </si>
  <si>
    <t>CCH 525</t>
  </si>
  <si>
    <t>CCH 526</t>
  </si>
  <si>
    <t>CCH 527</t>
  </si>
  <si>
    <t>CCH 528</t>
  </si>
  <si>
    <t>CCH 529</t>
  </si>
  <si>
    <t>CCH 530</t>
  </si>
  <si>
    <t>CCH 531</t>
  </si>
  <si>
    <t>CCH 532</t>
  </si>
  <si>
    <t>CCH 533</t>
  </si>
  <si>
    <t>CCH 534</t>
  </si>
  <si>
    <t>CCH 535</t>
  </si>
  <si>
    <t>CCH 536</t>
  </si>
  <si>
    <t>CCH 537</t>
  </si>
  <si>
    <t>CCH 538</t>
  </si>
  <si>
    <t>CCH 539</t>
  </si>
  <si>
    <t>CCH 540</t>
  </si>
  <si>
    <t>CCH 541</t>
  </si>
  <si>
    <t>CCH 542</t>
  </si>
  <si>
    <t>CCH 543</t>
  </si>
  <si>
    <t>CCH 544</t>
  </si>
  <si>
    <t>CCH 545</t>
  </si>
  <si>
    <t>CCH 546</t>
  </si>
  <si>
    <t>CCH 547</t>
  </si>
  <si>
    <t>Hospital - No Budget required</t>
  </si>
  <si>
    <t>CCH 993</t>
  </si>
  <si>
    <t>Hospital - No Contract required</t>
  </si>
  <si>
    <t>CCH 994</t>
  </si>
  <si>
    <t>Units with Electric Operations have. 07,. 08,. 09</t>
  </si>
  <si>
    <t>CCH 995</t>
  </si>
  <si>
    <t>Units with Water Sewer Operations have. 01</t>
  </si>
  <si>
    <t>CCH 996</t>
  </si>
  <si>
    <t>CCH 998</t>
  </si>
  <si>
    <t>CCH 999</t>
  </si>
  <si>
    <t>Select Your Unit's Name from the drop down box in cell D2</t>
  </si>
  <si>
    <t>Dashboard,
Water Sewer Dashboard</t>
  </si>
  <si>
    <t>Water Sewer Memo,
Water Sewer Dashboard</t>
  </si>
  <si>
    <t>Notes to the Financial Statements - Law Enforcement Officers' Special Separation Allowance Note</t>
  </si>
  <si>
    <t>LEO Note</t>
  </si>
  <si>
    <t>Notes to the Financial Statements -Cash and Investments - Bond/Debt Proceeds</t>
  </si>
  <si>
    <t>Amount of Inventories and Prepaid expenses in current assets</t>
  </si>
  <si>
    <t>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</si>
  <si>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</si>
  <si>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</si>
  <si>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</si>
  <si>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Electric - Total Transfers Out(to all funds)</t>
  </si>
  <si>
    <t>Fund Statements - all Governmental Funds</t>
  </si>
  <si>
    <t>Information</t>
  </si>
  <si>
    <t>If your unit is not on the Drop Down list in cell D2 please select the blank space at the top of the drop down list in cell D2 and enter your units name here and complete the worksheet</t>
  </si>
  <si>
    <t>Unit paid to Officers under LEO</t>
  </si>
  <si>
    <t xml:space="preserve">OPEB 
1-implicit rate only  
2-no benefit 
3-benfit 
4- state health plan  </t>
  </si>
  <si>
    <t>Law Enforcement Officers - Actuarial value of Assets</t>
  </si>
  <si>
    <t>Pension Notes</t>
  </si>
  <si>
    <t>Note this number is adjusted for any negative internal balances</t>
  </si>
  <si>
    <t>Formula Results</t>
  </si>
  <si>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</si>
  <si>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</si>
  <si>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</si>
  <si>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</si>
  <si>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</si>
  <si>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</si>
  <si>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</si>
  <si>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</si>
  <si>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</si>
  <si>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</si>
  <si>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If unit did not answer you do not need to pursue.</t>
  </si>
  <si>
    <t>Error Amounts</t>
  </si>
  <si>
    <t>Error Count</t>
  </si>
  <si>
    <t xml:space="preserve">Review Summary </t>
  </si>
  <si>
    <t>Review Summary; Electric Memo</t>
  </si>
  <si>
    <t>Advance To: Interfund loan receivable-portion of repayment plan longer than 12 months</t>
  </si>
  <si>
    <t>GF-Advance To - Asset</t>
  </si>
  <si>
    <t>WS -  Advance To - Asset</t>
  </si>
  <si>
    <t>WS - Advance From - Liability</t>
  </si>
  <si>
    <t>EF - Advance To - Asset</t>
  </si>
  <si>
    <t>EF - Advance from - Liability</t>
  </si>
  <si>
    <t>use on upload template</t>
  </si>
  <si>
    <t>Gen Fund - Total Expenditures</t>
  </si>
  <si>
    <t>Gen Fund - Proceeds from LTD</t>
  </si>
  <si>
    <t>CCH 548</t>
  </si>
  <si>
    <t>CCH 549</t>
  </si>
  <si>
    <t>Debt Service payments made from Bond investments</t>
  </si>
  <si>
    <t>CCH 550</t>
  </si>
  <si>
    <t>CCH 551</t>
  </si>
  <si>
    <t>CCH 552</t>
  </si>
  <si>
    <t>not currently used</t>
  </si>
  <si>
    <t>CCH 553</t>
  </si>
  <si>
    <t>Single Audit Only - total amount of federal awards and grants expended as found on SEFSA</t>
  </si>
  <si>
    <t>CCH 554</t>
  </si>
  <si>
    <t>Single Audit Only - Total amount of federal awards and grants that were audited as major as found on SEFSA</t>
  </si>
  <si>
    <t>CCH 555</t>
  </si>
  <si>
    <t>Single Audit Only - total amount of state awards and grants expended as found on SEFSA</t>
  </si>
  <si>
    <t>CCH 556</t>
  </si>
  <si>
    <t>Single Audit Only - Total amount of state awards and grants that were audited as major as found on SEFSA</t>
  </si>
  <si>
    <t>CCH 557</t>
  </si>
  <si>
    <t>CCH 558</t>
  </si>
  <si>
    <t>CCH 559</t>
  </si>
  <si>
    <t>CCH 560</t>
  </si>
  <si>
    <t>CCH 561</t>
  </si>
  <si>
    <t>CCH 562</t>
  </si>
  <si>
    <t>CCH 563</t>
  </si>
  <si>
    <t>CCH 564</t>
  </si>
  <si>
    <t>CCH 565</t>
  </si>
  <si>
    <t>CCH 566</t>
  </si>
  <si>
    <t>CCH 567</t>
  </si>
  <si>
    <t>CCH 568</t>
  </si>
  <si>
    <t>CCH 569</t>
  </si>
  <si>
    <t>CCH 570</t>
  </si>
  <si>
    <t>CCH 571</t>
  </si>
  <si>
    <t>CCH 572</t>
  </si>
  <si>
    <t>CCH 573</t>
  </si>
  <si>
    <t>CCH 574</t>
  </si>
  <si>
    <t>CCH 992</t>
  </si>
  <si>
    <t>Fiscal Review</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</si>
  <si>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</si>
  <si>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</si>
  <si>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</si>
  <si>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</si>
  <si>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</si>
  <si>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</si>
  <si>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</si>
  <si>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</si>
  <si>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Indicate if your water/sewer system:
50 - Became Operational
51 - Ceased Operations
52 - No Change</t>
  </si>
  <si>
    <t>50 - Became Operational</t>
  </si>
  <si>
    <t>51 - Ceased Operations</t>
  </si>
  <si>
    <t>52 - No Change</t>
  </si>
  <si>
    <t>Status of Water Sewer</t>
  </si>
  <si>
    <t>Gen Fund - Current Liabilities</t>
  </si>
  <si>
    <t>C-EF- Current Assets (unrestricted, excl. inventory and prepaids)</t>
  </si>
  <si>
    <t>C-EF Current Assets (unrestricted, incl. inventory and prepaids)</t>
  </si>
  <si>
    <t>GF- Total expenditures</t>
  </si>
  <si>
    <t>GF- Proceeds from all LT debt issuance (COPs, IPs, Notes, CLs, etc.)</t>
  </si>
  <si>
    <t>C-EF- Change in Net Assets</t>
  </si>
  <si>
    <t>Hospital-EF - Patient A/Rec, net</t>
  </si>
  <si>
    <t>Hospital-EF- Total Gross Capital Assets (BS), w/o acc. dep.</t>
  </si>
  <si>
    <t xml:space="preserve">Hospital-EF- Unrestricted Fund Equity/Net Assets </t>
  </si>
  <si>
    <t>WS - Total Current Assets</t>
  </si>
  <si>
    <t>WS - Select Current Liabilities</t>
  </si>
  <si>
    <t>E-EF- Current Assets (unrestricted, excl. inventory and prepaids)</t>
  </si>
  <si>
    <t>Electric - Total Current Assets</t>
  </si>
  <si>
    <t>E-EF- Net Transfers In(Out)- with GF only</t>
  </si>
  <si>
    <t>E-EF- Gross Capital Assets</t>
  </si>
  <si>
    <t>Hospital-EF - Total Operating Revenues</t>
  </si>
  <si>
    <t xml:space="preserve">Hospital-EF- Total Operating Expenses. May include Interest Exp. </t>
  </si>
  <si>
    <t>WS Cap Asset - Land &amp; other Non-Construction</t>
  </si>
  <si>
    <t>WS-EF- Accumulated Infrastructure Deprec Expense</t>
  </si>
  <si>
    <t>Gov - Select Current Liabilities</t>
  </si>
  <si>
    <t>GA- Total Program revenues (SOA)</t>
  </si>
  <si>
    <t>GA- Total Net transfers in(out) (SOA)</t>
  </si>
  <si>
    <t>WS-EF- Total depreciable capital assets, gross</t>
  </si>
  <si>
    <t>WS-EF- Total Accum Deprec on all capital assets.</t>
  </si>
  <si>
    <t>GF- Restricted cash &amp; investments</t>
  </si>
  <si>
    <t>CCH 575</t>
  </si>
  <si>
    <t>CCH 576</t>
  </si>
  <si>
    <t>Yes  or "1" indicates unit has defined benefit other than the ones adm. By the state</t>
  </si>
  <si>
    <t>CCH 577</t>
  </si>
  <si>
    <t>WS-Advance From - Liability</t>
  </si>
  <si>
    <t>CCH 578</t>
  </si>
  <si>
    <t>WS-Advance To - Asset</t>
  </si>
  <si>
    <t>CCH 579</t>
  </si>
  <si>
    <t>EF-Advance From - Liability</t>
  </si>
  <si>
    <t>CCH 580</t>
  </si>
  <si>
    <t>EF-Advance To - Asset</t>
  </si>
  <si>
    <t>CCH 581</t>
  </si>
  <si>
    <t>TDA- Government Wide current and long-term debt</t>
  </si>
  <si>
    <t>CCH 582</t>
  </si>
  <si>
    <t>Bus- Total Expenses</t>
  </si>
  <si>
    <t>CCH 583</t>
  </si>
  <si>
    <t>Bus-Total Revenues</t>
  </si>
  <si>
    <t>CCH 584</t>
  </si>
  <si>
    <t>County only-timber receipts sent to the schools</t>
  </si>
  <si>
    <t>CCH 585</t>
  </si>
  <si>
    <t>GF - Advance from</t>
  </si>
  <si>
    <t>CCH 586</t>
  </si>
  <si>
    <t>Local Curr Exp trx to Fund 8</t>
  </si>
  <si>
    <t>CCH 587</t>
  </si>
  <si>
    <t>Capital Outlay trx to Fund 8</t>
  </si>
  <si>
    <t>CCH 588</t>
  </si>
  <si>
    <t>County-supplemental school tax reported in Agency fund</t>
  </si>
  <si>
    <t>CCH 589</t>
  </si>
  <si>
    <t xml:space="preserve">This is a description question that is retained on the data input tab - This information is not uploaded to CCH or our data base </t>
  </si>
  <si>
    <t>CCH 590</t>
  </si>
  <si>
    <t>Statement of Activities                               (all governmental and business funds)</t>
  </si>
  <si>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</si>
  <si>
    <t>https://www.nctreasurer.com/slg/lfm/financial-analysis/Pages/Analysis-by-Population.aspx</t>
  </si>
  <si>
    <t>Interest income from statement of activities</t>
  </si>
  <si>
    <t>Long-Term Liability Note - Governmental Activities</t>
  </si>
  <si>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</si>
  <si>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</si>
  <si>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</si>
  <si>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</si>
  <si>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</si>
  <si>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Unit Contact Question</t>
  </si>
  <si>
    <t>Interest income from statement of activitites</t>
  </si>
  <si>
    <t>If you have LEO pension assets and are reporting under GASB 68 please enter "Plan Fiduciary Net Position" which can be found on your RSI schedules and the Notes.</t>
  </si>
  <si>
    <t>Health benefits - total OPEB liability</t>
  </si>
  <si>
    <t>Health benefits- OPEB plan fiduciary net position</t>
  </si>
  <si>
    <t>Vision benefits - total OPEB liability</t>
  </si>
  <si>
    <t>Vision benefits - OPEB plan fiduciary net position</t>
  </si>
  <si>
    <t>Dental benefits - OPEB plan fiduciary net position</t>
  </si>
  <si>
    <t>Other benefits - total OPEB liability</t>
  </si>
  <si>
    <t>Other benefits - OPEB plan fiduciary net position</t>
  </si>
  <si>
    <t xml:space="preserve">For Internal Control Uses Only:
1) NO IC Issues
2) Immaterial IC Issues
3) Unit Visit needed, no UL
4) Unit Letter for IC
5) Consider placing/remaining on Unit Assistance List
6) Consider taking off Unit Assistance List
7) Communication to DPI
</t>
  </si>
  <si>
    <t>Unit was issued:
1) No UL
2) No UL but visit is needed
3) UL with response
4) UL no response required
5) SUL requiring written response
6) Communication to DPI</t>
  </si>
  <si>
    <t>OPEB
 Note or RSI</t>
  </si>
  <si>
    <t>Financial opinion - enter "1" for clean Opinion or "2" for other than clean opinion</t>
  </si>
  <si>
    <t>Dental benefits - total OPEB liability</t>
  </si>
  <si>
    <t>Notes or formulas</t>
  </si>
  <si>
    <t>OPEB
RSI</t>
  </si>
  <si>
    <t>LEO
RSI</t>
  </si>
  <si>
    <t>Do you expect to issue debt requiring LGC approval within 12 months from the date that the audit is submitted - select "1" for year and "2" for no</t>
  </si>
  <si>
    <t>Do you expect to issue debt requiring LGC approval within 12 months from the date that the audit is submitted - select "1" for yes and "2" for no</t>
  </si>
  <si>
    <t>Debt Issued within next 12 months</t>
  </si>
  <si>
    <t>#VALUE!</t>
  </si>
  <si>
    <t/>
  </si>
  <si>
    <t>If you have LEO pension assets and are reporting under GASB 68 please enter "Plan Fiduciary Net Position" which can be found on your RSI schedules.</t>
  </si>
  <si>
    <t>Health benefits - plan's fiduary net postion as a % of total OPEB liability</t>
  </si>
  <si>
    <t>Vision benefits - plan's fiduary net postion as a % of total OPEB liability</t>
  </si>
  <si>
    <t>Dental benefits - plan's fiduary net postion as a % of total OPEB liability</t>
  </si>
  <si>
    <t>Other benefits - plan's fiduary net postion as a % of total OPEB liability</t>
  </si>
  <si>
    <t>LEOSSA – What is the plan’s fiduciary net position as a percentage of the total pension liability?  Please enter as percentage value; for example, 83.5% should be entered as 83.5.  If assets have not been set aside in a trust, please enter 0.0</t>
  </si>
  <si>
    <t>LEO - plan's fiduary net position as a % of total pension liability</t>
  </si>
  <si>
    <t>FS., OPEB  note or RSI</t>
  </si>
  <si>
    <t>Compliance opinion - enter "1" for clean Opinion or "2" for other than clean opinion</t>
  </si>
  <si>
    <t>FS., Pension note or RSI</t>
  </si>
  <si>
    <t>Notes to the Financial Statements - Pension Note</t>
  </si>
  <si>
    <t>Net OPEB Liability (RHBF)</t>
  </si>
  <si>
    <t>FS., OPEB note or RSI</t>
  </si>
  <si>
    <t>Does the County collect real estate property taxes on your behalf? Select "1" for "yes and "2" for "No"</t>
  </si>
  <si>
    <t>Not loaded to CCH</t>
  </si>
  <si>
    <t>County collects real estate property on your behalf</t>
  </si>
  <si>
    <t>Net Pension Liability</t>
  </si>
  <si>
    <t>Determination of Fiscal Health</t>
  </si>
  <si>
    <t>Fund Balance, Unassigned</t>
  </si>
  <si>
    <t>Debt Service Fund</t>
  </si>
  <si>
    <t>Please enter the Total Fund Balance for any Debt Service Funds</t>
  </si>
  <si>
    <t>Water Sewer Net Position Statement</t>
  </si>
  <si>
    <t>Total Fund Balance</t>
  </si>
  <si>
    <t>Quick Ratio</t>
  </si>
  <si>
    <t>General fund:</t>
  </si>
  <si>
    <t>Electric Fund:</t>
  </si>
  <si>
    <t>Water Sewer Funds:</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</si>
  <si>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</si>
  <si>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</si>
  <si>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</si>
  <si>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</si>
  <si>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</si>
  <si>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</si>
  <si>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</si>
  <si>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</si>
  <si>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</si>
  <si>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</si>
  <si>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</si>
  <si>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</si>
  <si>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</si>
  <si>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</si>
  <si>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</si>
  <si>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</si>
  <si>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</si>
  <si>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</si>
  <si>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</si>
  <si>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</si>
  <si>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</si>
  <si>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Acct #</t>
  </si>
  <si>
    <t>Fund balance, Assigned (total of all assigned components)</t>
  </si>
  <si>
    <t>Amount of the General Fund Balance appropriated in next year's budget. As reported on the General Fund Balance Sheet.</t>
  </si>
  <si>
    <t>Unit Data From Audit Worksheet</t>
  </si>
  <si>
    <t>Cherokee</t>
  </si>
  <si>
    <t>Chowan</t>
  </si>
  <si>
    <t>Durham</t>
  </si>
  <si>
    <t>Gaston</t>
  </si>
  <si>
    <t>Henderson</t>
  </si>
  <si>
    <t>Macon</t>
  </si>
  <si>
    <t>McDowell</t>
  </si>
  <si>
    <t>Mecklenburg</t>
  </si>
  <si>
    <t xml:space="preserve">New Hanover </t>
  </si>
  <si>
    <t>Pitt</t>
  </si>
  <si>
    <t>Rockingham</t>
  </si>
  <si>
    <t>Rutherford</t>
  </si>
  <si>
    <t>Wake</t>
  </si>
  <si>
    <t>Chapel Hill</t>
  </si>
  <si>
    <t>Charlotte</t>
  </si>
  <si>
    <t>Durham City</t>
  </si>
  <si>
    <t>Fuquay Varina</t>
  </si>
  <si>
    <t>Greensboro</t>
  </si>
  <si>
    <t>Greenville</t>
  </si>
  <si>
    <t>High Point</t>
  </si>
  <si>
    <t>Wake Forest</t>
  </si>
  <si>
    <t>Wilmington</t>
  </si>
  <si>
    <t>Winston-Salem</t>
  </si>
  <si>
    <t>Unit #</t>
  </si>
  <si>
    <t>CCH # 647</t>
  </si>
  <si>
    <t>MANDATORY</t>
  </si>
  <si>
    <t>All Fields Must Be Completed</t>
  </si>
  <si>
    <t>Title of Official</t>
  </si>
  <si>
    <t>Date                        (Enter as "MM/DD/YYYY")</t>
  </si>
  <si>
    <t>Telephone number</t>
  </si>
  <si>
    <t>E-mail address</t>
  </si>
  <si>
    <t>Total FB for Debt Service Funds</t>
  </si>
  <si>
    <t>GF  FBA</t>
  </si>
  <si>
    <t>GF Exp and Tran out</t>
  </si>
  <si>
    <t>GF FBA% of Exp</t>
  </si>
  <si>
    <t>(506+536-4-5-6)+647</t>
  </si>
  <si>
    <t>WS debt service</t>
  </si>
  <si>
    <t>44-510</t>
  </si>
  <si>
    <t>WS Current asset</t>
  </si>
  <si>
    <t>(506+536-4-5-6)+647/(532+20+509-533-508)</t>
  </si>
  <si>
    <t>532+20+509-533-508</t>
  </si>
  <si>
    <t>WS Days in Sales</t>
  </si>
  <si>
    <t xml:space="preserve">Electric Days in Sales </t>
  </si>
  <si>
    <t>81*365/88</t>
  </si>
  <si>
    <t>91*365/97</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</si>
  <si>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</si>
  <si>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</si>
  <si>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</si>
  <si>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</si>
  <si>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</si>
  <si>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</si>
  <si>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</si>
  <si>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</si>
  <si>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</si>
  <si>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Units that have a Tourism Development Authority reported in their audit report</t>
  </si>
  <si>
    <t>Do you use prepared food/occupancy tax revenue stream to support debt?  Select "1" for Yes and "2" for No</t>
  </si>
  <si>
    <t>Total OPEB benefits - total OPEB liability
If you do not provide benefit, please enter 0</t>
  </si>
  <si>
    <t>Total OPEB benefits- OPEB plan fiduciary net position
If no fiduciary net position, enter 0</t>
  </si>
  <si>
    <t xml:space="preserve">Total Current assets as listed on the Electric Net Position Statement.  
</t>
  </si>
  <si>
    <t>OPEB-Plan's fiduciary net position as a % of total OPEB liability</t>
  </si>
  <si>
    <t>Do you use prepared food/occupancy tax revenue stream to support debt.  Yes =1 No=2</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</si>
  <si>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</si>
  <si>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</si>
  <si>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</si>
  <si>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</si>
  <si>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Errors :  The cell to the left indicates the number of error messages on the data input tab</t>
  </si>
  <si>
    <t xml:space="preserve"> Statement of Cash Flows</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</si>
  <si>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</si>
  <si>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</si>
  <si>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</si>
  <si>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</si>
  <si>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</si>
  <si>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</si>
  <si>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</si>
  <si>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</si>
  <si>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</si>
  <si>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</si>
  <si>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</si>
  <si>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Indian Beach</t>
  </si>
  <si>
    <t>Jackson</t>
  </si>
  <si>
    <t>Kingstown</t>
  </si>
  <si>
    <t>Love Valley</t>
  </si>
  <si>
    <t>Lucama</t>
  </si>
  <si>
    <t>Lumberton</t>
  </si>
  <si>
    <t>Macclesfield</t>
  </si>
  <si>
    <t>Magnolia</t>
  </si>
  <si>
    <t>Maysville</t>
  </si>
  <si>
    <t>Hospital-EF- Change in Net Assets</t>
  </si>
  <si>
    <t>OPEB- Annual Expenses</t>
  </si>
  <si>
    <t>Did unit raise Water Sewer rates during the audited fiscal period? - answer Yes or No</t>
  </si>
  <si>
    <t>Did unit raise Water Sewer rates during the budget year following the audited fiscal year? - answer Yes or No</t>
  </si>
  <si>
    <t>Amount employer expends for any retiree health care premiums or retiree health care cost.</t>
  </si>
  <si>
    <t>Amount of the General Fund Balance appropriated in next year's budget</t>
  </si>
  <si>
    <t>Amount of Water Sewer revenues and other financing sources over expenditures and other uses</t>
  </si>
  <si>
    <t>Amount of the Water Sewer Fund Balance appropriated in next year's budget</t>
  </si>
  <si>
    <t>Amount of interest income and investment income recognized as revenue in your audit report for all governmental and proprietary funds.</t>
  </si>
  <si>
    <t>Supplemental School Tax</t>
  </si>
  <si>
    <t>The Unfunded actuarially accrued liability for the unit's Leo benefit.</t>
  </si>
  <si>
    <t>Internal Control-
1) no IC issues 
2)Immaterial 
3) Unit letter for IC 
4) Unit visit for IC</t>
  </si>
  <si>
    <t>LGC Records indicate that your unit has an operational Water and/or Sewer system and needs to complete the Water Sewer Questions</t>
  </si>
  <si>
    <t>For Internal Control Issues Only
1) no IC issues 
2)Immaterial IC issues
3) Unit letter for IC 
4) Consider placing on Unit Assistance List due to IC issues
5) Communication with DPI</t>
  </si>
  <si>
    <t xml:space="preserve">In your professional opinion do you believe the unit of government can best be served by:
1 - No UL
2 - UL requiring a written response from the unit
3 - UL no written  response required from unit - schedule a staff followup
4-  UL requires a written reponse from unit and a staff followup
5 - Special unit letter requiring a written response
6- Communication to DPI
</t>
  </si>
  <si>
    <t xml:space="preserve">Indicate if the Unit does not pay any portion of the retiree's cost other than implicit rate subsidy (1), does not have a plan (2),  has an OPEB plan for which the unit pays at least a portion of retiree’s health care cost (3) or is part of the State Health System (4).  </t>
  </si>
  <si>
    <t>Dashboard; Determination of Fiscal Health</t>
  </si>
  <si>
    <t>WS-Any current assets that are restricted (Cash, Accounts Rec., etc..) and included in account 654 above</t>
  </si>
  <si>
    <t>Electric-Any current assets that are restricted (Cash, Accounts Rec., etc..) and included in account 657 above</t>
  </si>
  <si>
    <t>WS-Any current assets that are restricted (Cash, Accounts Rec., etc..)</t>
  </si>
  <si>
    <t>LEO - plan's fiduciary net position as a % of total pension liability</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</si>
  <si>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</si>
  <si>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</si>
  <si>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</si>
  <si>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</si>
  <si>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Net OPEB Liability RHBF</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</si>
  <si>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</si>
  <si>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</si>
  <si>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</si>
  <si>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Data documenting the unit's compliance with General Statue 159-25 is captured in account numbers 947, 948, 949, 950, 952, 954, 956, and 958.</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</si>
  <si>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</si>
  <si>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</si>
  <si>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</si>
  <si>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</si>
  <si>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</si>
  <si>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</si>
  <si>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</si>
  <si>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GF FBA Less Powell Bill</t>
  </si>
  <si>
    <t>GF FBA% of Exp less Powell Bill</t>
  </si>
  <si>
    <t>(506+536-4-5-6-11)+647/(532+20+509-533-508)</t>
  </si>
  <si>
    <t>(506+536-4-5-6-11)+647</t>
  </si>
  <si>
    <t>Available Fund Balance + debt service fund balance less Powell Bill / Total Expenditures and Transfers-out less bond proceeds</t>
  </si>
  <si>
    <t>N/A</t>
  </si>
  <si>
    <t>NC DEPARTMENT OF STATE TREASURER- STATE AND LOCAL GOVERNMENT FINANCE DIVISION
 AUDIT REPORT TRANSMITTAL DOCUMENT
PORTAL ADDRESS: https://nctreasurerslgfd.leapfile.net</t>
  </si>
  <si>
    <t>Transmittal Instructions</t>
  </si>
  <si>
    <t>Please see the INSTRUCTIONS worksheet before completing this form</t>
  </si>
  <si>
    <t>Please have the completed audit report available to complete this form.  ALL questions must be answered before submitting to the portal</t>
  </si>
  <si>
    <t>Section 1: Contact and General Info</t>
  </si>
  <si>
    <r>
      <t>Name of Primary Governmental Unit:</t>
    </r>
    <r>
      <rPr>
        <sz val="10"/>
        <color rgb="FF00B050"/>
        <rFont val="Verdana"/>
        <family val="2"/>
      </rPr>
      <t xml:space="preserve"> </t>
    </r>
    <r>
      <rPr>
        <i/>
        <sz val="10"/>
        <rFont val="Verdana"/>
        <family val="2"/>
      </rPr>
      <t>ie. City of Dogwood = Dogwood</t>
    </r>
  </si>
  <si>
    <t>Does this unit have a Tourism Development Authority as a discretely presented component unit?</t>
  </si>
  <si>
    <t>E-mail address to notify the Primary Government Unit that report has been reviewed</t>
  </si>
  <si>
    <t xml:space="preserve">Name of Audit Firm </t>
  </si>
  <si>
    <t>Name of Auditor</t>
  </si>
  <si>
    <t>E-mail address to notify the Auditor that the report has been reviewed</t>
  </si>
  <si>
    <r>
      <t xml:space="preserve">E-mail address to send approved invoices </t>
    </r>
    <r>
      <rPr>
        <i/>
        <sz val="9.5"/>
        <rFont val="Verdana"/>
        <family val="2"/>
      </rPr>
      <t>(should be at the audit firm)</t>
    </r>
  </si>
  <si>
    <t>Unit Type</t>
  </si>
  <si>
    <t>Did the Auditor prepare the Unit's financial statements?</t>
  </si>
  <si>
    <r>
      <t xml:space="preserve">Type of Audit </t>
    </r>
    <r>
      <rPr>
        <i/>
        <sz val="10"/>
        <color rgb="FF000000"/>
        <rFont val="Verdana"/>
        <family val="2"/>
      </rPr>
      <t>(Financial Only, Yellow Book, Single Audit)</t>
    </r>
  </si>
  <si>
    <t>Who is the designated person with skills, knowledge and experience (SKE) for the unit?</t>
  </si>
  <si>
    <t>What is the designated SKE's title?</t>
  </si>
  <si>
    <t>Who is the designated SKE's employer?</t>
  </si>
  <si>
    <t>Is the Independent Auditor's Report Opinion Unmodified?</t>
  </si>
  <si>
    <r>
      <t xml:space="preserve">Is there a </t>
    </r>
    <r>
      <rPr>
        <b/>
        <i/>
        <sz val="10"/>
        <color rgb="FF000000"/>
        <rFont val="Verdana"/>
        <family val="2"/>
      </rPr>
      <t>finding</t>
    </r>
    <r>
      <rPr>
        <i/>
        <sz val="10"/>
        <color rgb="FF000000"/>
        <rFont val="Verdana"/>
        <family val="2"/>
      </rPr>
      <t xml:space="preserve"> </t>
    </r>
    <r>
      <rPr>
        <sz val="10"/>
        <color rgb="FF000000"/>
        <rFont val="Verdana"/>
        <family val="2"/>
      </rPr>
      <t xml:space="preserve">for lack of segregation of duties at this unit? </t>
    </r>
  </si>
  <si>
    <r>
      <t>Is there a</t>
    </r>
    <r>
      <rPr>
        <b/>
        <i/>
        <sz val="10"/>
        <color rgb="FF000000"/>
        <rFont val="Verdana"/>
        <family val="2"/>
      </rPr>
      <t xml:space="preserve"> finding</t>
    </r>
    <r>
      <rPr>
        <sz val="10"/>
        <color rgb="FF000000"/>
        <rFont val="Verdana"/>
        <family val="2"/>
      </rPr>
      <t xml:space="preserve"> for lack of technical skills, knowledge and experience (SKE) at this unit?</t>
    </r>
  </si>
  <si>
    <r>
      <t>Is there is a going concern</t>
    </r>
    <r>
      <rPr>
        <i/>
        <sz val="10"/>
        <color rgb="FF000000"/>
        <rFont val="Verdana"/>
        <family val="2"/>
      </rPr>
      <t xml:space="preserve"> </t>
    </r>
    <r>
      <rPr>
        <b/>
        <i/>
        <sz val="10"/>
        <color rgb="FF000000"/>
        <rFont val="Verdana"/>
        <family val="2"/>
      </rPr>
      <t>finding</t>
    </r>
    <r>
      <rPr>
        <sz val="10"/>
        <color rgb="FF000000"/>
        <rFont val="Verdana"/>
        <family val="2"/>
      </rPr>
      <t xml:space="preserve"> noted in the audit report? </t>
    </r>
  </si>
  <si>
    <r>
      <t xml:space="preserve">Number of significant deficiency </t>
    </r>
    <r>
      <rPr>
        <b/>
        <i/>
        <sz val="10"/>
        <color rgb="FF000000"/>
        <rFont val="Verdana"/>
        <family val="2"/>
      </rPr>
      <t>findings</t>
    </r>
    <r>
      <rPr>
        <sz val="10"/>
        <color rgb="FF000000"/>
        <rFont val="Verdana"/>
        <family val="2"/>
      </rPr>
      <t xml:space="preserve"> </t>
    </r>
    <r>
      <rPr>
        <i/>
        <sz val="10"/>
        <color rgb="FF000000"/>
        <rFont val="Verdana"/>
        <family val="2"/>
      </rPr>
      <t>(other than in Questions 15-18 )</t>
    </r>
  </si>
  <si>
    <r>
      <t xml:space="preserve">Number of material weaknesses </t>
    </r>
    <r>
      <rPr>
        <b/>
        <i/>
        <sz val="10"/>
        <color rgb="FF000000"/>
        <rFont val="Verdana"/>
        <family val="2"/>
      </rPr>
      <t>findings</t>
    </r>
    <r>
      <rPr>
        <sz val="10"/>
        <color rgb="FF000000"/>
        <rFont val="Verdana"/>
        <family val="2"/>
      </rPr>
      <t xml:space="preserve"> </t>
    </r>
    <r>
      <rPr>
        <i/>
        <sz val="10"/>
        <color rgb="FF000000"/>
        <rFont val="Verdana"/>
        <family val="2"/>
      </rPr>
      <t>(other than in Questions 15-18)</t>
    </r>
  </si>
  <si>
    <t xml:space="preserve">Is the Finance Officer bonded for at least $50,000? (GS 159-42(h) </t>
  </si>
  <si>
    <t xml:space="preserve">Was a  Management Letter issued? </t>
  </si>
  <si>
    <t>Was an AU-C 260 letter issued?</t>
  </si>
  <si>
    <t>Was an AU-C 265 letter issued?</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</si>
  <si>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</si>
  <si>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</si>
  <si>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</si>
  <si>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</si>
  <si>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</si>
  <si>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</si>
  <si>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</si>
  <si>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Unit Name</t>
  </si>
  <si>
    <t>Aberdeen</t>
  </si>
  <si>
    <t>Andrews</t>
  </si>
  <si>
    <t>Anson County</t>
  </si>
  <si>
    <t>Askewville</t>
  </si>
  <si>
    <t>Badin</t>
  </si>
  <si>
    <t>Bath</t>
  </si>
  <si>
    <t>Belhaven</t>
  </si>
  <si>
    <t>Belville</t>
  </si>
  <si>
    <t>Bertie County</t>
  </si>
  <si>
    <t>Bethel</t>
  </si>
  <si>
    <t>Black Creek</t>
  </si>
  <si>
    <t>Boardman</t>
  </si>
  <si>
    <t>Bolton</t>
  </si>
  <si>
    <t>Brevard</t>
  </si>
  <si>
    <t>Castalia</t>
  </si>
  <si>
    <t>Cerro Gordo</t>
  </si>
  <si>
    <t>Chimney Rock</t>
  </si>
  <si>
    <t>Cliffside Sanitary District</t>
  </si>
  <si>
    <t>Colerain</t>
  </si>
  <si>
    <t>Columbia</t>
  </si>
  <si>
    <t>Dobbins Heights</t>
  </si>
  <si>
    <t>Dover</t>
  </si>
  <si>
    <t>Earl</t>
  </si>
  <si>
    <t>East Laurinburg</t>
  </si>
  <si>
    <t>East Spencer</t>
  </si>
  <si>
    <t>Edgecombe County</t>
  </si>
  <si>
    <t>Ellerbe</t>
  </si>
  <si>
    <t>Elm City</t>
  </si>
  <si>
    <t>Enfield</t>
  </si>
  <si>
    <t>Engelhard Sanitary District</t>
  </si>
  <si>
    <t>Everetts</t>
  </si>
  <si>
    <t>Fair Bluff</t>
  </si>
  <si>
    <t>Fairmont</t>
  </si>
  <si>
    <t>Fontana Dam</t>
  </si>
  <si>
    <t>Fork Township Sanitary District</t>
  </si>
  <si>
    <t>Four Oaks</t>
  </si>
  <si>
    <t>Franklinville</t>
  </si>
  <si>
    <t>Fremont</t>
  </si>
  <si>
    <t>Glen Alpine</t>
  </si>
  <si>
    <t>Goldsboro</t>
  </si>
  <si>
    <t>Greenevers</t>
  </si>
  <si>
    <t>Grover</t>
  </si>
  <si>
    <t>Halifax</t>
  </si>
  <si>
    <t>Hamilton</t>
  </si>
  <si>
    <t>Hamlet</t>
  </si>
  <si>
    <t>Hoffman</t>
  </si>
  <si>
    <t>Holly Ridge</t>
  </si>
  <si>
    <t>Hookerton</t>
  </si>
  <si>
    <t>Hyde County</t>
  </si>
  <si>
    <t>Madison County</t>
  </si>
  <si>
    <t>Milton</t>
  </si>
  <si>
    <t>Montreat</t>
  </si>
  <si>
    <t>Mount Olive</t>
  </si>
  <si>
    <t>Navassa</t>
  </si>
  <si>
    <t>Newport</t>
  </si>
  <si>
    <t>Newton Grove</t>
  </si>
  <si>
    <t>Norlina</t>
  </si>
  <si>
    <t>Norman</t>
  </si>
  <si>
    <t>Northampton County</t>
  </si>
  <si>
    <t>Norwood</t>
  </si>
  <si>
    <t>Oak City</t>
  </si>
  <si>
    <t>Orange County</t>
  </si>
  <si>
    <t>Pender County</t>
  </si>
  <si>
    <t>Pikeville</t>
  </si>
  <si>
    <t>Pilot Mountain</t>
  </si>
  <si>
    <t>Polkville</t>
  </si>
  <si>
    <t>Pollocksville</t>
  </si>
  <si>
    <t>Princeville</t>
  </si>
  <si>
    <t>Proctorville</t>
  </si>
  <si>
    <t>Ramseur</t>
  </si>
  <si>
    <t>Ranlo</t>
  </si>
  <si>
    <t>Red Springs</t>
  </si>
  <si>
    <t>Rich Square</t>
  </si>
  <si>
    <t>Robbins</t>
  </si>
  <si>
    <t>Robersonville</t>
  </si>
  <si>
    <t>Ronda</t>
  </si>
  <si>
    <t>Saint Pauls</t>
  </si>
  <si>
    <t>Scotland County</t>
  </si>
  <si>
    <t>Scotland Neck</t>
  </si>
  <si>
    <t>Sedalia</t>
  </si>
  <si>
    <t>Sharpsburg</t>
  </si>
  <si>
    <t>Snow Hill</t>
  </si>
  <si>
    <t>Spring Lake</t>
  </si>
  <si>
    <t>Stanly Water &amp; Sewer Authority</t>
  </si>
  <si>
    <t>Taylorsville</t>
  </si>
  <si>
    <t>Taylortown</t>
  </si>
  <si>
    <t>Tryon</t>
  </si>
  <si>
    <t>Tyrrell County</t>
  </si>
  <si>
    <t>Vanceboro</t>
  </si>
  <si>
    <t>Vass</t>
  </si>
  <si>
    <t>Whitakers</t>
  </si>
  <si>
    <t>Wilkesboro</t>
  </si>
  <si>
    <t>Data not collected in 2020</t>
  </si>
  <si>
    <t>No Revaluation with next two years</t>
  </si>
  <si>
    <t>Unsure</t>
  </si>
  <si>
    <t>Town of</t>
  </si>
  <si>
    <t>Statutory Calculation</t>
  </si>
  <si>
    <t>Actual Financial Reporting (per Audit Report)</t>
  </si>
  <si>
    <t>3% of Gross Capital Assets for the Prior Yr.</t>
  </si>
  <si>
    <t>Gross Capital Assets-Prior Year</t>
  </si>
  <si>
    <t>Results</t>
  </si>
  <si>
    <t>5% of Gross Annual Revenue of the Prior Yr.</t>
  </si>
  <si>
    <t xml:space="preserve">Amount Transferred per Audit </t>
  </si>
  <si>
    <t>Payment in Lieu of Taxes</t>
  </si>
  <si>
    <t>Actual Pilot per Audit</t>
  </si>
  <si>
    <t xml:space="preserve">Calculated Pilot </t>
  </si>
  <si>
    <t xml:space="preserve">PILOT </t>
  </si>
  <si>
    <t>Current property tax rate</t>
  </si>
  <si>
    <t xml:space="preserve">Amount Transferred minus PILOT </t>
  </si>
  <si>
    <t>Compliance</t>
  </si>
  <si>
    <t>Allowable Transfer per statute</t>
  </si>
  <si>
    <t>Is Unit following G.S. 159B-39?</t>
  </si>
  <si>
    <t>Payment in Lieu of Taxes Error:</t>
  </si>
  <si>
    <t>Notes:</t>
  </si>
  <si>
    <t xml:space="preserve">Comments: </t>
  </si>
  <si>
    <t>Electric Transfer Calculation</t>
  </si>
  <si>
    <t>Amount of transfer out to the General Fund that is for Payment in Lieu of Taxes (PILOT)</t>
  </si>
  <si>
    <t>2020-2021</t>
  </si>
  <si>
    <t>Avery, Bladen, Chowan, Craven, Duplin, Guilford, Harnett, Hoke, Jones, Mitchell, Onslow, Pasquotank, Watauga</t>
  </si>
  <si>
    <t>Increase</t>
  </si>
  <si>
    <t>Decrease</t>
  </si>
  <si>
    <t>No Change</t>
  </si>
  <si>
    <t>Performance Indicator</t>
  </si>
  <si>
    <t>This information was not collected in 2020</t>
  </si>
  <si>
    <t>County only question</t>
  </si>
  <si>
    <t>Performance Indicator Worksheet</t>
  </si>
  <si>
    <t>Fiscal Year</t>
  </si>
  <si>
    <t>Unit Number:</t>
  </si>
  <si>
    <t>Explanation of Performance Indicator</t>
  </si>
  <si>
    <t>Equal or greater than 1</t>
  </si>
  <si>
    <t>General Performance Indicators:</t>
  </si>
  <si>
    <t xml:space="preserve">You must include a financial plan to address the progress you have made since you were placed on the UAL in your Response to Audit Findings, Recommendations and Fiscal Issues </t>
  </si>
  <si>
    <t>The unit must address the material and/or significant findings or any other findings that the auditor reported to them.</t>
  </si>
  <si>
    <t>Before December 1 for 2021</t>
  </si>
  <si>
    <t>Less than 3%</t>
  </si>
  <si>
    <t>Any estimated Decrease</t>
  </si>
  <si>
    <t>Unit results</t>
  </si>
  <si>
    <t>Unit Data from Audit Worksheet tab: '(506+536-4-5-6)+647/(532+509+20-533-508)</t>
  </si>
  <si>
    <t>Unit Data from Audit Worksheet tab : (654-655-579-510)/(633-634-635-636-637-638-578)</t>
  </si>
  <si>
    <t>901</t>
  </si>
  <si>
    <t>902</t>
  </si>
  <si>
    <t>903</t>
  </si>
  <si>
    <t>904</t>
  </si>
  <si>
    <t>905</t>
  </si>
  <si>
    <t>967</t>
  </si>
  <si>
    <t>969</t>
  </si>
  <si>
    <t>970</t>
  </si>
  <si>
    <t>971</t>
  </si>
  <si>
    <t>972</t>
  </si>
  <si>
    <t>Date the Auditor presented or plans to present the Audit to the Governing Board</t>
  </si>
  <si>
    <t>Did the audit disclose any statutory violations in the notes that were not covered by findings?  Select Yes or No</t>
  </si>
  <si>
    <t>The Auditor will submit the Audit Report to the LGC by December 1, 2021   Select Yes or No</t>
  </si>
  <si>
    <t>The Performance Indicator Tab in this worksheet has at least one performance indicator of concern (indicated by a red shaded cell)</t>
  </si>
  <si>
    <t>TD Info Completed by Auditor : CCH acct # 979</t>
  </si>
  <si>
    <t>TD Info Completed by Auditor : CCH acct # 977</t>
  </si>
  <si>
    <t>If TD Info Completed by Auditor : CCH accts # 907, 951, 953, 955, 957, 973 had entries they would trigger this indicator</t>
  </si>
  <si>
    <t>Of the transfers-in above in acct # 352, list amount of transfers-in that were used to support Water Sewer operations  (exclude capital transfers)</t>
  </si>
  <si>
    <t>This information was not collected in 2021</t>
  </si>
  <si>
    <t>Unit Data from Audit worksheet tab : (984-985)/985</t>
  </si>
  <si>
    <t>Unit Data from Audit worksheet tab :  CCH acct # 991</t>
  </si>
  <si>
    <t>Unit Data from Audit worksheet tab :  CCH acct # 987</t>
  </si>
  <si>
    <t>TD Info Completed by Auditor : CCH acct # 978</t>
  </si>
  <si>
    <t xml:space="preserve">Electric Transfers-out have exceeded the amounts described in GS 159B-39.  If your unit is a member of the North Carolina Eastern Municipal Power Agency it appears you have violated the GS.  If you are not a member of the Eastern Municipal Power Agency we would like to understand what you are funding with the transfers-out and do you plan to continue this practice.  </t>
  </si>
  <si>
    <t>No over-expenditures</t>
  </si>
  <si>
    <t>The General Fund had a fund balance less than zero - Fund Deficit</t>
  </si>
  <si>
    <t>Unit Data from Audit worksheet tab :  CCH acct # 9</t>
  </si>
  <si>
    <t>In your response letter please review all the Electric performance indicators highlighted in red and provide a detailed financial plan that addresses these Electric issues.</t>
  </si>
  <si>
    <t xml:space="preserve">A Quick ratio less than 1 indicates that the amount the unit owes is larger than their cash investments and receivables.  This can indicate that the Fund may have difficulty in paying its current bills.  If this financial pattern remains the water and/or sewer system may not be sustainable in its current form.  </t>
  </si>
  <si>
    <t xml:space="preserve">This calculation subtracts (operating expenses - depreciation + debt principal paid) from operating revenues.  A negative balance in this indicates that your rate structure is not covering your operating expenses.  </t>
  </si>
  <si>
    <t>As stewards of the public’s resources, the governing body is responsible for ensuring that the audited financial statements are available to the public in a timely manner.  Information in the report is needed by you and your Board for you to take prompt and effective corrective action on any deficiencies noted.  External groups such as the North Carolina General Assembly, federal and State agencies that provide funding, and other public associations need current financial information about your Unit as well.  In your response please provide details on how the unit will provide a timely audit in the future.</t>
  </si>
  <si>
    <t xml:space="preserve">The local government has indicated that they have a significant unbudgeted cost that could significantly impact their operations and/or customer rates.  Please indicate what are the future annual cost and how the unit intends to pay for these cost.  </t>
  </si>
  <si>
    <t>You have indicated that the portion of your landfill that is estimated to close withing the next 5 years will not have the closure/postclosure cost funded.  Please provide in detail how these cost will be paid and by whom.</t>
  </si>
  <si>
    <t>The Auditor has reported findings to the Board.  The unit must provide detailed actions they are taking to correct or mitigate these findings.  Please provide the written policy changes you are making.</t>
  </si>
  <si>
    <t>Please explain where the operating transfers-in are coming from, why they are being made, and if they will be continued.  Please exclude all capital transfers-in.  Only discuss transfers-in that are being used to support the operations of the Water Sewer Fund.  The rate structure of the Water Sewer fund should support the expenses of the Water Sewer Fund without operating subsidies from other funds.</t>
  </si>
  <si>
    <t>hidden data</t>
  </si>
  <si>
    <t>WS Quick Ratio</t>
  </si>
  <si>
    <t>Operating Net Income (loss) excluding depreciation+ debt service principal</t>
  </si>
  <si>
    <t>Unit data from Audit Worksheet tab ; 84-85-49+331</t>
  </si>
  <si>
    <t>Unit Data from Audit worksheet tab : 80/(85+351-49+331)</t>
  </si>
  <si>
    <t>Unit Data from Audit worksheet tab : 93-94-52+100</t>
  </si>
  <si>
    <t>WS Unrestricted cash / Total expenses less depreciation+depbt service principal</t>
  </si>
  <si>
    <t>WS Operating Net Income (loss) excluding depreciation+ debt service principal</t>
  </si>
  <si>
    <t>80/(85+351-49+331)</t>
  </si>
  <si>
    <t>Unit Data from Audit worksheet tab : (657-658-511-581)/(639-640-641-642-643-644-580)</t>
  </si>
  <si>
    <t>(90/(364+94-52+100)</t>
  </si>
  <si>
    <t>Unit Data from Audit worksheet tab : (90/(364+94-52+100)</t>
  </si>
  <si>
    <t>TD Auditor</t>
  </si>
  <si>
    <t>Ad valorem tax collected (including motor vehicle and prior years) reported on budget actual statement</t>
  </si>
  <si>
    <t>Ad valorem tax budgeted (including motor vehicle and prior years) reported on budget actual statement</t>
  </si>
  <si>
    <t>Does Unit expect to issue debt next fiscal year</t>
  </si>
  <si>
    <t>Number of significant deficiency findings (other than in Questions 15-18 )</t>
  </si>
  <si>
    <t>Number of material weaknesses findings (other than in Questions 15-18)</t>
  </si>
  <si>
    <t>Auditor indicated that there was at least one Performance indicator of Concern on the PI tab</t>
  </si>
  <si>
    <t>The 2021 Audit Report is expected to be submitted by the date set by the LGC (not the Oct 31st date) according to the Auditor?</t>
  </si>
  <si>
    <t>Result for Performance Indicator Tab</t>
  </si>
  <si>
    <t>Unit Data from Audit worksheet tab :  CCH acct # 989 equaled "No"</t>
  </si>
  <si>
    <t>It is not uncommon for an Electric System with multiple performance indicators of concern to find that a proposed solution to one of the indicators also solves other performance indicators of concern.</t>
  </si>
  <si>
    <t>Unrestricted cash / Total expenses less depreciation+debt service principal</t>
  </si>
  <si>
    <t>Please address each statutory violate providing how the violation occurred  and send a copy of written policy changes that will prevent the violation from happening in the future.</t>
  </si>
  <si>
    <t>Uni Number</t>
  </si>
  <si>
    <t>Tax rate for year audited</t>
  </si>
  <si>
    <t>Electric worksheet</t>
  </si>
  <si>
    <t>In addition to the any significant and material findings the Auditor can describe any additional issues the unit should address that affect the fiscal health or internal controls of the unit that were communicated to the unit during the Audit Presentation.</t>
  </si>
  <si>
    <t>Prior year CCH accounts 527, 356 and 93 along with current CCH account of this Data Input worksheet 648,366, 990 were used in this calculation</t>
  </si>
  <si>
    <t>Location of Documents for the 2021 Audit Submission Process</t>
  </si>
  <si>
    <t>Instructions for Audits with a Fiscal Year Ending Earlier than June 30, 2021</t>
  </si>
  <si>
    <t>Unit Name:</t>
  </si>
  <si>
    <t>A</t>
  </si>
  <si>
    <t>B</t>
  </si>
  <si>
    <t>C</t>
  </si>
  <si>
    <t>D</t>
  </si>
  <si>
    <t>E</t>
  </si>
  <si>
    <t>F</t>
  </si>
  <si>
    <t>G</t>
  </si>
  <si>
    <t>H</t>
  </si>
  <si>
    <t>Total expenditures used to determine a Unit's expenditure group</t>
  </si>
  <si>
    <t>PROPERTY TAX RATES AND REVALUATION SCHEDULES FOR NORTH CAROLINA COUNTIES</t>
  </si>
  <si>
    <t>(All rates per $100 valuation*)</t>
  </si>
  <si>
    <t>Year</t>
  </si>
  <si>
    <t>Next</t>
  </si>
  <si>
    <t>Tax</t>
  </si>
  <si>
    <t>of latest</t>
  </si>
  <si>
    <t>scheduled</t>
  </si>
  <si>
    <t>Counties</t>
  </si>
  <si>
    <t>Rate</t>
  </si>
  <si>
    <t>revaluation</t>
  </si>
  <si>
    <t>ALLEGHANY</t>
  </si>
  <si>
    <t>BUNCOMBE</t>
  </si>
  <si>
    <t>CALDWELL</t>
  </si>
  <si>
    <t>CASWELL</t>
  </si>
  <si>
    <t>CHATHAM</t>
  </si>
  <si>
    <t>CLEVELAND</t>
  </si>
  <si>
    <t>COLUMBUS</t>
  </si>
  <si>
    <t>CURRITUCK</t>
  </si>
  <si>
    <t>DAVIDSON</t>
  </si>
  <si>
    <t>DAVIE</t>
  </si>
  <si>
    <t>FORSYTH</t>
  </si>
  <si>
    <t>GREENE</t>
  </si>
  <si>
    <t>HAYWOOD</t>
  </si>
  <si>
    <t>JACKSON</t>
  </si>
  <si>
    <t>NEW HANOVER</t>
  </si>
  <si>
    <t>ORANGE</t>
  </si>
  <si>
    <t>PERSON</t>
  </si>
  <si>
    <t>POLK</t>
  </si>
  <si>
    <t>STANLY</t>
  </si>
  <si>
    <t>STOKES</t>
  </si>
  <si>
    <t>SURRY</t>
  </si>
  <si>
    <t>SWAIN</t>
  </si>
  <si>
    <t>TRANSYLVANIA</t>
  </si>
  <si>
    <t>UNION</t>
  </si>
  <si>
    <t>WASHINGTON</t>
  </si>
  <si>
    <t>AVERY</t>
  </si>
  <si>
    <t>BLADEN</t>
  </si>
  <si>
    <t>CHOWAN</t>
  </si>
  <si>
    <t>CRAVEN</t>
  </si>
  <si>
    <t>DUPLIN</t>
  </si>
  <si>
    <t>GUILFORD</t>
  </si>
  <si>
    <t>HARNETT</t>
  </si>
  <si>
    <t>HOKE</t>
  </si>
  <si>
    <t>JONES</t>
  </si>
  <si>
    <t>MITCHELL</t>
  </si>
  <si>
    <t>ONSLOW</t>
  </si>
  <si>
    <t>PASQUOTANK</t>
  </si>
  <si>
    <t>WATAUGA</t>
  </si>
  <si>
    <t>ALEXANDER</t>
  </si>
  <si>
    <t>ASHE</t>
  </si>
  <si>
    <t>BRUNSWICK</t>
  </si>
  <si>
    <t>CAMDEN</t>
  </si>
  <si>
    <t>CATAWBA</t>
  </si>
  <si>
    <t>DURHAM</t>
  </si>
  <si>
    <t>GASTON</t>
  </si>
  <si>
    <t>GRAHAM</t>
  </si>
  <si>
    <t>HENDERSON</t>
  </si>
  <si>
    <t>HYDE</t>
  </si>
  <si>
    <t>IREDELL</t>
  </si>
  <si>
    <t>LEE</t>
  </si>
  <si>
    <t>LINCOLN</t>
  </si>
  <si>
    <t>MACON</t>
  </si>
  <si>
    <t>MCDOWELL</t>
  </si>
  <si>
    <t>MECKLENBURG</t>
  </si>
  <si>
    <t>MOORE</t>
  </si>
  <si>
    <t>NORTHAMPTON</t>
  </si>
  <si>
    <t>ROWAN</t>
  </si>
  <si>
    <t>RUTHERFORD</t>
  </si>
  <si>
    <t>WILKES</t>
  </si>
  <si>
    <t>YADKIN</t>
  </si>
  <si>
    <t>CABARRUS</t>
  </si>
  <si>
    <t>CARTERET</t>
  </si>
  <si>
    <t>FRANKLIN</t>
  </si>
  <si>
    <t>HALIFAX</t>
  </si>
  <si>
    <t>PERQUIMANS</t>
  </si>
  <si>
    <t>PITT</t>
  </si>
  <si>
    <t>RICHMOND</t>
  </si>
  <si>
    <t>ROBESON</t>
  </si>
  <si>
    <t>VANCE</t>
  </si>
  <si>
    <t>WAKE</t>
  </si>
  <si>
    <t>WILSON</t>
  </si>
  <si>
    <t>YANCEY</t>
  </si>
  <si>
    <t>ALAMANCE</t>
  </si>
  <si>
    <t>BURKE</t>
  </si>
  <si>
    <t>CUMBERLAND</t>
  </si>
  <si>
    <t>DARE</t>
  </si>
  <si>
    <t>EDGECOMBE</t>
  </si>
  <si>
    <t>GATES</t>
  </si>
  <si>
    <t>JOHNSTON</t>
  </si>
  <si>
    <t>LENOIR</t>
  </si>
  <si>
    <t>MARTIN</t>
  </si>
  <si>
    <t>NASH</t>
  </si>
  <si>
    <t>RANDOLPH</t>
  </si>
  <si>
    <t>TYRRELL</t>
  </si>
  <si>
    <t>WARREN</t>
  </si>
  <si>
    <t>ANSON</t>
  </si>
  <si>
    <t>BEAUFORT</t>
  </si>
  <si>
    <t>CLAY</t>
  </si>
  <si>
    <t>GRANVILLE</t>
  </si>
  <si>
    <t>HERTFORD</t>
  </si>
  <si>
    <t>PENDER</t>
  </si>
  <si>
    <t>ROCKINGHAM</t>
  </si>
  <si>
    <t>SAMPSON</t>
  </si>
  <si>
    <t>SCOTLAND</t>
  </si>
  <si>
    <t>WAYNE</t>
  </si>
  <si>
    <t>BERTIE</t>
  </si>
  <si>
    <t>CHEROKEE</t>
  </si>
  <si>
    <t>MADISON</t>
  </si>
  <si>
    <t>MONTGOMERY</t>
  </si>
  <si>
    <t>PAMLICO</t>
  </si>
  <si>
    <t>Property subject to taxation must be assessed at 100% of appraised value.</t>
  </si>
  <si>
    <t>Revaluations are effective January 1 of year shown.  Real property must be revalued every 8 years but</t>
  </si>
  <si>
    <t>counties may elect to revalue more frequently.</t>
  </si>
  <si>
    <t>Year shown for next scheduled revaluation is the year indicated based on the Octennial Reappraisal Budget Reserve</t>
  </si>
  <si>
    <t>provided to NCDOR as of July 2020.</t>
  </si>
  <si>
    <t>North Carolina Department of Revenue</t>
  </si>
  <si>
    <t>Local Government Division</t>
  </si>
  <si>
    <t>Aug-20</t>
  </si>
  <si>
    <t>The budgeted tax levy for the General fund had more than 3% uncollected for the fiscal year audited - decreases are shown by a negative %</t>
  </si>
  <si>
    <t>The local government had a mandate placed on them by DEQ, a court order or some similar requirement (that has no realistic appeal path) that the financial effect will be greater than 3% of the WS Budget and is not yet budgeted.</t>
  </si>
  <si>
    <t>This tab need to have the most up-to-date UAL list on it at the time it is finalized</t>
  </si>
  <si>
    <t>Has the finance officer or interim finance officer submitted (or ensured or confirmed submission of) all required and applicable reports including but not limited to  the FY2020 annual audit report (N.C.G.S. 159-34), the semi-annual report on cash and investments (LGC-203) due July 25, 2020 and January 25, 2020 (N.C.G.S. 159-33), and the annual financial information report (AFIR) due by counites and municipalities October 31, 2020 (N.C.G.S. 159-33.1), and any other reports due  during the fiscal year corresponding to the audit report being submitted? (Y/N)</t>
  </si>
  <si>
    <t>84-85+49-331</t>
  </si>
  <si>
    <t>School Current Expense Report</t>
  </si>
  <si>
    <t>General Fund-Rev, Exp. Change in Fund Balance or General Fund Budget Actual</t>
  </si>
  <si>
    <t>Local Current Expense sent to Boards of Education (some units present this information in the detailed general fund statements after the notes)
Exclude: amounts for community colleges and 
                  supplemental taxes
Include: amounts spent on resource officers, 
                  nurses and Timber receipts</t>
  </si>
  <si>
    <t xml:space="preserve">How much of the above number in account 147 is from Timber Receipts sent to the schools </t>
  </si>
  <si>
    <t>Amount of Supplemental School Tax revenue recorded in the governmental funds.</t>
  </si>
  <si>
    <t>Amount of Supplemental School Tax revenue recorded in agency funds.</t>
  </si>
  <si>
    <t>All Gov. Funds Rev, Exp. Change in Fund Balance</t>
  </si>
  <si>
    <t>Capital Outlay contributions to the BOEs (include amounts from general fund, capital project funds and any other fund sent to the BOE as part of capital outlay)</t>
  </si>
  <si>
    <t>School Capital Outlay Report to the Legislature</t>
  </si>
  <si>
    <t xml:space="preserve">Amount of Supplemental School Tax revenue recorded in agency funds.
</t>
  </si>
  <si>
    <t># of other matters that auditor asked the unit to respond to.</t>
  </si>
  <si>
    <t>If the answer to Question "975" above is “yes” did the auditor present or plan to present these issues to the governing body in an open meeting and inform the Local Gov. that they are required to submit a " Response to the Auditor's Findings, Recommendations, and Fiscal Matters" within 60 days, to the LGC.   Select Yes, No or N/A.</t>
  </si>
  <si>
    <t>If the unit had PIs of concern, the issues were presented to the board and informed they needed to send Response Letter in 60 days</t>
  </si>
  <si>
    <t>item</t>
  </si>
  <si>
    <t>accounts set-up in 2020 that are equivalent to account 44</t>
  </si>
  <si>
    <t>=654-655-579)</t>
  </si>
  <si>
    <t>accounts set-up in 2020 that are equivalent to account 45</t>
  </si>
  <si>
    <t>=(633-634-635-636-637-638-578)</t>
  </si>
  <si>
    <t>accounts set-up in 2020 that are equivalent to account 47</t>
  </si>
  <si>
    <t>accounts set-up in 2020 that are equivalent to account 48</t>
  </si>
  <si>
    <t>=(657-658-581)</t>
  </si>
  <si>
    <t>=(639-640-641-642-643-644-580)</t>
  </si>
  <si>
    <t>Governmental Activities - Benchmarking Tool uses account 336 in the code to calculate liquidity quick ratio.  Must be included on imported to CCH and SQL database.</t>
  </si>
  <si>
    <t>accounts set-up in 2020 that are equivalent to account 336</t>
  </si>
  <si>
    <t>=626-627-628-629-630-631-632</t>
  </si>
  <si>
    <t>Cell L219 contains formula to sum accounts listed in cell E219</t>
  </si>
  <si>
    <t>Cell L220 contains formula to sum accounts listed in cell E220</t>
  </si>
  <si>
    <t xml:space="preserve">Gov - Select Current Liabilities </t>
  </si>
  <si>
    <t xml:space="preserve">WS - Total Current Assets </t>
  </si>
  <si>
    <t xml:space="preserve">WS - Select Current Liabilities </t>
  </si>
  <si>
    <t xml:space="preserve">Electric - Total Current Assets </t>
  </si>
  <si>
    <t>Total Current assets.  
Include amounts of prepaids and inventory.  
Exclude any current assets identified as restricted.
Exclude "Advance To:-portion of interfund loans with repayment longer than 12 months</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</si>
  <si>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</si>
  <si>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Cell L224 contains link that has to be relinked to prior year  "YYYY Data(H)" tab</t>
  </si>
  <si>
    <t>Version Date 5/11/2021</t>
  </si>
  <si>
    <t xml:space="preserve">Fund balance available for appropriation is an important reserve for local governments to provide cash flow during periods of declining revenues and to be used for emergencies and unforeseen expenditures.  Column F to the left indicates the amount of available cash on hand as well as the average for units of your size.  Note one month of expenditures is equal to 8.33%.  In your Response Letter please provide detail plans on how your unit will improve your available fund balance.  Normally, a unit has to either increasing revenues or decreasing expenditures.  </t>
  </si>
  <si>
    <t>This performance indicator calculates the number of months the unit has cash to pay it's annualized expenses (excluding depreciation)  The normal billing cycle is one month and an extra month gives a unit cash balance to handle unusual monthly expenditures.  This 16% would be a bare minimum necessary to keep the fund from experiencing cash flow issues</t>
  </si>
  <si>
    <t>The unit's inability to collect more than 3% of its taxes could be an indicator of negative economic events, inaccurate budgeting, and/or process issues with taxes.  Uncollected revenues at the 3% level represent several pennies of the tax rate.  In your response please explain what was the cause of the inability to collect, will the issues continue into future years and how the unit will deal with the revenue shortfall.</t>
  </si>
  <si>
    <t>The unit had expenditures that exceeded the legal budget ordinance.  This indicates that the unit's purchase order system, contract approval process and / or payment process is not in compliance with North Carolina General Statutes 159.  In your response discuss in detail how this over-expenditure occurred and include the written policy changes that were approved to prevent the statutory violations from happening in the future.</t>
  </si>
  <si>
    <t>The General Fund has a fund deficit which means that the Unit's revenues and other receipts are inadequate to support its operations.  G.S. 159 13(b)(2) requires that the board fund the full amount of a prior fiscal year's deficit in the current fiscal year's budget.  Therefore, this deficit should have been funded immediately after the June 30, fiscal year-end.  The law requires such action be taken to stop any further deterioration of the overall financial condition of the fund.  Please let us know if the deficit was funded in the budget, and what actions the unit plans to take to bring the general fund balance up to an acceptable level.</t>
  </si>
  <si>
    <t>Please explain the purpose for any transfers-out from the electric fund, if the transfers were budget in the next fiscal year and if these transfers will continue into the future.  If your unit is subject to GS 159B-39 how will the unit come into compliance with this statute and the impact to the fund that is receiving the transfers.  GS 159B-39 only applies to members of North Carolina Eastern Municipal Power Agency: Apex, Ayden, Belhaven, Benson, Clayton, Edenton, Elizabeth City, Farmville, Fremont, Greenville, Hamilton, Hertford, Hobgood, Hookerton, Kinston, LaGrange, Laurinburg, Louisburg, Lumberton, New Bern, Pikeville, Red Springs, Robersonville, Rocky Mount, Scotland Neck, Selma, Smithfield, Southport, Tarboro, Wake Forest, Washington, and Wilson.</t>
  </si>
  <si>
    <t>Do you operate a landfill that will be closing  or have a significant portion closing within the next 5 years?  Select "1" for Yes and "2" for No</t>
  </si>
  <si>
    <t>Does the entity have an  effective pre-audit process to ensure that pervasive budgetary over- expenditures do not occur at the budget ordinance level? Select Yes or No</t>
  </si>
  <si>
    <t xml:space="preserve">Does the entity have an  effective pre-audit process to ensure that pervasive budgetary over- expenditures do not occur at the budget ordinance level? </t>
  </si>
  <si>
    <t xml:space="preserve">Estimated cost not yet budgeted of any mandate placed on unit by DEQ, a court order or some similar requirement (that has no realistic appeal path). </t>
  </si>
  <si>
    <t>The Unit had Statutory Violations listed in the Audit Report that should be addressed in the Unit Response Letter</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</si>
  <si>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</si>
  <si>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Cell L221 contains formula to sum accounts listed in cell E221</t>
  </si>
  <si>
    <t>Cell L222 contains formula to sum accounts listed in cell E222</t>
  </si>
  <si>
    <t>Cell L223 contains formula to sum accounts listed in cell E223</t>
  </si>
  <si>
    <t>Cell L225 contains link that has to be relinked to prior year  "YYYY Data(H)" tab</t>
  </si>
  <si>
    <t>Cell L226 contains link that has to be relinked to prior year "YYYY Data(H)" tab</t>
  </si>
  <si>
    <t>must be populated  in L column for database upload</t>
  </si>
  <si>
    <t>Must be linked to unit number on Unit Datat from Audit Worksheet tab</t>
  </si>
  <si>
    <t xml:space="preserve"> formula in E column - use for handling date from TD Info Completed by Auditor tab uploading to database</t>
  </si>
  <si>
    <t>If unit is an employer participant in one of the State Cost Sharing Plans rows 182 - 184 should be blank.  Unless they have an additional single employer plan.</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</si>
  <si>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</si>
  <si>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</si>
  <si>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</si>
  <si>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Total Transfers in - all funds (operating and capital)</t>
  </si>
  <si>
    <t>The Counties listed in cell H256 are scheduled to revalue property listing by 1/1/2022 according to the Dept. of Revenue records.  Please indicate if you expect your revaluation to: 
Enter  "20" for increase, 
            "21" for decrease, 
            "22" for no change,
            "23" if this question is not applicable</t>
  </si>
  <si>
    <t>Did the Unit have any of the following occur:
1.  Bond covenants were not met
2.  Debt service payments made late?  Deferred payments authorized by LGC or other state
     agencies should not be counted as late for purposes of this question.</t>
  </si>
  <si>
    <t>The unit had problems with debt service payments being late and/or did not comply with the bond covenants?</t>
  </si>
  <si>
    <t>TD Info Completed by Auditor : CCH acct # 974</t>
  </si>
  <si>
    <t>Please explain the additional issue(s) the unit needs to address in column H to the right.</t>
  </si>
  <si>
    <r>
      <t xml:space="preserve">Primary Government's  FYE </t>
    </r>
    <r>
      <rPr>
        <i/>
        <sz val="10"/>
        <color rgb="FF000000"/>
        <rFont val="Verdana"/>
        <family val="2"/>
      </rPr>
      <t>(MM/DD/YYYY)</t>
    </r>
  </si>
  <si>
    <r>
      <t xml:space="preserve">Date </t>
    </r>
    <r>
      <rPr>
        <i/>
        <sz val="10"/>
        <color theme="1"/>
        <rFont val="Verdana"/>
        <family val="2"/>
      </rPr>
      <t>(MM/DD/YYYY)</t>
    </r>
  </si>
  <si>
    <t>Hide This Column</t>
  </si>
  <si>
    <t>Muni</t>
  </si>
  <si>
    <t>Muni, county, utility authority</t>
  </si>
  <si>
    <t>Muni, Utility Authority</t>
  </si>
  <si>
    <t>All Units</t>
  </si>
  <si>
    <t>County, Muni</t>
  </si>
  <si>
    <t>County, Muni, Utility Authority</t>
  </si>
  <si>
    <t>all Units</t>
  </si>
  <si>
    <t>County, Muni, Utility Authority - any type that issues debt</t>
  </si>
  <si>
    <t>Muni, Utility Authorities</t>
  </si>
  <si>
    <t>all units</t>
  </si>
  <si>
    <t>As of the creation of this worksheet your unit was on the Unit Assistance List.  Please provide details of what progress you have made to date to improve the issues that placed you on the list and future progress you intend to make.  If you are unaware that you are on the Unit Assistance List please email LGCMonitoring@nctreasurer.com and request a copy of the letter notifying you of your status on the Unit Assistance List.</t>
  </si>
  <si>
    <t>Please indicate the actions the Unit will take to deal with timely debt service payments and/or compliance with bond covenants.</t>
  </si>
  <si>
    <t>Minimum Threshold</t>
  </si>
  <si>
    <t>In your response letter please review all the Water Sewer performance indicators highlighted in red and provide a detailed financial plan that addresses these water sewer issues.  It is not uncommon for a Water Sewer System with multiple performance indicators of concern to find that a proposed solution to one of the indicators also solves other performance indicators of concern.</t>
  </si>
  <si>
    <r>
      <t xml:space="preserve">If any </t>
    </r>
    <r>
      <rPr>
        <i/>
        <sz val="14"/>
        <color theme="1"/>
        <rFont val="Calibri"/>
        <family val="2"/>
        <scheme val="minor"/>
      </rPr>
      <t>Units Results</t>
    </r>
    <r>
      <rPr>
        <sz val="14"/>
        <color theme="1"/>
        <rFont val="Calibri"/>
        <family val="2"/>
        <scheme val="minor"/>
      </rPr>
      <t xml:space="preserve"> in Column F are shaded red then the unit must submit a "Response to the Auditor's Findings, Recommendations, and Fiscal Matters"  within 60 days from the Auditors board presentation.  The Response must address all performance indicators shaded in red.</t>
    </r>
  </si>
  <si>
    <t>Enterprise Funds:</t>
  </si>
  <si>
    <t>Miscellaneous</t>
  </si>
  <si>
    <t>Less than zero is below threshold</t>
  </si>
  <si>
    <t>Enterprise Funds other than WS and Electric</t>
  </si>
  <si>
    <t>Combined Proprietary Funds - Net Position</t>
  </si>
  <si>
    <t>Comb-Proprietary Funds-Current Assets 
Exclude: any restricted assets
                  deferred outflows.</t>
  </si>
  <si>
    <t>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t>
  </si>
  <si>
    <t>Combined Totals of all Proprietary Funds - Revenue, Expenses, Changes in Net Position</t>
  </si>
  <si>
    <t>Combined Totals of all proprietary Funds - Depreciation &amp; Amortization Expense</t>
  </si>
  <si>
    <t>Combined Totals of all Proprietary Funds - Change in net position - (increase in net position is recorded as a positive and a decrease in net position is recorded as a negative)</t>
  </si>
  <si>
    <t>193</t>
  </si>
  <si>
    <t>Combined Proprietary Funds - Change in Cash Flow Statement</t>
  </si>
  <si>
    <t>33</t>
  </si>
  <si>
    <t>Local Current Expense Revenue from the County (Enter as a positive) 
Exclude: supplemental taxes
Include: Timber Receipts, amounts spent on 
                  resource officers and nurses, etc.  
                  Amount must agree with the amount
                  reported in the County Audit Report</t>
  </si>
  <si>
    <t xml:space="preserve">Capital Outlay revenue from the County and budgeted by the County as Capital Outlay reported in the School Capital Outlay fund or the local current expense fund.  (capitalization policies might be different between the Schools and County)
</t>
  </si>
  <si>
    <t>County School Capital Outlay Rpt.</t>
  </si>
  <si>
    <t xml:space="preserve">Fund 8 Rev, Exp. Change in Fund Balance Rpt. </t>
  </si>
  <si>
    <t>BOE</t>
  </si>
  <si>
    <t>Hospital</t>
  </si>
  <si>
    <t>Net Position</t>
  </si>
  <si>
    <t>Unrestricted Cash &amp; Investments - all but exclude "Held by Trustee" or "3rd party restricted"</t>
  </si>
  <si>
    <t>Net Patient Accounts Receivable</t>
  </si>
  <si>
    <t>Unrestricted fund equity or net position</t>
  </si>
  <si>
    <t>Revenue, Expenses, Changes in Net Position</t>
  </si>
  <si>
    <t>Net Patient Revenues</t>
  </si>
  <si>
    <t>Total Operating Revenues</t>
  </si>
  <si>
    <t xml:space="preserve">Capital Contributions </t>
  </si>
  <si>
    <t>Change in Net Position</t>
  </si>
  <si>
    <t>Cash Flows</t>
  </si>
  <si>
    <t>Capital Outlays</t>
  </si>
  <si>
    <t>Principal Paid - Long-term Debt</t>
  </si>
  <si>
    <t>Total Long-term debt (non current portion only) - enter as a positive</t>
  </si>
  <si>
    <t>Total Operating Expenses. May include Interest Expense - Enter as a positive</t>
  </si>
  <si>
    <t xml:space="preserve">Interest Expense - Enter as a positive </t>
  </si>
  <si>
    <r>
      <t>Gross Capital Assets-</t>
    </r>
    <r>
      <rPr>
        <b/>
        <sz val="11"/>
        <rFont val="Calibri"/>
        <family val="2"/>
        <scheme val="minor"/>
      </rPr>
      <t>Prior Year</t>
    </r>
  </si>
  <si>
    <r>
      <t>Gross Annual Revenue-</t>
    </r>
    <r>
      <rPr>
        <b/>
        <sz val="11"/>
        <rFont val="Calibri"/>
        <family val="2"/>
        <scheme val="minor"/>
      </rPr>
      <t>Prior Year</t>
    </r>
  </si>
  <si>
    <r>
      <rPr>
        <b/>
        <i/>
        <sz val="11"/>
        <rFont val="Calibri"/>
        <family val="2"/>
        <scheme val="minor"/>
      </rPr>
      <t>Amount Transferred minus PILOT (cell F23)</t>
    </r>
    <r>
      <rPr>
        <i/>
        <sz val="11"/>
        <rFont val="Calibri"/>
        <family val="2"/>
        <scheme val="minor"/>
      </rPr>
      <t xml:space="preserve"> is calculated by taking the Amount Transferred per Audit (cell F14) and subtracting the greater amount of PILOT (cells F19 and G19). When cell F23 exceeds the statutory calculation in cell F27, you will get an error message "No, unit exceeds limit by:"</t>
    </r>
  </si>
  <si>
    <r>
      <rPr>
        <b/>
        <i/>
        <sz val="11"/>
        <rFont val="Calibri"/>
        <family val="2"/>
        <scheme val="minor"/>
      </rPr>
      <t>Payment in Lieu of Taxes Error (cells F32 - F33):</t>
    </r>
    <r>
      <rPr>
        <i/>
        <sz val="11"/>
        <rFont val="Calibri"/>
        <family val="2"/>
        <scheme val="minor"/>
      </rPr>
      <t xml:space="preserve">  When the "Actual Pilot" (cell F19) doesn't agree with the "Calculated Pilot" (cell G19) you will get an error message requiring you to investigate variance.</t>
    </r>
  </si>
  <si>
    <r>
      <t xml:space="preserve">Notes From Auditor
</t>
    </r>
    <r>
      <rPr>
        <sz val="11"/>
        <color theme="1"/>
        <rFont val="Calibri"/>
        <family val="2"/>
        <scheme val="minor"/>
      </rPr>
      <t>The Auditor can use the cells below to provide additional details that are pertinent to the performance indicator.</t>
    </r>
  </si>
  <si>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</si>
  <si>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r>
      <rPr>
        <u/>
        <sz val="8"/>
        <color indexed="8"/>
        <rFont val="Calibri"/>
        <family val="2"/>
        <scheme val="minor"/>
      </rPr>
      <t>Total Current assets</t>
    </r>
    <r>
      <rPr>
        <sz val="8"/>
        <color indexed="8"/>
        <rFont val="Calibri"/>
        <family val="2"/>
        <scheme val="minor"/>
      </rPr>
      <t xml:space="preserve">.  
</t>
    </r>
    <r>
      <rPr>
        <b/>
        <sz val="8"/>
        <rFont val="Calibri"/>
        <family val="2"/>
        <scheme val="minor"/>
      </rPr>
      <t>Exclude</t>
    </r>
    <r>
      <rPr>
        <sz val="8"/>
        <rFont val="Calibri"/>
        <family val="2"/>
        <scheme val="minor"/>
      </rPr>
      <t xml:space="preserve"> any current assets identified as restricted.
</t>
    </r>
    <r>
      <rPr>
        <b/>
        <sz val="8"/>
        <color indexed="17"/>
        <rFont val="Calibri"/>
        <family val="2"/>
        <scheme val="minor"/>
      </rPr>
      <t>Exclude "Advance To": portion of interfund loan with repayment longer than 12 months.</t>
    </r>
  </si>
  <si>
    <r>
      <rPr>
        <u/>
        <sz val="8"/>
        <rFont val="Calibri"/>
        <family val="2"/>
        <scheme val="minor"/>
      </rPr>
      <t>Current liabilities</t>
    </r>
    <r>
      <rPr>
        <sz val="8"/>
        <rFont val="Calibri"/>
        <family val="2"/>
        <scheme val="minor"/>
      </rPr>
      <t xml:space="preserve">.  
</t>
    </r>
    <r>
      <rPr>
        <b/>
        <sz val="8"/>
        <rFont val="Calibri"/>
        <family val="2"/>
        <scheme val="minor"/>
      </rPr>
      <t xml:space="preserve">Include:  </t>
    </r>
    <r>
      <rPr>
        <sz val="8"/>
        <rFont val="Calibri"/>
        <family val="2"/>
        <scheme val="minor"/>
      </rPr>
      <t xml:space="preserve"> Current liabilities and current portions of long-term debt
</t>
    </r>
    <r>
      <rPr>
        <b/>
        <sz val="8"/>
        <rFont val="Calibri"/>
        <family val="2"/>
        <scheme val="minor"/>
      </rPr>
      <t xml:space="preserve">Exclude:  </t>
    </r>
    <r>
      <rPr>
        <b/>
        <sz val="8"/>
        <color indexed="17"/>
        <rFont val="Calibri"/>
        <family val="2"/>
        <scheme val="minor"/>
      </rPr>
      <t xml:space="preserve">"Advance From"-portion of interfund loans with repayment longer than 12 months,
                   Bond anticipation notes, </t>
    </r>
    <r>
      <rPr>
        <sz val="8"/>
        <rFont val="Calibri"/>
        <family val="2"/>
        <scheme val="minor"/>
      </rPr>
      <t xml:space="preserve">
                   Compensated absences, 
                   Pension liabilities, 
                   Other post-employment liabilities (OPEB), 
                   Closure/postclosure liabilities, 
                   Payables from restricted assets
                   Deferred inflows.</t>
    </r>
  </si>
  <si>
    <t>Total Gross Capital Assets - without accumulated depreciation</t>
  </si>
  <si>
    <t>Combined Totals of all Proprietary Funds - Amount of Inventories and Prepaids in current assets</t>
  </si>
  <si>
    <t>Statement of Net Position - combined totals from all Proprietary Funds</t>
  </si>
  <si>
    <t>Mental Health Net Position - Net Investment in Capital Assets</t>
  </si>
  <si>
    <t>Mental Health Net Position - Restricted Net Position</t>
  </si>
  <si>
    <t>Total Transfers in    (Preference is that transfers-in  are not netted against transfers-out)</t>
  </si>
  <si>
    <t>Total Transfers out    (Preference is that transfers-in  are not netted against transfers-out)</t>
  </si>
  <si>
    <t>Mental Health-Balance Sheet - Non GAAP</t>
  </si>
  <si>
    <t>Total Liabilities payable from restricted assets (only complete if this if unit has listed this account in their financial statements for the Mental Health Enterprise Fund Non GAAP and the auditor has listed the cash to be used to pay the liabilities as restricted)</t>
  </si>
  <si>
    <t>Current Liabilities 
Exclude: all deferred inflows
                 current debt service payments
Include: Liabilities payable from restricted assets.</t>
  </si>
  <si>
    <t xml:space="preserve">Mental Health Enterprise Fund Non GAAP deferred inflows or liabilities derived from cash receipts.   </t>
  </si>
  <si>
    <t>Total expenditures  
Exclude: expenditures in the ""other financing sources (uses)"" section.</t>
  </si>
  <si>
    <t xml:space="preserve">All unrestricted cash and investments.  
Exclude restricted cash and cash held by a third party. </t>
  </si>
  <si>
    <t>Total Proceeds from all long-term debt issuances 
Exclude: proceeds from refundings</t>
  </si>
  <si>
    <t>Mental Health Enterprise Fund Non GAAP-Rev, Exp. Change in Fund Balance</t>
  </si>
  <si>
    <t>Mental Health Enterprise Fund Non GAAP -  Total Encumbrances.  You will have to refer to the note disclosure where the amount of encumbrances is listed.</t>
  </si>
  <si>
    <t>Please enter the principal and interest due next fiscal year on existing borrowings.</t>
  </si>
  <si>
    <t>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t>
  </si>
  <si>
    <t>Please enter your tax rate for ad valorem in effect for fiscal year audited.  Example 60 cents per 100 would be entered as .60</t>
  </si>
  <si>
    <t>Business Type - Total Transfers In</t>
  </si>
  <si>
    <t>Business Type - Total Transfers Out</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</si>
  <si>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</si>
  <si>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</si>
  <si>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</si>
  <si>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</si>
  <si>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Liabilities from Restricted Assets</t>
  </si>
  <si>
    <t xml:space="preserve">MH Enterprise Fund Non GAAP - Total Expenditures </t>
  </si>
  <si>
    <t xml:space="preserve">MH- Proceeds from LTD </t>
  </si>
  <si>
    <t>MH Enterprise Fund Non GAAP - Positive debt refund</t>
  </si>
  <si>
    <t>MH Enterprise Fund Non GAAP - Transfers Out</t>
  </si>
  <si>
    <t>MH Enterprise Fund Non GAAP - Encumbrances</t>
  </si>
  <si>
    <t>MH Enterprise Fund P &amp; I Due next year</t>
  </si>
  <si>
    <t>Hospital/MH -EF- Total Gross Capital Assets (BS), w/o acc. dep.</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</si>
  <si>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</si>
  <si>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t xml:space="preserve">Unit's share of Retirement Health Benefit Fund </t>
    </r>
    <r>
      <rPr>
        <sz val="11"/>
        <color rgb="FFFF0000"/>
        <rFont val="Calibri"/>
        <family val="2"/>
        <scheme val="minor"/>
      </rPr>
      <t>Net</t>
    </r>
    <r>
      <rPr>
        <sz val="11"/>
        <color theme="1"/>
        <rFont val="Calibri"/>
        <family val="2"/>
        <scheme val="minor"/>
      </rPr>
      <t xml:space="preserve"> OPEB Liability ($s)
- unit of government is a participating employer in the </t>
    </r>
    <r>
      <rPr>
        <b/>
        <sz val="11"/>
        <color theme="1"/>
        <rFont val="Calibri"/>
        <family val="2"/>
        <scheme val="minor"/>
      </rPr>
      <t>State's RHBF</t>
    </r>
    <r>
      <rPr>
        <sz val="11"/>
        <color theme="1"/>
        <rFont val="Calibri"/>
        <family val="2"/>
        <scheme val="minor"/>
      </rPr>
      <t xml:space="preserve"> </t>
    </r>
  </si>
  <si>
    <r>
      <rPr>
        <sz val="11"/>
        <color rgb="FF0070C0"/>
        <rFont val="Calibri"/>
        <family val="2"/>
        <scheme val="minor"/>
      </rPr>
      <t xml:space="preserve">Please note - Account 621 - if applicable - </t>
    </r>
    <r>
      <rPr>
        <sz val="11"/>
        <rFont val="Calibri"/>
        <family val="2"/>
        <scheme val="minor"/>
      </rPr>
      <t xml:space="preserve">See RSI Schedule of PROPORTIONATE SHARE OF </t>
    </r>
    <r>
      <rPr>
        <b/>
        <sz val="11"/>
        <rFont val="Calibri"/>
        <family val="2"/>
        <scheme val="minor"/>
      </rPr>
      <t>NET</t>
    </r>
    <r>
      <rPr>
        <sz val="11"/>
        <rFont val="Calibri"/>
        <family val="2"/>
        <scheme val="minor"/>
      </rPr>
      <t xml:space="preserve"> OPEB LIABILITY - RETIREE HEALTH BENEFIT FUND REQUIRED SUPPLEMENTARY INFORMATION</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</si>
  <si>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</si>
  <si>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</si>
  <si>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</si>
  <si>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</si>
  <si>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Date on which the local government, public authority, or designated official appointed the finance officer?</t>
    </r>
    <r>
      <rPr>
        <b/>
        <sz val="11"/>
        <color theme="5" tint="-0.249977111117893"/>
        <rFont val="Calibri"/>
        <family val="2"/>
        <scheme val="minor"/>
      </rPr>
      <t xml:space="preserve"> (If the date of appointment by the board is difficult to find you may enter January 1 and the year)</t>
    </r>
    <r>
      <rPr>
        <sz val="11"/>
        <color theme="1"/>
        <rFont val="Calibri"/>
        <family val="2"/>
        <scheme val="minor"/>
      </rPr>
      <t xml:space="preserve">      </t>
    </r>
    <r>
      <rPr>
        <b/>
        <sz val="11"/>
        <color theme="1"/>
        <rFont val="Calibri"/>
        <family val="2"/>
        <scheme val="minor"/>
      </rPr>
      <t>Date Format  MM/DD/YYYY</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</si>
  <si>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</si>
  <si>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</si>
  <si>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</si>
  <si>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</si>
  <si>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</si>
  <si>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</si>
  <si>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</si>
  <si>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</si>
  <si>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</si>
  <si>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</si>
  <si>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</si>
  <si>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</si>
  <si>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</si>
  <si>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</si>
  <si>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</si>
  <si>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</si>
  <si>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</si>
  <si>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</si>
  <si>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</si>
  <si>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</si>
  <si>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t xml:space="preserve">Amount of interest income and investment income recognized as revenue in your audit report for all governmental and proprietary funds.  </t>
    </r>
    <r>
      <rPr>
        <sz val="11"/>
        <color indexed="60"/>
        <rFont val="Calibri"/>
        <family val="2"/>
        <scheme val="minor"/>
      </rPr>
      <t xml:space="preserve">In the past we have asked you to adjust this number, but this year we would like the number as it appears on your Statement of Activities </t>
    </r>
    <r>
      <rPr>
        <u/>
        <sz val="11"/>
        <color indexed="60"/>
        <rFont val="Calibri"/>
        <family val="2"/>
        <scheme val="minor"/>
      </rPr>
      <t>without</t>
    </r>
    <r>
      <rPr>
        <sz val="11"/>
        <color indexed="60"/>
        <rFont val="Calibri"/>
        <family val="2"/>
        <scheme val="minor"/>
      </rPr>
      <t xml:space="preserve"> adjustment.</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</si>
  <si>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</si>
  <si>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</si>
  <si>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Total Liabilities payable from restricted assets</t>
    </r>
    <r>
      <rPr>
        <sz val="11"/>
        <color theme="1"/>
        <rFont val="Calibri"/>
        <family val="2"/>
        <scheme val="minor"/>
      </rPr>
      <t xml:space="preserve"> </t>
    </r>
    <r>
      <rPr>
        <sz val="11"/>
        <color indexed="60"/>
        <rFont val="Calibri"/>
        <family val="2"/>
        <scheme val="minor"/>
      </rPr>
      <t>(only complete if this is listed in your financial statements for the general fund and the auditor has listed the cash to be used to pay the liabilities as restricted)</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</si>
  <si>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</si>
  <si>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</si>
  <si>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</si>
  <si>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Fund balance, Restricted for Streets</t>
    </r>
    <r>
      <rPr>
        <sz val="11"/>
        <color theme="1"/>
        <rFont val="Calibri"/>
        <family val="2"/>
        <scheme val="minor"/>
      </rPr>
      <t xml:space="preserve"> (unspent Powell Bill balance).  </t>
    </r>
    <r>
      <rPr>
        <sz val="11"/>
        <color indexed="60"/>
        <rFont val="Calibri"/>
        <family val="2"/>
        <scheme val="minor"/>
      </rPr>
      <t>You may have to refer to the note disclosure where restricted fund balance is described.</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</si>
  <si>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</si>
  <si>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b/>
        <sz val="11"/>
        <color indexed="8"/>
        <rFont val="Calibri"/>
        <family val="2"/>
        <scheme val="minor"/>
      </rPr>
      <t>General Fund</t>
    </r>
    <r>
      <rPr>
        <sz val="11"/>
        <color indexed="8"/>
        <rFont val="Calibri"/>
        <family val="2"/>
        <scheme val="minor"/>
      </rPr>
      <t xml:space="preserve"> - Budget Actual Statement</t>
    </r>
  </si>
  <si>
    <r>
      <rPr>
        <u/>
        <sz val="11"/>
        <color indexed="8"/>
        <rFont val="Calibri"/>
        <family val="2"/>
        <scheme val="minor"/>
      </rPr>
      <t>Total Intergovernmental revenue</t>
    </r>
    <r>
      <rPr>
        <sz val="11"/>
        <color theme="1"/>
        <rFont val="Calibri"/>
        <family val="2"/>
        <scheme val="minor"/>
      </rPr>
      <t xml:space="preserve"> 
</t>
    </r>
    <r>
      <rPr>
        <b/>
        <sz val="11"/>
        <color indexed="8"/>
        <rFont val="Calibri"/>
        <family val="2"/>
        <scheme val="minor"/>
      </rPr>
      <t>Include</t>
    </r>
    <r>
      <rPr>
        <sz val="11"/>
        <color indexed="8"/>
        <rFont val="Calibri"/>
        <family val="2"/>
        <scheme val="minor"/>
      </rPr>
      <t xml:space="preserve"> restricted and unrestricted revenues</t>
    </r>
  </si>
  <si>
    <r>
      <rPr>
        <u/>
        <sz val="11"/>
        <color indexed="8"/>
        <rFont val="Calibri"/>
        <family val="2"/>
        <scheme val="minor"/>
      </rPr>
      <t>Debt service expenditures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principal, interest paid, and bond/debt issuance costs on long-term debt</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</si>
  <si>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</si>
  <si>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</si>
  <si>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</si>
  <si>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</si>
  <si>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</si>
  <si>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</si>
  <si>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t xml:space="preserve">Amount of </t>
    </r>
    <r>
      <rPr>
        <u/>
        <sz val="11"/>
        <color indexed="8"/>
        <rFont val="Calibri"/>
        <family val="2"/>
        <scheme val="minor"/>
      </rPr>
      <t>Local Current Expense Funds</t>
    </r>
    <r>
      <rPr>
        <sz val="11"/>
        <color indexed="8"/>
        <rFont val="Calibri"/>
        <family val="2"/>
        <scheme val="minor"/>
      </rPr>
      <t xml:space="preserve"> received from the County transferred to Fund 8 this year.</t>
    </r>
  </si>
  <si>
    <r>
      <t xml:space="preserve">Amount of </t>
    </r>
    <r>
      <rPr>
        <u/>
        <sz val="11"/>
        <color indexed="8"/>
        <rFont val="Calibri"/>
        <family val="2"/>
        <scheme val="minor"/>
      </rPr>
      <t>Capital Outlay Funds</t>
    </r>
    <r>
      <rPr>
        <sz val="11"/>
        <color indexed="8"/>
        <rFont val="Calibri"/>
        <family val="2"/>
        <scheme val="minor"/>
      </rPr>
      <t xml:space="preserve"> received from the County transferred to Fund 8 this year.</t>
    </r>
  </si>
  <si>
    <r>
      <rPr>
        <u/>
        <sz val="11"/>
        <color indexed="8"/>
        <rFont val="Calibri"/>
        <family val="2"/>
        <scheme val="minor"/>
      </rPr>
      <t>Debt service expenditures from all governmental funds</t>
    </r>
    <r>
      <rPr>
        <sz val="11"/>
        <color theme="1"/>
        <rFont val="Calibri"/>
        <family val="2"/>
        <scheme val="minor"/>
      </rPr>
      <t>.  Include principal, interest paid, and debt issuance costs on long-term debt.</t>
    </r>
  </si>
  <si>
    <r>
      <t xml:space="preserve">Total Long-term debt (non current portion only) - </t>
    </r>
    <r>
      <rPr>
        <sz val="11"/>
        <color indexed="10"/>
        <rFont val="Calibri"/>
        <family val="2"/>
        <scheme val="minor"/>
      </rPr>
      <t>enter as a positive</t>
    </r>
  </si>
  <si>
    <r>
      <t xml:space="preserve">Total Operating Expenses. May include Interest Expense - </t>
    </r>
    <r>
      <rPr>
        <sz val="11"/>
        <color indexed="10"/>
        <rFont val="Calibri"/>
        <family val="2"/>
        <scheme val="minor"/>
      </rPr>
      <t>Enter as a positive</t>
    </r>
  </si>
  <si>
    <r>
      <t xml:space="preserve">Interest Expense - </t>
    </r>
    <r>
      <rPr>
        <sz val="11"/>
        <color indexed="10"/>
        <rFont val="Calibri"/>
        <family val="2"/>
        <scheme val="minor"/>
      </rPr>
      <t xml:space="preserve">Enter as a positive </t>
    </r>
  </si>
  <si>
    <r>
      <rPr>
        <b/>
        <sz val="11"/>
        <color indexed="8"/>
        <rFont val="Calibri"/>
        <family val="2"/>
        <scheme val="minor"/>
      </rPr>
      <t>Statement of Net Position - Water and Sewer Operations</t>
    </r>
    <r>
      <rPr>
        <sz val="11"/>
        <color indexed="8"/>
        <rFont val="Calibri"/>
        <family val="2"/>
        <scheme val="minor"/>
      </rPr>
      <t xml:space="preserve"> - If unit maintains separate funds please combine all water, sewer,</t>
    </r>
  </si>
  <si>
    <r>
      <rPr>
        <b/>
        <sz val="11"/>
        <color indexed="8"/>
        <rFont val="Calibri"/>
        <family val="2"/>
        <scheme val="minor"/>
      </rPr>
      <t>Water Sewe</t>
    </r>
    <r>
      <rPr>
        <sz val="11"/>
        <color indexed="8"/>
        <rFont val="Calibri"/>
        <family val="2"/>
        <scheme val="minor"/>
      </rPr>
      <t>r Net Position Statement</t>
    </r>
  </si>
  <si>
    <r>
      <rPr>
        <u/>
        <sz val="11"/>
        <color indexed="8"/>
        <rFont val="Calibri"/>
        <family val="2"/>
        <scheme val="minor"/>
      </rPr>
      <t>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and/or restricted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</si>
  <si>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both billed and unbilled amounts.</t>
    </r>
  </si>
  <si>
    <r>
      <rPr>
        <u/>
        <sz val="11"/>
        <rFont val="Calibri"/>
        <family val="2"/>
        <scheme val="minor"/>
      </rPr>
      <t>Water Sewer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</si>
  <si>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WS Net Position Statement</t>
    </r>
    <r>
      <rPr>
        <sz val="11"/>
        <color indexed="8"/>
        <rFont val="Calibri"/>
        <family val="2"/>
        <scheme val="minor"/>
      </rPr>
      <t xml:space="preserve">.  
</t>
    </r>
  </si>
  <si>
    <r>
      <rPr>
        <u/>
        <sz val="11"/>
        <rFont val="Calibri"/>
        <family val="2"/>
        <scheme val="minor"/>
      </rPr>
      <t xml:space="preserve">Water Sewer - Advance From: 
</t>
    </r>
    <r>
      <rPr>
        <sz val="11"/>
        <rFont val="Calibri"/>
        <family val="2"/>
        <scheme val="minor"/>
      </rPr>
      <t>Interfund loan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</si>
  <si>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enter negative unrestricted net position as a negative</t>
    </r>
  </si>
  <si>
    <r>
      <rPr>
        <b/>
        <sz val="11"/>
        <color indexed="8"/>
        <rFont val="Calibri"/>
        <family val="2"/>
        <scheme val="minor"/>
      </rPr>
      <t>Electric Fund</t>
    </r>
    <r>
      <rPr>
        <sz val="11"/>
        <color indexed="8"/>
        <rFont val="Calibri"/>
        <family val="2"/>
        <scheme val="minor"/>
      </rPr>
      <t xml:space="preserve"> Net Position Statement</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</si>
  <si>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any restricted cash and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</si>
  <si>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billed and unbilled amounts </t>
    </r>
  </si>
  <si>
    <r>
      <rPr>
        <u/>
        <sz val="11"/>
        <rFont val="Calibri"/>
        <family val="2"/>
        <scheme val="minor"/>
      </rPr>
      <t>Electric Fund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</si>
  <si>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Electric Net Position Statement</t>
    </r>
    <r>
      <rPr>
        <sz val="11"/>
        <color indexed="8"/>
        <rFont val="Calibri"/>
        <family val="2"/>
        <scheme val="minor"/>
      </rPr>
      <t xml:space="preserve">.  
</t>
    </r>
  </si>
  <si>
    <r>
      <rPr>
        <u/>
        <sz val="11"/>
        <rFont val="Calibri"/>
        <family val="2"/>
        <scheme val="minor"/>
      </rPr>
      <t>Electric Fund - Advance From:</t>
    </r>
    <r>
      <rPr>
        <sz val="11"/>
        <rFont val="Calibri"/>
        <family val="2"/>
        <scheme val="minor"/>
      </rPr>
      <t xml:space="preserve">
Interfund loans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</si>
  <si>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Amount of negative unrestricted net position should be entered as a negative amount and the amount of positive unrestricted net position should be entered as a positive amount.</t>
    </r>
  </si>
  <si>
    <r>
      <rPr>
        <b/>
        <sz val="11"/>
        <color indexed="8"/>
        <rFont val="Calibri"/>
        <family val="2"/>
        <scheme val="minor"/>
      </rPr>
      <t>Water Sewer</t>
    </r>
    <r>
      <rPr>
        <sz val="11"/>
        <color indexed="8"/>
        <rFont val="Calibri"/>
        <family val="2"/>
        <scheme val="minor"/>
      </rPr>
      <t xml:space="preserve"> Revenue, Expenses &amp; Changes in Fund Net Position</t>
    </r>
  </si>
  <si>
    <r>
      <rPr>
        <u/>
        <sz val="11"/>
        <color indexed="8"/>
        <rFont val="Calibri"/>
        <family val="2"/>
        <scheme val="minor"/>
      </rPr>
      <t>Charges for services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tap, capacity fees and other misc. income .</t>
    </r>
  </si>
  <si>
    <r>
      <rPr>
        <u/>
        <sz val="11"/>
        <color indexed="8"/>
        <rFont val="Calibri"/>
        <family val="2"/>
        <scheme val="minor"/>
      </rPr>
      <t>Total all non-operating revenues</t>
    </r>
    <r>
      <rPr>
        <sz val="11"/>
        <color indexed="10"/>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</si>
  <si>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any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</si>
  <si>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Capital contributions</t>
    </r>
    <r>
      <rPr>
        <sz val="11"/>
        <color theme="1"/>
        <rFont val="Calibri"/>
        <family val="2"/>
        <scheme val="minor"/>
      </rPr>
      <t>.</t>
    </r>
    <r>
      <rPr>
        <sz val="11"/>
        <color indexed="60"/>
        <rFont val="Calibri"/>
        <family val="2"/>
        <scheme val="minor"/>
      </rPr>
      <t xml:space="preserve"> Only include positive capital contributions.  Negative capital contributions should be included with 'Total all non-operating expenses.'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</si>
  <si>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</si>
  <si>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scheme val="minor"/>
      </rPr>
      <t>Increase amounts to beginning net position should be entered as a positive amount and (decreases) should be entered as a negative amount.</t>
    </r>
  </si>
  <si>
    <r>
      <rPr>
        <u/>
        <sz val="11"/>
        <color indexed="8"/>
        <rFont val="Calibri"/>
        <family val="2"/>
        <scheme val="minor"/>
      </rPr>
      <t>Did unit raise Water Sewer rates during the audited fiscal period</t>
    </r>
    <r>
      <rPr>
        <sz val="11"/>
        <color theme="1"/>
        <rFont val="Calibri"/>
        <family val="2"/>
        <scheme val="minor"/>
      </rPr>
      <t>? -</t>
    </r>
    <r>
      <rPr>
        <sz val="11"/>
        <color indexed="60"/>
        <rFont val="Calibri"/>
        <family val="2"/>
        <scheme val="minor"/>
      </rPr>
      <t xml:space="preserve"> answer Yes or No</t>
    </r>
  </si>
  <si>
    <r>
      <rPr>
        <u/>
        <sz val="11"/>
        <color indexed="8"/>
        <rFont val="Calibri"/>
        <family val="2"/>
        <scheme val="minor"/>
      </rPr>
      <t>Did unit raise Water Sewer rates during the budget year following the audited fiscal year</t>
    </r>
    <r>
      <rPr>
        <sz val="11"/>
        <color theme="1"/>
        <rFont val="Calibri"/>
        <family val="2"/>
        <scheme val="minor"/>
      </rPr>
      <t xml:space="preserve">? - </t>
    </r>
    <r>
      <rPr>
        <sz val="11"/>
        <color indexed="60"/>
        <rFont val="Calibri"/>
        <family val="2"/>
        <scheme val="minor"/>
      </rPr>
      <t>answer Yes or No</t>
    </r>
  </si>
  <si>
    <r>
      <rPr>
        <b/>
        <sz val="11"/>
        <color indexed="8"/>
        <rFont val="Calibri"/>
        <family val="2"/>
        <scheme val="minor"/>
      </rPr>
      <t>Electric Fund</t>
    </r>
    <r>
      <rPr>
        <sz val="11"/>
        <color indexed="8"/>
        <rFont val="Calibri"/>
        <family val="2"/>
        <scheme val="minor"/>
      </rPr>
      <t xml:space="preserve"> Revenue, Expenses &amp; Changes in Fund Net Position</t>
    </r>
  </si>
  <si>
    <r>
      <rPr>
        <u/>
        <sz val="11"/>
        <color indexed="8"/>
        <rFont val="Calibri"/>
        <family val="2"/>
        <scheme val="minor"/>
      </rPr>
      <t xml:space="preserve">Total all the non-operating revenues  </t>
    </r>
    <r>
      <rPr>
        <sz val="11"/>
        <color indexed="8"/>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</si>
  <si>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</si>
  <si>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
    </r>
    <r>
      <rPr>
        <u/>
        <sz val="11"/>
        <rFont val="Calibri"/>
        <family val="2"/>
        <scheme val="minor"/>
      </rPr>
      <t>tal Contributions</t>
    </r>
    <r>
      <rPr>
        <sz val="11"/>
        <rFont val="Calibri"/>
        <family val="2"/>
        <scheme val="minor"/>
      </rPr>
      <t xml:space="preserve">.  
</t>
    </r>
    <r>
      <rPr>
        <b/>
        <sz val="11"/>
        <rFont val="Calibri"/>
        <family val="2"/>
        <scheme val="minor"/>
      </rPr>
      <t xml:space="preserve">Include </t>
    </r>
    <r>
      <rPr>
        <sz val="11"/>
        <rFont val="Calibri"/>
        <family val="2"/>
        <scheme val="minor"/>
      </rPr>
      <t>only positive capital Contributions.</t>
    </r>
    <r>
      <rPr>
        <b/>
        <sz val="11"/>
        <rFont val="Calibri"/>
        <family val="2"/>
        <scheme val="minor"/>
      </rPr>
      <t xml:space="preserve">  </t>
    </r>
    <r>
      <rPr>
        <sz val="11"/>
        <color indexed="60"/>
        <rFont val="Calibri"/>
        <family val="2"/>
        <scheme val="minor"/>
      </rPr>
      <t>Negative capital contributions should be included with 'Total all non-operating expenses.'</t>
    </r>
  </si>
  <si>
    <r>
      <rPr>
        <u/>
        <sz val="11"/>
        <color indexed="8"/>
        <rFont val="Calibri"/>
        <family val="2"/>
        <scheme val="minor"/>
      </rPr>
      <t>Total Transfers In</t>
    </r>
    <r>
      <rPr>
        <sz val="11"/>
        <color theme="1"/>
        <rFont val="Calibri"/>
        <family val="2"/>
        <scheme val="minor"/>
      </rPr>
      <t xml:space="preserve"> (From all Funds)</t>
    </r>
  </si>
  <si>
    <r>
      <rPr>
        <u/>
        <sz val="11"/>
        <color indexed="8"/>
        <rFont val="Calibri"/>
        <family val="2"/>
        <scheme val="minor"/>
      </rPr>
      <t>Total Transfers Out</t>
    </r>
    <r>
      <rPr>
        <sz val="11"/>
        <color theme="1"/>
        <rFont val="Calibri"/>
        <family val="2"/>
        <scheme val="minor"/>
      </rPr>
      <t xml:space="preserve"> (To all funds)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</si>
  <si>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</si>
  <si>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electric net position due to rounding, prior period adjustments and restatements</t>
    </r>
    <r>
      <rPr>
        <sz val="11"/>
        <color indexed="60"/>
        <rFont val="Calibri"/>
        <family val="2"/>
        <scheme val="minor"/>
      </rPr>
      <t>.  Increase amounts to beginning net position should be entered as a positive amount and (decreases) should be entered as a negative amount.</t>
    </r>
  </si>
  <si>
    <r>
      <rPr>
        <b/>
        <sz val="11"/>
        <color indexed="8"/>
        <rFont val="Calibri"/>
        <family val="2"/>
        <scheme val="minor"/>
      </rPr>
      <t>Water and Sewer Operations</t>
    </r>
    <r>
      <rPr>
        <sz val="11"/>
        <color indexed="8"/>
        <rFont val="Calibri"/>
        <family val="2"/>
        <scheme val="minor"/>
      </rPr>
      <t xml:space="preserve"> - If unit maintains separate funds please combine all water, sewer,</t>
    </r>
  </si>
  <si>
    <r>
      <t xml:space="preserve">and wastewater funds into one activity for purposes of this worksheet.  </t>
    </r>
    <r>
      <rPr>
        <b/>
        <sz val="11"/>
        <color indexed="8"/>
        <rFont val="Calibri"/>
        <family val="2"/>
        <scheme val="minor"/>
      </rPr>
      <t>Exclude stormwater funds</t>
    </r>
    <r>
      <rPr>
        <sz val="11"/>
        <color indexed="8"/>
        <rFont val="Calibri"/>
        <family val="2"/>
        <scheme val="minor"/>
      </rPr>
      <t xml:space="preserve">.  Only fill out this section if </t>
    </r>
  </si>
  <si>
    <r>
      <t xml:space="preserve">Water Sewer </t>
    </r>
    <r>
      <rPr>
        <sz val="11"/>
        <color indexed="8"/>
        <rFont val="Calibri"/>
        <family val="2"/>
        <scheme val="minor"/>
      </rPr>
      <t>Cash Flow Statement</t>
    </r>
  </si>
  <si>
    <r>
      <rPr>
        <u/>
        <sz val="11"/>
        <color indexed="8"/>
        <rFont val="Calibri"/>
        <family val="2"/>
        <scheme val="minor"/>
      </rPr>
      <t xml:space="preserve">Total 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</si>
  <si>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</si>
  <si>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Principal paid on long-term debt</t>
    </r>
    <r>
      <rPr>
        <sz val="11"/>
        <color theme="1"/>
        <rFont val="Calibri"/>
        <family val="2"/>
        <scheme val="minor"/>
      </rPr>
      <t xml:space="preserve">.  </t>
    </r>
    <r>
      <rPr>
        <sz val="11"/>
        <color indexed="60"/>
        <rFont val="Calibri"/>
        <family val="2"/>
        <scheme val="minor"/>
      </rPr>
      <t>Amount should be reduced by principal payments for debt refunding.</t>
    </r>
  </si>
  <si>
    <r>
      <t xml:space="preserve">Electric Fund </t>
    </r>
    <r>
      <rPr>
        <sz val="11"/>
        <color indexed="8"/>
        <rFont val="Calibri"/>
        <family val="2"/>
        <scheme val="minor"/>
      </rPr>
      <t>Cash Flow Statement</t>
    </r>
  </si>
  <si>
    <r>
      <rPr>
        <u/>
        <sz val="11"/>
        <color indexed="8"/>
        <rFont val="Calibri"/>
        <family val="2"/>
        <scheme val="minor"/>
      </rPr>
      <t xml:space="preserve">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</si>
  <si>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</si>
  <si>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</si>
  <si>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Cash and Investment</t>
    </r>
    <r>
      <rPr>
        <sz val="11"/>
        <color indexed="8"/>
        <rFont val="Calibri"/>
        <family val="2"/>
        <scheme val="minor"/>
      </rPr>
      <t xml:space="preserve"> - </t>
    </r>
    <r>
      <rPr>
        <sz val="11"/>
        <color indexed="60"/>
        <rFont val="Calibri"/>
        <family val="2"/>
        <scheme val="minor"/>
      </rPr>
      <t>Please list the book value of any unspent debt proceeds (bonds, installment, etc.) in any funds as of June 30.  This information may be on the face of your statements or in the notes</t>
    </r>
  </si>
  <si>
    <r>
      <t xml:space="preserve">Total Assets </t>
    </r>
    <r>
      <rPr>
        <b/>
        <sz val="11"/>
        <color indexed="8"/>
        <rFont val="Calibri"/>
        <family val="2"/>
        <scheme val="minor"/>
      </rPr>
      <t>being depreciated</t>
    </r>
    <r>
      <rPr>
        <sz val="11"/>
        <color theme="1"/>
        <rFont val="Calibri"/>
        <family val="2"/>
        <scheme val="minor"/>
      </rPr>
      <t xml:space="preserve"> for Governmental Activities:</t>
    </r>
  </si>
  <si>
    <r>
      <rPr>
        <u/>
        <sz val="11"/>
        <color indexed="8"/>
        <rFont val="Calibri"/>
        <family val="2"/>
        <scheme val="minor"/>
      </rPr>
      <t>Gross value.</t>
    </r>
    <r>
      <rPr>
        <sz val="11"/>
        <color theme="1"/>
        <rFont val="Calibri"/>
        <family val="2"/>
        <scheme val="minor"/>
      </rPr>
      <t xml:space="preserve"> </t>
    </r>
    <r>
      <rPr>
        <b/>
        <sz val="11"/>
        <color indexed="8"/>
        <rFont val="Calibri"/>
        <family val="2"/>
        <scheme val="minor"/>
      </rPr>
      <t xml:space="preserve"> 
Exclude</t>
    </r>
    <r>
      <rPr>
        <sz val="11"/>
        <color theme="1"/>
        <rFont val="Calibri"/>
        <family val="2"/>
        <scheme val="minor"/>
      </rPr>
      <t xml:space="preserve"> non-depreciable.</t>
    </r>
  </si>
  <si>
    <r>
      <t xml:space="preserve">Capital Assets for Water and Sewer Activity </t>
    </r>
    <r>
      <rPr>
        <sz val="11"/>
        <color indexed="60"/>
        <rFont val="Calibri"/>
        <family val="2"/>
        <scheme val="minor"/>
      </rPr>
      <t>(If unit maintains separate funds please combine all water, sewer and wastewater funds into one activity for purposes of this worksheet)</t>
    </r>
    <r>
      <rPr>
        <b/>
        <sz val="11"/>
        <color indexed="8"/>
        <rFont val="Calibri"/>
        <family val="2"/>
        <scheme val="minor"/>
      </rPr>
      <t xml:space="preserve">
Exclude </t>
    </r>
    <r>
      <rPr>
        <sz val="11"/>
        <color indexed="8"/>
        <rFont val="Calibri"/>
        <family val="2"/>
        <scheme val="minor"/>
      </rPr>
      <t>Stormwater funds</t>
    </r>
  </si>
  <si>
    <r>
      <t xml:space="preserve">Assets </t>
    </r>
    <r>
      <rPr>
        <b/>
        <sz val="11"/>
        <color indexed="8"/>
        <rFont val="Calibri"/>
        <family val="2"/>
        <scheme val="minor"/>
      </rPr>
      <t>not being depreciated</t>
    </r>
    <r>
      <rPr>
        <sz val="11"/>
        <color theme="1"/>
        <rFont val="Calibri"/>
        <family val="2"/>
        <scheme val="minor"/>
      </rPr>
      <t xml:space="preserve"> for Water and Sewer Activities:</t>
    </r>
  </si>
  <si>
    <r>
      <rPr>
        <u/>
        <sz val="11"/>
        <color indexed="8"/>
        <rFont val="Calibri"/>
        <family val="2"/>
        <scheme val="minor"/>
      </rPr>
      <t>Land and all other non depreciable capital assets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construction in progress</t>
    </r>
  </si>
  <si>
    <r>
      <t>Total Assets not being depreciated for</t>
    </r>
    <r>
      <rPr>
        <b/>
        <u/>
        <sz val="11"/>
        <color indexed="8"/>
        <rFont val="Calibri"/>
        <family val="2"/>
        <scheme val="minor"/>
      </rPr>
      <t xml:space="preserve"> Water and Sewer</t>
    </r>
    <r>
      <rPr>
        <u/>
        <sz val="11"/>
        <color indexed="8"/>
        <rFont val="Calibri"/>
        <family val="2"/>
        <scheme val="minor"/>
      </rPr>
      <t xml:space="preserve"> Activities</t>
    </r>
  </si>
  <si>
    <r>
      <t xml:space="preserve">Assets </t>
    </r>
    <r>
      <rPr>
        <b/>
        <sz val="11"/>
        <color indexed="8"/>
        <rFont val="Calibri"/>
        <family val="2"/>
        <scheme val="minor"/>
      </rPr>
      <t>being depreciated</t>
    </r>
    <r>
      <rPr>
        <sz val="11"/>
        <color theme="1"/>
        <rFont val="Calibri"/>
        <family val="2"/>
        <scheme val="minor"/>
      </rPr>
      <t xml:space="preserve"> for Water and Sewer Activities:</t>
    </r>
  </si>
  <si>
    <r>
      <t xml:space="preserve">Total Gross Value Assets </t>
    </r>
    <r>
      <rPr>
        <b/>
        <sz val="11"/>
        <color indexed="8"/>
        <rFont val="Calibri"/>
        <family val="2"/>
        <scheme val="minor"/>
      </rPr>
      <t>being depreciated</t>
    </r>
    <r>
      <rPr>
        <sz val="11"/>
        <color theme="1"/>
        <rFont val="Calibri"/>
        <family val="2"/>
        <scheme val="minor"/>
      </rPr>
      <t xml:space="preserve"> for Water and Sewer Activities</t>
    </r>
  </si>
  <si>
    <r>
      <t xml:space="preserve">Total Assets Gross value </t>
    </r>
    <r>
      <rPr>
        <b/>
        <u/>
        <sz val="11"/>
        <color indexed="8"/>
        <rFont val="Calibri"/>
        <family val="2"/>
        <scheme val="minor"/>
      </rPr>
      <t>not being depreciated</t>
    </r>
    <r>
      <rPr>
        <u/>
        <sz val="11"/>
        <color indexed="8"/>
        <rFont val="Calibri"/>
        <family val="2"/>
        <scheme val="minor"/>
      </rPr>
      <t xml:space="preserve"> for Electric Fund</t>
    </r>
  </si>
  <si>
    <r>
      <t xml:space="preserve">Long-Term Liability Note - </t>
    </r>
    <r>
      <rPr>
        <b/>
        <sz val="11"/>
        <color indexed="8"/>
        <rFont val="Calibri"/>
        <family val="2"/>
        <scheme val="minor"/>
      </rPr>
      <t>Governmental Activities</t>
    </r>
  </si>
  <si>
    <r>
      <rPr>
        <u/>
        <sz val="11"/>
        <color indexed="8"/>
        <rFont val="Calibri"/>
        <family val="2"/>
        <scheme val="minor"/>
      </rPr>
      <t xml:space="preserve">Decreases made (principal paid) on Long-Term Debt in current fiscal year.  Reduce for </t>
    </r>
    <r>
      <rPr>
        <b/>
        <u/>
        <sz val="11"/>
        <color indexed="8"/>
        <rFont val="Calibri"/>
        <family val="2"/>
        <scheme val="minor"/>
      </rPr>
      <t>debt refunding</t>
    </r>
    <r>
      <rPr>
        <u/>
        <sz val="11"/>
        <color indexed="8"/>
        <rFont val="Calibri"/>
        <family val="2"/>
        <scheme val="minor"/>
      </rPr>
      <t>.</t>
    </r>
  </si>
  <si>
    <r>
      <t xml:space="preserve">Long-Term Liability Note - </t>
    </r>
    <r>
      <rPr>
        <b/>
        <sz val="11"/>
        <color indexed="8"/>
        <rFont val="Calibri"/>
        <family val="2"/>
        <scheme val="minor"/>
      </rPr>
      <t>Water Sewer Activities</t>
    </r>
  </si>
  <si>
    <r>
      <t>Long-Term Liability Note -</t>
    </r>
    <r>
      <rPr>
        <b/>
        <sz val="11"/>
        <color indexed="8"/>
        <rFont val="Calibri"/>
        <family val="2"/>
        <scheme val="minor"/>
      </rPr>
      <t xml:space="preserve"> Electric Activities</t>
    </r>
  </si>
  <si>
    <r>
      <rPr>
        <u/>
        <sz val="11"/>
        <color indexed="8"/>
        <rFont val="Calibri"/>
        <family val="2"/>
        <scheme val="minor"/>
      </rPr>
      <t>Amount of Transfers from the General Fund to the Debt Service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</si>
  <si>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General Fund to the Electric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</si>
  <si>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Electric Fund to the General Fund</t>
    </r>
    <r>
      <rPr>
        <sz val="11"/>
        <color theme="1"/>
        <rFont val="Calibri"/>
        <family val="2"/>
        <scheme val="minor"/>
      </rPr>
      <t xml:space="preserve">  </t>
    </r>
    <r>
      <rPr>
        <sz val="11"/>
        <color indexed="60"/>
        <rFont val="Calibri"/>
        <family val="2"/>
        <scheme val="minor"/>
      </rPr>
      <t xml:space="preserve">(Enter as positive)
</t>
    </r>
    <r>
      <rPr>
        <b/>
        <sz val="11"/>
        <rFont val="Calibri"/>
        <family val="2"/>
        <scheme val="minor"/>
      </rPr>
      <t>Include</t>
    </r>
    <r>
      <rPr>
        <sz val="11"/>
        <rFont val="Calibri"/>
        <family val="2"/>
        <scheme val="minor"/>
      </rPr>
      <t>:  Payment in Lieu of Taxes (PILOT)</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</si>
  <si>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</si>
  <si>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r>
      <rPr>
        <b/>
        <sz val="11"/>
        <color indexed="8"/>
        <rFont val="Calibri"/>
        <family val="2"/>
        <scheme val="minor"/>
      </rPr>
      <t>Water Sewer</t>
    </r>
    <r>
      <rPr>
        <sz val="11"/>
        <color indexed="8"/>
        <rFont val="Calibri"/>
        <family val="2"/>
        <scheme val="minor"/>
      </rPr>
      <t xml:space="preserve"> - Budget Actual Statement</t>
    </r>
  </si>
  <si>
    <r>
      <rPr>
        <u/>
        <sz val="11"/>
        <color indexed="8"/>
        <rFont val="Calibri"/>
        <family val="2"/>
        <scheme val="minor"/>
      </rPr>
      <t xml:space="preserve">Amount of Water Sewer revenues and other financing sources over expenditures and other uses
</t>
    </r>
    <r>
      <rPr>
        <b/>
        <u/>
        <sz val="11"/>
        <color indexed="8"/>
        <rFont val="Calibri"/>
        <family val="2"/>
        <scheme val="minor"/>
      </rPr>
      <t xml:space="preserve">Exclude:  All transfers and capital contributions
Exclude:  Capital Project funds
</t>
    </r>
    <r>
      <rPr>
        <sz val="11"/>
        <color indexed="60"/>
        <rFont val="Calibri"/>
        <family val="2"/>
        <scheme val="minor"/>
      </rPr>
      <t>This schedule is usually found behind the notes and should be entered as a positive or negative as indicated on your audit report</t>
    </r>
  </si>
  <si>
    <r>
      <rPr>
        <b/>
        <sz val="11"/>
        <color indexed="8"/>
        <rFont val="Calibri"/>
        <family val="2"/>
        <scheme val="minor"/>
      </rPr>
      <t>Water Sewer</t>
    </r>
    <r>
      <rPr>
        <sz val="11"/>
        <color indexed="8"/>
        <rFont val="Calibri"/>
        <family val="2"/>
        <scheme val="minor"/>
      </rPr>
      <t xml:space="preserve"> - Disclosed in the Notes or in the recently approved Budget for next year.</t>
    </r>
  </si>
  <si>
    <r>
      <t xml:space="preserve">Analysis of Current Tax Levy Schedule - Unit-Wide - </t>
    </r>
    <r>
      <rPr>
        <b/>
        <sz val="11"/>
        <color indexed="60"/>
        <rFont val="Calibri"/>
        <family val="2"/>
        <scheme val="minor"/>
      </rPr>
      <t xml:space="preserve">Pull percentages from this LGC-required schedule, </t>
    </r>
  </si>
  <si>
    <r>
      <rPr>
        <u/>
        <sz val="11"/>
        <rFont val="Calibri"/>
        <family val="2"/>
        <scheme val="minor"/>
      </rPr>
      <t>Please enter the Net Current year's levy -- Motor vehicles</t>
    </r>
    <r>
      <rPr>
        <sz val="11"/>
        <rFont val="Calibri"/>
        <family val="2"/>
        <scheme val="minor"/>
      </rPr>
      <t xml:space="preserve"> (only) </t>
    </r>
    <r>
      <rPr>
        <sz val="11"/>
        <color indexed="60"/>
        <rFont val="Calibri"/>
        <family val="2"/>
        <scheme val="minor"/>
      </rPr>
      <t xml:space="preserve">(after adjusting for discoveries and abatements)
</t>
    </r>
    <r>
      <rPr>
        <b/>
        <sz val="11"/>
        <color indexed="8"/>
        <rFont val="Calibri"/>
        <family val="2"/>
        <scheme val="minor"/>
      </rPr>
      <t xml:space="preserve">Exclude </t>
    </r>
    <r>
      <rPr>
        <sz val="11"/>
        <color indexed="8"/>
        <rFont val="Calibri"/>
        <family val="2"/>
        <scheme val="minor"/>
      </rPr>
      <t>supplemental taxes</t>
    </r>
  </si>
  <si>
    <r>
      <t xml:space="preserve">Uncollected Taxes - Curr Year's Levy Exclude Motor Vehicles
</t>
    </r>
    <r>
      <rPr>
        <b/>
        <sz val="11"/>
        <rFont val="Calibri"/>
        <family val="2"/>
        <scheme val="minor"/>
      </rPr>
      <t>Exclude</t>
    </r>
    <r>
      <rPr>
        <sz val="11"/>
        <rFont val="Calibri"/>
        <family val="2"/>
        <scheme val="minor"/>
      </rPr>
      <t xml:space="preserve"> supplemental taxes</t>
    </r>
  </si>
  <si>
    <r>
      <t xml:space="preserve">Uncollected Taxes - Curr Year's Levy Motor Vehicles
</t>
    </r>
    <r>
      <rPr>
        <b/>
        <sz val="11"/>
        <rFont val="Calibri"/>
        <family val="2"/>
        <scheme val="minor"/>
      </rPr>
      <t>Exclude</t>
    </r>
    <r>
      <rPr>
        <sz val="11"/>
        <rFont val="Calibri"/>
        <family val="2"/>
        <scheme val="minor"/>
      </rPr>
      <t xml:space="preserve"> supplemental taxes</t>
    </r>
  </si>
  <si>
    <r>
      <t xml:space="preserve">Tax collection rate- Total Levy UNIT-WIDE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</si>
  <si>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rFont val="Calibri"/>
        <family val="2"/>
        <scheme val="minor"/>
      </rPr>
      <t>Tax collection rate - Excluding Registered motor vehicles</t>
    </r>
    <r>
      <rPr>
        <u/>
        <sz val="11"/>
        <color indexed="60"/>
        <rFont val="Calibri"/>
        <family val="2"/>
        <scheme val="minor"/>
      </rPr>
      <t xml:space="preserve">
</t>
    </r>
    <r>
      <rPr>
        <b/>
        <sz val="11"/>
        <rFont val="Calibri"/>
        <family val="2"/>
        <scheme val="minor"/>
      </rPr>
      <t>Exclude</t>
    </r>
    <r>
      <rPr>
        <sz val="11"/>
        <rFont val="Calibri"/>
        <family val="2"/>
        <scheme val="minor"/>
      </rPr>
      <t xml:space="preserve"> supplemental taxes</t>
    </r>
    <r>
      <rPr>
        <sz val="11"/>
        <color indexed="60"/>
        <rFont val="Calibri"/>
        <family val="2"/>
        <scheme val="minor"/>
      </rPr>
      <t xml:space="preserve">
(Enter as a percentage with two decimal places)</t>
    </r>
  </si>
  <si>
    <r>
      <t xml:space="preserve">Tax collection rate - Registered motor vehicles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</si>
  <si>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color indexed="8"/>
        <rFont val="Calibri"/>
        <family val="2"/>
        <scheme val="minor"/>
      </rPr>
      <t>Property Tax Increase for Year Audited</t>
    </r>
    <r>
      <rPr>
        <sz val="11"/>
        <color theme="1"/>
        <rFont val="Calibri"/>
        <family val="2"/>
        <scheme val="minor"/>
      </rPr>
      <t xml:space="preserve">- </t>
    </r>
    <r>
      <rPr>
        <sz val="11"/>
        <color indexed="60"/>
        <rFont val="Calibri"/>
        <family val="2"/>
        <scheme val="minor"/>
      </rPr>
      <t xml:space="preserve">enter amount of  increase in cents per $100 - leave blank if no increase 
</t>
    </r>
    <r>
      <rPr>
        <b/>
        <sz val="11"/>
        <color indexed="8"/>
        <rFont val="Calibri"/>
        <family val="2"/>
        <scheme val="minor"/>
      </rPr>
      <t>Exclude</t>
    </r>
    <r>
      <rPr>
        <sz val="11"/>
        <color indexed="8"/>
        <rFont val="Calibri"/>
        <family val="2"/>
        <scheme val="minor"/>
      </rPr>
      <t xml:space="preserve"> supplemental taxes</t>
    </r>
  </si>
  <si>
    <r>
      <rPr>
        <u/>
        <sz val="11"/>
        <color indexed="8"/>
        <rFont val="Calibri"/>
        <family val="2"/>
        <scheme val="minor"/>
      </rPr>
      <t>Property Tax Increase for budget year after fiscal year being reported</t>
    </r>
    <r>
      <rPr>
        <sz val="11"/>
        <color theme="1"/>
        <rFont val="Calibri"/>
        <family val="2"/>
        <scheme val="minor"/>
      </rPr>
      <t xml:space="preserve"> - </t>
    </r>
    <r>
      <rPr>
        <sz val="11"/>
        <color indexed="60"/>
        <rFont val="Calibri"/>
        <family val="2"/>
        <scheme val="minor"/>
      </rPr>
      <t xml:space="preserve">enter amount of increase in cents per $100- leave blank if no increase
</t>
    </r>
    <r>
      <rPr>
        <b/>
        <sz val="11"/>
        <color indexed="8"/>
        <rFont val="Calibri"/>
        <family val="2"/>
        <scheme val="minor"/>
      </rPr>
      <t>Exclude</t>
    </r>
    <r>
      <rPr>
        <sz val="11"/>
        <color indexed="8"/>
        <rFont val="Calibri"/>
        <family val="2"/>
        <scheme val="minor"/>
      </rPr>
      <t xml:space="preserve"> supplemental taxes</t>
    </r>
  </si>
  <si>
    <t>Hospital-EF- Unrestricted Cash &amp; Invest. [Incl.all but Held by Trustee or 3rd party restricted](BS)</t>
  </si>
  <si>
    <t>Unit Data from Audit Worksheet tab: '(506+536-4-5-6-11)+647/(532+509+20-533-508)</t>
  </si>
  <si>
    <t>County only</t>
  </si>
  <si>
    <t>hide for muni, county, utility</t>
  </si>
  <si>
    <t>MH Enterprise Fund Non GAAP - Negative debt refund</t>
  </si>
  <si>
    <t>Mental Health Net Position - Unrestricted Net Position</t>
  </si>
  <si>
    <t>Messages</t>
  </si>
  <si>
    <t>not on 2020 Data</t>
  </si>
  <si>
    <r>
      <t xml:space="preserve">Amount of Ad valorem tax </t>
    </r>
    <r>
      <rPr>
        <b/>
        <sz val="14"/>
        <color theme="1"/>
        <rFont val="Calibri"/>
        <family val="2"/>
        <scheme val="minor"/>
      </rPr>
      <t>collected</t>
    </r>
    <r>
      <rPr>
        <sz val="11"/>
        <color theme="1"/>
        <rFont val="Calibri"/>
        <family val="2"/>
        <scheme val="minor"/>
      </rPr>
      <t xml:space="preserve"> (including motor vehicle and prior years) reported on budget actual statement</t>
    </r>
  </si>
  <si>
    <r>
      <t xml:space="preserve">Amount of Ad valorem tax </t>
    </r>
    <r>
      <rPr>
        <b/>
        <sz val="14"/>
        <color theme="1"/>
        <rFont val="Calibri"/>
        <family val="2"/>
        <scheme val="minor"/>
      </rPr>
      <t>budgeted</t>
    </r>
    <r>
      <rPr>
        <sz val="11"/>
        <color theme="1"/>
        <rFont val="Calibri"/>
        <family val="2"/>
        <scheme val="minor"/>
      </rPr>
      <t xml:space="preserve"> (including motor vehicle and prior years) reported on budget actual statement</t>
    </r>
  </si>
  <si>
    <t>Comb-Proprietary Funds-Current Assets 
Exclude: any restricted assets
                  deferred outflows</t>
  </si>
  <si>
    <t>Mental Health Enterprise Fund Non GAAP (Budget Actual Statements behind the notes)</t>
  </si>
  <si>
    <t>Mental Health or Hospital-EF- Patient Accounts Receivable, Net of Allowance for Bad Debt</t>
  </si>
  <si>
    <r>
      <rPr>
        <u/>
        <sz val="11"/>
        <color indexed="8"/>
        <rFont val="Calibri"/>
        <family val="2"/>
        <scheme val="minor"/>
      </rPr>
      <t>Current liabilities</t>
    </r>
    <r>
      <rPr>
        <u/>
        <sz val="11"/>
        <color rgb="FFFF0000"/>
        <rFont val="Calibri"/>
        <family val="2"/>
        <scheme val="minor"/>
      </rPr>
      <t xml:space="preserve"> (as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positive</t>
    </r>
  </si>
  <si>
    <r>
      <t xml:space="preserve">Please enter any compensated absences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</si>
  <si>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t xml:space="preserve">Please enter any bond anticipation notes that are classified as current liabilities and included in account 633 above </t>
    </r>
    <r>
      <rPr>
        <sz val="11"/>
        <color theme="5" tint="-0.249977111117893"/>
        <rFont val="Calibri"/>
        <family val="2"/>
        <scheme val="minor"/>
      </rPr>
      <t xml:space="preserve">(amounts entered should agree to the current amount included in the changes to long-term debt note)
</t>
    </r>
    <r>
      <rPr>
        <sz val="11"/>
        <rFont val="Calibri"/>
        <family val="2"/>
        <scheme val="minor"/>
      </rPr>
      <t>Enter as positive</t>
    </r>
  </si>
  <si>
    <r>
      <t xml:space="preserve">Unearned revenue (arising from cash receipts) that were included in Current Liabilities in the question in account 633 above.
</t>
    </r>
    <r>
      <rPr>
        <sz val="11"/>
        <color theme="1"/>
        <rFont val="Calibri"/>
        <family val="2"/>
        <scheme val="minor"/>
      </rPr>
      <t xml:space="preserve">
Enter as positive</t>
    </r>
  </si>
  <si>
    <r>
      <t xml:space="preserve">Please enter any OPEB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</si>
  <si>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t>Please enter any current liabilities that are payable from restricted assets and included in account 633 above.
Enter as positive</t>
  </si>
  <si>
    <r>
      <t xml:space="preserve">Please enter any pension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</si>
  <si>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rPr>
        <u/>
        <sz val="11"/>
        <color indexed="8"/>
        <rFont val="Calibri"/>
        <family val="2"/>
        <scheme val="minor"/>
      </rPr>
      <t xml:space="preserve">Current liabilities </t>
    </r>
    <r>
      <rPr>
        <u/>
        <sz val="11"/>
        <color rgb="FFFF0000"/>
        <rFont val="Calibri"/>
        <family val="2"/>
        <scheme val="minor"/>
      </rPr>
      <t>(as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a positive</t>
    </r>
  </si>
  <si>
    <r>
      <t xml:space="preserve">Please enter any bond anticipation notes that are classified as current liabilities and included in account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</si>
  <si>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r>
      <t xml:space="preserve">Please enter any compensated absences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</si>
  <si>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r>
      <t xml:space="preserve">Please enter any pension liabilities that are classified as current liabilities and included account in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</si>
  <si>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t>Please enter any current liabilities that are payable from restricted assets and included in account 639 above. 
Enter as a positive</t>
  </si>
  <si>
    <r>
      <t xml:space="preserve">Please enter any OPEB liabilities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</si>
  <si>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t>Unearned revenue (arising from cash receipts) that were included in Current Liabilities in account 639 above.
Enter as a positive</t>
  </si>
  <si>
    <t>If you answered "yes" to question #988 above, will you have the closure/postclosure cost fully funded by the date of closure?  Select "1" for Yes,  "2" for No, or "3" for N/A.</t>
  </si>
  <si>
    <r>
      <rPr>
        <u/>
        <sz val="11"/>
        <rFont val="Calibri"/>
        <family val="2"/>
        <scheme val="minor"/>
      </rPr>
      <t xml:space="preserve">Please enter the </t>
    </r>
    <r>
      <rPr>
        <b/>
        <u/>
        <sz val="11"/>
        <rFont val="Calibri"/>
        <family val="2"/>
        <scheme val="minor"/>
      </rPr>
      <t>Net Current year's levy for property excluding registered motor vehicles</t>
    </r>
    <r>
      <rPr>
        <sz val="11"/>
        <rFont val="Calibri"/>
        <family val="2"/>
        <scheme val="minor"/>
      </rPr>
      <t xml:space="preserve">-- </t>
    </r>
    <r>
      <rPr>
        <sz val="11"/>
        <color indexed="60"/>
        <rFont val="Calibri"/>
        <family val="2"/>
        <scheme val="minor"/>
      </rPr>
      <t>(after adjusting for discoveries and abatements)</t>
    </r>
    <r>
      <rPr>
        <sz val="11"/>
        <rFont val="Calibri"/>
        <family val="2"/>
        <scheme val="minor"/>
      </rPr>
      <t xml:space="preserve">
</t>
    </r>
    <r>
      <rPr>
        <b/>
        <sz val="11"/>
        <rFont val="Calibri"/>
        <family val="2"/>
        <scheme val="minor"/>
      </rPr>
      <t>Exclude</t>
    </r>
    <r>
      <rPr>
        <sz val="11"/>
        <rFont val="Calibri"/>
        <family val="2"/>
        <scheme val="minor"/>
      </rPr>
      <t xml:space="preserve"> Supplemental Taxes</t>
    </r>
  </si>
  <si>
    <t>Leave blank if data not available</t>
  </si>
  <si>
    <t>Debt Service Fund Balance</t>
  </si>
  <si>
    <t>Is there is a going concern finding noted in the audit report</t>
  </si>
  <si>
    <t>Did unit have problems with debt service payments being late, debt restructured or not meeting bond covenants</t>
  </si>
  <si>
    <t>Were there statutory violations disclosed in the audit</t>
  </si>
  <si>
    <t>Were major funds overspent</t>
  </si>
  <si>
    <t>If you answered "yes" to question CCH #988 above, will you have the closure/postclosure cost fully funded by the date of closure</t>
  </si>
  <si>
    <t>Greater than 16% (2 months)</t>
  </si>
  <si>
    <t>It appears your Water Sewer fund(s) have  transfers-in for the support of operations that are greater than 3% of the total of operating and non-operating expenses.  Please discuss the purpose of such transfers-in and if you plan to continue these transfers-in.</t>
  </si>
  <si>
    <t>Unit Data from Audit worksheet tab :  CCH acct # 986 is greater than (CCH 85+CCH 351)*.03</t>
  </si>
  <si>
    <t>If you encounter an Excel error in the various indicators such as "false", "#DIV/0!" OR "#NA", normally the reason is you did not to answer one of the questions used to calculate the formula - Column G provides the accounts and formula used in the calculation.  If the Unit Results cell is red, please verify that the data is entered correctly in the "Unit Data From Audit Worksheet" or "TD Info Completed by Auditor" as indicated for accounts listed in Column G.</t>
  </si>
  <si>
    <t>Fund balance available for appropriation is an important reserve for local governments to provide cash flow during periods of declining revenues and to be used for emergencies and unforeseen expenditures.  Column F to the left indicates the amount of available cash on hand as well as the average for units of your size.  Note one month of expenditures is equal to 8.33%.  In your Response Letter please provide detail plans on how your unit will improve your available fund balance.  Normally, a unit has to either increase revenues or decrease expenditures.  The Threshold tab in this worksheet discusses the various expenditure groupings.</t>
  </si>
  <si>
    <t xml:space="preserve">If you indicated that you expect a decrease in property value for your next property revaluation.   </t>
  </si>
  <si>
    <t>If you indicated that you expect a decrease in property value for your next property revaluation.   In your Response Letter please discuss the magnitude of the drop in valuation, the overall cause of the drop and how your County plans to recover the lost revenues.</t>
  </si>
  <si>
    <t>If a unit has no performance indicators of concern in column F that would require them to submit a Response to Audit Findings, Recommendations and Fiscal Issues, but they are currently on the  Unit Assistance List, they must still submit a Response to Audit Findings, Recommendations and Fiscal Issues.  Their response should discuss the financial plan they have developed to address the issues that placed them on the Unit Assistance List and the progress they have made to date.</t>
  </si>
  <si>
    <t>On the Unit Assistance List</t>
  </si>
  <si>
    <t>You have indicated that you have a  landfill that will be closing  or have a significant portion closing within the next 5 years  and will have the closure/postclosure cost fully funded by the date of closure.</t>
  </si>
  <si>
    <r>
      <rPr>
        <b/>
        <sz val="11"/>
        <color theme="1"/>
        <rFont val="Calibri"/>
        <family val="2"/>
        <scheme val="minor"/>
      </rPr>
      <t>Water and Sewer Operations</t>
    </r>
    <r>
      <rPr>
        <sz val="11"/>
        <color theme="1"/>
        <rFont val="Calibri"/>
        <family val="2"/>
        <scheme val="minor"/>
      </rPr>
      <t xml:space="preserve">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r>
  </si>
  <si>
    <t xml:space="preserve">Fund balance available for appropriation is an important reserve for local governments to provide cash flow during periods of declining revenues and to be used for emergencies and unforeseen expenditures.  Column F to the left indicates the amount of available cash on hand.  Note one month of expenditures is equal to 8.33%.  In your Response Letter please provide detail plans on how your unit will improve your available fund balance.  Normally, a unit has to either increasing revenues or decreasing expenditures.  </t>
  </si>
  <si>
    <t>Unit Data from Audit Worksheet tab: (13-534)/14</t>
  </si>
  <si>
    <t>Threshold</t>
  </si>
  <si>
    <t>Available Fund Balance + debt service fund balance / Total Expenditures and Transfers-out less bond proceeds</t>
  </si>
  <si>
    <t>Select Unit Name from Drop Down List</t>
  </si>
  <si>
    <t>The General Fund had a fund balance available less than 8% or one month of expenditures</t>
  </si>
  <si>
    <t>Section 1: Data Collection NOTE:  the data submitted below may be used in various published reports</t>
  </si>
  <si>
    <t>The  name of the Primary Government for the file name and in question 1 should not contain the words "Town of", Village of" etc…..The City of Dogwood = Dogwood</t>
  </si>
  <si>
    <t>Copy of final Ual as of 4/23/2021 based on June 30 2020 audited financals</t>
  </si>
  <si>
    <t>Aulander</t>
  </si>
  <si>
    <t>Ayden</t>
  </si>
  <si>
    <t>Bailey</t>
  </si>
  <si>
    <t>Belmont</t>
  </si>
  <si>
    <t>Bunn</t>
  </si>
  <si>
    <t>Casar</t>
  </si>
  <si>
    <t>Chocowinity</t>
  </si>
  <si>
    <t>Clarkton</t>
  </si>
  <si>
    <t>Cofield</t>
  </si>
  <si>
    <t>Conetoe</t>
  </si>
  <si>
    <t>Creswell</t>
  </si>
  <si>
    <t>Dallas</t>
  </si>
  <si>
    <t>Elizabeth City</t>
  </si>
  <si>
    <t>Erwin</t>
  </si>
  <si>
    <t>Eureka</t>
  </si>
  <si>
    <t>Gibson</t>
  </si>
  <si>
    <t>Green Level</t>
  </si>
  <si>
    <t>Hassell</t>
  </si>
  <si>
    <t>Haw River</t>
  </si>
  <si>
    <t>Hertford</t>
  </si>
  <si>
    <t>Micro</t>
  </si>
  <si>
    <t>Middleburg</t>
  </si>
  <si>
    <t>Mint Hill</t>
  </si>
  <si>
    <t>Mount Holly</t>
  </si>
  <si>
    <t>Plymouth</t>
  </si>
  <si>
    <t>Richfield</t>
  </si>
  <si>
    <t>Roseboro</t>
  </si>
  <si>
    <t>Rosman</t>
  </si>
  <si>
    <t>Rowland</t>
  </si>
  <si>
    <t>Roxboro</t>
  </si>
  <si>
    <t>Ruth</t>
  </si>
  <si>
    <t>Siler City</t>
  </si>
  <si>
    <t>Stanley</t>
  </si>
  <si>
    <t>Stonewall</t>
  </si>
  <si>
    <t>Tabor City</t>
  </si>
  <si>
    <t>Teachey</t>
  </si>
  <si>
    <t>Waco</t>
  </si>
  <si>
    <t>Walnut Creek</t>
  </si>
  <si>
    <t>Warrenton</t>
  </si>
  <si>
    <t>White Lake</t>
  </si>
  <si>
    <t>Winton</t>
  </si>
  <si>
    <t>Yanceyville</t>
  </si>
  <si>
    <t>Caswell County</t>
  </si>
  <si>
    <t>Cherokee County</t>
  </si>
  <si>
    <t>Columbus County</t>
  </si>
  <si>
    <t>Davie County</t>
  </si>
  <si>
    <t>Graham County</t>
  </si>
  <si>
    <t>Martin County</t>
  </si>
  <si>
    <t>Person County</t>
  </si>
  <si>
    <t>Bay River Metropolitan Sewer District</t>
  </si>
  <si>
    <t>Brunswick Regional Water Sewer - H2GO</t>
  </si>
  <si>
    <t>Maggie Valley Sanitary District</t>
  </si>
  <si>
    <t>Ocracoke Sanitary District</t>
  </si>
  <si>
    <t>Swan Quarter Sanitary District</t>
  </si>
  <si>
    <t>PERFORMANCE INDICATORS OF CONCERN</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</si>
  <si>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then the unit must submit a "Response to the Auditor's Findings, Recommendations, and Fiscal Matters" within 60 days from the auditor's board presentation.  The response must address all performance indicators shaded in red.</t>
  </si>
  <si>
    <t>Fiscal Year 2021</t>
  </si>
  <si>
    <t>In the past, units of government have been grouped by population to evaluate various ratios and benchmarking.  This year we have also grouped units by expenditure which is a more effective comparison for some ratios.  Beginning with this year, units of government have been grouped by general fund expenditures for purposes of evaluating available fund balance as a percentage of expenditures (GF FBA%).  Each grouping category has its own minimum threshold. If you are in the lower quartile your GF FBA% might be considered a performance indicator of concern and you might be asked to communicate to us. To the left are the minimum thresholds for Municipalities and Counties.</t>
  </si>
  <si>
    <t>GENERAL FUND:</t>
  </si>
  <si>
    <t>Unit Results</t>
  </si>
  <si>
    <t>Fund balance available for appropriation is an important reserve for local governments to provide cash flow during periods of declining revenues and to be used for emergencies and unforeseen expenditures.  The information to the left indicates the amount of available cash on hand.  You will also see the average for units of your size.  Note that 8.33% represents enough fund balance to cover one month of expenditures.  Normally, a unit has to either increase revenues or decrease expenditures to increase fund balance available. 
This calculation looks at fund balance available plus debt service fund balance (if applicable) less Powell Bill.  This number is them divided by the total of total expenditures plus transfers out less bond proceeds.</t>
  </si>
  <si>
    <t>It is not uncommon for a Water Sewer System with multiple performance indicators of concern to find that a proposed solution to one of the indicators also solves other performance indicators of concern.</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</si>
  <si>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water and/or sewer system may not be sustainable.</t>
  </si>
  <si>
    <t>2019</t>
  </si>
  <si>
    <t>2020</t>
  </si>
  <si>
    <t>2021</t>
  </si>
  <si>
    <t>Greater than zero</t>
  </si>
  <si>
    <t xml:space="preserve">This calculation subtracts operating expenses (which also includes depreciation and debt principal paid) from operating revenues.  A negative balance indicates that your rates are not covering your operating expenses.  </t>
  </si>
  <si>
    <t>This indicator calculates how many month's worth of expenses (including debt principal but not depreciation) a unit can pay based on the amount of unrestricted cash at year-end.  The typical billing cycle is one month (8.33%) and one extra month usually gives a local government enough cash  to handle unusual monthly expenses (16.66%).  This 16% would be the bare minimum necessary to keep the fund from experiencing cash flow issues.</t>
  </si>
  <si>
    <t>Unit Data from Audit worksheet tab :  CCH acct # 986 is greater than (CCH 112+CCH 109)*.03</t>
  </si>
  <si>
    <t>The rate structure of the Water Sewer fund should support the expenses of the Fund without operating subsidies or transfers from other funds.</t>
  </si>
  <si>
    <t>ELECTRIC FUND:</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</si>
  <si>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electric system may not be sustainable.</t>
  </si>
  <si>
    <t xml:space="preserve">This calculation subtracts operating expenses (which also includes depreciation and debt principal paid) from operating revenues.  A negative balance in this indicates that your rates are not covering your operating expenses.  </t>
  </si>
  <si>
    <t>GENERAL PERFORMANCE INDICATORS:</t>
  </si>
  <si>
    <t>Target</t>
  </si>
  <si>
    <t>The 2021 Audit Report is expected to be submitted by the date set by the LGC (not the October 31st date) according to the Auditor?</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</si>
  <si>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</si>
  <si>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This indicator shows that the local government did not collect 3% (or more) of its budgeted tax levy.  This could be an indicator of negative economic events, inaccurate budgeting, and/or issues with the collection process.  Uncollected revenues at the 3% level represent several pennies of the tax rate.</t>
  </si>
  <si>
    <t>You indicated that you expect a decrease in property value for your next property revaluation.   In your Response Letter please discuss the magnitude of the drop in valuation, the overall cause of the drop and how your County plans to recover the lost revenues.</t>
  </si>
  <si>
    <t>Any estimated decrease</t>
  </si>
  <si>
    <t>You indicated that you expect a decrease in property value for your next property revaluation which could result in lost tax revenue.</t>
  </si>
  <si>
    <t>The unit had expenditures that exceeded the legal budget ordinance.  This indicates that the unit's purchase order system, contract approval process and / or payment process is not in compliance with North Carolina General Statute 159.</t>
  </si>
  <si>
    <t xml:space="preserve">The local government has indicated there is substantial unbudgeted costs that could significantly impact their operations and/or customer rates.  </t>
  </si>
  <si>
    <t>If a unit has no performance indicators of concern that would require them to submit a Response to Audit Findings, Recommendations and Fiscal Matters, but they are currently on the  Unit Assistance List, they must still submit a Response to Audit Findings, Recommendations and Fiscal Matters.  Their response should discuss the financial plan they have developed to address the issues that placed them on the Unit Assistance List and the progress they have made to date.</t>
  </si>
  <si>
    <t>This indicator lists whether the unit has a statutory violation.</t>
  </si>
  <si>
    <t>This indicator lists whether or not the unit has issues with debt service payments or bond covenants.</t>
  </si>
  <si>
    <t>This indicator tells if you have a landfill that is estimated to close within 5 years but the unit may not have enough funds for the closure/post closure costs.</t>
  </si>
  <si>
    <t>This indicator states whether or not your auditor has identified material and/or significant findings or any other findings for your unit.</t>
  </si>
  <si>
    <t>This indicator shows if there were transfer out of the Electric Fund.  This only applies to units that are subject to  GS 159B-39 : Apex, Ayden, Belhaven, Benson, Clayton, Edenton, Elizabeth City, Farmville, Fremont, Greenville, Hamilton, Hertford, Hobgood, Hookerton, Kinston, LaGrange, Laurinburg, Louisburg, Lumberton, New Bern, Pikeville, Red Springs, Robersonville, Rocky Mount, Scotland Neck, Selma, Smithfield, Southport, Tarboro, Wake Forest, Washington, and Wilson.</t>
  </si>
  <si>
    <t>Please explain the additional issue the unit needs to address in column H to the right.</t>
  </si>
  <si>
    <t>This indicator lists any other issues that the unit should address.</t>
  </si>
  <si>
    <t>If you encounter an Excel error in the various indicators such as "false", "#DIV/0!" OR "#NA", normally the reason is you did not to answer one of the questions used to calculate the formula - This column provides the accounts and formula used in the calculation.  If the Unit Results cell is red, please verify that the data is entered correctly in the "Unit Data From Audit Worksheet" or "TD Info Completed by Auditor" as indicated for accounts listed in Column G.</t>
  </si>
  <si>
    <t>Print Area is set to exclude column I and J</t>
  </si>
  <si>
    <t>Fund balance available for appropriation is an important reserve for local governments to provide cash flow during periods of declining revenues and to be used for emergencies and unforeseen expenditures.  The information to the left indicates the amount of available cash on hand.  You will also see the average for units of your size.  Note that 8.33% represents enough fund balance to cover one month of expenditures.  Normally, a unit has to either increase revenues or decrease expenditures to increase fund balance available. 
This calculation looks at fund balance available plus debt service fund balance (if applicable).  This number is them divided by the total of total expenditures plus transfers out less bond proceeds.</t>
  </si>
  <si>
    <t>Water Sewer Fund</t>
  </si>
  <si>
    <t>+row295/CCH45</t>
  </si>
  <si>
    <t>Elec  Quick Ratio</t>
  </si>
  <si>
    <t>47-511/48</t>
  </si>
  <si>
    <t>93-94+52-100</t>
  </si>
  <si>
    <t>Unrestricted cash / Total expenses less depreciation+depbt service principal</t>
  </si>
  <si>
    <t>Please indicate if you expect your revaluation to increase, decrease, or no change.  If you are not listed please select N/A</t>
  </si>
  <si>
    <t>Middlesex</t>
  </si>
  <si>
    <t>Midland</t>
  </si>
  <si>
    <t>Midway</t>
  </si>
  <si>
    <t>Mills River</t>
  </si>
  <si>
    <t>Mineral Springs</t>
  </si>
  <si>
    <t>Minnesott Beach</t>
  </si>
  <si>
    <t>Misenheimer</t>
  </si>
  <si>
    <t>Mocksville</t>
  </si>
  <si>
    <t>Momeyer</t>
  </si>
  <si>
    <t>Monroe</t>
  </si>
  <si>
    <t>Mooresboro</t>
  </si>
  <si>
    <t>Mooresville</t>
  </si>
  <si>
    <t>Morehead City</t>
  </si>
  <si>
    <t>Morganton</t>
  </si>
  <si>
    <t>Morrisville</t>
  </si>
  <si>
    <t>Morven</t>
  </si>
  <si>
    <t>Mount Airy</t>
  </si>
  <si>
    <t>Mount Gilead</t>
  </si>
  <si>
    <t>Mount Pleasant</t>
  </si>
  <si>
    <t>Murfreesboro</t>
  </si>
  <si>
    <t>Murphy</t>
  </si>
  <si>
    <t>Nags Head</t>
  </si>
  <si>
    <t>Nashville</t>
  </si>
  <si>
    <t>New Bern</t>
  </si>
  <si>
    <t>New London</t>
  </si>
  <si>
    <t>Newland</t>
  </si>
  <si>
    <t>Newton</t>
  </si>
  <si>
    <t>North Topsail Beach</t>
  </si>
  <si>
    <t>North Wilkesboro</t>
  </si>
  <si>
    <t>Northwest</t>
  </si>
  <si>
    <t>Oak Island</t>
  </si>
  <si>
    <t>Oak Ridge</t>
  </si>
  <si>
    <t>Oakboro</t>
  </si>
  <si>
    <t>Ocean Isle Beach</t>
  </si>
  <si>
    <t>Old Fort</t>
  </si>
  <si>
    <t>Oriental</t>
  </si>
  <si>
    <t>Orrum</t>
  </si>
  <si>
    <t>Ossipee</t>
  </si>
  <si>
    <t>Oxford</t>
  </si>
  <si>
    <t>Pantego</t>
  </si>
  <si>
    <t>Parkton</t>
  </si>
  <si>
    <t>Parmele</t>
  </si>
  <si>
    <t>Patterson Springs</t>
  </si>
  <si>
    <t>Peachland</t>
  </si>
  <si>
    <t>Peletier</t>
  </si>
  <si>
    <t>Pembroke</t>
  </si>
  <si>
    <t>Pine Knoll Shores</t>
  </si>
  <si>
    <t>Pine Level</t>
  </si>
  <si>
    <t>Pinebluff</t>
  </si>
  <si>
    <t>Pinehurst</t>
  </si>
  <si>
    <t>Pinetops</t>
  </si>
  <si>
    <t>Pineville</t>
  </si>
  <si>
    <t>Pink Hill</t>
  </si>
  <si>
    <t>Pittsboro</t>
  </si>
  <si>
    <t>Pleasant Garden</t>
  </si>
  <si>
    <t>Polkton</t>
  </si>
  <si>
    <t>Powellsville</t>
  </si>
  <si>
    <t>Princeton</t>
  </si>
  <si>
    <t>Data Import 2018</t>
  </si>
  <si>
    <t>Electric cash flow less debt service</t>
  </si>
  <si>
    <t>Master</t>
  </si>
  <si>
    <t>Data Import Year 2020</t>
  </si>
  <si>
    <t>replaced</t>
  </si>
  <si>
    <t>DO NOT DELETE ROW</t>
  </si>
  <si>
    <t>included TD accounts</t>
  </si>
  <si>
    <t>not using in 2020</t>
  </si>
  <si>
    <t>not using in 2021</t>
  </si>
  <si>
    <t>not using in 2022</t>
  </si>
  <si>
    <t>do not delete</t>
  </si>
  <si>
    <t>total expenditures for FBA Calculation</t>
  </si>
  <si>
    <t>(532+509+20-533-508)</t>
  </si>
  <si>
    <t>GF  FBA without Powell Bill</t>
  </si>
  <si>
    <t>GF FBA% of Exp w/o Powell Bill</t>
  </si>
  <si>
    <t xml:space="preserve"> 331+89 </t>
  </si>
  <si>
    <t>Electric cash flow - debt service</t>
  </si>
  <si>
    <t>100+98</t>
  </si>
  <si>
    <t>(654-655-579-510)/(633-634-635-636-637-638-578)</t>
  </si>
  <si>
    <t>Elec Quick ratio</t>
  </si>
  <si>
    <t>(657-658-511-581)/(639-640-641-642-643-644-580)</t>
  </si>
  <si>
    <t>Elec Operating Net Income (loss) excluding depreciation+ debt service principal</t>
  </si>
  <si>
    <t xml:space="preserve"> 93-94+52-100</t>
  </si>
  <si>
    <t>Elec Unrestricted cash / Total expenses less depreciation+depbt service principal</t>
  </si>
  <si>
    <t>Electric Gross Capital Assets</t>
  </si>
  <si>
    <t>527+356</t>
  </si>
  <si>
    <t>Electric Gross Annual Revenue</t>
  </si>
  <si>
    <t xml:space="preserve">Performance Indicator Tab Target for FBA - County </t>
  </si>
  <si>
    <t>CCH  Master Upload</t>
  </si>
  <si>
    <t>should tie to column E on 2021 DIW</t>
  </si>
  <si>
    <t>71% -- Average of similar units is 142%</t>
  </si>
  <si>
    <t>34% -- Average of similar units is 68%</t>
  </si>
  <si>
    <t>100 -- Average of similar units is 300%</t>
  </si>
  <si>
    <t>25% -- Average of similar units is 50%</t>
  </si>
  <si>
    <t xml:space="preserve">71% </t>
  </si>
  <si>
    <t>34%</t>
  </si>
  <si>
    <t>100</t>
  </si>
  <si>
    <t>25%</t>
  </si>
  <si>
    <t>2020 Data(H)</t>
  </si>
  <si>
    <t>2019 Data(H)</t>
  </si>
  <si>
    <t>unit taken over by LGC</t>
  </si>
  <si>
    <t>I</t>
  </si>
  <si>
    <t>Do you operate a landfill that will be closing  or have a significant portion closing within the next 5 years</t>
  </si>
  <si>
    <t xml:space="preserve">Is the Finance Officer bonded for at least $50,000 (GS 159-42(h) </t>
  </si>
  <si>
    <t>New for Fiscal 2021 -  Data Input Workbook incorporates the
Unit Data from Audit Worksheet, TD Info Completed by Auditor Worksheet, Performance Indicators Print Worksheet</t>
  </si>
  <si>
    <r>
      <rPr>
        <b/>
        <i/>
        <sz val="12"/>
        <rFont val="Cambria"/>
        <family val="1"/>
      </rPr>
      <t xml:space="preserve"> Data Input Workbook</t>
    </r>
    <r>
      <rPr>
        <i/>
        <sz val="12"/>
        <rFont val="Cambria"/>
        <family val="1"/>
      </rPr>
      <t xml:space="preserve"> - The newly combined workbook consist of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</si>
  <si>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</si>
  <si>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</si>
  <si>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</si>
  <si>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</si>
  <si>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</si>
  <si>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</si>
  <si>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</si>
  <si>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</si>
  <si>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on lines 319-323 of the worksheet.  The worksheet must be </t>
    </r>
    <r>
      <rPr>
        <b/>
        <sz val="12"/>
        <color indexed="8"/>
        <rFont val="Cambria"/>
        <family val="1"/>
      </rPr>
      <t>submitted with the unit’s audit report</t>
    </r>
    <r>
      <rPr>
        <sz val="12"/>
        <color indexed="8"/>
        <rFont val="Cambria"/>
        <family val="1"/>
      </rPr>
      <t>.</t>
    </r>
  </si>
  <si>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</si>
  <si>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</si>
  <si>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</si>
  <si>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 xml:space="preserve">The TD Info Completed by Auditor Worksheet is to be filled out using the completed audit report for the fiscal year 2021. </t>
  </si>
  <si>
    <t>Please remember the original 2021 audit report submission cannot be processed unless we receive the following:</t>
  </si>
  <si>
    <t xml:space="preserve">- PDF file of the Audit Report named “Unit Name 2021 Audit”             </t>
  </si>
  <si>
    <t>- PDF file of all communication letters from the auditor to the unit  named “Unit Name 2021 comm #1”, “Unit Name 2021 comm #2”, etc.</t>
  </si>
  <si>
    <t xml:space="preserve">- Excel file named “Unit Name 2021 Data Input Workbook" </t>
  </si>
  <si>
    <t>We cannot complete our review process when "protection" is placed on the submitted documents.</t>
  </si>
  <si>
    <r>
      <t xml:space="preserve">We have added questions to the  2021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</si>
  <si>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</si>
  <si>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</si>
  <si>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r>
      <t xml:space="preserve">If you are performing an audit for a year earlier than June 30, 2021, please email </t>
    </r>
    <r>
      <rPr>
        <b/>
        <sz val="12"/>
        <color theme="1"/>
        <rFont val="Cambria"/>
        <family val="1"/>
      </rPr>
      <t>LGCAudit@nctreasurer.com</t>
    </r>
    <r>
      <rPr>
        <sz val="12"/>
        <color theme="1"/>
        <rFont val="Cambria"/>
        <family val="1"/>
      </rPr>
      <t>, as you will need to use the appropriate transmittal and data input document for that time period.</t>
    </r>
  </si>
  <si>
    <t>NC DEPARTMENT OF STATE TREASURER- STATE AND LOCAL GOVERNMENT FINANCE DIVISION
TD Info Completed by Auditor</t>
  </si>
  <si>
    <t>Please do not enter prior's years beginning balance as an adjustment in column F.</t>
  </si>
  <si>
    <t>Formula in cell E250</t>
  </si>
  <si>
    <t>Formula in cell E251</t>
  </si>
  <si>
    <t>Version Date 8/19/2021</t>
  </si>
  <si>
    <t>If you appropriated General Fund Balance in your 2021 budget and your "change in fund balance": (account # 23 above) is negative, please select from the drop down box in column F either "operations" or "capital", whichever best describes what the fund balance was used for.  If you select "Capital" please briefly describe in column G to the right the capital items.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</si>
</sst>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 numFmtId="182" formatCode="0.0000_);\(0.0000\)"/>
    <numFmt numFmtId="183" formatCode="#,##0.0_);[Red]\(#,##0.0\)"/>
    <numFmt numFmtId="184" formatCode="_(* #,##0.00000_);_(* \(#,##0.00000\);_(* &quot;-&quot;??_);_(@_)"/>
  </numFmts>
  <fonts count="216"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11"/>
      <color indexed="8"/>
      <name val="Century Schoolbook"/>
      <family val="1"/>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color theme="1"/>
      <name val="Century Schoolbook"/>
      <family val="1"/>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11"/>
      <color indexed="9"/>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4"/>
      <color theme="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sz val="8"/>
      <color theme="0"/>
      <name val="Calibri"/>
      <family val="2"/>
      <scheme val="minor"/>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b/>
      <sz val="12"/>
      <color theme="1"/>
      <name val="Century Schoolbook"/>
      <family val="1"/>
    </font>
    <font>
      <sz val="10"/>
      <color rgb="FF000000"/>
      <name val="Times New Roman"/>
      <family val="1"/>
    </font>
    <font>
      <sz val="10"/>
      <color rgb="FF000000"/>
      <name val="Verdana"/>
      <family val="2"/>
    </font>
    <font>
      <b/>
      <sz val="12"/>
      <color rgb="FF000000"/>
      <name val="Verdana"/>
      <family val="2"/>
    </font>
    <font>
      <sz val="10"/>
      <color theme="0"/>
      <name val="Verdana"/>
      <family val="2"/>
    </font>
    <font>
      <b/>
      <sz val="22"/>
      <color theme="0"/>
      <name val="Verdana"/>
      <family val="2"/>
    </font>
    <font>
      <b/>
      <sz val="10"/>
      <color rgb="FFFF0000"/>
      <name val="Verdana"/>
      <family val="2"/>
    </font>
    <font>
      <b/>
      <sz val="10"/>
      <name val="Verdana"/>
      <family val="2"/>
    </font>
    <font>
      <sz val="10"/>
      <name val="Verdana"/>
      <family val="2"/>
    </font>
    <font>
      <b/>
      <sz val="14"/>
      <color theme="0"/>
      <name val="Verdana"/>
      <family val="2"/>
    </font>
    <font>
      <sz val="14"/>
      <color theme="0"/>
      <name val="Verdana"/>
      <family val="2"/>
    </font>
    <font>
      <sz val="10"/>
      <color theme="0" tint="-0.14999847407452621"/>
      <name val="Verdana"/>
      <family val="2"/>
    </font>
    <font>
      <sz val="10"/>
      <color rgb="FF00B050"/>
      <name val="Verdana"/>
      <family val="2"/>
    </font>
    <font>
      <i/>
      <sz val="10"/>
      <name val="Verdana"/>
      <family val="2"/>
    </font>
    <font>
      <sz val="10"/>
      <color rgb="FFFF0000"/>
      <name val="Verdana"/>
      <family val="2"/>
    </font>
    <font>
      <i/>
      <sz val="10"/>
      <color rgb="FF000000"/>
      <name val="Verdana"/>
      <family val="2"/>
    </font>
    <font>
      <sz val="9.5"/>
      <name val="Verdana"/>
      <family val="2"/>
    </font>
    <font>
      <i/>
      <sz val="9.5"/>
      <name val="Verdana"/>
      <family val="2"/>
    </font>
    <font>
      <b/>
      <sz val="20"/>
      <color theme="3" tint="0.39997558519241921"/>
      <name val="Verdana"/>
      <family val="2"/>
    </font>
    <font>
      <sz val="10"/>
      <color theme="1"/>
      <name val="Verdana"/>
      <family val="2"/>
    </font>
    <font>
      <b/>
      <i/>
      <sz val="10"/>
      <color rgb="FF000000"/>
      <name val="Verdana"/>
      <family val="2"/>
    </font>
    <font>
      <i/>
      <sz val="10"/>
      <color theme="1"/>
      <name val="Verdana"/>
      <family val="2"/>
    </font>
    <font>
      <sz val="11"/>
      <color theme="1"/>
      <name val="Verdana"/>
      <family val="2"/>
    </font>
    <font>
      <sz val="12"/>
      <color theme="0"/>
      <name val="Verdana"/>
      <family val="2"/>
    </font>
    <font>
      <sz val="16"/>
      <color rgb="FFFF0000"/>
      <name val="Walbaum Display Heavy"/>
      <family val="1"/>
    </font>
    <font>
      <b/>
      <sz val="12"/>
      <name val="Verdana"/>
      <family val="2"/>
    </font>
    <font>
      <sz val="10"/>
      <name val="Arial"/>
      <family val="2"/>
    </font>
    <font>
      <sz val="8"/>
      <color rgb="FF000000"/>
      <name val="Verdana"/>
      <family val="2"/>
    </font>
    <font>
      <b/>
      <sz val="9"/>
      <color rgb="FFFF0000"/>
      <name val="Verdana"/>
      <family val="2"/>
    </font>
    <font>
      <sz val="8"/>
      <name val="Arial"/>
      <family val="2"/>
    </font>
    <font>
      <sz val="12"/>
      <name val="Garamond"/>
      <family val="1"/>
    </font>
    <font>
      <sz val="10"/>
      <color rgb="FF000000"/>
      <name val="Times New Roman"/>
      <family val="1"/>
    </font>
    <font>
      <sz val="11"/>
      <color rgb="FF000000"/>
      <name val="Calibri"/>
      <family val="2"/>
      <scheme val="minor"/>
    </font>
    <font>
      <b/>
      <sz val="8"/>
      <color rgb="FFFF0000"/>
      <name val="Verdana"/>
      <family val="2"/>
    </font>
    <font>
      <b/>
      <sz val="18"/>
      <color rgb="FFFF0000"/>
      <name val="Calibri"/>
      <family val="2"/>
      <scheme val="minor"/>
    </font>
    <font>
      <sz val="11"/>
      <color theme="5" tint="0.79998168889431442"/>
      <name val="Calibri"/>
      <family val="2"/>
      <scheme val="minor"/>
    </font>
    <font>
      <i/>
      <sz val="14"/>
      <color theme="1"/>
      <name val="Calibri"/>
      <family val="2"/>
      <scheme val="minor"/>
    </font>
    <font>
      <i/>
      <sz val="14"/>
      <color theme="3"/>
      <name val="Calibri"/>
      <family val="2"/>
      <scheme val="minor"/>
    </font>
    <font>
      <b/>
      <i/>
      <sz val="11"/>
      <name val="Calibri"/>
      <family val="2"/>
      <scheme val="minor"/>
    </font>
    <font>
      <i/>
      <sz val="11"/>
      <name val="Calibri"/>
      <family val="2"/>
      <scheme val="minor"/>
    </font>
    <font>
      <b/>
      <u/>
      <sz val="12"/>
      <color theme="1"/>
      <name val="Calibri"/>
      <family val="2"/>
      <scheme val="minor"/>
    </font>
    <font>
      <b/>
      <u/>
      <sz val="16"/>
      <color theme="1"/>
      <name val="Calibri"/>
      <family val="2"/>
      <scheme val="minor"/>
    </font>
    <font>
      <b/>
      <u/>
      <sz val="10"/>
      <color theme="1"/>
      <name val="Calibri"/>
      <family val="2"/>
      <scheme val="minor"/>
    </font>
    <font>
      <sz val="10"/>
      <color indexed="8"/>
      <name val="Calibri"/>
      <family val="2"/>
      <scheme val="minor"/>
    </font>
    <font>
      <u/>
      <sz val="10"/>
      <color theme="1"/>
      <name val="Calibri"/>
      <family val="2"/>
      <scheme val="minor"/>
    </font>
    <font>
      <b/>
      <i/>
      <u/>
      <sz val="10"/>
      <color theme="1"/>
      <name val="Calibri"/>
      <family val="2"/>
      <scheme val="minor"/>
    </font>
    <font>
      <b/>
      <sz val="11"/>
      <color rgb="FF0070C0"/>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b/>
      <sz val="8"/>
      <name val="Calibri"/>
      <family val="2"/>
      <scheme val="minor"/>
    </font>
    <font>
      <b/>
      <sz val="8"/>
      <color indexed="17"/>
      <name val="Calibri"/>
      <family val="2"/>
      <scheme val="minor"/>
    </font>
    <font>
      <u/>
      <sz val="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sz val="11"/>
      <color indexed="10"/>
      <name val="Calibri"/>
      <family val="2"/>
      <scheme val="minor"/>
    </font>
    <font>
      <b/>
      <sz val="11"/>
      <color rgb="FFC00000"/>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b/>
      <sz val="11"/>
      <color indexed="8"/>
      <name val="Century Schoolbook"/>
      <family val="1"/>
    </font>
    <font>
      <sz val="9"/>
      <color theme="1"/>
      <name val="Century Schoolbook"/>
      <family val="2"/>
    </font>
    <font>
      <sz val="11"/>
      <name val="Arial"/>
      <family val="2"/>
    </font>
    <font>
      <sz val="11"/>
      <name val="Century Schoolbook"/>
      <family val="1"/>
    </font>
    <font>
      <sz val="11"/>
      <name val="Century Schoolbook"/>
      <family val="2"/>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2"/>
      <color theme="1"/>
      <name val="Cambria"/>
      <family val="1"/>
    </font>
    <font>
      <b/>
      <sz val="11"/>
      <color rgb="FFFF0000"/>
      <name val="Verdana"/>
      <family val="2"/>
    </font>
  </fonts>
  <fills count="87">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8" tint="0.79998168889431442"/>
        <bgColor indexed="64"/>
      </patternFill>
    </fill>
    <fill>
      <patternFill patternType="solid">
        <fgColor theme="0"/>
        <bgColor indexed="64"/>
      </patternFill>
    </fill>
    <fill>
      <patternFill patternType="solid">
        <fgColor rgb="FFCCFF66"/>
        <bgColor indexed="64"/>
      </patternFill>
    </fill>
    <fill>
      <patternFill patternType="solid">
        <fgColor theme="7" tint="0.59999389629810485"/>
        <bgColor indexed="64"/>
      </patternFill>
    </fill>
    <fill>
      <patternFill patternType="solid">
        <fgColor indexed="55"/>
        <bgColor indexed="64"/>
      </patternFill>
    </fill>
    <fill>
      <patternFill patternType="solid">
        <fgColor theme="0" tint="-0.249977111117893"/>
        <bgColor indexed="64"/>
      </patternFill>
    </fill>
    <fill>
      <patternFill patternType="solid">
        <fgColor rgb="FF00B0F0"/>
        <bgColor indexed="64"/>
      </patternFill>
    </fill>
  </fills>
  <borders count="14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medium">
        <color theme="3"/>
      </left>
      <right style="medium">
        <color theme="3"/>
      </right>
      <top style="medium">
        <color theme="3"/>
      </top>
      <bottom style="medium">
        <color theme="3"/>
      </bottom>
      <diagonal/>
    </border>
    <border>
      <left style="medium">
        <color indexed="64"/>
      </left>
      <right style="medium">
        <color indexed="64"/>
      </right>
      <top style="medium">
        <color indexed="64"/>
      </top>
      <bottom/>
      <diagonal/>
    </border>
    <border>
      <left/>
      <right style="medium">
        <color theme="3"/>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theme="0"/>
      </top>
      <bottom/>
      <diagonal/>
    </border>
    <border>
      <left style="thin">
        <color theme="0"/>
      </left>
      <right/>
      <top style="thin">
        <color theme="0"/>
      </top>
      <bottom style="thin">
        <color indexed="64"/>
      </bottom>
      <diagonal/>
    </border>
    <border>
      <left/>
      <right style="thin">
        <color theme="0"/>
      </right>
      <top style="thin">
        <color theme="0"/>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0"/>
      </left>
      <right style="thin">
        <color theme="0"/>
      </right>
      <top/>
      <bottom style="thin">
        <color theme="0"/>
      </bottom>
      <diagonal/>
    </border>
    <border>
      <left style="thin">
        <color theme="1" tint="0.499984740745262"/>
      </left>
      <right style="thin">
        <color theme="1" tint="0.499984740745262"/>
      </right>
      <top/>
      <bottom style="thin">
        <color theme="1" tint="0.499984740745262"/>
      </bottom>
      <diagonal/>
    </border>
    <border>
      <left style="thin">
        <color theme="0"/>
      </left>
      <right style="thin">
        <color theme="1" tint="0.499984740745262"/>
      </right>
      <top style="thin">
        <color theme="1" tint="0.499984740745262"/>
      </top>
      <bottom style="thin">
        <color theme="1" tint="0.499984740745262"/>
      </bottom>
      <diagonal/>
    </border>
    <border>
      <left style="thin">
        <color theme="0"/>
      </left>
      <right style="thin">
        <color theme="0"/>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thin">
        <color theme="0"/>
      </left>
      <right/>
      <top/>
      <bottom/>
      <diagonal/>
    </border>
    <border>
      <left/>
      <right style="thin">
        <color theme="0"/>
      </right>
      <top/>
      <bottom/>
      <diagonal/>
    </border>
    <border>
      <left style="thin">
        <color theme="0"/>
      </left>
      <right style="thin">
        <color theme="0"/>
      </right>
      <top style="medium">
        <color indexed="64"/>
      </top>
      <bottom/>
      <diagonal/>
    </border>
    <border>
      <left style="thin">
        <color theme="0"/>
      </left>
      <right style="medium">
        <color indexed="64"/>
      </right>
      <top style="medium">
        <color indexed="64"/>
      </top>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medium">
        <color indexed="64"/>
      </bottom>
      <diagonal/>
    </border>
    <border>
      <left/>
      <right style="thin">
        <color theme="0"/>
      </right>
      <top style="thin">
        <color theme="1" tint="0.499984740745262"/>
      </top>
      <bottom style="thin">
        <color theme="1" tint="0.499984740745262"/>
      </bottom>
      <diagonal/>
    </border>
    <border>
      <left style="thin">
        <color theme="1" tint="0.499984740745262"/>
      </left>
      <right/>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theme="0"/>
      </right>
      <top style="medium">
        <color indexed="64"/>
      </top>
      <bottom/>
      <diagonal/>
    </border>
    <border>
      <left style="medium">
        <color indexed="64"/>
      </left>
      <right style="thin">
        <color theme="1" tint="0.499984740745262"/>
      </right>
      <top style="thin">
        <color theme="1" tint="0.499984740745262"/>
      </top>
      <bottom style="medium">
        <color indexed="64"/>
      </bottom>
      <diagonal/>
    </border>
    <border>
      <left style="thin">
        <color theme="1" tint="0.499984740745262"/>
      </left>
      <right/>
      <top style="thin">
        <color theme="1" tint="0.499984740745262"/>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theme="0"/>
      </right>
      <top/>
      <bottom style="thin">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right style="medium">
        <color indexed="64"/>
      </right>
      <top/>
      <bottom style="thin">
        <color theme="1" tint="0.499984740745262"/>
      </bottom>
      <diagonal/>
    </border>
    <border>
      <left style="medium">
        <color indexed="64"/>
      </left>
      <right style="thin">
        <color theme="0"/>
      </right>
      <top/>
      <bottom/>
      <diagonal/>
    </border>
    <border>
      <left style="thin">
        <color theme="0"/>
      </left>
      <right/>
      <top style="medium">
        <color indexed="64"/>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right/>
      <top style="thin">
        <color theme="0"/>
      </top>
      <bottom/>
      <diagonal/>
    </border>
    <border>
      <left style="thin">
        <color theme="1" tint="0.499984740745262"/>
      </left>
      <right/>
      <top style="thin">
        <color theme="1" tint="0.499984740745262"/>
      </top>
      <bottom/>
      <diagonal/>
    </border>
    <border>
      <left style="thin">
        <color theme="1" tint="0.499984740745262"/>
      </left>
      <right style="medium">
        <color indexed="64"/>
      </right>
      <top/>
      <bottom style="thin">
        <color theme="1" tint="0.499984740745262"/>
      </bottom>
      <diagonal/>
    </border>
    <border>
      <left style="thin">
        <color theme="1" tint="0.499984740745262"/>
      </left>
      <right style="medium">
        <color indexed="64"/>
      </right>
      <top style="thin">
        <color theme="1" tint="0.499984740745262"/>
      </top>
      <bottom style="thin">
        <color theme="1" tint="0.499984740745262"/>
      </bottom>
      <diagonal/>
    </border>
    <border>
      <left style="thin">
        <color theme="0"/>
      </left>
      <right style="thin">
        <color theme="0"/>
      </right>
      <top/>
      <bottom style="thin">
        <color indexed="64"/>
      </bottom>
      <diagonal/>
    </border>
    <border>
      <left style="thin">
        <color theme="0"/>
      </left>
      <right/>
      <top/>
      <bottom style="thin">
        <color indexed="64"/>
      </bottom>
      <diagonal/>
    </border>
    <border>
      <left style="thin">
        <color indexed="64"/>
      </left>
      <right style="thin">
        <color indexed="64"/>
      </right>
      <top/>
      <bottom style="medium">
        <color indexed="64"/>
      </bottom>
      <diagonal/>
    </border>
  </borders>
  <cellStyleXfs count="31724">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32"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19" fillId="0" borderId="0"/>
    <xf numFmtId="0" fontId="20" fillId="0" borderId="0"/>
    <xf numFmtId="0" fontId="19" fillId="0" borderId="0"/>
    <xf numFmtId="0" fontId="29" fillId="0" borderId="0"/>
    <xf numFmtId="0" fontId="19" fillId="0" borderId="0"/>
    <xf numFmtId="0" fontId="19" fillId="0" borderId="0"/>
    <xf numFmtId="0" fontId="19" fillId="0" borderId="0"/>
    <xf numFmtId="0" fontId="26"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6"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0"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20" fillId="0" borderId="0"/>
    <xf numFmtId="0" fontId="24"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29" fillId="0" borderId="0"/>
    <xf numFmtId="0" fontId="19" fillId="0" borderId="0"/>
    <xf numFmtId="0" fontId="19" fillId="0" borderId="0"/>
    <xf numFmtId="0" fontId="26"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 fillId="0" borderId="0"/>
    <xf numFmtId="0" fontId="29" fillId="0" borderId="0"/>
    <xf numFmtId="0" fontId="19" fillId="0" borderId="0"/>
    <xf numFmtId="0" fontId="19" fillId="0" borderId="0"/>
    <xf numFmtId="0" fontId="19" fillId="0" borderId="0"/>
    <xf numFmtId="0" fontId="19" fillId="0" borderId="0"/>
    <xf numFmtId="0" fontId="34" fillId="0" borderId="0"/>
    <xf numFmtId="0" fontId="29" fillId="0" borderId="0"/>
    <xf numFmtId="0" fontId="19" fillId="0" borderId="0"/>
    <xf numFmtId="0" fontId="19" fillId="0" borderId="0"/>
    <xf numFmtId="0" fontId="34" fillId="0" borderId="0"/>
    <xf numFmtId="0" fontId="11" fillId="0" borderId="0"/>
    <xf numFmtId="0" fontId="11" fillId="0" borderId="0"/>
    <xf numFmtId="0" fontId="34"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34" fillId="0" borderId="0"/>
    <xf numFmtId="0" fontId="19" fillId="0" borderId="0"/>
    <xf numFmtId="0" fontId="34" fillId="0" borderId="0"/>
    <xf numFmtId="0" fontId="34" fillId="0" borderId="0"/>
    <xf numFmtId="0" fontId="19" fillId="0" borderId="0"/>
    <xf numFmtId="0" fontId="34" fillId="0" borderId="0"/>
    <xf numFmtId="0" fontId="34" fillId="0" borderId="0"/>
    <xf numFmtId="0" fontId="34" fillId="0" borderId="0"/>
    <xf numFmtId="0" fontId="2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30" fillId="0" borderId="0"/>
    <xf numFmtId="0" fontId="11" fillId="0" borderId="0"/>
    <xf numFmtId="0" fontId="11" fillId="0" borderId="0"/>
    <xf numFmtId="0" fontId="11" fillId="0" borderId="0"/>
    <xf numFmtId="0" fontId="11" fillId="0" borderId="0"/>
    <xf numFmtId="0" fontId="24"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27"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11" fillId="0" borderId="0"/>
    <xf numFmtId="0" fontId="11" fillId="0" borderId="0"/>
    <xf numFmtId="0" fontId="11" fillId="0" borderId="0"/>
    <xf numFmtId="0" fontId="11" fillId="0" borderId="0"/>
    <xf numFmtId="0" fontId="19" fillId="0" borderId="0"/>
    <xf numFmtId="0" fontId="30" fillId="0" borderId="0"/>
    <xf numFmtId="0" fontId="11" fillId="0" borderId="0"/>
    <xf numFmtId="0" fontId="11" fillId="0" borderId="0"/>
    <xf numFmtId="0" fontId="11" fillId="0" borderId="0"/>
    <xf numFmtId="0" fontId="1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2" fillId="0" borderId="0"/>
    <xf numFmtId="0" fontId="21" fillId="0" borderId="0"/>
    <xf numFmtId="0" fontId="28" fillId="0" borderId="0"/>
    <xf numFmtId="0" fontId="21" fillId="0" borderId="0"/>
    <xf numFmtId="0" fontId="21" fillId="0" borderId="0"/>
    <xf numFmtId="0" fontId="31" fillId="0" borderId="0"/>
    <xf numFmtId="0" fontId="21" fillId="0" borderId="0"/>
    <xf numFmtId="0" fontId="31" fillId="0" borderId="0"/>
    <xf numFmtId="0" fontId="21" fillId="0" borderId="0"/>
    <xf numFmtId="0" fontId="21" fillId="0" borderId="0"/>
    <xf numFmtId="0" fontId="21" fillId="0" borderId="0"/>
    <xf numFmtId="0" fontId="21" fillId="0" borderId="0"/>
    <xf numFmtId="0" fontId="31" fillId="0" borderId="0"/>
    <xf numFmtId="0" fontId="21" fillId="0" borderId="0"/>
    <xf numFmtId="0" fontId="31" fillId="0" borderId="0"/>
    <xf numFmtId="0" fontId="21" fillId="0" borderId="0"/>
    <xf numFmtId="0" fontId="21" fillId="0" borderId="0"/>
    <xf numFmtId="0" fontId="21" fillId="0" borderId="0"/>
    <xf numFmtId="0" fontId="31" fillId="0" borderId="0"/>
    <xf numFmtId="0" fontId="21" fillId="0" borderId="0"/>
    <xf numFmtId="0" fontId="21" fillId="0" borderId="0"/>
    <xf numFmtId="0" fontId="21" fillId="0" borderId="0"/>
    <xf numFmtId="0" fontId="21" fillId="0" borderId="0"/>
    <xf numFmtId="0" fontId="21" fillId="0" borderId="0"/>
    <xf numFmtId="0" fontId="31" fillId="0" borderId="0"/>
    <xf numFmtId="0" fontId="21" fillId="0" borderId="0"/>
    <xf numFmtId="0" fontId="31" fillId="0" borderId="0"/>
    <xf numFmtId="0" fontId="21" fillId="0" borderId="0"/>
    <xf numFmtId="0" fontId="21" fillId="0" borderId="0"/>
    <xf numFmtId="0" fontId="21"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1" fillId="0" borderId="0"/>
    <xf numFmtId="0" fontId="31" fillId="0" borderId="0"/>
    <xf numFmtId="0" fontId="21" fillId="0" borderId="0"/>
    <xf numFmtId="0" fontId="21" fillId="0" borderId="0"/>
    <xf numFmtId="0" fontId="21" fillId="0" borderId="0"/>
    <xf numFmtId="0" fontId="21" fillId="0" borderId="0"/>
    <xf numFmtId="0" fontId="34" fillId="0" borderId="0"/>
    <xf numFmtId="0" fontId="31" fillId="0" borderId="0"/>
    <xf numFmtId="0" fontId="21" fillId="0" borderId="0"/>
    <xf numFmtId="0" fontId="34" fillId="0" borderId="0"/>
    <xf numFmtId="0" fontId="21" fillId="0" borderId="0"/>
    <xf numFmtId="0" fontId="34" fillId="0" borderId="0"/>
    <xf numFmtId="0" fontId="21" fillId="0" borderId="0"/>
    <xf numFmtId="0" fontId="21" fillId="0" borderId="0"/>
    <xf numFmtId="0" fontId="21" fillId="0" borderId="0"/>
    <xf numFmtId="0" fontId="21" fillId="0" borderId="0"/>
    <xf numFmtId="0" fontId="21" fillId="0" borderId="0"/>
    <xf numFmtId="0" fontId="34" fillId="0" borderId="0"/>
    <xf numFmtId="0" fontId="34" fillId="0" borderId="0"/>
    <xf numFmtId="0" fontId="34" fillId="0" borderId="0"/>
    <xf numFmtId="0" fontId="21" fillId="0" borderId="0"/>
    <xf numFmtId="0" fontId="34" fillId="0" borderId="0"/>
    <xf numFmtId="0" fontId="34" fillId="0" borderId="0"/>
    <xf numFmtId="0" fontId="21" fillId="0" borderId="0"/>
    <xf numFmtId="0" fontId="34" fillId="0" borderId="0"/>
    <xf numFmtId="0" fontId="34" fillId="0" borderId="0"/>
    <xf numFmtId="0" fontId="34" fillId="0" borderId="0"/>
    <xf numFmtId="0" fontId="31" fillId="0" borderId="0"/>
    <xf numFmtId="0" fontId="21"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34" fillId="0" borderId="0"/>
    <xf numFmtId="0" fontId="34" fillId="0" borderId="0"/>
    <xf numFmtId="0" fontId="34" fillId="0" borderId="0"/>
    <xf numFmtId="0" fontId="34" fillId="0" borderId="0"/>
    <xf numFmtId="0" fontId="34" fillId="0" borderId="0"/>
    <xf numFmtId="0" fontId="35" fillId="0" borderId="0"/>
    <xf numFmtId="3" fontId="6" fillId="0" borderId="0"/>
    <xf numFmtId="0" fontId="11" fillId="5" borderId="7" applyNumberFormat="0" applyFont="0" applyAlignment="0" applyProtection="0"/>
    <xf numFmtId="0" fontId="11" fillId="5" borderId="7" applyNumberFormat="0" applyFont="0" applyAlignment="0" applyProtection="0"/>
    <xf numFmtId="0" fontId="30"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5" fillId="0" borderId="0" applyFont="0" applyFill="0" applyBorder="0" applyAlignment="0" applyProtection="0"/>
    <xf numFmtId="9" fontId="34" fillId="0" borderId="0" applyFont="0" applyFill="0" applyBorder="0" applyAlignment="0" applyProtection="0"/>
    <xf numFmtId="0" fontId="12" fillId="0" borderId="0" applyNumberFormat="0" applyFill="0" applyBorder="0" applyAlignment="0" applyProtection="0"/>
    <xf numFmtId="0" fontId="39" fillId="20" borderId="0" applyFont="0" applyBorder="0" applyAlignment="0">
      <alignment horizontal="center" wrapText="1"/>
    </xf>
    <xf numFmtId="0" fontId="39" fillId="20" borderId="0" applyFont="0" applyBorder="0" applyAlignment="0">
      <alignment horizontal="center" wrapText="1"/>
    </xf>
    <xf numFmtId="0" fontId="33"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3" fillId="20" borderId="0" applyFont="0" applyBorder="0" applyAlignment="0">
      <alignment horizontal="center" wrapText="1"/>
    </xf>
    <xf numFmtId="0" fontId="33" fillId="20" borderId="0" applyFont="0" applyBorder="0" applyAlignment="0">
      <alignment horizontal="center" wrapText="1"/>
    </xf>
    <xf numFmtId="0" fontId="33" fillId="20" borderId="0" applyFont="0" applyBorder="0" applyAlignment="0">
      <alignment horizontal="center" wrapText="1"/>
    </xf>
    <xf numFmtId="0" fontId="33"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8" fillId="0" borderId="0"/>
    <xf numFmtId="0" fontId="69" fillId="0" borderId="0"/>
    <xf numFmtId="0" fontId="69" fillId="0" borderId="0"/>
    <xf numFmtId="0" fontId="68" fillId="0" borderId="0"/>
    <xf numFmtId="0" fontId="69" fillId="0" borderId="0"/>
    <xf numFmtId="0" fontId="69" fillId="0" borderId="0"/>
    <xf numFmtId="0" fontId="70" fillId="0" borderId="0"/>
    <xf numFmtId="0" fontId="69"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70"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4" fillId="0" borderId="0"/>
    <xf numFmtId="0" fontId="21" fillId="0" borderId="0"/>
    <xf numFmtId="0" fontId="21"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9"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5" borderId="7" applyNumberFormat="0" applyFont="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0" fontId="68" fillId="0" borderId="0"/>
    <xf numFmtId="43" fontId="34" fillId="0" borderId="0" applyFont="0" applyFill="0" applyBorder="0" applyAlignment="0" applyProtection="0"/>
    <xf numFmtId="44" fontId="34" fillId="0" borderId="0" applyFont="0" applyFill="0" applyBorder="0" applyAlignment="0" applyProtection="0"/>
    <xf numFmtId="0" fontId="11" fillId="0" borderId="0"/>
    <xf numFmtId="43" fontId="34" fillId="0" borderId="0" applyFont="0" applyFill="0" applyBorder="0" applyAlignment="0" applyProtection="0"/>
    <xf numFmtId="0" fontId="19"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0" fontId="34" fillId="0" borderId="0"/>
    <xf numFmtId="0" fontId="34" fillId="0" borderId="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68" fillId="0" borderId="0"/>
    <xf numFmtId="0" fontId="68" fillId="0" borderId="0"/>
    <xf numFmtId="0" fontId="68" fillId="0" borderId="0"/>
    <xf numFmtId="0" fontId="68" fillId="0" borderId="0"/>
    <xf numFmtId="0" fontId="68" fillId="0" borderId="0"/>
    <xf numFmtId="0" fontId="11" fillId="0" borderId="0"/>
    <xf numFmtId="0" fontId="68" fillId="0" borderId="0"/>
    <xf numFmtId="0" fontId="6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34" fillId="0" borderId="0"/>
    <xf numFmtId="0" fontId="34" fillId="0" borderId="0"/>
    <xf numFmtId="0" fontId="21" fillId="0" borderId="0"/>
    <xf numFmtId="0" fontId="34" fillId="0" borderId="0"/>
    <xf numFmtId="0" fontId="34" fillId="0" borderId="0"/>
    <xf numFmtId="0" fontId="34" fillId="0" borderId="0"/>
    <xf numFmtId="0" fontId="68" fillId="0" borderId="0"/>
    <xf numFmtId="0" fontId="34" fillId="0" borderId="0"/>
    <xf numFmtId="0" fontId="34" fillId="0" borderId="0"/>
    <xf numFmtId="0" fontId="34" fillId="0" borderId="0"/>
    <xf numFmtId="0" fontId="34" fillId="0" borderId="0"/>
    <xf numFmtId="0" fontId="34"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34" fillId="0" borderId="0"/>
    <xf numFmtId="0" fontId="34" fillId="0" borderId="0"/>
    <xf numFmtId="0" fontId="34" fillId="0" borderId="0"/>
    <xf numFmtId="0" fontId="34" fillId="0" borderId="0"/>
    <xf numFmtId="0" fontId="34" fillId="0" borderId="0"/>
    <xf numFmtId="0" fontId="11" fillId="0" borderId="0"/>
    <xf numFmtId="0" fontId="70" fillId="0" borderId="0"/>
    <xf numFmtId="0" fontId="70" fillId="0" borderId="0"/>
    <xf numFmtId="0" fontId="70" fillId="0" borderId="0"/>
    <xf numFmtId="0" fontId="70" fillId="0" borderId="0"/>
    <xf numFmtId="0" fontId="7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0" fillId="0" borderId="0"/>
    <xf numFmtId="0" fontId="70" fillId="0" borderId="0"/>
    <xf numFmtId="0" fontId="34" fillId="0" borderId="0"/>
    <xf numFmtId="0" fontId="34" fillId="0" borderId="0"/>
    <xf numFmtId="0" fontId="34" fillId="0" borderId="0"/>
    <xf numFmtId="0" fontId="34" fillId="0" borderId="0"/>
    <xf numFmtId="0" fontId="70"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21" fillId="0" borderId="0"/>
    <xf numFmtId="0" fontId="6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0"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11" fillId="0" borderId="0"/>
    <xf numFmtId="0" fontId="69" fillId="0" borderId="0"/>
    <xf numFmtId="0" fontId="11" fillId="0" borderId="0"/>
    <xf numFmtId="0" fontId="11" fillId="0" borderId="0"/>
    <xf numFmtId="0" fontId="1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1" fillId="0" borderId="0"/>
    <xf numFmtId="0" fontId="21" fillId="0" borderId="0"/>
    <xf numFmtId="0" fontId="11" fillId="0" borderId="0"/>
    <xf numFmtId="0" fontId="11" fillId="0" borderId="0"/>
    <xf numFmtId="44" fontId="34"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4" fillId="0" borderId="0" applyFont="0" applyFill="0" applyBorder="0" applyAlignment="0" applyProtection="0"/>
    <xf numFmtId="0" fontId="19" fillId="0" borderId="0"/>
    <xf numFmtId="0" fontId="11" fillId="0" borderId="0"/>
    <xf numFmtId="43" fontId="34" fillId="0" borderId="0" applyFont="0" applyFill="0" applyBorder="0" applyAlignment="0" applyProtection="0"/>
    <xf numFmtId="0" fontId="11" fillId="0" borderId="0"/>
    <xf numFmtId="0" fontId="19" fillId="0" borderId="0"/>
    <xf numFmtId="0" fontId="19" fillId="0" borderId="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70" fillId="0" borderId="0"/>
    <xf numFmtId="0" fontId="11" fillId="0" borderId="0"/>
    <xf numFmtId="0" fontId="11" fillId="0" borderId="0"/>
    <xf numFmtId="43" fontId="34" fillId="0" borderId="0" applyFont="0" applyFill="0" applyBorder="0" applyAlignment="0" applyProtection="0"/>
    <xf numFmtId="43" fontId="34" fillId="0" borderId="0" applyFont="0" applyFill="0" applyBorder="0" applyAlignment="0" applyProtection="0"/>
    <xf numFmtId="0" fontId="21" fillId="0" borderId="0"/>
    <xf numFmtId="43" fontId="34"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4" fillId="0" borderId="0" applyFont="0" applyFill="0" applyBorder="0" applyAlignment="0" applyProtection="0"/>
    <xf numFmtId="44" fontId="34" fillId="0" borderId="0" applyFont="0" applyFill="0" applyBorder="0" applyAlignment="0" applyProtection="0"/>
    <xf numFmtId="43" fontId="35" fillId="0" borderId="0" applyFont="0" applyFill="0" applyBorder="0" applyAlignment="0" applyProtection="0"/>
    <xf numFmtId="0" fontId="21" fillId="0" borderId="0"/>
    <xf numFmtId="43" fontId="34" fillId="0" borderId="0" applyFont="0" applyFill="0" applyBorder="0" applyAlignment="0" applyProtection="0"/>
    <xf numFmtId="43" fontId="34" fillId="0" borderId="0" applyFont="0" applyFill="0" applyBorder="0" applyAlignment="0" applyProtection="0"/>
    <xf numFmtId="0" fontId="11" fillId="0" borderId="0"/>
    <xf numFmtId="0" fontId="11" fillId="0" borderId="0"/>
    <xf numFmtId="0" fontId="21" fillId="0" borderId="0"/>
    <xf numFmtId="43" fontId="34" fillId="0" borderId="0" applyFont="0" applyFill="0" applyBorder="0" applyAlignment="0" applyProtection="0"/>
    <xf numFmtId="44" fontId="34" fillId="0" borderId="0" applyFont="0" applyFill="0" applyBorder="0" applyAlignment="0" applyProtection="0"/>
    <xf numFmtId="0" fontId="11" fillId="0" borderId="0"/>
    <xf numFmtId="0" fontId="69" fillId="0" borderId="0"/>
    <xf numFmtId="0" fontId="19" fillId="0" borderId="0"/>
    <xf numFmtId="44" fontId="34" fillId="0" borderId="0" applyFont="0" applyFill="0" applyBorder="0" applyAlignment="0" applyProtection="0"/>
    <xf numFmtId="9" fontId="34"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74" fillId="0" borderId="47" applyNumberFormat="0" applyFill="0" applyAlignment="0" applyProtection="0"/>
    <xf numFmtId="0" fontId="75" fillId="0" borderId="48" applyNumberFormat="0" applyFill="0" applyAlignment="0" applyProtection="0"/>
    <xf numFmtId="0" fontId="76" fillId="0" borderId="49" applyNumberFormat="0" applyFill="0" applyAlignment="0" applyProtection="0"/>
    <xf numFmtId="0" fontId="76" fillId="0" borderId="0" applyNumberFormat="0" applyFill="0" applyBorder="0" applyAlignment="0" applyProtection="0"/>
    <xf numFmtId="0" fontId="77" fillId="37" borderId="0" applyNumberFormat="0" applyBorder="0" applyAlignment="0" applyProtection="0"/>
    <xf numFmtId="0" fontId="78" fillId="38" borderId="0" applyNumberFormat="0" applyBorder="0" applyAlignment="0" applyProtection="0"/>
    <xf numFmtId="0" fontId="79" fillId="40" borderId="50" applyNumberFormat="0" applyAlignment="0" applyProtection="0"/>
    <xf numFmtId="0" fontId="80" fillId="41" borderId="51" applyNumberFormat="0" applyAlignment="0" applyProtection="0"/>
    <xf numFmtId="0" fontId="81" fillId="41" borderId="50" applyNumberFormat="0" applyAlignment="0" applyProtection="0"/>
    <xf numFmtId="0" fontId="82" fillId="0" borderId="52" applyNumberFormat="0" applyFill="0" applyAlignment="0" applyProtection="0"/>
    <xf numFmtId="0" fontId="83" fillId="42" borderId="53" applyNumberFormat="0" applyAlignment="0" applyProtection="0"/>
    <xf numFmtId="0" fontId="71" fillId="0" borderId="0" applyNumberFormat="0" applyFill="0" applyBorder="0" applyAlignment="0" applyProtection="0"/>
    <xf numFmtId="0" fontId="40" fillId="0" borderId="55" applyNumberFormat="0" applyFill="0" applyAlignment="0" applyProtection="0"/>
    <xf numFmtId="0" fontId="84" fillId="44" borderId="0" applyNumberFormat="0" applyBorder="0" applyAlignment="0" applyProtection="0"/>
    <xf numFmtId="0" fontId="84" fillId="45" borderId="0" applyNumberFormat="0" applyBorder="0" applyAlignment="0" applyProtection="0"/>
    <xf numFmtId="0" fontId="84" fillId="46" borderId="0" applyNumberFormat="0" applyBorder="0" applyAlignment="0" applyProtection="0"/>
    <xf numFmtId="0" fontId="84" fillId="47" borderId="0" applyNumberFormat="0" applyBorder="0" applyAlignment="0" applyProtection="0"/>
    <xf numFmtId="0" fontId="84" fillId="48" borderId="0" applyNumberFormat="0" applyBorder="0" applyAlignment="0" applyProtection="0"/>
    <xf numFmtId="0" fontId="84" fillId="49" borderId="0" applyNumberFormat="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0" fontId="34"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93" fillId="39" borderId="0" applyNumberFormat="0" applyBorder="0" applyAlignment="0" applyProtection="0"/>
    <xf numFmtId="0" fontId="34" fillId="43" borderId="54" applyNumberFormat="0" applyFont="0" applyAlignment="0" applyProtection="0"/>
    <xf numFmtId="40" fontId="86" fillId="0" borderId="17">
      <alignment horizontal="right"/>
    </xf>
    <xf numFmtId="0" fontId="87" fillId="0" borderId="0">
      <alignment horizontal="left"/>
    </xf>
    <xf numFmtId="49" fontId="11" fillId="0" borderId="0"/>
    <xf numFmtId="0" fontId="87" fillId="0" borderId="0">
      <alignment horizontal="left"/>
    </xf>
    <xf numFmtId="177" fontId="86" fillId="0" borderId="17">
      <alignment horizontal="right"/>
    </xf>
    <xf numFmtId="49" fontId="86"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7" fontId="11" fillId="0" borderId="0">
      <alignment horizontal="right"/>
    </xf>
    <xf numFmtId="49" fontId="11" fillId="0" borderId="0"/>
    <xf numFmtId="49" fontId="85" fillId="50" borderId="0">
      <alignment horizontal="right" vertical="center"/>
    </xf>
    <xf numFmtId="49" fontId="85" fillId="50" borderId="0">
      <alignment horizontal="left" vertical="center"/>
    </xf>
    <xf numFmtId="49" fontId="85" fillId="50" borderId="0">
      <alignment horizontal="center" vertical="center"/>
    </xf>
    <xf numFmtId="49" fontId="85" fillId="50" borderId="0">
      <alignment horizontal="center" vertical="center"/>
    </xf>
    <xf numFmtId="49" fontId="85" fillId="50" borderId="0">
      <alignment horizontal="right" vertical="center"/>
    </xf>
    <xf numFmtId="40" fontId="85" fillId="50" borderId="0">
      <alignment horizontal="right"/>
    </xf>
    <xf numFmtId="49" fontId="85" fillId="50"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7" fontId="11" fillId="0" borderId="0">
      <alignment horizontal="right"/>
    </xf>
    <xf numFmtId="49" fontId="11" fillId="0" borderId="0"/>
    <xf numFmtId="49" fontId="85" fillId="50" borderId="0">
      <alignment horizontal="center" vertical="center"/>
    </xf>
    <xf numFmtId="49" fontId="85" fillId="50" borderId="0">
      <alignment horizontal="center" vertical="center"/>
    </xf>
    <xf numFmtId="177" fontId="85" fillId="50" borderId="0">
      <alignment horizontal="center" vertical="center"/>
    </xf>
    <xf numFmtId="49" fontId="85" fillId="50" borderId="0">
      <alignment horizontal="right"/>
    </xf>
    <xf numFmtId="40" fontId="86" fillId="0" borderId="19">
      <alignment horizontal="right"/>
    </xf>
    <xf numFmtId="0" fontId="87" fillId="0" borderId="0">
      <alignment horizontal="left"/>
    </xf>
    <xf numFmtId="49" fontId="11" fillId="0" borderId="0"/>
    <xf numFmtId="0" fontId="87" fillId="0" borderId="0">
      <alignment horizontal="left"/>
    </xf>
    <xf numFmtId="177" fontId="86" fillId="0" borderId="19">
      <alignment horizontal="right"/>
    </xf>
    <xf numFmtId="49" fontId="86" fillId="0" borderId="0">
      <alignment horizontal="right"/>
    </xf>
    <xf numFmtId="49" fontId="11" fillId="0" borderId="0"/>
    <xf numFmtId="49" fontId="11" fillId="0" borderId="0"/>
    <xf numFmtId="40" fontId="86" fillId="0" borderId="14">
      <alignment horizontal="right"/>
    </xf>
    <xf numFmtId="49" fontId="86" fillId="0" borderId="0">
      <alignment horizontal="left"/>
    </xf>
    <xf numFmtId="49" fontId="11" fillId="0" borderId="0"/>
    <xf numFmtId="49" fontId="86" fillId="0" borderId="0">
      <alignment horizontal="left"/>
    </xf>
    <xf numFmtId="177" fontId="86" fillId="0" borderId="14">
      <alignment horizontal="right"/>
    </xf>
    <xf numFmtId="49" fontId="86" fillId="0" borderId="0">
      <alignment horizontal="right"/>
    </xf>
    <xf numFmtId="49" fontId="85" fillId="50" borderId="0">
      <alignment horizontal="center" vertical="center"/>
    </xf>
    <xf numFmtId="49" fontId="85" fillId="50" borderId="0">
      <alignment horizontal="center" vertical="center"/>
    </xf>
    <xf numFmtId="49" fontId="85" fillId="50" borderId="0">
      <alignment horizontal="center" vertical="center"/>
    </xf>
    <xf numFmtId="49" fontId="85" fillId="50" borderId="0">
      <alignment horizontal="center" vertical="center"/>
    </xf>
    <xf numFmtId="49" fontId="85" fillId="50" borderId="0">
      <alignment horizontal="center" vertical="center"/>
    </xf>
    <xf numFmtId="49" fontId="85" fillId="50" borderId="0">
      <alignment horizontal="center" vertical="center"/>
    </xf>
    <xf numFmtId="49" fontId="85" fillId="50" borderId="0">
      <alignment horizontal="center" vertical="center"/>
    </xf>
    <xf numFmtId="49" fontId="85" fillId="50" borderId="0">
      <alignment horizontal="center" vertical="center"/>
    </xf>
    <xf numFmtId="49" fontId="85" fillId="50"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6" fillId="51" borderId="0">
      <alignment horizontal="center" vertical="center"/>
    </xf>
    <xf numFmtId="49" fontId="11" fillId="51" borderId="0">
      <alignment horizontal="left" vertical="center"/>
    </xf>
    <xf numFmtId="49" fontId="86" fillId="51" borderId="0">
      <alignment horizontal="center" vertical="center"/>
    </xf>
    <xf numFmtId="0" fontId="86" fillId="52" borderId="0">
      <alignment horizontal="left"/>
    </xf>
    <xf numFmtId="49" fontId="11" fillId="0" borderId="0"/>
    <xf numFmtId="0" fontId="86" fillId="52" borderId="0">
      <alignment horizontal="left"/>
    </xf>
    <xf numFmtId="40" fontId="86" fillId="0" borderId="0">
      <alignment horizontal="right"/>
    </xf>
    <xf numFmtId="49" fontId="85" fillId="50" borderId="0"/>
    <xf numFmtId="49" fontId="85" fillId="50" borderId="0"/>
    <xf numFmtId="49" fontId="11" fillId="0" borderId="0"/>
    <xf numFmtId="0" fontId="88" fillId="53" borderId="0" applyFont="0" applyFill="0">
      <alignment horizontal="left" vertical="top" wrapText="1"/>
    </xf>
    <xf numFmtId="40" fontId="88" fillId="0" borderId="0"/>
    <xf numFmtId="40" fontId="88" fillId="0" borderId="0"/>
    <xf numFmtId="0" fontId="88" fillId="0" borderId="0">
      <alignment horizontal="left"/>
    </xf>
    <xf numFmtId="0" fontId="88" fillId="0" borderId="0">
      <alignment horizontal="center"/>
    </xf>
    <xf numFmtId="0" fontId="89" fillId="0" borderId="0">
      <alignment horizontal="center"/>
    </xf>
    <xf numFmtId="0" fontId="90" fillId="50" borderId="0">
      <alignment horizontal="left"/>
    </xf>
    <xf numFmtId="0" fontId="90" fillId="50" borderId="0">
      <alignment horizontal="left"/>
    </xf>
    <xf numFmtId="0" fontId="89" fillId="0" borderId="0">
      <alignment horizontal="center"/>
    </xf>
    <xf numFmtId="40" fontId="91" fillId="0" borderId="18"/>
    <xf numFmtId="40" fontId="91" fillId="0" borderId="18"/>
    <xf numFmtId="0" fontId="91" fillId="0" borderId="0"/>
    <xf numFmtId="0" fontId="91" fillId="0" borderId="0"/>
    <xf numFmtId="0" fontId="89" fillId="0" borderId="0">
      <alignment horizontal="center"/>
    </xf>
    <xf numFmtId="0" fontId="92" fillId="54" borderId="0">
      <alignment horizontal="left"/>
    </xf>
    <xf numFmtId="0" fontId="92" fillId="54" borderId="0">
      <alignment horizontal="left"/>
    </xf>
    <xf numFmtId="40" fontId="86" fillId="0" borderId="0">
      <alignment horizontal="right"/>
    </xf>
    <xf numFmtId="0" fontId="87" fillId="0" borderId="0">
      <alignment horizontal="left"/>
    </xf>
    <xf numFmtId="49" fontId="11" fillId="0" borderId="0"/>
    <xf numFmtId="0" fontId="87" fillId="0" borderId="0">
      <alignment horizontal="left"/>
    </xf>
    <xf numFmtId="177" fontId="86" fillId="0" borderId="0">
      <alignment horizontal="right"/>
    </xf>
    <xf numFmtId="49" fontId="86" fillId="0" borderId="0" applyBorder="0">
      <alignment horizontal="right"/>
    </xf>
    <xf numFmtId="0" fontId="11" fillId="0" borderId="0"/>
    <xf numFmtId="49" fontId="94" fillId="53" borderId="0">
      <alignment horizontal="left"/>
    </xf>
    <xf numFmtId="49" fontId="94" fillId="53" borderId="0">
      <alignment horizontal="left"/>
    </xf>
    <xf numFmtId="0" fontId="95" fillId="53" borderId="0">
      <alignment horizontal="left"/>
    </xf>
    <xf numFmtId="178" fontId="95" fillId="53" borderId="0">
      <alignment horizontal="left"/>
    </xf>
    <xf numFmtId="40" fontId="86" fillId="0" borderId="0">
      <alignment horizontal="right"/>
    </xf>
    <xf numFmtId="49" fontId="96" fillId="53" borderId="0">
      <alignment horizontal="left"/>
    </xf>
    <xf numFmtId="49" fontId="96" fillId="53" borderId="0">
      <alignment horizontal="left"/>
    </xf>
    <xf numFmtId="49" fontId="11" fillId="0" borderId="0"/>
    <xf numFmtId="40" fontId="86" fillId="0" borderId="14">
      <alignment horizontal="right"/>
    </xf>
    <xf numFmtId="49" fontId="86" fillId="0" borderId="0">
      <alignment horizontal="left"/>
    </xf>
    <xf numFmtId="49" fontId="11" fillId="0" borderId="0"/>
    <xf numFmtId="49" fontId="86" fillId="0" borderId="0">
      <alignment horizontal="left"/>
    </xf>
    <xf numFmtId="177" fontId="86" fillId="0" borderId="14">
      <alignment horizontal="right"/>
    </xf>
    <xf numFmtId="49" fontId="86" fillId="0" borderId="0">
      <alignment horizontal="right"/>
    </xf>
    <xf numFmtId="40" fontId="86" fillId="0" borderId="14">
      <alignment horizontal="right"/>
    </xf>
    <xf numFmtId="0" fontId="86" fillId="52" borderId="0">
      <alignment horizontal="left"/>
    </xf>
    <xf numFmtId="49" fontId="11" fillId="0" borderId="0"/>
    <xf numFmtId="0" fontId="86" fillId="52" borderId="0">
      <alignment horizontal="left"/>
    </xf>
    <xf numFmtId="177" fontId="86" fillId="0" borderId="14">
      <alignment horizontal="right"/>
    </xf>
    <xf numFmtId="49" fontId="86" fillId="0" borderId="0">
      <alignment horizontal="right"/>
    </xf>
    <xf numFmtId="0" fontId="91" fillId="0" borderId="0"/>
    <xf numFmtId="40" fontId="88" fillId="0" borderId="18"/>
    <xf numFmtId="40" fontId="88" fillId="0" borderId="18"/>
    <xf numFmtId="0" fontId="88" fillId="0" borderId="0"/>
    <xf numFmtId="0" fontId="88" fillId="0" borderId="0"/>
    <xf numFmtId="40" fontId="88" fillId="0" borderId="0"/>
    <xf numFmtId="179" fontId="88" fillId="0" borderId="0"/>
    <xf numFmtId="40" fontId="88" fillId="0" borderId="0"/>
    <xf numFmtId="0" fontId="88" fillId="0" borderId="0"/>
    <xf numFmtId="0" fontId="88" fillId="0" borderId="0"/>
    <xf numFmtId="40" fontId="86" fillId="0" borderId="18">
      <alignment horizontal="right"/>
    </xf>
    <xf numFmtId="49" fontId="86" fillId="0" borderId="0">
      <alignment horizontal="left"/>
    </xf>
    <xf numFmtId="49" fontId="11" fillId="0" borderId="0"/>
    <xf numFmtId="49" fontId="86" fillId="0" borderId="0">
      <alignment horizontal="left"/>
    </xf>
    <xf numFmtId="177" fontId="86" fillId="0" borderId="18">
      <alignment horizontal="right"/>
    </xf>
    <xf numFmtId="49" fontId="86" fillId="0" borderId="0">
      <alignment horizontal="right"/>
    </xf>
    <xf numFmtId="0" fontId="34" fillId="0" borderId="0"/>
    <xf numFmtId="0" fontId="35"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9"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43" borderId="54" applyNumberFormat="0" applyFont="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44" fontId="34" fillId="0" borderId="0" applyFont="0" applyFill="0" applyBorder="0" applyAlignment="0" applyProtection="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21"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21"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11"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5"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7" fillId="11" borderId="0" applyNumberFormat="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19" fillId="0" borderId="0"/>
    <xf numFmtId="0" fontId="34" fillId="0" borderId="0"/>
    <xf numFmtId="0" fontId="34" fillId="0" borderId="0"/>
    <xf numFmtId="44" fontId="34" fillId="0" borderId="0" applyFont="0" applyFill="0" applyBorder="0" applyAlignment="0" applyProtection="0"/>
    <xf numFmtId="0" fontId="34" fillId="0" borderId="0"/>
    <xf numFmtId="0" fontId="19"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5"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11" fillId="0" borderId="0"/>
    <xf numFmtId="0" fontId="2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3" fontId="35"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9"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5"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7" fillId="13"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7" fillId="7" borderId="0" applyNumberFormat="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11"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19"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2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0" fontId="7" fillId="8"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11"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0" fontId="34" fillId="0" borderId="0"/>
    <xf numFmtId="0" fontId="21"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7" fillId="11"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7" fillId="4"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7" fillId="13" borderId="0" applyNumberFormat="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11" fillId="0" borderId="0"/>
    <xf numFmtId="0" fontId="34" fillId="0" borderId="0"/>
    <xf numFmtId="9"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9" fontId="35" fillId="0" borderId="0" applyFont="0" applyFill="0" applyBorder="0" applyAlignment="0" applyProtection="0"/>
    <xf numFmtId="0" fontId="1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11"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9" fillId="0" borderId="0"/>
    <xf numFmtId="0" fontId="21"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11" fillId="0" borderId="0"/>
    <xf numFmtId="0" fontId="34" fillId="0" borderId="0"/>
    <xf numFmtId="44" fontId="34" fillId="0" borderId="0" applyFont="0" applyFill="0" applyBorder="0" applyAlignment="0" applyProtection="0"/>
    <xf numFmtId="9" fontId="32"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3" fillId="20" borderId="0" applyFont="0" applyBorder="0" applyAlignment="0">
      <alignment horizontal="center" wrapText="1"/>
    </xf>
    <xf numFmtId="0" fontId="34" fillId="0" borderId="0"/>
    <xf numFmtId="43" fontId="1" fillId="0" borderId="0" applyFont="0" applyFill="0" applyBorder="0" applyAlignment="0" applyProtection="0"/>
    <xf numFmtId="44" fontId="34" fillId="0" borderId="0" applyFont="0" applyFill="0" applyBorder="0" applyAlignment="0" applyProtection="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19"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43" fontId="1" fillId="0" borderId="0" applyFont="0" applyFill="0" applyBorder="0" applyAlignment="0" applyProtection="0"/>
    <xf numFmtId="0" fontId="34" fillId="0" borderId="0"/>
    <xf numFmtId="0" fontId="19"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11"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11" fillId="0" borderId="0"/>
    <xf numFmtId="0" fontId="34" fillId="0" borderId="0"/>
    <xf numFmtId="0" fontId="34" fillId="0" borderId="0"/>
    <xf numFmtId="0" fontId="11"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19" fillId="0" borderId="0"/>
    <xf numFmtId="0" fontId="34" fillId="0" borderId="0"/>
    <xf numFmtId="0" fontId="34" fillId="0" borderId="0"/>
    <xf numFmtId="0" fontId="34"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0" fontId="11"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7" fillId="8" borderId="0" applyNumberFormat="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7" fillId="13" borderId="0" applyNumberFormat="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44" fontId="34"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1"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7" fillId="4" borderId="0" applyNumberFormat="0" applyBorder="0" applyAlignment="0" applyProtection="0"/>
    <xf numFmtId="0" fontId="34" fillId="0" borderId="0"/>
    <xf numFmtId="0" fontId="19" fillId="0" borderId="0"/>
    <xf numFmtId="0" fontId="34" fillId="0" borderId="0"/>
    <xf numFmtId="0" fontId="34" fillId="0" borderId="0"/>
    <xf numFmtId="0" fontId="34" fillId="0" borderId="0"/>
    <xf numFmtId="0" fontId="34" fillId="0" borderId="0"/>
    <xf numFmtId="0" fontId="21"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7" fillId="8" borderId="0" applyNumberFormat="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21" fillId="0" borderId="0"/>
    <xf numFmtId="0" fontId="34" fillId="0" borderId="0"/>
    <xf numFmtId="43" fontId="35"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2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21"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11"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19"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21"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11"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11"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2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2"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19"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11" fillId="0" borderId="0"/>
    <xf numFmtId="0" fontId="11" fillId="0" borderId="0"/>
    <xf numFmtId="43" fontId="34" fillId="0" borderId="0" applyFont="0" applyFill="0" applyBorder="0" applyAlignment="0" applyProtection="0"/>
    <xf numFmtId="0" fontId="7" fillId="7" borderId="0" applyNumberFormat="0" applyBorder="0" applyAlignment="0" applyProtection="0"/>
    <xf numFmtId="0" fontId="34" fillId="0" borderId="0"/>
    <xf numFmtId="0" fontId="7" fillId="11" borderId="0" applyNumberFormat="0" applyBorder="0" applyAlignment="0" applyProtection="0"/>
    <xf numFmtId="0" fontId="34" fillId="0" borderId="0"/>
    <xf numFmtId="0" fontId="19" fillId="0" borderId="0"/>
    <xf numFmtId="44" fontId="34" fillId="0" borderId="0" applyFont="0" applyFill="0" applyBorder="0" applyAlignment="0" applyProtection="0"/>
    <xf numFmtId="0" fontId="11" fillId="0" borderId="0"/>
    <xf numFmtId="44" fontId="34" fillId="0" borderId="0" applyFont="0" applyFill="0" applyBorder="0" applyAlignment="0" applyProtection="0"/>
    <xf numFmtId="43" fontId="34"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19"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43" fontId="34" fillId="0" borderId="0" applyFont="0" applyFill="0" applyBorder="0" applyAlignment="0" applyProtection="0"/>
    <xf numFmtId="0" fontId="34" fillId="0" borderId="0"/>
    <xf numFmtId="0" fontId="11" fillId="0" borderId="0"/>
    <xf numFmtId="0" fontId="11"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7" fillId="7" borderId="0" applyNumberFormat="0" applyBorder="0" applyAlignment="0" applyProtection="0"/>
    <xf numFmtId="0" fontId="11" fillId="0" borderId="0"/>
    <xf numFmtId="0" fontId="39" fillId="20" borderId="0" applyFont="0" applyBorder="0" applyAlignment="0">
      <alignment horizontal="center" wrapText="1"/>
    </xf>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43" fontId="34" fillId="0" borderId="0" applyFont="0" applyFill="0" applyBorder="0" applyAlignment="0" applyProtection="0"/>
    <xf numFmtId="0" fontId="21" fillId="0" borderId="0"/>
    <xf numFmtId="0" fontId="19" fillId="0" borderId="0"/>
    <xf numFmtId="0" fontId="11" fillId="0" borderId="0"/>
    <xf numFmtId="0" fontId="1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19"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11"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19" fillId="0" borderId="0"/>
    <xf numFmtId="0" fontId="34" fillId="0" borderId="0"/>
    <xf numFmtId="0" fontId="11" fillId="0" borderId="0"/>
    <xf numFmtId="0" fontId="34" fillId="0" borderId="0"/>
    <xf numFmtId="0" fontId="34" fillId="0" borderId="0"/>
    <xf numFmtId="0" fontId="34" fillId="0" borderId="0"/>
    <xf numFmtId="0" fontId="34" fillId="0" borderId="0"/>
    <xf numFmtId="0" fontId="19" fillId="0" borderId="0"/>
    <xf numFmtId="0" fontId="19" fillId="0" borderId="0"/>
    <xf numFmtId="0" fontId="34" fillId="0" borderId="0"/>
    <xf numFmtId="0" fontId="34" fillId="0" borderId="0"/>
    <xf numFmtId="0" fontId="34" fillId="0" borderId="0"/>
    <xf numFmtId="43" fontId="1" fillId="0" borderId="0" applyFont="0" applyFill="0" applyBorder="0" applyAlignment="0" applyProtection="0"/>
    <xf numFmtId="0" fontId="11" fillId="0" borderId="0"/>
    <xf numFmtId="43" fontId="34" fillId="0" borderId="0" applyFont="0" applyFill="0" applyBorder="0" applyAlignment="0" applyProtection="0"/>
    <xf numFmtId="0" fontId="19"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21" fillId="0" borderId="0"/>
    <xf numFmtId="0" fontId="11" fillId="0" borderId="0"/>
    <xf numFmtId="43"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11" fillId="0" borderId="0"/>
    <xf numFmtId="43" fontId="34" fillId="0" borderId="0" applyFont="0" applyFill="0" applyBorder="0" applyAlignment="0" applyProtection="0"/>
    <xf numFmtId="0" fontId="34" fillId="0" borderId="0"/>
    <xf numFmtId="0" fontId="34" fillId="0" borderId="0"/>
    <xf numFmtId="0" fontId="19"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5"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9" fillId="0" borderId="0"/>
    <xf numFmtId="0" fontId="21" fillId="0" borderId="0"/>
    <xf numFmtId="44" fontId="35" fillId="0" borderId="0" applyFont="0" applyFill="0" applyBorder="0" applyAlignment="0" applyProtection="0"/>
    <xf numFmtId="43" fontId="34" fillId="0" borderId="0" applyFont="0" applyFill="0" applyBorder="0" applyAlignment="0" applyProtection="0"/>
    <xf numFmtId="0" fontId="19" fillId="0" borderId="0"/>
    <xf numFmtId="0" fontId="11"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1" fillId="0" borderId="0"/>
    <xf numFmtId="0" fontId="19"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9"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4" fillId="0" borderId="0"/>
    <xf numFmtId="0" fontId="11"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19" fillId="0" borderId="0"/>
    <xf numFmtId="0" fontId="11" fillId="0" borderId="0"/>
    <xf numFmtId="0" fontId="34" fillId="0" borderId="0"/>
    <xf numFmtId="0" fontId="33" fillId="20" borderId="0" applyFont="0" applyBorder="0" applyAlignment="0">
      <alignment horizontal="center" wrapText="1"/>
    </xf>
    <xf numFmtId="0" fontId="34" fillId="0" borderId="0"/>
    <xf numFmtId="0" fontId="34"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11" fillId="0" borderId="0"/>
    <xf numFmtId="44" fontId="1" fillId="0" borderId="0" applyFont="0" applyFill="0" applyBorder="0" applyAlignment="0" applyProtection="0"/>
    <xf numFmtId="0" fontId="11"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21"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11" fillId="0" borderId="0"/>
    <xf numFmtId="0" fontId="11" fillId="0" borderId="0"/>
    <xf numFmtId="0" fontId="19" fillId="0" borderId="0"/>
    <xf numFmtId="0" fontId="34" fillId="0" borderId="0"/>
    <xf numFmtId="0" fontId="19" fillId="0" borderId="0"/>
    <xf numFmtId="0" fontId="11"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11" fillId="0" borderId="0"/>
    <xf numFmtId="0" fontId="19" fillId="0" borderId="0"/>
    <xf numFmtId="43" fontId="34" fillId="0" borderId="0" applyFont="0" applyFill="0" applyBorder="0" applyAlignment="0" applyProtection="0"/>
    <xf numFmtId="0" fontId="34" fillId="0" borderId="0"/>
    <xf numFmtId="0" fontId="34" fillId="0" borderId="0"/>
    <xf numFmtId="0" fontId="11"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9"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19"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9" fontId="1" fillId="0" borderId="0" applyFont="0" applyFill="0" applyBorder="0" applyAlignment="0" applyProtection="0"/>
    <xf numFmtId="0" fontId="19"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2"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3" fontId="32"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19"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4" fillId="0" borderId="0" applyFont="0" applyFill="0" applyBorder="0" applyAlignment="0" applyProtection="0"/>
    <xf numFmtId="0" fontId="11"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21"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19"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35"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21"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9"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32"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21"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21"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21"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2"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2"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2"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9"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2"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11"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9"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21"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3" fontId="32"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19"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2"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34" fillId="0" borderId="0" applyFont="0" applyFill="0" applyBorder="0" applyAlignment="0" applyProtection="0"/>
    <xf numFmtId="0" fontId="34" fillId="0" borderId="0"/>
    <xf numFmtId="43" fontId="32"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0" fontId="34" fillId="0" borderId="0"/>
    <xf numFmtId="44"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3"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4"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1"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43" borderId="54" applyNumberFormat="0" applyFont="0" applyAlignment="0" applyProtection="0"/>
    <xf numFmtId="0" fontId="97" fillId="0" borderId="0" applyNumberFormat="0" applyFill="0" applyBorder="0" applyAlignment="0" applyProtection="0"/>
    <xf numFmtId="0" fontId="34" fillId="55" borderId="0" applyNumberFormat="0" applyBorder="0" applyAlignment="0" applyProtection="0"/>
    <xf numFmtId="0" fontId="34" fillId="56" borderId="0" applyNumberFormat="0" applyBorder="0" applyAlignment="0" applyProtection="0"/>
    <xf numFmtId="0" fontId="34" fillId="58" borderId="0" applyNumberFormat="0" applyBorder="0" applyAlignment="0" applyProtection="0"/>
    <xf numFmtId="0" fontId="34" fillId="59" borderId="0" applyNumberFormat="0" applyBorder="0" applyAlignment="0" applyProtection="0"/>
    <xf numFmtId="0" fontId="34" fillId="61" borderId="0" applyNumberFormat="0" applyBorder="0" applyAlignment="0" applyProtection="0"/>
    <xf numFmtId="0" fontId="34" fillId="62" borderId="0" applyNumberFormat="0" applyBorder="0" applyAlignment="0" applyProtection="0"/>
    <xf numFmtId="0" fontId="34" fillId="64" borderId="0" applyNumberFormat="0" applyBorder="0" applyAlignment="0" applyProtection="0"/>
    <xf numFmtId="0" fontId="34" fillId="65" borderId="0" applyNumberFormat="0" applyBorder="0" applyAlignment="0" applyProtection="0"/>
    <xf numFmtId="0" fontId="34" fillId="67" borderId="0" applyNumberFormat="0" applyBorder="0" applyAlignment="0" applyProtection="0"/>
    <xf numFmtId="0" fontId="34" fillId="68" borderId="0" applyNumberFormat="0" applyBorder="0" applyAlignment="0" applyProtection="0"/>
    <xf numFmtId="0" fontId="34" fillId="70" borderId="0" applyNumberFormat="0" applyBorder="0" applyAlignment="0" applyProtection="0"/>
    <xf numFmtId="0" fontId="34" fillId="71" borderId="0" applyNumberFormat="0" applyBorder="0" applyAlignment="0" applyProtection="0"/>
    <xf numFmtId="0" fontId="35" fillId="55" borderId="0" applyNumberFormat="0" applyBorder="0" applyAlignment="0" applyProtection="0"/>
    <xf numFmtId="0" fontId="35" fillId="58" borderId="0" applyNumberFormat="0" applyBorder="0" applyAlignment="0" applyProtection="0"/>
    <xf numFmtId="0" fontId="35" fillId="61" borderId="0" applyNumberFormat="0" applyBorder="0" applyAlignment="0" applyProtection="0"/>
    <xf numFmtId="0" fontId="35" fillId="64" borderId="0" applyNumberFormat="0" applyBorder="0" applyAlignment="0" applyProtection="0"/>
    <xf numFmtId="0" fontId="35" fillId="67" borderId="0" applyNumberFormat="0" applyBorder="0" applyAlignment="0" applyProtection="0"/>
    <xf numFmtId="0" fontId="35" fillId="70" borderId="0" applyNumberFormat="0" applyBorder="0" applyAlignment="0" applyProtection="0"/>
    <xf numFmtId="0" fontId="35" fillId="56" borderId="0" applyNumberFormat="0" applyBorder="0" applyAlignment="0" applyProtection="0"/>
    <xf numFmtId="0" fontId="35" fillId="59" borderId="0" applyNumberFormat="0" applyBorder="0" applyAlignment="0" applyProtection="0"/>
    <xf numFmtId="0" fontId="35" fillId="62" borderId="0" applyNumberFormat="0" applyBorder="0" applyAlignment="0" applyProtection="0"/>
    <xf numFmtId="0" fontId="35" fillId="65" borderId="0" applyNumberFormat="0" applyBorder="0" applyAlignment="0" applyProtection="0"/>
    <xf numFmtId="0" fontId="35" fillId="68" borderId="0" applyNumberFormat="0" applyBorder="0" applyAlignment="0" applyProtection="0"/>
    <xf numFmtId="0" fontId="35" fillId="71" borderId="0" applyNumberFormat="0" applyBorder="0" applyAlignment="0" applyProtection="0"/>
    <xf numFmtId="0" fontId="84" fillId="57" borderId="0" applyNumberFormat="0" applyBorder="0" applyAlignment="0" applyProtection="0"/>
    <xf numFmtId="0" fontId="98" fillId="57" borderId="0" applyNumberFormat="0" applyBorder="0" applyAlignment="0" applyProtection="0"/>
    <xf numFmtId="0" fontId="84" fillId="60" borderId="0" applyNumberFormat="0" applyBorder="0" applyAlignment="0" applyProtection="0"/>
    <xf numFmtId="0" fontId="98" fillId="60" borderId="0" applyNumberFormat="0" applyBorder="0" applyAlignment="0" applyProtection="0"/>
    <xf numFmtId="0" fontId="84" fillId="63" borderId="0" applyNumberFormat="0" applyBorder="0" applyAlignment="0" applyProtection="0"/>
    <xf numFmtId="0" fontId="98" fillId="63" borderId="0" applyNumberFormat="0" applyBorder="0" applyAlignment="0" applyProtection="0"/>
    <xf numFmtId="0" fontId="84" fillId="66" borderId="0" applyNumberFormat="0" applyBorder="0" applyAlignment="0" applyProtection="0"/>
    <xf numFmtId="0" fontId="98" fillId="66" borderId="0" applyNumberFormat="0" applyBorder="0" applyAlignment="0" applyProtection="0"/>
    <xf numFmtId="0" fontId="84" fillId="69" borderId="0" applyNumberFormat="0" applyBorder="0" applyAlignment="0" applyProtection="0"/>
    <xf numFmtId="0" fontId="98" fillId="69" borderId="0" applyNumberFormat="0" applyBorder="0" applyAlignment="0" applyProtection="0"/>
    <xf numFmtId="0" fontId="84" fillId="72" borderId="0" applyNumberFormat="0" applyBorder="0" applyAlignment="0" applyProtection="0"/>
    <xf numFmtId="0" fontId="98" fillId="72" borderId="0" applyNumberFormat="0" applyBorder="0" applyAlignment="0" applyProtection="0"/>
    <xf numFmtId="0" fontId="98" fillId="44" borderId="0" applyNumberFormat="0" applyBorder="0" applyAlignment="0" applyProtection="0"/>
    <xf numFmtId="0" fontId="98" fillId="44" borderId="0" applyNumberFormat="0" applyBorder="0" applyAlignment="0" applyProtection="0"/>
    <xf numFmtId="0" fontId="98" fillId="45" borderId="0" applyNumberFormat="0" applyBorder="0" applyAlignment="0" applyProtection="0"/>
    <xf numFmtId="0" fontId="98" fillId="45" borderId="0" applyNumberFormat="0" applyBorder="0" applyAlignment="0" applyProtection="0"/>
    <xf numFmtId="0" fontId="98" fillId="46" borderId="0" applyNumberFormat="0" applyBorder="0" applyAlignment="0" applyProtection="0"/>
    <xf numFmtId="0" fontId="98" fillId="46" borderId="0" applyNumberFormat="0" applyBorder="0" applyAlignment="0" applyProtection="0"/>
    <xf numFmtId="0" fontId="98" fillId="47" borderId="0" applyNumberFormat="0" applyBorder="0" applyAlignment="0" applyProtection="0"/>
    <xf numFmtId="0" fontId="98" fillId="47" borderId="0" applyNumberFormat="0" applyBorder="0" applyAlignment="0" applyProtection="0"/>
    <xf numFmtId="0" fontId="98" fillId="48" borderId="0" applyNumberFormat="0" applyBorder="0" applyAlignment="0" applyProtection="0"/>
    <xf numFmtId="0" fontId="98" fillId="48" borderId="0" applyNumberFormat="0" applyBorder="0" applyAlignment="0" applyProtection="0"/>
    <xf numFmtId="0" fontId="98" fillId="49" borderId="0" applyNumberFormat="0" applyBorder="0" applyAlignment="0" applyProtection="0"/>
    <xf numFmtId="0" fontId="98" fillId="49" borderId="0" applyNumberFormat="0" applyBorder="0" applyAlignment="0" applyProtection="0"/>
    <xf numFmtId="0" fontId="99" fillId="38" borderId="0" applyNumberFormat="0" applyBorder="0" applyAlignment="0" applyProtection="0"/>
    <xf numFmtId="0" fontId="100" fillId="41" borderId="50" applyNumberFormat="0" applyAlignment="0" applyProtection="0"/>
    <xf numFmtId="0" fontId="101" fillId="42" borderId="5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35" fillId="0" borderId="0" applyFont="0" applyFill="0" applyBorder="0" applyAlignment="0" applyProtection="0"/>
    <xf numFmtId="0" fontId="102" fillId="0" borderId="0" applyNumberFormat="0" applyFill="0" applyBorder="0" applyAlignment="0" applyProtection="0"/>
    <xf numFmtId="0" fontId="103" fillId="37" borderId="0" applyNumberFormat="0" applyBorder="0" applyAlignment="0" applyProtection="0"/>
    <xf numFmtId="0" fontId="104" fillId="0" borderId="47" applyNumberFormat="0" applyFill="0" applyAlignment="0" applyProtection="0"/>
    <xf numFmtId="0" fontId="105" fillId="0" borderId="48" applyNumberFormat="0" applyFill="0" applyAlignment="0" applyProtection="0"/>
    <xf numFmtId="0" fontId="15" fillId="0" borderId="58" applyNumberFormat="0" applyFill="0" applyAlignment="0" applyProtection="0"/>
    <xf numFmtId="0" fontId="15" fillId="0" borderId="58" applyNumberFormat="0" applyFill="0" applyAlignment="0" applyProtection="0"/>
    <xf numFmtId="0" fontId="106" fillId="0" borderId="49" applyNumberFormat="0" applyFill="0" applyAlignment="0" applyProtection="0"/>
    <xf numFmtId="0" fontId="106" fillId="0" borderId="0" applyNumberFormat="0" applyFill="0" applyBorder="0" applyAlignment="0" applyProtection="0"/>
    <xf numFmtId="0" fontId="107" fillId="40" borderId="50" applyNumberFormat="0" applyAlignment="0" applyProtection="0"/>
    <xf numFmtId="0" fontId="108" fillId="0" borderId="52" applyNumberFormat="0" applyFill="0" applyAlignment="0" applyProtection="0"/>
    <xf numFmtId="0" fontId="109" fillId="39" borderId="0" applyNumberFormat="0" applyBorder="0" applyAlignment="0" applyProtection="0"/>
    <xf numFmtId="0" fontId="6" fillId="0" borderId="0"/>
    <xf numFmtId="0" fontId="35" fillId="0" borderId="0"/>
    <xf numFmtId="0" fontId="35" fillId="0" borderId="0"/>
    <xf numFmtId="0" fontId="35" fillId="0" borderId="0"/>
    <xf numFmtId="0" fontId="35" fillId="0" borderId="0"/>
    <xf numFmtId="0" fontId="6" fillId="0" borderId="0"/>
    <xf numFmtId="0" fontId="6" fillId="0" borderId="0"/>
    <xf numFmtId="0" fontId="11" fillId="0" borderId="0"/>
    <xf numFmtId="0" fontId="19" fillId="0" borderId="0"/>
    <xf numFmtId="0" fontId="11" fillId="0" borderId="0"/>
    <xf numFmtId="0" fontId="35" fillId="0" borderId="0"/>
    <xf numFmtId="0" fontId="34" fillId="0" borderId="0"/>
    <xf numFmtId="0" fontId="11" fillId="0" borderId="0"/>
    <xf numFmtId="0" fontId="34" fillId="0" borderId="0"/>
    <xf numFmtId="0" fontId="11" fillId="0" borderId="0"/>
    <xf numFmtId="0" fontId="11" fillId="0" borderId="0"/>
    <xf numFmtId="0" fontId="11" fillId="0" borderId="0"/>
    <xf numFmtId="0" fontId="11" fillId="0" borderId="0"/>
    <xf numFmtId="0" fontId="11" fillId="0" borderId="0"/>
    <xf numFmtId="0" fontId="35" fillId="43" borderId="54" applyNumberFormat="0" applyFont="0" applyAlignment="0" applyProtection="0"/>
    <xf numFmtId="0" fontId="110" fillId="41" borderId="51" applyNumberFormat="0" applyAlignment="0" applyProtection="0"/>
    <xf numFmtId="9" fontId="6" fillId="0" borderId="0" applyFont="0" applyFill="0" applyBorder="0" applyAlignment="0" applyProtection="0"/>
    <xf numFmtId="0" fontId="111" fillId="0" borderId="0" applyNumberFormat="0" applyFill="0" applyBorder="0" applyAlignment="0" applyProtection="0"/>
    <xf numFmtId="0" fontId="112" fillId="0" borderId="55" applyNumberFormat="0" applyFill="0" applyAlignment="0" applyProtection="0"/>
    <xf numFmtId="0" fontId="113" fillId="0" borderId="0" applyNumberFormat="0" applyFill="0" applyBorder="0" applyAlignment="0" applyProtection="0"/>
    <xf numFmtId="0" fontId="116" fillId="0" borderId="0"/>
    <xf numFmtId="43" fontId="117" fillId="0" borderId="0" applyFont="0" applyFill="0" applyBorder="0" applyAlignment="0" applyProtection="0"/>
    <xf numFmtId="0" fontId="117"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0" fontId="6" fillId="0" borderId="0"/>
    <xf numFmtId="0" fontId="118" fillId="0" borderId="0" applyNumberFormat="0" applyFill="0" applyBorder="0" applyAlignment="0" applyProtection="0">
      <alignment vertical="top"/>
      <protection locked="0"/>
    </xf>
    <xf numFmtId="0" fontId="119" fillId="0" borderId="0" applyNumberFormat="0" applyFill="0" applyBorder="0" applyAlignment="0" applyProtection="0"/>
    <xf numFmtId="0" fontId="68"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8" fillId="0" borderId="0"/>
    <xf numFmtId="0" fontId="69" fillId="0" borderId="0"/>
    <xf numFmtId="0" fontId="69" fillId="0" borderId="0"/>
    <xf numFmtId="0" fontId="69" fillId="0" borderId="0"/>
    <xf numFmtId="0" fontId="69" fillId="0" borderId="0"/>
    <xf numFmtId="0" fontId="69" fillId="0" borderId="0"/>
    <xf numFmtId="0" fontId="70" fillId="0" borderId="0"/>
    <xf numFmtId="0" fontId="70" fillId="0" borderId="0"/>
    <xf numFmtId="0" fontId="34" fillId="0" borderId="0"/>
    <xf numFmtId="43" fontId="34" fillId="0" borderId="0" applyFont="0" applyFill="0" applyBorder="0" applyAlignment="0" applyProtection="0"/>
    <xf numFmtId="0" fontId="34"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5" fillId="0" borderId="0"/>
    <xf numFmtId="0" fontId="11" fillId="0" borderId="0"/>
    <xf numFmtId="0" fontId="11" fillId="0" borderId="0"/>
    <xf numFmtId="0" fontId="34"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7" fillId="0" borderId="0"/>
    <xf numFmtId="0" fontId="11" fillId="0" borderId="0"/>
    <xf numFmtId="0" fontId="117"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19" fillId="0" borderId="0"/>
    <xf numFmtId="0" fontId="21" fillId="0" borderId="0"/>
    <xf numFmtId="0" fontId="34" fillId="0" borderId="0"/>
    <xf numFmtId="43" fontId="34" fillId="0" borderId="0" applyFont="0" applyFill="0" applyBorder="0" applyAlignment="0" applyProtection="0"/>
    <xf numFmtId="0" fontId="19" fillId="0" borderId="0"/>
    <xf numFmtId="0" fontId="21" fillId="0" borderId="0"/>
    <xf numFmtId="43" fontId="34" fillId="0" borderId="0" applyFont="0" applyFill="0" applyBorder="0" applyAlignment="0" applyProtection="0"/>
    <xf numFmtId="44"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9"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9" fillId="20" borderId="0" applyFont="0" applyBorder="0" applyAlignment="0">
      <alignment horizontal="center" wrapText="1"/>
    </xf>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21" fillId="0" borderId="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19" fillId="0" borderId="0"/>
    <xf numFmtId="43" fontId="35" fillId="0" borderId="0" applyFont="0" applyFill="0" applyBorder="0" applyAlignment="0" applyProtection="0"/>
    <xf numFmtId="43" fontId="35" fillId="0" borderId="0" applyFont="0" applyFill="0" applyBorder="0" applyAlignment="0" applyProtection="0"/>
    <xf numFmtId="9" fontId="35"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9" fillId="20" borderId="0" applyFont="0" applyBorder="0" applyAlignment="0">
      <alignment horizontal="center" wrapText="1"/>
    </xf>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0" fontId="2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4" fillId="0" borderId="0"/>
    <xf numFmtId="43" fontId="34"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4" fillId="0" borderId="0"/>
    <xf numFmtId="0" fontId="34" fillId="0" borderId="0"/>
    <xf numFmtId="43" fontId="34"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4" fillId="0" borderId="0"/>
    <xf numFmtId="0" fontId="128" fillId="0" borderId="0"/>
    <xf numFmtId="43" fontId="116" fillId="0" borderId="0" applyFont="0" applyFill="0" applyBorder="0" applyAlignment="0" applyProtection="0"/>
    <xf numFmtId="0" fontId="116" fillId="0" borderId="0"/>
    <xf numFmtId="0" fontId="153" fillId="0" borderId="0"/>
    <xf numFmtId="0" fontId="34" fillId="0" borderId="0"/>
    <xf numFmtId="0" fontId="153" fillId="0" borderId="0"/>
    <xf numFmtId="43" fontId="116" fillId="0" borderId="0" applyFont="0" applyFill="0" applyBorder="0" applyAlignment="0" applyProtection="0"/>
    <xf numFmtId="0" fontId="116" fillId="0" borderId="0"/>
    <xf numFmtId="0" fontId="116" fillId="0" borderId="0"/>
    <xf numFmtId="0" fontId="116" fillId="0" borderId="0"/>
    <xf numFmtId="0" fontId="156" fillId="0" borderId="0"/>
    <xf numFmtId="0" fontId="156" fillId="0" borderId="0"/>
    <xf numFmtId="0" fontId="157" fillId="0" borderId="0"/>
    <xf numFmtId="0" fontId="156" fillId="0" borderId="0"/>
    <xf numFmtId="0" fontId="153" fillId="0" borderId="0"/>
    <xf numFmtId="0" fontId="156" fillId="0" borderId="0"/>
    <xf numFmtId="0" fontId="153" fillId="0" borderId="0"/>
    <xf numFmtId="0" fontId="157"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6" fillId="0" borderId="0"/>
    <xf numFmtId="0" fontId="153" fillId="0" borderId="0"/>
    <xf numFmtId="0" fontId="153" fillId="0" borderId="0"/>
    <xf numFmtId="0" fontId="156" fillId="0" borderId="0"/>
    <xf numFmtId="0" fontId="153" fillId="0" borderId="0"/>
    <xf numFmtId="0" fontId="153" fillId="0" borderId="0"/>
    <xf numFmtId="0" fontId="157" fillId="0" borderId="0"/>
    <xf numFmtId="0" fontId="153" fillId="5" borderId="7" applyNumberFormat="0" applyFont="0" applyAlignment="0" applyProtection="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3" fillId="0" borderId="0"/>
    <xf numFmtId="0" fontId="157"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3"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3" fillId="5" borderId="7" applyNumberFormat="0" applyFont="0" applyAlignment="0" applyProtection="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3" fillId="0" borderId="0"/>
    <xf numFmtId="0" fontId="157" fillId="0" borderId="0"/>
    <xf numFmtId="0" fontId="153" fillId="0" borderId="0"/>
    <xf numFmtId="0" fontId="157" fillId="0" borderId="0"/>
    <xf numFmtId="0" fontId="153" fillId="0" borderId="0"/>
    <xf numFmtId="0" fontId="158"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7" fillId="0" borderId="0"/>
    <xf numFmtId="0" fontId="157" fillId="0" borderId="0"/>
    <xf numFmtId="0" fontId="158" fillId="0" borderId="0"/>
    <xf numFmtId="0" fontId="156" fillId="0" borderId="0"/>
    <xf numFmtId="0" fontId="156" fillId="0" borderId="0"/>
    <xf numFmtId="0" fontId="156"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7" fillId="0" borderId="0"/>
    <xf numFmtId="0" fontId="157" fillId="0" borderId="0"/>
    <xf numFmtId="0" fontId="116"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58" fillId="0" borderId="0"/>
    <xf numFmtId="0" fontId="19"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9" fontId="35" fillId="0" borderId="0" applyFont="0" applyFill="0" applyBorder="0" applyAlignment="0" applyProtection="0"/>
    <xf numFmtId="0" fontId="39" fillId="20" borderId="0" applyFont="0" applyBorder="0" applyAlignment="0">
      <alignment horizontal="center" wrapText="1"/>
    </xf>
    <xf numFmtId="0" fontId="39" fillId="20" borderId="0" applyFont="0" applyBorder="0" applyAlignment="0">
      <alignment horizontal="center" wrapText="1"/>
    </xf>
    <xf numFmtId="0" fontId="21" fillId="0" borderId="0"/>
    <xf numFmtId="9"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21" fillId="0" borderId="0"/>
    <xf numFmtId="0" fontId="21" fillId="0" borderId="0"/>
    <xf numFmtId="0" fontId="34" fillId="0" borderId="0"/>
    <xf numFmtId="0" fontId="11" fillId="0" borderId="0"/>
    <xf numFmtId="0" fontId="21" fillId="0" borderId="0"/>
    <xf numFmtId="0" fontId="21" fillId="0" borderId="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2" fillId="0" borderId="0" applyFont="0" applyFill="0" applyBorder="0" applyAlignment="0" applyProtection="0"/>
    <xf numFmtId="0" fontId="33"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4" fillId="0" borderId="0" applyFont="0" applyFill="0" applyBorder="0" applyAlignment="0" applyProtection="0"/>
    <xf numFmtId="43" fontId="34"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11" fillId="0" borderId="0"/>
    <xf numFmtId="0" fontId="19" fillId="0" borderId="0"/>
    <xf numFmtId="0" fontId="21"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4" fontId="34"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4" fillId="43" borderId="54" applyNumberFormat="0" applyFont="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43" borderId="54" applyNumberFormat="0" applyFont="0" applyAlignment="0" applyProtection="0"/>
    <xf numFmtId="0" fontId="19" fillId="0" borderId="0"/>
    <xf numFmtId="0" fontId="21" fillId="0" borderId="0"/>
    <xf numFmtId="0" fontId="35" fillId="0" borderId="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4" fillId="0" borderId="0"/>
    <xf numFmtId="44" fontId="34" fillId="0" borderId="0" applyFont="0" applyFill="0" applyBorder="0" applyAlignment="0" applyProtection="0"/>
    <xf numFmtId="0" fontId="34"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0" fontId="34" fillId="0" borderId="0"/>
    <xf numFmtId="0" fontId="34" fillId="0" borderId="0"/>
    <xf numFmtId="0" fontId="34"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1"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0" fontId="34"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0" fontId="21" fillId="0" borderId="0"/>
    <xf numFmtId="43" fontId="35" fillId="0" borderId="0" applyFont="0" applyFill="0" applyBorder="0" applyAlignment="0" applyProtection="0"/>
    <xf numFmtId="0" fontId="2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1" fillId="0" borderId="0"/>
    <xf numFmtId="43" fontId="34" fillId="0" borderId="0" applyFont="0" applyFill="0" applyBorder="0" applyAlignment="0" applyProtection="0"/>
    <xf numFmtId="44" fontId="34" fillId="0" borderId="0" applyFont="0" applyFill="0" applyBorder="0" applyAlignment="0" applyProtection="0"/>
    <xf numFmtId="0" fontId="19" fillId="0" borderId="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9" fillId="0" borderId="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21" fillId="0" borderId="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3" fontId="3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11" fillId="0" borderId="0"/>
    <xf numFmtId="0" fontId="34" fillId="0" borderId="0"/>
    <xf numFmtId="0" fontId="11" fillId="0" borderId="0"/>
    <xf numFmtId="0" fontId="11" fillId="0" borderId="0"/>
    <xf numFmtId="0" fontId="35" fillId="43" borderId="54" applyNumberFormat="0" applyFont="0" applyAlignment="0" applyProtection="0"/>
    <xf numFmtId="0" fontId="11" fillId="0" borderId="0"/>
    <xf numFmtId="0" fontId="11" fillId="0" borderId="0"/>
    <xf numFmtId="0" fontId="34" fillId="0" borderId="0"/>
    <xf numFmtId="0" fontId="11" fillId="0" borderId="0"/>
    <xf numFmtId="0" fontId="11" fillId="0" borderId="0"/>
    <xf numFmtId="0" fontId="35" fillId="0" borderId="0"/>
    <xf numFmtId="44" fontId="1" fillId="0" borderId="0" applyFont="0" applyFill="0" applyBorder="0" applyAlignment="0" applyProtection="0"/>
    <xf numFmtId="43" fontId="32" fillId="0" borderId="0" applyFont="0" applyFill="0" applyBorder="0" applyAlignment="0" applyProtection="0"/>
    <xf numFmtId="43" fontId="35"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4" fillId="0" borderId="0" applyFont="0" applyFill="0" applyBorder="0" applyAlignment="0" applyProtection="0"/>
    <xf numFmtId="44" fontId="35" fillId="0" borderId="0" applyFont="0" applyFill="0" applyBorder="0" applyAlignment="0" applyProtection="0"/>
    <xf numFmtId="0" fontId="19" fillId="0" borderId="0"/>
    <xf numFmtId="0" fontId="19" fillId="0" borderId="0"/>
    <xf numFmtId="0" fontId="11" fillId="0" borderId="0"/>
    <xf numFmtId="9"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9" fillId="20" borderId="0" applyFont="0" applyBorder="0" applyAlignment="0">
      <alignment horizontal="center" wrapText="1"/>
    </xf>
    <xf numFmtId="43" fontId="34" fillId="0" borderId="0" applyFont="0" applyFill="0" applyBorder="0" applyAlignment="0" applyProtection="0"/>
    <xf numFmtId="44" fontId="34" fillId="0" borderId="0" applyFont="0" applyFill="0" applyBorder="0" applyAlignment="0" applyProtection="0"/>
    <xf numFmtId="43" fontId="32"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2"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9" fontId="32" fillId="0" borderId="0" applyFont="0" applyFill="0" applyBorder="0" applyAlignment="0" applyProtection="0"/>
    <xf numFmtId="0" fontId="33"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4"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6" fillId="0" borderId="0"/>
    <xf numFmtId="43" fontId="116" fillId="0" borderId="0" applyFont="0" applyFill="0" applyBorder="0" applyAlignment="0" applyProtection="0"/>
    <xf numFmtId="0" fontId="116"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6"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34" fillId="0" borderId="0"/>
    <xf numFmtId="0" fontId="34" fillId="0" borderId="0"/>
  </cellStyleXfs>
  <cellXfs count="1448">
    <xf numFmtId="0" fontId="0" fillId="0" borderId="0" xfId="0"/>
    <xf numFmtId="164" fontId="40" fillId="0" borderId="0" xfId="439" applyNumberFormat="1" applyFont="1" applyFill="1" applyAlignment="1" applyProtection="1">
      <alignment horizontal="center" wrapText="1"/>
    </xf>
    <xf numFmtId="0" fontId="44"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41" fillId="21" borderId="0" xfId="0" applyFont="1" applyFill="1" applyBorder="1" applyAlignment="1" applyProtection="1">
      <alignment horizontal="center" wrapText="1"/>
    </xf>
    <xf numFmtId="0" fontId="49" fillId="24" borderId="10" xfId="0" applyFont="1" applyFill="1" applyBorder="1" applyAlignment="1" applyProtection="1">
      <alignment horizontal="center" wrapText="1"/>
    </xf>
    <xf numFmtId="0" fontId="42" fillId="0" borderId="0" xfId="0" applyFont="1" applyAlignment="1" applyProtection="1">
      <alignment horizontal="left" wrapText="1"/>
    </xf>
    <xf numFmtId="0" fontId="42" fillId="0" borderId="0" xfId="0" applyFont="1" applyAlignment="1" applyProtection="1">
      <alignment horizontal="left" vertical="center" wrapText="1"/>
    </xf>
    <xf numFmtId="0" fontId="42" fillId="24" borderId="0" xfId="0" applyFont="1" applyFill="1" applyBorder="1" applyAlignment="1" applyProtection="1">
      <alignment horizontal="left" wrapText="1"/>
    </xf>
    <xf numFmtId="0" fontId="40" fillId="0" borderId="0" xfId="0" applyFont="1" applyAlignment="1" applyProtection="1">
      <alignment horizontal="center"/>
    </xf>
    <xf numFmtId="167" fontId="40" fillId="23" borderId="0" xfId="545" applyNumberFormat="1" applyFont="1" applyFill="1" applyProtection="1"/>
    <xf numFmtId="0" fontId="52" fillId="25" borderId="0" xfId="0" applyFont="1" applyFill="1" applyAlignment="1" applyProtection="1">
      <alignment horizontal="center" wrapText="1"/>
    </xf>
    <xf numFmtId="0" fontId="53" fillId="21" borderId="10" xfId="0" applyFont="1" applyFill="1" applyBorder="1" applyAlignment="1" applyProtection="1">
      <alignment horizontal="center" wrapText="1"/>
    </xf>
    <xf numFmtId="0" fontId="53"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55" fillId="26" borderId="0" xfId="682" applyFont="1" applyFill="1"/>
    <xf numFmtId="0" fontId="55" fillId="0" borderId="0" xfId="682" applyFont="1" applyFill="1"/>
    <xf numFmtId="0" fontId="40" fillId="0" borderId="0" xfId="682" applyFont="1"/>
    <xf numFmtId="40" fontId="56" fillId="0" borderId="0" xfId="0" applyNumberFormat="1" applyFont="1"/>
    <xf numFmtId="0" fontId="53" fillId="0" borderId="0" xfId="0" applyFont="1"/>
    <xf numFmtId="0" fontId="0" fillId="0" borderId="0" xfId="0" applyNumberFormat="1" applyFont="1" applyFill="1" applyAlignment="1" applyProtection="1">
      <alignment vertical="center" wrapText="1"/>
    </xf>
    <xf numFmtId="0" fontId="55"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58" fillId="0" borderId="0" xfId="0" applyNumberFormat="1" applyFont="1" applyFill="1" applyAlignment="1" applyProtection="1">
      <alignment vertical="center" wrapText="1"/>
    </xf>
    <xf numFmtId="0" fontId="40" fillId="0" borderId="0" xfId="0" applyNumberFormat="1" applyFont="1" applyFill="1" applyAlignment="1" applyProtection="1">
      <alignment horizontal="left" vertical="center" wrapText="1" indent="3"/>
    </xf>
    <xf numFmtId="0" fontId="55" fillId="0" borderId="0" xfId="0" applyNumberFormat="1" applyFont="1" applyFill="1" applyAlignment="1" applyProtection="1">
      <alignment vertical="center" wrapText="1"/>
    </xf>
    <xf numFmtId="0" fontId="55" fillId="0" borderId="0" xfId="0" applyNumberFormat="1" applyFont="1" applyFill="1" applyAlignment="1" applyProtection="1">
      <alignment horizontal="left" vertical="center" wrapText="1" indent="3"/>
    </xf>
    <xf numFmtId="0" fontId="55" fillId="0" borderId="14" xfId="0" applyNumberFormat="1" applyFont="1" applyFill="1" applyBorder="1" applyAlignment="1" applyProtection="1">
      <alignment horizontal="left" vertical="center" wrapText="1" indent="3"/>
    </xf>
    <xf numFmtId="0" fontId="55" fillId="0" borderId="0" xfId="0" applyNumberFormat="1" applyFont="1" applyFill="1" applyAlignment="1" applyProtection="1">
      <alignment horizontal="left" vertical="center" wrapText="1" indent="6"/>
    </xf>
    <xf numFmtId="0" fontId="46" fillId="0" borderId="0" xfId="0" applyNumberFormat="1" applyFont="1" applyFill="1" applyAlignment="1" applyProtection="1">
      <alignment horizontal="center" vertical="center"/>
    </xf>
    <xf numFmtId="0" fontId="0" fillId="0" borderId="0" xfId="0" applyNumberFormat="1" applyFont="1" applyFill="1" applyAlignment="1" applyProtection="1">
      <alignment horizontal="center"/>
    </xf>
    <xf numFmtId="40" fontId="46" fillId="0" borderId="0" xfId="439" applyNumberFormat="1" applyFont="1" applyFill="1" applyAlignment="1" applyProtection="1">
      <alignment horizontal="center" vertical="center" wrapText="1"/>
    </xf>
    <xf numFmtId="173" fontId="46" fillId="0" borderId="0" xfId="439" applyNumberFormat="1" applyFont="1" applyFill="1" applyAlignment="1" applyProtection="1">
      <alignment horizontal="center" vertical="center" wrapText="1"/>
    </xf>
    <xf numFmtId="164" fontId="59" fillId="23" borderId="23"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60" fillId="0" borderId="25" xfId="0" applyNumberFormat="1" applyFont="1" applyFill="1" applyBorder="1" applyAlignment="1" applyProtection="1">
      <alignment horizontal="center" vertical="center"/>
    </xf>
    <xf numFmtId="0" fontId="61" fillId="0" borderId="25" xfId="0" applyNumberFormat="1" applyFont="1" applyFill="1" applyBorder="1" applyAlignment="1" applyProtection="1">
      <alignment horizontal="center" vertical="center"/>
    </xf>
    <xf numFmtId="0" fontId="40" fillId="23" borderId="25" xfId="0" applyNumberFormat="1" applyFont="1" applyFill="1" applyBorder="1" applyAlignment="1" applyProtection="1">
      <alignment horizontal="center" vertical="center"/>
    </xf>
    <xf numFmtId="0" fontId="40" fillId="0" borderId="26" xfId="0" applyNumberFormat="1" applyFont="1" applyFill="1" applyBorder="1" applyAlignment="1" applyProtection="1">
      <alignment horizontal="center" vertical="center"/>
    </xf>
    <xf numFmtId="0" fontId="51" fillId="24" borderId="21"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41" fillId="24" borderId="0" xfId="0" applyFont="1" applyFill="1" applyBorder="1" applyAlignment="1" applyProtection="1">
      <alignment horizontal="center" vertical="center" wrapText="1"/>
    </xf>
    <xf numFmtId="0" fontId="53" fillId="21" borderId="10" xfId="0" applyFont="1" applyFill="1" applyBorder="1" applyAlignment="1" applyProtection="1">
      <alignment horizontal="center" vertical="center" wrapText="1"/>
    </xf>
    <xf numFmtId="164" fontId="59" fillId="0" borderId="31" xfId="439" applyNumberFormat="1" applyFont="1" applyFill="1" applyBorder="1" applyAlignment="1" applyProtection="1">
      <alignment horizontal="center" vertical="center" wrapText="1"/>
    </xf>
    <xf numFmtId="0" fontId="52" fillId="25" borderId="0" xfId="0" applyFont="1" applyFill="1" applyAlignment="1" applyProtection="1">
      <alignment horizontal="center" vertical="center"/>
    </xf>
    <xf numFmtId="0" fontId="41" fillId="23" borderId="0" xfId="0" applyFont="1" applyFill="1" applyAlignment="1" applyProtection="1">
      <alignment vertical="center" wrapText="1"/>
    </xf>
    <xf numFmtId="0" fontId="41"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59" fillId="0" borderId="0" xfId="0" applyFont="1" applyProtection="1"/>
    <xf numFmtId="0" fontId="59" fillId="23" borderId="23" xfId="0" applyNumberFormat="1" applyFont="1" applyFill="1" applyBorder="1" applyAlignment="1" applyProtection="1">
      <alignment horizontal="left" vertical="center" wrapText="1"/>
    </xf>
    <xf numFmtId="0" fontId="59" fillId="0" borderId="31" xfId="0" applyNumberFormat="1" applyFont="1" applyFill="1" applyBorder="1" applyAlignment="1" applyProtection="1">
      <alignment horizontal="left" vertical="center" wrapText="1"/>
    </xf>
    <xf numFmtId="164" fontId="59" fillId="0" borderId="23"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46" fillId="0" borderId="0" xfId="439" applyNumberFormat="1" applyFont="1" applyFill="1" applyAlignment="1" applyProtection="1">
      <alignment horizontal="center" vertical="center" wrapText="1"/>
    </xf>
    <xf numFmtId="0" fontId="62" fillId="0" borderId="0" xfId="0" applyNumberFormat="1" applyFont="1" applyFill="1" applyAlignment="1" applyProtection="1">
      <alignment vertical="center" wrapText="1"/>
    </xf>
    <xf numFmtId="0" fontId="51" fillId="0" borderId="0" xfId="0" applyFont="1" applyAlignment="1" applyProtection="1">
      <alignment wrapText="1"/>
    </xf>
    <xf numFmtId="0" fontId="46" fillId="0" borderId="23" xfId="1243" applyFont="1" applyFill="1" applyBorder="1" applyAlignment="1" applyProtection="1">
      <alignment horizontal="left" vertical="center" wrapText="1"/>
    </xf>
    <xf numFmtId="164" fontId="52" fillId="25" borderId="0" xfId="439" applyNumberFormat="1" applyFont="1" applyFill="1" applyAlignment="1" applyProtection="1">
      <alignment horizontal="center"/>
    </xf>
    <xf numFmtId="0" fontId="63" fillId="0" borderId="0" xfId="0" applyFont="1" applyAlignment="1" applyProtection="1">
      <alignment horizontal="center" vertical="center" wrapText="1"/>
    </xf>
    <xf numFmtId="0" fontId="0" fillId="30" borderId="23" xfId="0" applyFont="1" applyFill="1" applyBorder="1" applyAlignment="1" applyProtection="1">
      <alignment vertical="center" wrapText="1"/>
    </xf>
    <xf numFmtId="164" fontId="59" fillId="22" borderId="23" xfId="439" applyNumberFormat="1" applyFont="1" applyFill="1" applyBorder="1" applyAlignment="1" applyProtection="1">
      <alignment horizontal="center" vertical="center" wrapText="1"/>
    </xf>
    <xf numFmtId="0" fontId="51" fillId="30" borderId="25" xfId="0" applyNumberFormat="1" applyFont="1" applyFill="1" applyBorder="1" applyAlignment="1" applyProtection="1">
      <alignment horizontal="center" vertical="center" wrapText="1"/>
    </xf>
    <xf numFmtId="164" fontId="51" fillId="24" borderId="10" xfId="439" applyNumberFormat="1" applyFont="1" applyFill="1" applyBorder="1" applyAlignment="1" applyProtection="1">
      <alignment horizontal="center" wrapText="1"/>
    </xf>
    <xf numFmtId="0" fontId="64" fillId="0" borderId="0" xfId="720" applyNumberFormat="1" applyFont="1" applyFill="1" applyAlignment="1" applyProtection="1">
      <alignment horizontal="left" vertical="center" wrapText="1"/>
    </xf>
    <xf numFmtId="39" fontId="40" fillId="0" borderId="0" xfId="0" applyNumberFormat="1" applyFont="1" applyAlignment="1" applyProtection="1">
      <alignment horizontal="center"/>
    </xf>
    <xf numFmtId="39" fontId="41" fillId="21" borderId="0" xfId="0" applyNumberFormat="1" applyFont="1" applyFill="1" applyBorder="1" applyAlignment="1" applyProtection="1">
      <alignment horizontal="center" wrapText="1"/>
    </xf>
    <xf numFmtId="39" fontId="59" fillId="0" borderId="29" xfId="439" applyNumberFormat="1" applyFont="1" applyFill="1" applyBorder="1" applyAlignment="1" applyProtection="1">
      <alignment horizontal="center" vertical="center" wrapText="1"/>
    </xf>
    <xf numFmtId="39" fontId="59" fillId="23" borderId="28" xfId="439" applyNumberFormat="1" applyFont="1" applyFill="1" applyBorder="1" applyAlignment="1" applyProtection="1">
      <alignment horizontal="center" vertical="center" wrapText="1"/>
    </xf>
    <xf numFmtId="0" fontId="41" fillId="0" borderId="0" xfId="0" applyFont="1" applyFill="1" applyAlignment="1" applyProtection="1">
      <alignment vertical="center" wrapText="1"/>
    </xf>
    <xf numFmtId="39" fontId="53" fillId="31" borderId="0" xfId="0" applyNumberFormat="1" applyFont="1" applyFill="1" applyBorder="1" applyAlignment="1" applyProtection="1">
      <alignment horizontal="center" wrapText="1"/>
    </xf>
    <xf numFmtId="0" fontId="40" fillId="32" borderId="25"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63" fillId="32" borderId="0" xfId="0" applyFont="1" applyFill="1" applyAlignment="1" applyProtection="1">
      <alignment horizontal="center" vertical="center" wrapText="1"/>
    </xf>
    <xf numFmtId="0" fontId="0" fillId="0" borderId="0" xfId="0" applyFont="1" applyProtection="1">
      <protection locked="0"/>
    </xf>
    <xf numFmtId="0" fontId="54" fillId="0" borderId="25" xfId="0" applyNumberFormat="1" applyFont="1" applyFill="1" applyBorder="1" applyAlignment="1" applyProtection="1">
      <alignment horizontal="left" vertical="center" wrapText="1"/>
    </xf>
    <xf numFmtId="0" fontId="42" fillId="0" borderId="25" xfId="0" applyNumberFormat="1" applyFont="1" applyFill="1" applyBorder="1" applyAlignment="1" applyProtection="1">
      <alignment horizontal="left" vertical="center" wrapText="1"/>
    </xf>
    <xf numFmtId="41" fontId="59" fillId="0" borderId="23" xfId="439" applyNumberFormat="1" applyFont="1" applyFill="1" applyBorder="1" applyAlignment="1" applyProtection="1">
      <alignment horizontal="center" vertical="center" wrapText="1"/>
    </xf>
    <xf numFmtId="0" fontId="49" fillId="0" borderId="23" xfId="439" applyNumberFormat="1" applyFont="1" applyFill="1" applyBorder="1" applyAlignment="1" applyProtection="1">
      <alignment horizontal="center" vertical="center" wrapText="1"/>
    </xf>
    <xf numFmtId="41" fontId="66" fillId="0" borderId="0" xfId="0" applyNumberFormat="1" applyFont="1" applyFill="1" applyAlignment="1" applyProtection="1">
      <alignment wrapText="1"/>
    </xf>
    <xf numFmtId="0" fontId="65" fillId="0" borderId="0" xfId="0" applyFont="1" applyFill="1" applyAlignment="1" applyProtection="1">
      <alignment horizontal="center" vertical="center"/>
    </xf>
    <xf numFmtId="0" fontId="51" fillId="0" borderId="0" xfId="0" applyFont="1" applyFill="1" applyAlignment="1" applyProtection="1">
      <alignment horizontal="center" vertical="center" wrapText="1"/>
    </xf>
    <xf numFmtId="0" fontId="59" fillId="0" borderId="23"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170" fontId="59" fillId="29" borderId="23" xfId="439" applyNumberFormat="1" applyFont="1" applyFill="1" applyBorder="1" applyAlignment="1" applyProtection="1">
      <alignment horizontal="center" vertical="center" wrapText="1"/>
      <protection locked="0"/>
    </xf>
    <xf numFmtId="37" fontId="60" fillId="33" borderId="28" xfId="439" applyNumberFormat="1" applyFont="1" applyFill="1" applyBorder="1" applyAlignment="1" applyProtection="1">
      <alignment horizontal="center" vertical="center" wrapText="1"/>
    </xf>
    <xf numFmtId="37" fontId="40" fillId="0" borderId="28" xfId="439" applyNumberFormat="1" applyFont="1" applyFill="1" applyBorder="1" applyAlignment="1" applyProtection="1">
      <alignment horizontal="center" vertical="center" wrapText="1"/>
    </xf>
    <xf numFmtId="37" fontId="60" fillId="0" borderId="28"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vertical="center" wrapText="1"/>
    </xf>
    <xf numFmtId="0" fontId="0" fillId="0" borderId="0" xfId="0" applyFont="1" applyFill="1" applyAlignment="1">
      <alignment vertical="center" wrapText="1"/>
    </xf>
    <xf numFmtId="165" fontId="59" fillId="29" borderId="23"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9" fillId="22" borderId="25" xfId="0" applyNumberFormat="1" applyFont="1" applyFill="1" applyBorder="1" applyAlignment="1" applyProtection="1">
      <alignment horizontal="left" vertical="center" wrapText="1"/>
    </xf>
    <xf numFmtId="164" fontId="0" fillId="0" borderId="0" xfId="0" applyNumberFormat="1" applyFont="1" applyFill="1" applyProtection="1"/>
    <xf numFmtId="169" fontId="40" fillId="0" borderId="0" xfId="439" applyNumberFormat="1" applyFont="1" applyFill="1" applyAlignment="1" applyProtection="1">
      <alignment horizontal="center" vertical="center"/>
      <protection locked="0"/>
    </xf>
    <xf numFmtId="38" fontId="46" fillId="0" borderId="14" xfId="439" applyNumberFormat="1" applyFon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71" fontId="59" fillId="0" borderId="29" xfId="439" applyNumberFormat="1" applyFont="1" applyFill="1" applyBorder="1" applyAlignment="1" applyProtection="1">
      <alignment horizontal="center" vertical="center" wrapText="1"/>
    </xf>
    <xf numFmtId="172" fontId="59" fillId="0" borderId="23" xfId="439" applyNumberFormat="1" applyFont="1" applyFill="1" applyBorder="1" applyAlignment="1" applyProtection="1">
      <alignment horizontal="center" vertical="center" wrapText="1"/>
    </xf>
    <xf numFmtId="0" fontId="40" fillId="0" borderId="24" xfId="0" applyNumberFormat="1" applyFont="1" applyFill="1" applyBorder="1" applyAlignment="1" applyProtection="1">
      <alignment horizontal="center" vertical="center"/>
    </xf>
    <xf numFmtId="0" fontId="55" fillId="0" borderId="0" xfId="0" applyFont="1" applyFill="1" applyAlignment="1" applyProtection="1">
      <alignment vertical="center" wrapText="1"/>
    </xf>
    <xf numFmtId="0" fontId="55"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0" fontId="0" fillId="0" borderId="23" xfId="0" applyFont="1" applyFill="1" applyBorder="1" applyAlignment="1" applyProtection="1">
      <alignment vertical="center" wrapText="1"/>
      <protection locked="0"/>
    </xf>
    <xf numFmtId="164" fontId="59" fillId="29" borderId="44" xfId="439" applyNumberFormat="1" applyFont="1" applyFill="1" applyBorder="1" applyAlignment="1" applyProtection="1">
      <alignment horizontal="center" vertical="center" wrapText="1"/>
      <protection locked="0"/>
    </xf>
    <xf numFmtId="164" fontId="59" fillId="0" borderId="30" xfId="439" applyNumberFormat="1" applyFont="1" applyFill="1" applyBorder="1" applyAlignment="1" applyProtection="1">
      <alignment horizontal="center" vertical="center" wrapText="1"/>
    </xf>
    <xf numFmtId="39" fontId="59" fillId="0" borderId="27" xfId="439" applyNumberFormat="1" applyFont="1" applyFill="1" applyBorder="1" applyAlignment="1" applyProtection="1">
      <alignment horizontal="center" vertical="center" wrapText="1"/>
    </xf>
    <xf numFmtId="164" fontId="59" fillId="0" borderId="46" xfId="439" applyNumberFormat="1" applyFont="1" applyFill="1" applyBorder="1" applyAlignment="1" applyProtection="1">
      <alignment horizontal="center" vertical="center" wrapText="1"/>
    </xf>
    <xf numFmtId="0" fontId="40"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164" fontId="59" fillId="29" borderId="45" xfId="439" applyNumberFormat="1" applyFont="1" applyFill="1" applyBorder="1" applyAlignment="1" applyProtection="1">
      <alignment horizontal="center" vertical="center" wrapText="1"/>
      <protection locked="0"/>
    </xf>
    <xf numFmtId="0" fontId="59" fillId="0" borderId="30" xfId="0" applyNumberFormat="1" applyFont="1" applyFill="1" applyBorder="1" applyAlignment="1" applyProtection="1">
      <alignment horizontal="left" vertical="center" wrapText="1"/>
    </xf>
    <xf numFmtId="0" fontId="59" fillId="23" borderId="31" xfId="0" applyNumberFormat="1" applyFont="1" applyFill="1" applyBorder="1" applyAlignment="1" applyProtection="1">
      <alignment horizontal="left" vertical="center" wrapText="1"/>
    </xf>
    <xf numFmtId="0" fontId="59" fillId="23" borderId="31" xfId="439" applyNumberFormat="1" applyFont="1" applyFill="1" applyBorder="1" applyAlignment="1" applyProtection="1">
      <alignment horizontal="center" vertical="center" wrapText="1"/>
    </xf>
    <xf numFmtId="37" fontId="40" fillId="23" borderId="29" xfId="439" applyNumberFormat="1" applyFont="1" applyFill="1" applyBorder="1" applyAlignment="1" applyProtection="1">
      <alignment horizontal="center" vertical="center" wrapText="1"/>
    </xf>
    <xf numFmtId="0" fontId="40" fillId="23" borderId="26" xfId="0" applyNumberFormat="1" applyFont="1" applyFill="1" applyBorder="1" applyAlignment="1" applyProtection="1">
      <alignment horizontal="center" vertical="center"/>
    </xf>
    <xf numFmtId="37" fontId="40" fillId="0" borderId="27" xfId="439" applyNumberFormat="1" applyFont="1" applyFill="1" applyBorder="1" applyAlignment="1" applyProtection="1">
      <alignment horizontal="center" vertical="center" wrapText="1"/>
    </xf>
    <xf numFmtId="0" fontId="40" fillId="34" borderId="0" xfId="0" applyFont="1" applyFill="1" applyProtection="1"/>
    <xf numFmtId="0" fontId="0" fillId="0" borderId="36"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center" vertical="center" wrapText="1"/>
    </xf>
    <xf numFmtId="0" fontId="0" fillId="34" borderId="23" xfId="0" applyFont="1" applyFill="1" applyBorder="1" applyAlignment="1" applyProtection="1">
      <alignment vertical="center" wrapText="1"/>
    </xf>
    <xf numFmtId="0" fontId="40" fillId="34" borderId="43" xfId="0" applyNumberFormat="1" applyFont="1" applyFill="1" applyBorder="1" applyAlignment="1" applyProtection="1">
      <alignment horizontal="center" vertical="center"/>
    </xf>
    <xf numFmtId="39" fontId="0"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vertical="center" wrapText="1"/>
    </xf>
    <xf numFmtId="164" fontId="0" fillId="0" borderId="0" xfId="439" applyNumberFormat="1" applyFont="1"/>
    <xf numFmtId="0" fontId="71" fillId="0" borderId="0" xfId="0" applyNumberFormat="1" applyFont="1" applyFill="1" applyAlignment="1" applyProtection="1">
      <alignment horizontal="left" vertical="center" wrapText="1" indent="6"/>
    </xf>
    <xf numFmtId="0" fontId="59" fillId="0" borderId="25" xfId="0" applyNumberFormat="1" applyFont="1" applyFill="1" applyBorder="1" applyAlignment="1" applyProtection="1">
      <alignment horizontal="left" vertical="center" wrapText="1"/>
    </xf>
    <xf numFmtId="0" fontId="0" fillId="23" borderId="23" xfId="0" applyFont="1" applyFill="1" applyBorder="1" applyAlignment="1" applyProtection="1">
      <alignment vertical="center" wrapText="1"/>
    </xf>
    <xf numFmtId="0" fontId="41" fillId="24" borderId="0" xfId="439" applyNumberFormat="1" applyFont="1" applyFill="1" applyBorder="1" applyAlignment="1" applyProtection="1">
      <alignment horizontal="center" wrapText="1"/>
    </xf>
    <xf numFmtId="41" fontId="67" fillId="0" borderId="0" xfId="0" applyNumberFormat="1" applyFont="1" applyFill="1" applyAlignment="1" applyProtection="1">
      <alignment wrapText="1"/>
    </xf>
    <xf numFmtId="14" fontId="59" fillId="0" borderId="23" xfId="439" applyNumberFormat="1" applyFont="1" applyFill="1" applyBorder="1" applyAlignment="1" applyProtection="1">
      <alignment horizontal="center" vertical="center" wrapText="1"/>
    </xf>
    <xf numFmtId="37" fontId="0" fillId="0" borderId="0" xfId="0" applyNumberFormat="1" applyFont="1" applyFill="1" applyAlignment="1" applyProtection="1">
      <alignment horizontal="center" vertical="center"/>
    </xf>
    <xf numFmtId="164" fontId="51" fillId="0" borderId="0" xfId="0" applyNumberFormat="1" applyFont="1" applyAlignment="1" applyProtection="1">
      <alignment wrapText="1"/>
    </xf>
    <xf numFmtId="164" fontId="59" fillId="22" borderId="23" xfId="439" applyNumberFormat="1" applyFont="1" applyFill="1" applyBorder="1" applyAlignment="1" applyProtection="1">
      <alignment horizontal="center" vertical="center" wrapText="1"/>
      <protection locked="0"/>
    </xf>
    <xf numFmtId="172" fontId="59" fillId="22" borderId="23" xfId="439" applyNumberFormat="1" applyFont="1" applyFill="1" applyBorder="1" applyAlignment="1" applyProtection="1">
      <alignment horizontal="center" vertical="center" wrapText="1"/>
    </xf>
    <xf numFmtId="39" fontId="59" fillId="22" borderId="28" xfId="439" applyNumberFormat="1" applyFont="1" applyFill="1" applyBorder="1" applyAlignment="1" applyProtection="1">
      <alignment horizontal="center" vertical="center" wrapText="1"/>
    </xf>
    <xf numFmtId="164" fontId="59" fillId="22" borderId="29" xfId="439" applyNumberFormat="1" applyFont="1" applyFill="1" applyBorder="1" applyAlignment="1" applyProtection="1">
      <alignment horizontal="center" vertical="center" wrapText="1"/>
    </xf>
    <xf numFmtId="0" fontId="40" fillId="22" borderId="24" xfId="0" applyNumberFormat="1" applyFont="1" applyFill="1" applyBorder="1" applyAlignment="1" applyProtection="1">
      <alignment horizontal="center" vertical="center"/>
    </xf>
    <xf numFmtId="164" fontId="59" fillId="29" borderId="31" xfId="439" applyNumberFormat="1" applyFont="1" applyFill="1" applyBorder="1" applyAlignment="1" applyProtection="1">
      <alignment horizontal="center" vertical="center" wrapText="1"/>
      <protection locked="0"/>
    </xf>
    <xf numFmtId="0" fontId="50" fillId="0" borderId="0" xfId="0" applyFont="1" applyAlignment="1" applyProtection="1">
      <alignment horizontal="center"/>
    </xf>
    <xf numFmtId="0" fontId="42" fillId="22" borderId="0" xfId="0" applyFont="1" applyFill="1" applyAlignment="1" applyProtection="1">
      <alignment horizontal="left" wrapText="1"/>
    </xf>
    <xf numFmtId="172" fontId="59" fillId="22" borderId="30" xfId="439" applyNumberFormat="1" applyFont="1" applyFill="1" applyBorder="1" applyAlignment="1" applyProtection="1">
      <alignment horizontal="center" vertical="center" wrapText="1"/>
    </xf>
    <xf numFmtId="175" fontId="59" fillId="75" borderId="23" xfId="439" applyNumberFormat="1" applyFont="1" applyFill="1" applyBorder="1" applyAlignment="1" applyProtection="1">
      <alignment horizontal="center" vertical="center" wrapText="1"/>
    </xf>
    <xf numFmtId="3" fontId="59" fillId="0" borderId="23" xfId="439" applyNumberFormat="1" applyFont="1" applyFill="1" applyBorder="1" applyAlignment="1" applyProtection="1">
      <alignment horizontal="center" vertical="center" wrapText="1"/>
      <protection locked="0"/>
    </xf>
    <xf numFmtId="180" fontId="59" fillId="75" borderId="23" xfId="439" applyNumberFormat="1" applyFont="1" applyFill="1" applyBorder="1" applyAlignment="1" applyProtection="1">
      <alignment horizontal="center" vertical="center" wrapText="1"/>
    </xf>
    <xf numFmtId="39" fontId="59" fillId="0" borderId="23" xfId="439" applyNumberFormat="1" applyFont="1" applyFill="1" applyBorder="1" applyAlignment="1" applyProtection="1">
      <alignment horizontal="center" vertical="center" wrapText="1"/>
    </xf>
    <xf numFmtId="3" fontId="59" fillId="0" borderId="31" xfId="439" applyNumberFormat="1" applyFont="1" applyFill="1" applyBorder="1" applyAlignment="1" applyProtection="1">
      <alignment horizontal="center" vertical="center" wrapText="1"/>
    </xf>
    <xf numFmtId="3" fontId="59" fillId="23" borderId="31" xfId="439" applyNumberFormat="1" applyFont="1" applyFill="1" applyBorder="1" applyAlignment="1" applyProtection="1">
      <alignment horizontal="center" vertical="center" wrapText="1"/>
    </xf>
    <xf numFmtId="3" fontId="59" fillId="23" borderId="23" xfId="439" applyNumberFormat="1" applyFont="1" applyFill="1" applyBorder="1" applyAlignment="1" applyProtection="1">
      <alignment horizontal="center" vertical="center" wrapText="1"/>
    </xf>
    <xf numFmtId="3" fontId="59" fillId="0" borderId="30" xfId="439" applyNumberFormat="1" applyFont="1" applyFill="1" applyBorder="1" applyAlignment="1" applyProtection="1">
      <alignment horizontal="center" vertical="center" wrapText="1"/>
    </xf>
    <xf numFmtId="37" fontId="59" fillId="0" borderId="23" xfId="439" applyNumberFormat="1" applyFont="1" applyFill="1" applyBorder="1" applyAlignment="1" applyProtection="1">
      <alignment horizontal="center" vertical="center" wrapText="1"/>
    </xf>
    <xf numFmtId="0" fontId="40" fillId="0" borderId="0" xfId="0" applyFont="1" applyAlignment="1" applyProtection="1">
      <alignment horizontal="left" vertical="center" wrapText="1"/>
    </xf>
    <xf numFmtId="0" fontId="65" fillId="0" borderId="0" xfId="0" applyFont="1" applyProtection="1"/>
    <xf numFmtId="0" fontId="40" fillId="0" borderId="57" xfId="0" applyFont="1" applyBorder="1"/>
    <xf numFmtId="0" fontId="40" fillId="26" borderId="16" xfId="0" applyFont="1" applyFill="1" applyBorder="1" applyAlignment="1" applyProtection="1">
      <alignment horizontal="left"/>
    </xf>
    <xf numFmtId="0" fontId="40" fillId="0" borderId="17" xfId="0" applyFont="1" applyBorder="1" applyAlignment="1">
      <alignment vertical="center"/>
    </xf>
    <xf numFmtId="0" fontId="40" fillId="0" borderId="0" xfId="0" applyFont="1" applyBorder="1" applyAlignment="1">
      <alignment vertical="center"/>
    </xf>
    <xf numFmtId="0" fontId="40" fillId="0" borderId="15" xfId="0" applyFont="1" applyBorder="1" applyAlignment="1">
      <alignment vertical="center"/>
    </xf>
    <xf numFmtId="3" fontId="40" fillId="0" borderId="0" xfId="439" applyNumberFormat="1" applyFont="1" applyFill="1" applyAlignment="1" applyProtection="1">
      <alignment horizontal="center" vertical="center" wrapText="1"/>
      <protection locked="0"/>
    </xf>
    <xf numFmtId="0" fontId="73" fillId="22" borderId="0" xfId="0" applyFont="1" applyFill="1" applyProtection="1"/>
    <xf numFmtId="0" fontId="120" fillId="22" borderId="0" xfId="0" applyFont="1" applyFill="1" applyProtection="1"/>
    <xf numFmtId="0" fontId="84" fillId="22" borderId="0" xfId="0" applyFont="1" applyFill="1" applyAlignment="1" applyProtection="1">
      <alignment vertical="center" wrapText="1"/>
    </xf>
    <xf numFmtId="0" fontId="84" fillId="22" borderId="0" xfId="0" applyFont="1" applyFill="1" applyAlignment="1" applyProtection="1">
      <alignment vertical="center"/>
      <protection locked="0"/>
    </xf>
    <xf numFmtId="0" fontId="84" fillId="22" borderId="0" xfId="0" applyFont="1" applyFill="1" applyAlignment="1" applyProtection="1">
      <alignment vertical="center"/>
    </xf>
    <xf numFmtId="0" fontId="0" fillId="0" borderId="0" xfId="0" applyAlignment="1">
      <alignment horizontal="center"/>
    </xf>
    <xf numFmtId="0" fontId="84" fillId="0" borderId="0" xfId="0" applyFont="1" applyAlignment="1">
      <alignment horizontal="center"/>
    </xf>
    <xf numFmtId="0" fontId="40" fillId="0" borderId="24" xfId="0" applyFont="1" applyBorder="1" applyAlignment="1">
      <alignment horizontal="center" vertical="center"/>
    </xf>
    <xf numFmtId="0" fontId="40" fillId="0" borderId="0" xfId="0" applyFont="1" applyAlignment="1">
      <alignment vertical="center"/>
    </xf>
    <xf numFmtId="0" fontId="0" fillId="34" borderId="45" xfId="0" applyFont="1" applyFill="1" applyBorder="1" applyAlignment="1">
      <alignment vertical="center" wrapText="1"/>
    </xf>
    <xf numFmtId="171" fontId="59" fillId="75" borderId="29" xfId="439" applyNumberFormat="1" applyFont="1" applyFill="1" applyBorder="1" applyAlignment="1" applyProtection="1">
      <alignment horizontal="center" vertical="center" wrapText="1"/>
    </xf>
    <xf numFmtId="0" fontId="40" fillId="74" borderId="64" xfId="0" applyNumberFormat="1" applyFont="1" applyFill="1" applyBorder="1" applyAlignment="1" applyProtection="1">
      <alignment horizontal="center" vertical="center"/>
    </xf>
    <xf numFmtId="0" fontId="0" fillId="73" borderId="0" xfId="0" applyFill="1"/>
    <xf numFmtId="0" fontId="121" fillId="73" borderId="0" xfId="0" applyFont="1" applyFill="1" applyAlignment="1">
      <alignment vertical="center" wrapText="1"/>
    </xf>
    <xf numFmtId="0" fontId="48" fillId="73" borderId="0" xfId="0" applyFont="1" applyFill="1" applyAlignment="1">
      <alignment horizontal="justify" vertical="center"/>
    </xf>
    <xf numFmtId="0" fontId="126" fillId="77" borderId="0" xfId="0" applyFont="1" applyFill="1" applyAlignment="1">
      <alignment vertical="center"/>
    </xf>
    <xf numFmtId="0" fontId="63" fillId="0" borderId="45" xfId="0" applyFont="1" applyFill="1" applyBorder="1" applyAlignment="1" applyProtection="1">
      <alignment horizontal="center" vertical="center" wrapText="1"/>
    </xf>
    <xf numFmtId="0" fontId="63" fillId="32" borderId="45" xfId="0" applyFont="1" applyFill="1" applyBorder="1" applyAlignment="1" applyProtection="1">
      <alignment horizontal="center" vertical="center" wrapText="1"/>
    </xf>
    <xf numFmtId="0" fontId="59" fillId="31" borderId="25" xfId="0" applyNumberFormat="1" applyFont="1" applyFill="1" applyBorder="1" applyAlignment="1" applyProtection="1">
      <alignment horizontal="left" vertical="center" wrapText="1"/>
    </xf>
    <xf numFmtId="0" fontId="42" fillId="31" borderId="66" xfId="0" applyFont="1" applyFill="1" applyBorder="1" applyAlignment="1">
      <alignment wrapText="1"/>
    </xf>
    <xf numFmtId="14" fontId="42" fillId="31" borderId="66" xfId="0" applyNumberFormat="1" applyFont="1" applyFill="1" applyBorder="1" applyAlignment="1">
      <alignment wrapText="1"/>
    </xf>
    <xf numFmtId="0" fontId="40" fillId="31" borderId="64" xfId="0" applyNumberFormat="1" applyFont="1" applyFill="1" applyBorder="1" applyAlignment="1" applyProtection="1">
      <alignment horizontal="center" vertical="center"/>
    </xf>
    <xf numFmtId="49" fontId="59" fillId="0" borderId="23" xfId="439" applyNumberFormat="1" applyFont="1" applyFill="1" applyBorder="1" applyAlignment="1" applyProtection="1">
      <alignment horizontal="center" vertical="center" wrapText="1"/>
    </xf>
    <xf numFmtId="0" fontId="122" fillId="73" borderId="0" xfId="0" applyFont="1" applyFill="1" applyAlignment="1">
      <alignment horizontal="left" vertical="center" wrapText="1"/>
    </xf>
    <xf numFmtId="0" fontId="34" fillId="73" borderId="0" xfId="30098" applyFill="1"/>
    <xf numFmtId="0" fontId="125" fillId="77" borderId="0" xfId="30098" applyFont="1" applyFill="1" applyAlignment="1">
      <alignment horizontal="center" vertical="center" wrapText="1"/>
    </xf>
    <xf numFmtId="0" fontId="121" fillId="73" borderId="0" xfId="30098" applyFont="1" applyFill="1" applyAlignment="1">
      <alignment vertical="center" wrapText="1"/>
    </xf>
    <xf numFmtId="0" fontId="48" fillId="73" borderId="0" xfId="30098" applyFont="1" applyFill="1" applyAlignment="1">
      <alignment vertical="center" wrapText="1"/>
    </xf>
    <xf numFmtId="0" fontId="126" fillId="77" borderId="0" xfId="30098" applyFont="1" applyFill="1" applyAlignment="1">
      <alignment vertical="center"/>
    </xf>
    <xf numFmtId="0" fontId="129" fillId="0" borderId="0" xfId="30099" applyFont="1" applyAlignment="1">
      <alignment horizontal="left" vertical="top"/>
    </xf>
    <xf numFmtId="0" fontId="131" fillId="0" borderId="0" xfId="30099" applyFont="1" applyAlignment="1">
      <alignment horizontal="left" vertical="top"/>
    </xf>
    <xf numFmtId="0" fontId="129" fillId="36" borderId="0" xfId="30099" applyFont="1" applyFill="1" applyAlignment="1">
      <alignment horizontal="left" vertical="top"/>
    </xf>
    <xf numFmtId="0" fontId="131" fillId="0" borderId="0" xfId="30099" applyFont="1" applyAlignment="1">
      <alignment vertical="top"/>
    </xf>
    <xf numFmtId="0" fontId="129" fillId="0" borderId="0" xfId="30099" applyFont="1" applyAlignment="1">
      <alignment vertical="top"/>
    </xf>
    <xf numFmtId="0" fontId="131" fillId="79" borderId="13" xfId="30099" applyFont="1" applyFill="1" applyBorder="1" applyAlignment="1">
      <alignment horizontal="left" vertical="top"/>
    </xf>
    <xf numFmtId="0" fontId="131" fillId="79" borderId="16" xfId="30099" applyFont="1" applyFill="1" applyBorder="1" applyAlignment="1">
      <alignment horizontal="left" vertical="top"/>
    </xf>
    <xf numFmtId="164" fontId="136" fillId="79" borderId="16" xfId="30100" applyNumberFormat="1" applyFont="1" applyFill="1" applyBorder="1" applyAlignment="1">
      <alignment vertical="center"/>
    </xf>
    <xf numFmtId="0" fontId="137" fillId="79" borderId="16" xfId="30099" applyFont="1" applyFill="1" applyBorder="1" applyAlignment="1">
      <alignment vertical="center" wrapText="1"/>
    </xf>
    <xf numFmtId="0" fontId="137" fillId="79" borderId="16" xfId="30099" applyFont="1" applyFill="1" applyBorder="1" applyAlignment="1">
      <alignment vertical="center"/>
    </xf>
    <xf numFmtId="0" fontId="129" fillId="79" borderId="11" xfId="30099" applyFont="1" applyFill="1" applyBorder="1" applyAlignment="1">
      <alignment horizontal="left" vertical="top" wrapText="1"/>
    </xf>
    <xf numFmtId="0" fontId="138" fillId="0" borderId="0" xfId="30099" applyFont="1" applyAlignment="1">
      <alignment horizontal="left" vertical="top"/>
    </xf>
    <xf numFmtId="0" fontId="138" fillId="26" borderId="15" xfId="30099" applyFont="1" applyFill="1" applyBorder="1" applyAlignment="1">
      <alignment horizontal="left" vertical="top"/>
    </xf>
    <xf numFmtId="0" fontId="138" fillId="26" borderId="0" xfId="30099" applyFont="1" applyFill="1" applyAlignment="1">
      <alignment horizontal="left" vertical="top"/>
    </xf>
    <xf numFmtId="0" fontId="129" fillId="26" borderId="0" xfId="30099" applyFont="1" applyFill="1" applyAlignment="1">
      <alignment horizontal="left" vertical="top" wrapText="1"/>
    </xf>
    <xf numFmtId="0" fontId="138" fillId="26" borderId="0" xfId="30099" applyFont="1" applyFill="1" applyAlignment="1">
      <alignment horizontal="left" vertical="center"/>
    </xf>
    <xf numFmtId="0" fontId="138" fillId="26" borderId="60" xfId="30099" applyFont="1" applyFill="1" applyBorder="1" applyAlignment="1">
      <alignment horizontal="left" vertical="top" wrapText="1"/>
    </xf>
    <xf numFmtId="0" fontId="129" fillId="26" borderId="15" xfId="30099" applyFont="1" applyFill="1" applyBorder="1" applyAlignment="1">
      <alignment horizontal="left" vertical="top"/>
    </xf>
    <xf numFmtId="0" fontId="129" fillId="26" borderId="0" xfId="30099" applyFont="1" applyFill="1" applyAlignment="1">
      <alignment horizontal="left" vertical="top"/>
    </xf>
    <xf numFmtId="0" fontId="129" fillId="26" borderId="60" xfId="30099" applyFont="1" applyFill="1" applyBorder="1" applyAlignment="1">
      <alignment horizontal="left" vertical="top" wrapText="1"/>
    </xf>
    <xf numFmtId="0" fontId="141" fillId="26" borderId="0" xfId="30099" applyFont="1" applyFill="1" applyAlignment="1">
      <alignment horizontal="left" vertical="top"/>
    </xf>
    <xf numFmtId="0" fontId="129" fillId="26" borderId="0" xfId="30099" applyFont="1" applyFill="1" applyAlignment="1">
      <alignment horizontal="left" vertical="center"/>
    </xf>
    <xf numFmtId="14" fontId="129" fillId="0" borderId="70" xfId="30099" applyNumberFormat="1" applyFont="1" applyBorder="1" applyAlignment="1" applyProtection="1">
      <alignment horizontal="center" vertical="center"/>
      <protection locked="0"/>
    </xf>
    <xf numFmtId="0" fontId="129" fillId="26" borderId="0" xfId="30099" applyFont="1" applyFill="1" applyAlignment="1">
      <alignment horizontal="left" vertical="center" wrapText="1"/>
    </xf>
    <xf numFmtId="0" fontId="129" fillId="0" borderId="70" xfId="30099" applyFont="1" applyBorder="1" applyAlignment="1" applyProtection="1">
      <alignment horizontal="center" vertical="center"/>
      <protection locked="0"/>
    </xf>
    <xf numFmtId="0" fontId="145" fillId="26" borderId="0" xfId="30099" applyFont="1" applyFill="1" applyAlignment="1">
      <alignment horizontal="center" vertical="center" wrapText="1"/>
    </xf>
    <xf numFmtId="0" fontId="129" fillId="0" borderId="57" xfId="30099" applyFont="1" applyBorder="1" applyAlignment="1" applyProtection="1">
      <alignment horizontal="center" vertical="center"/>
      <protection locked="0"/>
    </xf>
    <xf numFmtId="0" fontId="129" fillId="26" borderId="0" xfId="30099" applyFont="1" applyFill="1" applyAlignment="1">
      <alignment horizontal="center" vertical="center"/>
    </xf>
    <xf numFmtId="0" fontId="146" fillId="26" borderId="0" xfId="30099" applyFont="1" applyFill="1" applyAlignment="1">
      <alignment horizontal="left" vertical="top" wrapText="1"/>
    </xf>
    <xf numFmtId="0" fontId="146" fillId="0" borderId="57" xfId="30099" applyFont="1" applyBorder="1" applyAlignment="1" applyProtection="1">
      <alignment horizontal="center" vertical="center" wrapText="1"/>
      <protection locked="0"/>
    </xf>
    <xf numFmtId="0" fontId="131" fillId="0" borderId="0" xfId="30099" applyFont="1" applyAlignment="1">
      <alignment horizontal="left"/>
    </xf>
    <xf numFmtId="0" fontId="130" fillId="0" borderId="70" xfId="30099" applyFont="1" applyBorder="1" applyAlignment="1" applyProtection="1">
      <alignment horizontal="center" vertical="center"/>
      <protection locked="0"/>
    </xf>
    <xf numFmtId="0" fontId="129" fillId="26" borderId="0" xfId="30099" applyFont="1" applyFill="1" applyAlignment="1">
      <alignment vertical="top" wrapText="1"/>
    </xf>
    <xf numFmtId="0" fontId="129" fillId="26" borderId="60" xfId="30099" applyFont="1" applyFill="1" applyBorder="1" applyAlignment="1">
      <alignment vertical="top" wrapText="1"/>
    </xf>
    <xf numFmtId="0" fontId="133" fillId="26" borderId="0" xfId="30099" applyFont="1" applyFill="1" applyAlignment="1">
      <alignment horizontal="left" vertical="top"/>
    </xf>
    <xf numFmtId="0" fontId="141" fillId="26" borderId="0" xfId="30099" applyFont="1" applyFill="1" applyAlignment="1">
      <alignment horizontal="left" vertical="top" wrapText="1"/>
    </xf>
    <xf numFmtId="0" fontId="129" fillId="26" borderId="15" xfId="30099" applyFont="1" applyFill="1" applyBorder="1" applyAlignment="1">
      <alignment horizontal="left"/>
    </xf>
    <xf numFmtId="0" fontId="129" fillId="26" borderId="0" xfId="30099" applyFont="1" applyFill="1" applyAlignment="1">
      <alignment horizontal="left"/>
    </xf>
    <xf numFmtId="0" fontId="129" fillId="26" borderId="0" xfId="30099" applyFont="1" applyFill="1" applyAlignment="1">
      <alignment vertical="center" wrapText="1"/>
    </xf>
    <xf numFmtId="0" fontId="141" fillId="26" borderId="0" xfId="30099" applyFont="1" applyFill="1" applyAlignment="1">
      <alignment vertical="center" wrapText="1"/>
    </xf>
    <xf numFmtId="0" fontId="129" fillId="0" borderId="0" xfId="30099" applyFont="1" applyAlignment="1">
      <alignment horizontal="left"/>
    </xf>
    <xf numFmtId="0" fontId="135" fillId="26" borderId="0" xfId="30099" applyFont="1" applyFill="1" applyAlignment="1">
      <alignment horizontal="left"/>
    </xf>
    <xf numFmtId="0" fontId="135" fillId="26" borderId="0" xfId="30099" applyFont="1" applyFill="1" applyAlignment="1">
      <alignment horizontal="right" vertical="center"/>
    </xf>
    <xf numFmtId="0" fontId="135" fillId="26" borderId="0" xfId="30099" applyFont="1" applyFill="1" applyAlignment="1">
      <alignment horizontal="right"/>
    </xf>
    <xf numFmtId="0" fontId="129" fillId="26" borderId="0" xfId="30099" applyFont="1" applyFill="1" applyAlignment="1">
      <alignment horizontal="right" vertical="center" wrapText="1"/>
    </xf>
    <xf numFmtId="14" fontId="129" fillId="26" borderId="0" xfId="30099" applyNumberFormat="1" applyFont="1" applyFill="1" applyAlignment="1">
      <alignment horizontal="left" vertical="center"/>
    </xf>
    <xf numFmtId="0" fontId="150" fillId="79" borderId="0" xfId="30099" applyFont="1" applyFill="1" applyAlignment="1">
      <alignment vertical="center"/>
    </xf>
    <xf numFmtId="0" fontId="150" fillId="79" borderId="0" xfId="30099" applyFont="1" applyFill="1" applyAlignment="1">
      <alignment horizontal="left" vertical="center"/>
    </xf>
    <xf numFmtId="0" fontId="141" fillId="26" borderId="0" xfId="30099" applyFont="1" applyFill="1" applyAlignment="1">
      <alignment horizontal="left" vertical="center" wrapText="1"/>
    </xf>
    <xf numFmtId="0" fontId="141" fillId="26" borderId="60" xfId="30099" applyFont="1" applyFill="1" applyBorder="1" applyAlignment="1">
      <alignment vertical="top" wrapText="1"/>
    </xf>
    <xf numFmtId="0" fontId="129" fillId="26" borderId="40" xfId="30099" applyFont="1" applyFill="1" applyBorder="1" applyAlignment="1">
      <alignment horizontal="left" vertical="top"/>
    </xf>
    <xf numFmtId="0" fontId="129" fillId="26" borderId="41" xfId="30099" applyFont="1" applyFill="1" applyBorder="1" applyAlignment="1">
      <alignment horizontal="left" vertical="top"/>
    </xf>
    <xf numFmtId="0" fontId="129" fillId="26" borderId="41" xfId="30099" applyFont="1" applyFill="1" applyBorder="1" applyAlignment="1">
      <alignment horizontal="right" vertical="center" wrapText="1"/>
    </xf>
    <xf numFmtId="0" fontId="129" fillId="26" borderId="41" xfId="30099" applyFont="1" applyFill="1" applyBorder="1" applyAlignment="1">
      <alignment horizontal="left" vertical="center"/>
    </xf>
    <xf numFmtId="0" fontId="129" fillId="26" borderId="42" xfId="30099" applyFont="1" applyFill="1" applyBorder="1" applyAlignment="1">
      <alignment horizontal="left" vertical="top" wrapText="1"/>
    </xf>
    <xf numFmtId="0" fontId="129" fillId="0" borderId="0" xfId="30099" applyFont="1" applyAlignment="1">
      <alignment horizontal="left" vertical="top" wrapText="1"/>
    </xf>
    <xf numFmtId="2" fontId="129" fillId="0" borderId="0" xfId="30099" applyNumberFormat="1" applyFont="1" applyAlignment="1">
      <alignment horizontal="left" vertical="top"/>
    </xf>
    <xf numFmtId="0" fontId="129" fillId="0" borderId="0" xfId="30099" applyFont="1" applyAlignment="1">
      <alignment horizontal="left" vertical="center" wrapText="1"/>
    </xf>
    <xf numFmtId="14" fontId="129" fillId="0" borderId="0" xfId="30099" applyNumberFormat="1" applyFont="1" applyAlignment="1">
      <alignment horizontal="left" vertical="top"/>
    </xf>
    <xf numFmtId="0" fontId="129" fillId="0" borderId="0" xfId="30099" applyFont="1" applyAlignment="1">
      <alignment horizontal="left" wrapText="1"/>
    </xf>
    <xf numFmtId="0" fontId="0" fillId="0" borderId="0" xfId="0" applyNumberFormat="1" applyFont="1" applyFill="1" applyBorder="1" applyAlignment="1" applyProtection="1">
      <alignment horizontal="left" vertical="center" wrapText="1"/>
    </xf>
    <xf numFmtId="0" fontId="152" fillId="26" borderId="0" xfId="30099" applyFont="1" applyFill="1" applyAlignment="1">
      <alignment horizontal="center" vertical="center"/>
    </xf>
    <xf numFmtId="164" fontId="135" fillId="26" borderId="0" xfId="30100" applyNumberFormat="1" applyFont="1" applyFill="1" applyBorder="1" applyAlignment="1">
      <alignment vertical="center"/>
    </xf>
    <xf numFmtId="164" fontId="135" fillId="26" borderId="0" xfId="30100" applyNumberFormat="1" applyFont="1" applyFill="1" applyBorder="1" applyAlignment="1">
      <alignment vertical="top"/>
    </xf>
    <xf numFmtId="164" fontId="134" fillId="26" borderId="0" xfId="30100" applyNumberFormat="1" applyFont="1" applyFill="1" applyBorder="1" applyAlignment="1">
      <alignment vertical="center"/>
    </xf>
    <xf numFmtId="164" fontId="133" fillId="26" borderId="0" xfId="30100" applyNumberFormat="1" applyFont="1" applyFill="1" applyBorder="1" applyAlignment="1">
      <alignment vertical="center"/>
    </xf>
    <xf numFmtId="164" fontId="135" fillId="26" borderId="41" xfId="30100" applyNumberFormat="1" applyFont="1" applyFill="1" applyBorder="1" applyAlignment="1">
      <alignment vertical="top"/>
    </xf>
    <xf numFmtId="164" fontId="129" fillId="0" borderId="0" xfId="30100" applyNumberFormat="1" applyFont="1" applyFill="1" applyBorder="1" applyAlignment="1">
      <alignment vertical="top"/>
    </xf>
    <xf numFmtId="49" fontId="135" fillId="26" borderId="0" xfId="30100" applyNumberFormat="1" applyFont="1" applyFill="1" applyBorder="1" applyAlignment="1">
      <alignment horizontal="center" vertical="center"/>
    </xf>
    <xf numFmtId="49" fontId="135" fillId="26" borderId="0" xfId="30100" applyNumberFormat="1" applyFont="1" applyFill="1" applyBorder="1" applyAlignment="1">
      <alignment horizontal="center" vertical="top"/>
    </xf>
    <xf numFmtId="0" fontId="135" fillId="26" borderId="0" xfId="30099" applyFont="1" applyFill="1" applyAlignment="1">
      <alignment horizontal="left" wrapText="1"/>
    </xf>
    <xf numFmtId="0" fontId="135" fillId="26" borderId="0" xfId="30099" applyFont="1" applyFill="1" applyAlignment="1">
      <alignment horizontal="left" vertical="center" wrapText="1"/>
    </xf>
    <xf numFmtId="0" fontId="129" fillId="0" borderId="0" xfId="30099" applyFont="1" applyFill="1" applyAlignment="1">
      <alignment horizontal="left"/>
    </xf>
    <xf numFmtId="0" fontId="131" fillId="0" borderId="0" xfId="30099" applyFont="1" applyFill="1" applyAlignment="1">
      <alignment horizontal="left"/>
    </xf>
    <xf numFmtId="167" fontId="0" fillId="0" borderId="83" xfId="545" applyNumberFormat="1" applyFont="1" applyBorder="1"/>
    <xf numFmtId="10" fontId="0" fillId="0" borderId="83" xfId="4688" applyNumberFormat="1" applyFont="1" applyBorder="1"/>
    <xf numFmtId="0" fontId="0" fillId="0" borderId="0" xfId="0"/>
    <xf numFmtId="2" fontId="0" fillId="0" borderId="83" xfId="439" applyNumberFormat="1" applyFont="1" applyBorder="1"/>
    <xf numFmtId="169" fontId="40" fillId="29" borderId="0" xfId="439" applyNumberFormat="1" applyFont="1" applyFill="1" applyAlignment="1" applyProtection="1">
      <alignment horizontal="center" vertical="center"/>
      <protection locked="0"/>
    </xf>
    <xf numFmtId="174" fontId="40" fillId="29" borderId="0" xfId="439" applyNumberFormat="1" applyFont="1" applyFill="1" applyAlignment="1" applyProtection="1">
      <alignment horizontal="center" vertical="center"/>
      <protection locked="0"/>
    </xf>
    <xf numFmtId="38" fontId="46" fillId="29" borderId="0" xfId="439" applyNumberFormat="1" applyFont="1" applyFill="1" applyAlignment="1" applyProtection="1">
      <alignment horizontal="center" vertical="center" wrapText="1"/>
      <protection locked="0"/>
    </xf>
    <xf numFmtId="9" fontId="0" fillId="0" borderId="83" xfId="4688" applyFont="1" applyBorder="1"/>
    <xf numFmtId="0" fontId="137" fillId="79" borderId="41" xfId="30099" applyFont="1" applyFill="1" applyBorder="1" applyAlignment="1">
      <alignment vertical="center"/>
    </xf>
    <xf numFmtId="0" fontId="130" fillId="26" borderId="0" xfId="30099" applyFont="1" applyFill="1" applyAlignment="1" applyProtection="1">
      <alignment horizontal="center" vertical="center"/>
      <protection locked="0"/>
    </xf>
    <xf numFmtId="0" fontId="40" fillId="0" borderId="43" xfId="0" applyNumberFormat="1" applyFont="1" applyFill="1" applyBorder="1" applyAlignment="1" applyProtection="1">
      <alignment horizontal="center" vertical="center"/>
    </xf>
    <xf numFmtId="0" fontId="40" fillId="0" borderId="0" xfId="0" applyFont="1" applyBorder="1" applyAlignment="1">
      <alignment wrapText="1"/>
    </xf>
    <xf numFmtId="0" fontId="40" fillId="0" borderId="0" xfId="0" applyFont="1" applyAlignment="1">
      <alignment horizontal="center"/>
    </xf>
    <xf numFmtId="0" fontId="40" fillId="0" borderId="0" xfId="0" applyFont="1" applyAlignment="1">
      <alignment horizontal="center" wrapText="1"/>
    </xf>
    <xf numFmtId="0" fontId="133" fillId="26" borderId="0" xfId="30099" applyFont="1" applyFill="1" applyAlignment="1">
      <alignment vertical="top" wrapText="1"/>
    </xf>
    <xf numFmtId="0" fontId="154" fillId="26" borderId="0" xfId="30099" applyFont="1" applyFill="1" applyAlignment="1">
      <alignment horizontal="left" vertical="top" wrapText="1"/>
    </xf>
    <xf numFmtId="170" fontId="40" fillId="29" borderId="0" xfId="439" applyNumberFormat="1" applyFont="1" applyFill="1" applyAlignment="1" applyProtection="1">
      <alignment horizontal="center" vertical="center"/>
      <protection locked="0"/>
    </xf>
    <xf numFmtId="0" fontId="40" fillId="78" borderId="86" xfId="0" applyFont="1" applyFill="1" applyBorder="1" applyAlignment="1">
      <alignment horizontal="center"/>
    </xf>
    <xf numFmtId="0" fontId="40" fillId="78" borderId="86" xfId="0" applyFont="1" applyFill="1" applyBorder="1" applyAlignment="1">
      <alignment horizontal="center" wrapText="1"/>
    </xf>
    <xf numFmtId="0" fontId="40" fillId="78" borderId="99" xfId="0" applyFont="1" applyFill="1" applyBorder="1" applyAlignment="1">
      <alignment vertical="center" wrapText="1"/>
    </xf>
    <xf numFmtId="0" fontId="40" fillId="78" borderId="89" xfId="0" applyFont="1" applyFill="1" applyBorder="1" applyAlignment="1">
      <alignment wrapText="1"/>
    </xf>
    <xf numFmtId="0" fontId="40" fillId="78" borderId="79" xfId="0" applyFont="1" applyFill="1" applyBorder="1" applyAlignment="1">
      <alignment horizontal="center"/>
    </xf>
    <xf numFmtId="0" fontId="40" fillId="78" borderId="86" xfId="0" applyFont="1" applyFill="1" applyBorder="1" applyAlignment="1">
      <alignment wrapText="1"/>
    </xf>
    <xf numFmtId="0" fontId="40" fillId="78" borderId="88" xfId="0" applyFont="1" applyFill="1" applyBorder="1" applyAlignment="1">
      <alignment wrapText="1"/>
    </xf>
    <xf numFmtId="9" fontId="0" fillId="0" borderId="93" xfId="4688" applyFont="1" applyFill="1" applyBorder="1"/>
    <xf numFmtId="9" fontId="40" fillId="0" borderId="87" xfId="0" applyNumberFormat="1" applyFont="1" applyFill="1" applyBorder="1" applyAlignment="1">
      <alignment horizontal="center"/>
    </xf>
    <xf numFmtId="0" fontId="40" fillId="0" borderId="93" xfId="0" applyFont="1" applyFill="1" applyBorder="1" applyAlignment="1">
      <alignment horizontal="center" wrapText="1"/>
    </xf>
    <xf numFmtId="9" fontId="0" fillId="0" borderId="93" xfId="4688" applyNumberFormat="1" applyFont="1" applyFill="1" applyBorder="1" applyAlignment="1">
      <alignment horizontal="center"/>
    </xf>
    <xf numFmtId="37" fontId="0" fillId="0" borderId="93" xfId="0" applyNumberFormat="1" applyFont="1" applyFill="1" applyBorder="1" applyAlignment="1">
      <alignment horizontal="center" wrapText="1"/>
    </xf>
    <xf numFmtId="43" fontId="0" fillId="0" borderId="83" xfId="439" applyNumberFormat="1" applyFont="1" applyBorder="1"/>
    <xf numFmtId="0" fontId="40" fillId="78" borderId="103" xfId="0" applyFont="1" applyFill="1" applyBorder="1" applyAlignment="1">
      <alignment horizontal="center"/>
    </xf>
    <xf numFmtId="0" fontId="40" fillId="78" borderId="97" xfId="0" applyFont="1" applyFill="1" applyBorder="1" applyAlignment="1">
      <alignment horizontal="center"/>
    </xf>
    <xf numFmtId="0" fontId="40" fillId="78" borderId="99" xfId="0" applyFont="1" applyFill="1" applyBorder="1" applyAlignment="1">
      <alignment wrapText="1"/>
    </xf>
    <xf numFmtId="0" fontId="40" fillId="78" borderId="107" xfId="0" applyFont="1" applyFill="1" applyBorder="1" applyAlignment="1">
      <alignment vertical="center" wrapText="1"/>
    </xf>
    <xf numFmtId="38" fontId="40" fillId="29" borderId="0" xfId="439" applyNumberFormat="1" applyFont="1" applyFill="1" applyAlignment="1" applyProtection="1">
      <alignment horizontal="center" vertical="center"/>
      <protection locked="0"/>
    </xf>
    <xf numFmtId="3" fontId="40" fillId="29" borderId="0" xfId="439" applyNumberFormat="1" applyFont="1" applyFill="1" applyAlignment="1" applyProtection="1">
      <alignment horizontal="center" vertical="center"/>
      <protection locked="0"/>
    </xf>
    <xf numFmtId="37" fontId="40" fillId="29" borderId="0" xfId="439" applyNumberFormat="1" applyFont="1" applyFill="1" applyAlignment="1" applyProtection="1">
      <alignment horizontal="center" vertical="center"/>
      <protection locked="0"/>
    </xf>
    <xf numFmtId="0" fontId="0" fillId="0" borderId="0" xfId="0" applyFont="1"/>
    <xf numFmtId="2" fontId="0" fillId="0" borderId="0" xfId="0" applyNumberFormat="1" applyFont="1"/>
    <xf numFmtId="0" fontId="0" fillId="0" borderId="0" xfId="0" applyFont="1" applyFill="1"/>
    <xf numFmtId="0" fontId="159" fillId="0" borderId="0" xfId="0" applyFont="1" applyAlignment="1">
      <alignment vertical="center"/>
    </xf>
    <xf numFmtId="0" fontId="159" fillId="0" borderId="0" xfId="30099" applyFont="1" applyAlignment="1">
      <alignment horizontal="left" vertical="top"/>
    </xf>
    <xf numFmtId="0" fontId="155" fillId="26" borderId="0" xfId="30099" applyFont="1" applyFill="1" applyAlignment="1">
      <alignment vertical="center" wrapText="1"/>
    </xf>
    <xf numFmtId="0" fontId="160" fillId="26" borderId="0" xfId="30099" applyFont="1" applyFill="1" applyAlignment="1">
      <alignment vertical="center" wrapText="1"/>
    </xf>
    <xf numFmtId="0" fontId="129" fillId="26" borderId="0" xfId="30099" applyFont="1" applyFill="1" applyAlignment="1">
      <alignment horizontal="left" vertical="center" wrapText="1"/>
    </xf>
    <xf numFmtId="0" fontId="161" fillId="0" borderId="0" xfId="0" applyFont="1"/>
    <xf numFmtId="0" fontId="135" fillId="26" borderId="0" xfId="30100" applyNumberFormat="1" applyFont="1" applyFill="1" applyBorder="1" applyAlignment="1">
      <alignment horizontal="center" vertical="center"/>
    </xf>
    <xf numFmtId="164" fontId="135" fillId="26" borderId="0" xfId="30100" quotePrefix="1" applyNumberFormat="1" applyFont="1" applyFill="1" applyBorder="1" applyAlignment="1">
      <alignment horizontal="center" vertical="center"/>
    </xf>
    <xf numFmtId="0" fontId="0" fillId="0" borderId="45" xfId="0" applyNumberFormat="1" applyFont="1" applyFill="1" applyBorder="1" applyAlignment="1" applyProtection="1">
      <alignment horizontal="left" vertical="center" wrapText="1"/>
    </xf>
    <xf numFmtId="0" fontId="0" fillId="0" borderId="45" xfId="0" applyNumberFormat="1" applyFont="1" applyFill="1" applyBorder="1" applyAlignment="1" applyProtection="1">
      <alignment horizontal="center" vertical="center"/>
    </xf>
    <xf numFmtId="0" fontId="0" fillId="0" borderId="45" xfId="0" applyNumberFormat="1" applyFont="1" applyFill="1" applyBorder="1" applyAlignment="1" applyProtection="1">
      <alignment horizontal="center" vertical="center" wrapText="1"/>
    </xf>
    <xf numFmtId="0" fontId="0" fillId="0" borderId="45" xfId="0" applyFont="1" applyFill="1" applyBorder="1" applyAlignment="1" applyProtection="1">
      <alignment vertical="center" wrapText="1"/>
    </xf>
    <xf numFmtId="0" fontId="0" fillId="0" borderId="45" xfId="0" applyFont="1" applyFill="1" applyBorder="1" applyAlignment="1" applyProtection="1">
      <alignment horizontal="left" vertical="center" wrapText="1"/>
    </xf>
    <xf numFmtId="0" fontId="55" fillId="34" borderId="0" xfId="0" applyNumberFormat="1" applyFont="1" applyFill="1" applyAlignment="1" applyProtection="1">
      <alignment vertical="center" wrapText="1"/>
    </xf>
    <xf numFmtId="0" fontId="0" fillId="34" borderId="0" xfId="0" applyNumberFormat="1" applyFont="1" applyFill="1" applyBorder="1" applyAlignment="1" applyProtection="1">
      <alignment horizontal="center" vertical="center" wrapText="1"/>
    </xf>
    <xf numFmtId="0" fontId="0" fillId="34" borderId="0" xfId="0" applyNumberFormat="1" applyFont="1" applyFill="1" applyBorder="1" applyAlignment="1" applyProtection="1">
      <alignment horizontal="left" vertical="center" wrapText="1"/>
    </xf>
    <xf numFmtId="0" fontId="40" fillId="0" borderId="26" xfId="0" applyFont="1" applyFill="1" applyBorder="1" applyAlignment="1">
      <alignment horizontal="center" vertical="center"/>
    </xf>
    <xf numFmtId="0" fontId="40" fillId="0" borderId="25" xfId="0" applyFont="1" applyFill="1" applyBorder="1" applyAlignment="1">
      <alignment horizontal="center" vertical="center"/>
    </xf>
    <xf numFmtId="0" fontId="40" fillId="0" borderId="24" xfId="0" applyFont="1" applyFill="1" applyBorder="1" applyAlignment="1">
      <alignment horizontal="center" vertical="center"/>
    </xf>
    <xf numFmtId="0" fontId="40" fillId="0" borderId="45" xfId="0" applyFont="1" applyFill="1" applyBorder="1" applyAlignment="1">
      <alignment horizontal="center" vertical="center"/>
    </xf>
    <xf numFmtId="0" fontId="40" fillId="0" borderId="43" xfId="0" applyFont="1" applyFill="1" applyBorder="1" applyAlignment="1">
      <alignment horizontal="center" vertical="center"/>
    </xf>
    <xf numFmtId="0" fontId="61" fillId="0" borderId="25" xfId="0" applyFont="1" applyFill="1" applyBorder="1" applyAlignment="1">
      <alignment horizontal="center" vertical="center"/>
    </xf>
    <xf numFmtId="0" fontId="51" fillId="0" borderId="25" xfId="0" applyFont="1" applyFill="1" applyBorder="1" applyAlignment="1">
      <alignment horizontal="center" vertical="center" wrapText="1"/>
    </xf>
    <xf numFmtId="0" fontId="60" fillId="0" borderId="25" xfId="0" applyFont="1" applyFill="1" applyBorder="1" applyAlignment="1">
      <alignment horizontal="center" vertical="center"/>
    </xf>
    <xf numFmtId="0" fontId="40" fillId="0" borderId="64" xfId="0" applyFont="1" applyFill="1" applyBorder="1" applyAlignment="1">
      <alignment horizontal="center" vertical="center"/>
    </xf>
    <xf numFmtId="0" fontId="71" fillId="0" borderId="0" xfId="0" applyFont="1" applyFill="1"/>
    <xf numFmtId="0" fontId="40" fillId="0" borderId="0" xfId="0" applyFont="1" applyFill="1" applyBorder="1" applyAlignment="1">
      <alignment horizontal="center" vertical="center"/>
    </xf>
    <xf numFmtId="0" fontId="54" fillId="0" borderId="30" xfId="0" applyNumberFormat="1" applyFont="1" applyFill="1" applyBorder="1" applyAlignment="1" applyProtection="1">
      <alignment horizontal="left" vertical="center" wrapText="1"/>
    </xf>
    <xf numFmtId="39" fontId="59" fillId="0" borderId="45" xfId="439" applyNumberFormat="1" applyFont="1" applyFill="1" applyBorder="1" applyAlignment="1" applyProtection="1">
      <alignment horizontal="center" vertical="center" wrapText="1"/>
    </xf>
    <xf numFmtId="0" fontId="64" fillId="0" borderId="0" xfId="0" applyNumberFormat="1" applyFont="1" applyFill="1" applyAlignment="1" applyProtection="1">
      <alignment horizontal="left" vertical="center" wrapText="1"/>
    </xf>
    <xf numFmtId="0" fontId="42" fillId="34" borderId="23" xfId="0" applyNumberFormat="1" applyFont="1" applyFill="1" applyBorder="1" applyAlignment="1" applyProtection="1">
      <alignment horizontal="left" vertical="center" wrapText="1"/>
    </xf>
    <xf numFmtId="0" fontId="59" fillId="34" borderId="25" xfId="0" applyNumberFormat="1" applyFont="1" applyFill="1" applyBorder="1" applyAlignment="1" applyProtection="1">
      <alignment horizontal="left" vertical="center" wrapText="1"/>
    </xf>
    <xf numFmtId="0" fontId="40" fillId="34" borderId="24" xfId="0" applyNumberFormat="1" applyFont="1" applyFill="1" applyBorder="1" applyAlignment="1" applyProtection="1">
      <alignment horizontal="center" vertical="center"/>
    </xf>
    <xf numFmtId="180" fontId="59" fillId="0" borderId="23"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horizontal="left" vertical="center" wrapText="1"/>
    </xf>
    <xf numFmtId="0" fontId="0" fillId="0" borderId="25"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5" xfId="0" applyNumberFormat="1" applyFont="1" applyFill="1" applyBorder="1" applyAlignment="1" applyProtection="1">
      <alignment horizontal="center" vertical="center" wrapText="1"/>
    </xf>
    <xf numFmtId="37" fontId="40" fillId="0" borderId="45" xfId="439" applyNumberFormat="1" applyFont="1" applyFill="1" applyBorder="1" applyAlignment="1" applyProtection="1">
      <alignment horizontal="center" vertical="center" wrapText="1"/>
    </xf>
    <xf numFmtId="0" fontId="64" fillId="0" borderId="45" xfId="0" applyNumberFormat="1" applyFont="1" applyFill="1" applyBorder="1" applyAlignment="1" applyProtection="1">
      <alignment horizontal="left" vertical="center" wrapText="1"/>
    </xf>
    <xf numFmtId="0" fontId="59" fillId="0" borderId="28" xfId="0" applyNumberFormat="1" applyFont="1" applyFill="1" applyBorder="1" applyAlignment="1" applyProtection="1">
      <alignment horizontal="left" vertical="center" wrapText="1"/>
    </xf>
    <xf numFmtId="0" fontId="54" fillId="0" borderId="45" xfId="0" applyNumberFormat="1" applyFont="1" applyFill="1" applyBorder="1" applyAlignment="1" applyProtection="1">
      <alignment horizontal="left" vertical="center" wrapText="1"/>
    </xf>
    <xf numFmtId="0" fontId="40" fillId="0" borderId="45" xfId="0" applyNumberFormat="1" applyFont="1" applyFill="1" applyBorder="1" applyAlignment="1" applyProtection="1">
      <alignment horizontal="center" vertical="center"/>
    </xf>
    <xf numFmtId="164" fontId="59" fillId="0" borderId="45" xfId="439" applyNumberFormat="1" applyFont="1" applyFill="1" applyBorder="1" applyAlignment="1" applyProtection="1">
      <alignment horizontal="center" vertical="center" wrapText="1"/>
    </xf>
    <xf numFmtId="41" fontId="43" fillId="0" borderId="0" xfId="0" applyNumberFormat="1" applyFont="1" applyFill="1" applyAlignment="1" applyProtection="1">
      <alignment wrapText="1"/>
    </xf>
    <xf numFmtId="0" fontId="0" fillId="0" borderId="23" xfId="0" applyFont="1" applyFill="1" applyBorder="1" applyAlignment="1" applyProtection="1">
      <alignment vertical="center" wrapText="1"/>
    </xf>
    <xf numFmtId="0" fontId="40" fillId="0" borderId="25" xfId="0" applyNumberFormat="1" applyFont="1" applyFill="1" applyBorder="1" applyAlignment="1" applyProtection="1">
      <alignment horizontal="center" vertical="center"/>
    </xf>
    <xf numFmtId="164" fontId="59" fillId="0" borderId="29" xfId="439" applyNumberFormat="1" applyFont="1" applyFill="1" applyBorder="1" applyAlignment="1" applyProtection="1">
      <alignment horizontal="center" vertical="center" wrapText="1"/>
    </xf>
    <xf numFmtId="164" fontId="59" fillId="0" borderId="23" xfId="439" applyNumberFormat="1" applyFont="1" applyFill="1" applyBorder="1" applyAlignment="1" applyProtection="1">
      <alignment horizontal="center" vertical="center" wrapText="1"/>
    </xf>
    <xf numFmtId="0" fontId="59" fillId="0" borderId="23" xfId="0" applyNumberFormat="1" applyFont="1" applyFill="1" applyBorder="1" applyAlignment="1" applyProtection="1">
      <alignment horizontal="left" vertical="center" wrapText="1"/>
    </xf>
    <xf numFmtId="39" fontId="59" fillId="0" borderId="28" xfId="439" applyNumberFormat="1" applyFont="1" applyFill="1" applyBorder="1" applyAlignment="1" applyProtection="1">
      <alignment horizontal="center" vertical="center" wrapText="1"/>
    </xf>
    <xf numFmtId="164" fontId="59" fillId="0" borderId="0"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59" fillId="34" borderId="23" xfId="0" applyNumberFormat="1" applyFont="1" applyFill="1" applyBorder="1" applyAlignment="1" applyProtection="1">
      <alignment horizontal="left" vertical="center" wrapText="1"/>
    </xf>
    <xf numFmtId="164" fontId="59" fillId="29" borderId="23" xfId="439" applyNumberFormat="1" applyFont="1" applyFill="1" applyBorder="1" applyAlignment="1" applyProtection="1">
      <alignment horizontal="center" vertical="center" wrapText="1"/>
      <protection locked="0"/>
    </xf>
    <xf numFmtId="3" fontId="59" fillId="0" borderId="23" xfId="439" applyNumberFormat="1" applyFont="1" applyFill="1" applyBorder="1" applyAlignment="1" applyProtection="1">
      <alignment horizontal="center" vertical="center" wrapText="1"/>
    </xf>
    <xf numFmtId="3" fontId="59" fillId="34" borderId="23" xfId="439" applyNumberFormat="1" applyFont="1" applyFill="1" applyBorder="1" applyAlignment="1" applyProtection="1">
      <alignment horizontal="center" vertical="center" wrapText="1"/>
    </xf>
    <xf numFmtId="0" fontId="59" fillId="22" borderId="23" xfId="439" applyNumberFormat="1" applyFont="1" applyFill="1" applyBorder="1" applyAlignment="1" applyProtection="1">
      <alignment horizontal="center" vertical="center" wrapText="1"/>
      <protection locked="0"/>
    </xf>
    <xf numFmtId="164" fontId="59" fillId="29" borderId="0" xfId="439" applyNumberFormat="1" applyFont="1" applyFill="1" applyBorder="1" applyAlignment="1" applyProtection="1">
      <alignment horizontal="center" vertical="center" wrapText="1"/>
      <protection locked="0"/>
    </xf>
    <xf numFmtId="37" fontId="40" fillId="0" borderId="0" xfId="439" applyNumberFormat="1" applyFont="1" applyFill="1" applyBorder="1" applyAlignment="1" applyProtection="1">
      <alignment horizontal="center" vertical="center" wrapText="1"/>
    </xf>
    <xf numFmtId="0" fontId="40" fillId="0" borderId="0" xfId="0" applyNumberFormat="1" applyFont="1" applyFill="1" applyBorder="1" applyAlignment="1" applyProtection="1">
      <alignment horizontal="center" vertical="center"/>
    </xf>
    <xf numFmtId="3" fontId="59" fillId="0" borderId="45" xfId="439" applyNumberFormat="1" applyFont="1" applyFill="1" applyBorder="1" applyAlignment="1" applyProtection="1">
      <alignment horizontal="center" vertical="center" wrapText="1"/>
    </xf>
    <xf numFmtId="0" fontId="59" fillId="0" borderId="45" xfId="0" applyNumberFormat="1" applyFont="1" applyFill="1" applyBorder="1" applyAlignment="1" applyProtection="1">
      <alignment horizontal="left" vertical="center" wrapText="1"/>
    </xf>
    <xf numFmtId="0" fontId="0" fillId="0" borderId="36" xfId="0" applyFont="1" applyFill="1" applyBorder="1" applyAlignment="1" applyProtection="1">
      <alignment vertical="center" wrapText="1"/>
    </xf>
    <xf numFmtId="0" fontId="40" fillId="34" borderId="25" xfId="0" applyNumberFormat="1" applyFont="1" applyFill="1" applyBorder="1" applyAlignment="1" applyProtection="1">
      <alignment horizontal="center" vertical="center"/>
    </xf>
    <xf numFmtId="182" fontId="40" fillId="29" borderId="0" xfId="439" applyNumberFormat="1" applyFont="1" applyFill="1" applyAlignment="1" applyProtection="1">
      <alignment horizontal="center" vertical="center"/>
      <protection locked="0"/>
    </xf>
    <xf numFmtId="14" fontId="0" fillId="0" borderId="0" xfId="0" applyNumberFormat="1" applyFont="1" applyFill="1" applyAlignment="1" applyProtection="1">
      <alignment horizontal="center" vertical="center"/>
    </xf>
    <xf numFmtId="0" fontId="59" fillId="78" borderId="25" xfId="0" applyNumberFormat="1" applyFont="1" applyFill="1" applyBorder="1" applyAlignment="1" applyProtection="1">
      <alignment horizontal="left" vertical="center" wrapText="1"/>
    </xf>
    <xf numFmtId="0" fontId="59" fillId="78" borderId="23" xfId="0" applyNumberFormat="1" applyFont="1" applyFill="1" applyBorder="1" applyAlignment="1" applyProtection="1">
      <alignment horizontal="left" vertical="center" wrapText="1"/>
    </xf>
    <xf numFmtId="0" fontId="40" fillId="78" borderId="43" xfId="0" applyNumberFormat="1" applyFont="1" applyFill="1" applyBorder="1" applyAlignment="1" applyProtection="1">
      <alignment horizontal="center" vertical="center"/>
    </xf>
    <xf numFmtId="0" fontId="40" fillId="78" borderId="26" xfId="0" applyNumberFormat="1" applyFont="1" applyFill="1" applyBorder="1" applyAlignment="1" applyProtection="1">
      <alignment horizontal="center" vertical="center"/>
    </xf>
    <xf numFmtId="0" fontId="0" fillId="78" borderId="31" xfId="0" applyFont="1" applyFill="1" applyBorder="1" applyAlignment="1" applyProtection="1">
      <alignment vertical="center" wrapText="1"/>
    </xf>
    <xf numFmtId="0" fontId="40" fillId="78" borderId="25" xfId="0" applyNumberFormat="1" applyFont="1" applyFill="1" applyBorder="1" applyAlignment="1" applyProtection="1">
      <alignment horizontal="center" vertical="center"/>
    </xf>
    <xf numFmtId="0" fontId="0" fillId="78" borderId="23" xfId="0" applyFont="1" applyFill="1" applyBorder="1" applyAlignment="1" applyProtection="1">
      <alignment vertical="center" wrapText="1"/>
    </xf>
    <xf numFmtId="0" fontId="71" fillId="0" borderId="0" xfId="0" applyFont="1" applyAlignment="1" applyProtection="1">
      <alignment wrapText="1"/>
      <protection locked="0"/>
    </xf>
    <xf numFmtId="9" fontId="0" fillId="0" borderId="87" xfId="4688" applyNumberFormat="1" applyFont="1" applyFill="1" applyBorder="1" applyAlignment="1">
      <alignment horizontal="center"/>
    </xf>
    <xf numFmtId="3" fontId="40" fillId="0" borderId="0" xfId="439" applyNumberFormat="1" applyFont="1" applyFill="1" applyAlignment="1" applyProtection="1">
      <alignment horizontal="center" vertical="center" wrapText="1"/>
    </xf>
    <xf numFmtId="183" fontId="46" fillId="0" borderId="0" xfId="439" applyNumberFormat="1" applyFont="1" applyFill="1" applyAlignment="1" applyProtection="1">
      <alignment horizontal="center" vertical="center" wrapText="1"/>
    </xf>
    <xf numFmtId="167" fontId="0" fillId="0" borderId="87" xfId="545" applyNumberFormat="1" applyFont="1" applyFill="1" applyBorder="1" applyAlignment="1">
      <alignment horizontal="center"/>
    </xf>
    <xf numFmtId="10" fontId="0" fillId="0" borderId="100" xfId="4688" applyNumberFormat="1" applyFont="1" applyFill="1" applyBorder="1" applyAlignment="1">
      <alignment horizontal="center"/>
    </xf>
    <xf numFmtId="37" fontId="162" fillId="0" borderId="87" xfId="0" applyNumberFormat="1" applyFont="1" applyFill="1" applyBorder="1" applyAlignment="1">
      <alignment horizontal="center"/>
    </xf>
    <xf numFmtId="164" fontId="51" fillId="0" borderId="0" xfId="0" applyNumberFormat="1" applyFont="1" applyFill="1" applyAlignment="1" applyProtection="1">
      <alignment wrapText="1"/>
    </xf>
    <xf numFmtId="0" fontId="129" fillId="26" borderId="0" xfId="30099" applyFont="1" applyFill="1" applyAlignment="1">
      <alignment horizontal="left" vertical="top" wrapText="1"/>
    </xf>
    <xf numFmtId="164" fontId="51" fillId="78" borderId="10" xfId="0" applyNumberFormat="1" applyFont="1" applyFill="1" applyBorder="1" applyAlignment="1" applyProtection="1">
      <alignment horizontal="center" vertical="center" wrapText="1"/>
    </xf>
    <xf numFmtId="0" fontId="42" fillId="78" borderId="0" xfId="0" applyFont="1" applyFill="1" applyBorder="1" applyAlignment="1">
      <alignment wrapText="1"/>
    </xf>
    <xf numFmtId="0" fontId="40" fillId="78" borderId="64" xfId="0" applyNumberFormat="1" applyFont="1" applyFill="1" applyBorder="1" applyAlignment="1" applyProtection="1">
      <alignment horizontal="center" vertical="center"/>
    </xf>
    <xf numFmtId="0" fontId="42" fillId="78" borderId="23" xfId="0" applyNumberFormat="1" applyFont="1" applyFill="1" applyBorder="1" applyAlignment="1" applyProtection="1">
      <alignment horizontal="left" vertical="center" wrapText="1"/>
    </xf>
    <xf numFmtId="0" fontId="40" fillId="0" borderId="10" xfId="0" applyFont="1" applyFill="1" applyBorder="1" applyAlignment="1" applyProtection="1">
      <alignment wrapText="1"/>
      <protection locked="0"/>
    </xf>
    <xf numFmtId="0" fontId="46" fillId="0" borderId="10" xfId="0" applyFont="1" applyBorder="1" applyProtection="1">
      <protection locked="0"/>
    </xf>
    <xf numFmtId="0" fontId="152" fillId="81" borderId="57" xfId="30099" applyFont="1" applyFill="1" applyBorder="1" applyAlignment="1" applyProtection="1">
      <alignment horizontal="center" vertical="center"/>
      <protection locked="0"/>
    </xf>
    <xf numFmtId="0" fontId="129" fillId="81" borderId="57" xfId="30099" applyFont="1" applyFill="1" applyBorder="1" applyAlignment="1" applyProtection="1">
      <alignment horizontal="center" vertical="center"/>
      <protection locked="0"/>
    </xf>
    <xf numFmtId="14" fontId="129" fillId="81" borderId="57" xfId="30099" applyNumberFormat="1" applyFont="1" applyFill="1" applyBorder="1" applyAlignment="1" applyProtection="1">
      <alignment horizontal="center" vertical="center"/>
      <protection locked="0"/>
    </xf>
    <xf numFmtId="164" fontId="135" fillId="26" borderId="0" xfId="30100" applyNumberFormat="1" applyFont="1" applyFill="1" applyBorder="1" applyAlignment="1"/>
    <xf numFmtId="37" fontId="46" fillId="0" borderId="93" xfId="0" applyNumberFormat="1" applyFont="1" applyFill="1" applyBorder="1" applyAlignment="1">
      <alignment horizontal="center"/>
    </xf>
    <xf numFmtId="10" fontId="0" fillId="0" borderId="10" xfId="4688" applyNumberFormat="1" applyFont="1" applyFill="1" applyBorder="1"/>
    <xf numFmtId="10" fontId="0" fillId="0" borderId="10" xfId="0" applyNumberFormat="1" applyFont="1" applyFill="1" applyBorder="1" applyAlignment="1">
      <alignment horizontal="center" wrapText="1"/>
    </xf>
    <xf numFmtId="10" fontId="0" fillId="78" borderId="10" xfId="4688" applyNumberFormat="1" applyFont="1" applyFill="1" applyBorder="1"/>
    <xf numFmtId="10" fontId="0" fillId="78" borderId="10" xfId="0" applyNumberFormat="1" applyFont="1" applyFill="1" applyBorder="1" applyAlignment="1">
      <alignment horizontal="center" wrapText="1"/>
    </xf>
    <xf numFmtId="0" fontId="40" fillId="78" borderId="112" xfId="0" applyFont="1" applyFill="1" applyBorder="1" applyAlignment="1">
      <alignment wrapText="1"/>
    </xf>
    <xf numFmtId="0" fontId="40" fillId="78" borderId="10" xfId="0" applyFont="1" applyFill="1" applyBorder="1" applyAlignment="1">
      <alignment vertical="center" wrapText="1"/>
    </xf>
    <xf numFmtId="167" fontId="0" fillId="0" borderId="10" xfId="545" applyNumberFormat="1" applyFont="1" applyFill="1" applyBorder="1" applyAlignment="1">
      <alignment horizontal="center"/>
    </xf>
    <xf numFmtId="10" fontId="0" fillId="0" borderId="10" xfId="4688" applyNumberFormat="1" applyFont="1" applyFill="1" applyBorder="1" applyAlignment="1">
      <alignment horizontal="center"/>
    </xf>
    <xf numFmtId="0" fontId="40" fillId="78" borderId="112" xfId="0" applyFont="1" applyFill="1" applyBorder="1" applyAlignment="1">
      <alignment vertical="center" wrapText="1"/>
    </xf>
    <xf numFmtId="0" fontId="40" fillId="78" borderId="0" xfId="0" applyFont="1" applyFill="1" applyBorder="1" applyAlignment="1">
      <alignment vertical="center" wrapText="1"/>
    </xf>
    <xf numFmtId="10" fontId="0" fillId="78" borderId="0" xfId="4688" applyNumberFormat="1" applyFont="1" applyFill="1" applyBorder="1" applyAlignment="1">
      <alignment horizontal="center"/>
    </xf>
    <xf numFmtId="10" fontId="0" fillId="78" borderId="10" xfId="4688" applyNumberFormat="1" applyFont="1" applyFill="1" applyBorder="1" applyAlignment="1">
      <alignment horizontal="center"/>
    </xf>
    <xf numFmtId="38" fontId="0" fillId="0" borderId="0" xfId="0" applyNumberFormat="1" applyFont="1" applyFill="1"/>
    <xf numFmtId="40" fontId="0" fillId="0" borderId="0" xfId="0" applyNumberFormat="1" applyFont="1" applyFill="1"/>
    <xf numFmtId="0" fontId="34" fillId="0" borderId="0" xfId="0" applyFont="1" applyProtection="1"/>
    <xf numFmtId="0" fontId="60" fillId="0" borderId="0" xfId="26000" applyFont="1" applyProtection="1"/>
    <xf numFmtId="0" fontId="60" fillId="0" borderId="0" xfId="26000" applyFont="1" applyAlignment="1" applyProtection="1">
      <alignment horizontal="center" vertical="center"/>
    </xf>
    <xf numFmtId="0" fontId="46" fillId="0" borderId="0" xfId="26000" applyFont="1" applyProtection="1"/>
    <xf numFmtId="0" fontId="46" fillId="0" borderId="0" xfId="26000" applyFont="1" applyFill="1" applyProtection="1"/>
    <xf numFmtId="0" fontId="46" fillId="0" borderId="0" xfId="26000" applyFont="1" applyAlignment="1" applyProtection="1">
      <alignment horizontal="center"/>
    </xf>
    <xf numFmtId="0" fontId="60" fillId="0" borderId="0" xfId="26000" applyFont="1" applyAlignment="1" applyProtection="1">
      <alignment horizontal="left"/>
    </xf>
    <xf numFmtId="0" fontId="60" fillId="84" borderId="0" xfId="26000" applyFont="1" applyFill="1" applyProtection="1"/>
    <xf numFmtId="0" fontId="46" fillId="84" borderId="0" xfId="26000" applyFont="1" applyFill="1" applyProtection="1"/>
    <xf numFmtId="0" fontId="165" fillId="0" borderId="57" xfId="26000" applyFont="1" applyBorder="1" applyProtection="1"/>
    <xf numFmtId="9" fontId="60" fillId="0" borderId="0" xfId="26000" applyNumberFormat="1" applyFont="1" applyAlignment="1" applyProtection="1">
      <alignment horizontal="center"/>
    </xf>
    <xf numFmtId="38" fontId="46" fillId="83" borderId="0" xfId="29549" applyNumberFormat="1" applyFont="1" applyFill="1" applyProtection="1"/>
    <xf numFmtId="38" fontId="46" fillId="0" borderId="0" xfId="29549" applyNumberFormat="1" applyFont="1" applyFill="1" applyProtection="1"/>
    <xf numFmtId="164" fontId="46" fillId="0" borderId="57" xfId="29549" applyNumberFormat="1" applyFont="1" applyBorder="1" applyProtection="1"/>
    <xf numFmtId="164" fontId="46" fillId="0" borderId="0" xfId="29549" applyNumberFormat="1" applyFont="1" applyFill="1" applyBorder="1" applyProtection="1"/>
    <xf numFmtId="38" fontId="46" fillId="83" borderId="0" xfId="26000" applyNumberFormat="1" applyFont="1" applyFill="1" applyProtection="1"/>
    <xf numFmtId="38" fontId="46" fillId="0" borderId="0" xfId="26000" applyNumberFormat="1" applyFont="1" applyProtection="1"/>
    <xf numFmtId="0" fontId="46" fillId="0" borderId="0" xfId="26000" applyFont="1" applyAlignment="1" applyProtection="1">
      <alignment wrapText="1"/>
    </xf>
    <xf numFmtId="43" fontId="46" fillId="83" borderId="57" xfId="29549" applyFont="1" applyFill="1" applyBorder="1" applyAlignment="1" applyProtection="1">
      <alignment horizontal="left"/>
    </xf>
    <xf numFmtId="164" fontId="46" fillId="0" borderId="0" xfId="29549" applyNumberFormat="1" applyFont="1" applyFill="1" applyBorder="1" applyAlignment="1" applyProtection="1">
      <alignment horizontal="left"/>
    </xf>
    <xf numFmtId="172" fontId="46" fillId="0" borderId="0" xfId="29549" applyNumberFormat="1" applyFont="1" applyFill="1" applyBorder="1" applyAlignment="1" applyProtection="1">
      <alignment horizontal="left"/>
    </xf>
    <xf numFmtId="0" fontId="60" fillId="0" borderId="0" xfId="26000" applyFont="1" applyAlignment="1" applyProtection="1">
      <alignment wrapText="1"/>
    </xf>
    <xf numFmtId="164" fontId="46" fillId="83" borderId="57" xfId="29549" applyNumberFormat="1" applyFont="1" applyFill="1" applyBorder="1" applyProtection="1"/>
    <xf numFmtId="164" fontId="46" fillId="0" borderId="57" xfId="29549" applyNumberFormat="1" applyFont="1" applyFill="1" applyBorder="1" applyProtection="1"/>
    <xf numFmtId="40" fontId="46" fillId="83" borderId="0" xfId="26000" applyNumberFormat="1" applyFont="1" applyFill="1" applyProtection="1"/>
    <xf numFmtId="0" fontId="166" fillId="0" borderId="0" xfId="26000" applyFont="1" applyAlignment="1" applyProtection="1">
      <alignment horizontal="right"/>
    </xf>
    <xf numFmtId="164" fontId="46" fillId="0" borderId="0" xfId="29549" applyNumberFormat="1" applyFont="1" applyBorder="1" applyProtection="1"/>
    <xf numFmtId="164" fontId="46" fillId="0" borderId="0" xfId="26000" applyNumberFormat="1" applyFont="1" applyProtection="1"/>
    <xf numFmtId="38" fontId="46" fillId="0" borderId="0" xfId="29549" applyNumberFormat="1" applyFont="1" applyBorder="1" applyProtection="1"/>
    <xf numFmtId="0" fontId="166" fillId="0" borderId="0" xfId="26000" applyFont="1" applyProtection="1"/>
    <xf numFmtId="43" fontId="46" fillId="0" borderId="0" xfId="26000" applyNumberFormat="1" applyFont="1" applyProtection="1"/>
    <xf numFmtId="164" fontId="60" fillId="0" borderId="57" xfId="26000" applyNumberFormat="1" applyFont="1" applyBorder="1" applyProtection="1"/>
    <xf numFmtId="0" fontId="60" fillId="0" borderId="0" xfId="26000" applyFont="1" applyAlignment="1" applyProtection="1">
      <alignment horizontal="center"/>
    </xf>
    <xf numFmtId="0" fontId="60" fillId="0" borderId="71" xfId="26000" applyFont="1" applyBorder="1" applyAlignment="1" applyProtection="1">
      <alignment horizontal="right" vertical="top" wrapText="1"/>
    </xf>
    <xf numFmtId="164" fontId="60" fillId="0" borderId="73" xfId="29549" applyNumberFormat="1" applyFont="1" applyBorder="1" applyProtection="1"/>
    <xf numFmtId="167" fontId="46" fillId="0" borderId="0" xfId="29549" applyNumberFormat="1" applyFont="1" applyProtection="1"/>
    <xf numFmtId="43" fontId="60" fillId="0" borderId="71" xfId="29549" applyFont="1" applyBorder="1" applyProtection="1"/>
    <xf numFmtId="43" fontId="46" fillId="0" borderId="73" xfId="29549" applyFont="1" applyBorder="1" applyAlignment="1" applyProtection="1">
      <alignment horizontal="right"/>
    </xf>
    <xf numFmtId="0" fontId="46" fillId="0" borderId="0" xfId="26000" applyFont="1" applyBorder="1" applyAlignment="1" applyProtection="1">
      <alignment vertical="top"/>
    </xf>
    <xf numFmtId="0" fontId="166" fillId="0" borderId="0" xfId="26000" applyFont="1" applyAlignment="1" applyProtection="1">
      <alignment vertical="top" wrapText="1"/>
    </xf>
    <xf numFmtId="38" fontId="54" fillId="26" borderId="0" xfId="682" applyNumberFormat="1" applyFont="1" applyFill="1"/>
    <xf numFmtId="0" fontId="40" fillId="0" borderId="0" xfId="682" applyFont="1" applyFill="1" applyAlignment="1">
      <alignment wrapText="1"/>
    </xf>
    <xf numFmtId="0" fontId="0" fillId="0" borderId="0" xfId="682" applyFont="1"/>
    <xf numFmtId="0" fontId="167" fillId="26" borderId="0" xfId="682" applyFont="1" applyFill="1"/>
    <xf numFmtId="0" fontId="0" fillId="26" borderId="0" xfId="682" applyFont="1" applyFill="1"/>
    <xf numFmtId="0" fontId="51" fillId="0" borderId="17" xfId="682" applyFont="1" applyBorder="1" applyAlignment="1">
      <alignment horizontal="center"/>
    </xf>
    <xf numFmtId="0" fontId="168" fillId="0" borderId="0" xfId="682" applyFont="1"/>
    <xf numFmtId="0" fontId="168" fillId="0" borderId="0" xfId="682" applyFont="1" applyAlignment="1">
      <alignment vertical="center"/>
    </xf>
    <xf numFmtId="0" fontId="51" fillId="0" borderId="14" xfId="682" applyFont="1" applyBorder="1" applyAlignment="1">
      <alignment horizontal="center" vertical="center" wrapText="1"/>
    </xf>
    <xf numFmtId="0" fontId="169" fillId="0" borderId="0" xfId="682" applyFont="1"/>
    <xf numFmtId="0" fontId="54" fillId="0" borderId="0" xfId="682" applyFont="1"/>
    <xf numFmtId="167" fontId="170" fillId="26" borderId="0" xfId="546" applyNumberFormat="1" applyFont="1" applyFill="1"/>
    <xf numFmtId="167" fontId="54" fillId="0" borderId="0" xfId="546" applyNumberFormat="1" applyFont="1"/>
    <xf numFmtId="38" fontId="170" fillId="26" borderId="0" xfId="682" applyNumberFormat="1" applyFont="1" applyFill="1"/>
    <xf numFmtId="38" fontId="54" fillId="0" borderId="0" xfId="682" applyNumberFormat="1" applyFont="1"/>
    <xf numFmtId="38" fontId="0" fillId="26" borderId="0" xfId="682" applyNumberFormat="1" applyFont="1" applyFill="1"/>
    <xf numFmtId="38" fontId="54" fillId="26" borderId="17" xfId="449" applyNumberFormat="1" applyFont="1" applyFill="1" applyBorder="1"/>
    <xf numFmtId="38" fontId="54" fillId="0" borderId="0" xfId="449" applyNumberFormat="1" applyFont="1"/>
    <xf numFmtId="0" fontId="51" fillId="27" borderId="0" xfId="682" applyFont="1" applyFill="1"/>
    <xf numFmtId="0" fontId="0" fillId="27" borderId="0" xfId="682" applyFont="1" applyFill="1"/>
    <xf numFmtId="0" fontId="54" fillId="27" borderId="0" xfId="682" applyFont="1" applyFill="1"/>
    <xf numFmtId="167" fontId="51" fillId="27" borderId="0" xfId="546" applyNumberFormat="1" applyFont="1" applyFill="1"/>
    <xf numFmtId="167" fontId="54" fillId="27" borderId="0" xfId="546" applyNumberFormat="1" applyFont="1" applyFill="1"/>
    <xf numFmtId="164" fontId="54" fillId="26" borderId="17" xfId="449" applyNumberFormat="1" applyFont="1" applyFill="1" applyBorder="1"/>
    <xf numFmtId="164" fontId="54" fillId="0" borderId="0" xfId="449" applyNumberFormat="1" applyFont="1"/>
    <xf numFmtId="0" fontId="169" fillId="0" borderId="0" xfId="682" applyFont="1" applyAlignment="1">
      <alignment vertical="center"/>
    </xf>
    <xf numFmtId="0" fontId="171" fillId="0" borderId="0" xfId="682" applyFont="1"/>
    <xf numFmtId="38" fontId="54" fillId="26" borderId="0" xfId="449" applyNumberFormat="1" applyFont="1" applyFill="1"/>
    <xf numFmtId="167" fontId="51" fillId="27" borderId="18" xfId="546" applyNumberFormat="1" applyFont="1" applyFill="1" applyBorder="1"/>
    <xf numFmtId="167" fontId="54" fillId="26" borderId="19" xfId="546" applyNumberFormat="1" applyFont="1" applyFill="1" applyBorder="1"/>
    <xf numFmtId="0" fontId="51" fillId="0" borderId="0" xfId="682" applyFont="1"/>
    <xf numFmtId="167" fontId="51" fillId="0" borderId="20" xfId="546" applyNumberFormat="1" applyFont="1" applyBorder="1"/>
    <xf numFmtId="0" fontId="51" fillId="0" borderId="0" xfId="682" applyFont="1" applyAlignment="1">
      <alignment horizontal="center"/>
    </xf>
    <xf numFmtId="167" fontId="170" fillId="0" borderId="0" xfId="546" applyNumberFormat="1" applyFont="1" applyFill="1"/>
    <xf numFmtId="38" fontId="170" fillId="26" borderId="0" xfId="0" applyNumberFormat="1" applyFont="1" applyFill="1"/>
    <xf numFmtId="38" fontId="170" fillId="0" borderId="0" xfId="449" applyNumberFormat="1" applyFont="1" applyFill="1"/>
    <xf numFmtId="38" fontId="170" fillId="26" borderId="17" xfId="0" applyNumberFormat="1" applyFont="1" applyFill="1" applyBorder="1"/>
    <xf numFmtId="38" fontId="170" fillId="0" borderId="17" xfId="449" applyNumberFormat="1" applyFont="1" applyFill="1" applyBorder="1"/>
    <xf numFmtId="167" fontId="54" fillId="0" borderId="19" xfId="546" applyNumberFormat="1" applyFont="1" applyBorder="1"/>
    <xf numFmtId="10" fontId="51" fillId="0" borderId="19" xfId="682" applyNumberFormat="1" applyFont="1" applyBorder="1"/>
    <xf numFmtId="0" fontId="0" fillId="0" borderId="83" xfId="0" applyFont="1" applyBorder="1"/>
    <xf numFmtId="0" fontId="40" fillId="78" borderId="79" xfId="0" applyFont="1" applyFill="1" applyBorder="1" applyAlignment="1">
      <alignment horizontal="left"/>
    </xf>
    <xf numFmtId="0" fontId="0" fillId="78" borderId="79" xfId="0" applyFont="1" applyFill="1" applyBorder="1"/>
    <xf numFmtId="0" fontId="40" fillId="78" borderId="79" xfId="0" applyFont="1" applyFill="1" applyBorder="1"/>
    <xf numFmtId="0" fontId="0" fillId="78" borderId="82" xfId="0" applyFont="1" applyFill="1" applyBorder="1"/>
    <xf numFmtId="0" fontId="0" fillId="73" borderId="10" xfId="0" applyFont="1" applyFill="1" applyBorder="1" applyAlignment="1">
      <alignment horizontal="center" vertical="center" wrapText="1"/>
    </xf>
    <xf numFmtId="0" fontId="0" fillId="78" borderId="82" xfId="0" applyFont="1" applyFill="1" applyBorder="1" applyAlignment="1">
      <alignment wrapText="1"/>
    </xf>
    <xf numFmtId="0" fontId="0" fillId="0" borderId="83" xfId="0" applyFont="1" applyBorder="1" applyAlignment="1">
      <alignment wrapText="1"/>
    </xf>
    <xf numFmtId="1" fontId="0" fillId="0" borderId="83" xfId="0" applyNumberFormat="1" applyFont="1" applyBorder="1"/>
    <xf numFmtId="0" fontId="0" fillId="73" borderId="85" xfId="0" applyFont="1" applyFill="1" applyBorder="1" applyAlignment="1">
      <alignment horizontal="center" vertical="center" wrapText="1"/>
    </xf>
    <xf numFmtId="0" fontId="0" fillId="0" borderId="83" xfId="0" applyFont="1" applyBorder="1" applyAlignment="1">
      <alignment horizontal="center"/>
    </xf>
    <xf numFmtId="0" fontId="0" fillId="0" borderId="82" xfId="0" applyFont="1" applyBorder="1"/>
    <xf numFmtId="0" fontId="173" fillId="78" borderId="106" xfId="0" applyFont="1" applyFill="1" applyBorder="1" applyAlignment="1">
      <alignment wrapText="1"/>
    </xf>
    <xf numFmtId="37" fontId="0" fillId="0" borderId="0" xfId="0" applyNumberFormat="1" applyFont="1" applyBorder="1"/>
    <xf numFmtId="0" fontId="0" fillId="0" borderId="87" xfId="0" applyNumberFormat="1" applyFont="1" applyBorder="1" applyAlignment="1">
      <alignment horizontal="center" wrapText="1"/>
    </xf>
    <xf numFmtId="10" fontId="0" fillId="0" borderId="83" xfId="0" applyNumberFormat="1" applyFont="1" applyBorder="1"/>
    <xf numFmtId="0" fontId="0" fillId="78" borderId="86" xfId="0" applyFont="1" applyFill="1" applyBorder="1"/>
    <xf numFmtId="0" fontId="0" fillId="78" borderId="86" xfId="0" applyFont="1" applyFill="1" applyBorder="1" applyAlignment="1">
      <alignment horizontal="center" wrapText="1"/>
    </xf>
    <xf numFmtId="0" fontId="0" fillId="78" borderId="86" xfId="0" applyFont="1" applyFill="1" applyBorder="1" applyAlignment="1">
      <alignment wrapText="1"/>
    </xf>
    <xf numFmtId="0" fontId="0" fillId="78" borderId="103" xfId="0" applyFont="1" applyFill="1" applyBorder="1" applyAlignment="1">
      <alignment horizontal="center" wrapText="1"/>
    </xf>
    <xf numFmtId="0" fontId="0" fillId="78" borderId="103" xfId="0" applyFont="1" applyFill="1" applyBorder="1"/>
    <xf numFmtId="2" fontId="0" fillId="0" borderId="83" xfId="0" applyNumberFormat="1" applyFont="1" applyBorder="1"/>
    <xf numFmtId="168" fontId="0" fillId="0" borderId="83" xfId="0" applyNumberFormat="1" applyFont="1" applyBorder="1"/>
    <xf numFmtId="2" fontId="0" fillId="80" borderId="88" xfId="0" applyNumberFormat="1" applyFont="1" applyFill="1" applyBorder="1"/>
    <xf numFmtId="0" fontId="0" fillId="78" borderId="97" xfId="0" applyFont="1" applyFill="1" applyBorder="1" applyAlignment="1">
      <alignment horizontal="center" wrapText="1"/>
    </xf>
    <xf numFmtId="0" fontId="0" fillId="78" borderId="97" xfId="0" applyFont="1" applyFill="1" applyBorder="1"/>
    <xf numFmtId="0" fontId="0" fillId="78" borderId="98" xfId="0" applyFont="1" applyFill="1" applyBorder="1"/>
    <xf numFmtId="39" fontId="0" fillId="0" borderId="83" xfId="0" applyNumberFormat="1" applyFont="1" applyBorder="1"/>
    <xf numFmtId="2" fontId="0" fillId="0" borderId="87" xfId="0" applyNumberFormat="1" applyFont="1" applyFill="1" applyBorder="1" applyAlignment="1">
      <alignment horizontal="center"/>
    </xf>
    <xf numFmtId="0" fontId="0" fillId="0" borderId="87" xfId="0" applyFont="1" applyFill="1" applyBorder="1" applyAlignment="1">
      <alignment horizontal="center" wrapText="1"/>
    </xf>
    <xf numFmtId="0" fontId="0" fillId="78" borderId="87" xfId="0" applyFont="1" applyFill="1" applyBorder="1" applyAlignment="1">
      <alignment wrapText="1"/>
    </xf>
    <xf numFmtId="0" fontId="0" fillId="78" borderId="89" xfId="0" applyFont="1" applyFill="1" applyBorder="1"/>
    <xf numFmtId="0" fontId="0" fillId="78" borderId="89" xfId="0" applyFont="1" applyFill="1" applyBorder="1" applyAlignment="1">
      <alignment horizontal="center" wrapText="1"/>
    </xf>
    <xf numFmtId="0" fontId="0" fillId="78" borderId="89" xfId="0" applyFont="1" applyFill="1" applyBorder="1" applyAlignment="1">
      <alignment wrapText="1"/>
    </xf>
    <xf numFmtId="0" fontId="173" fillId="78" borderId="83" xfId="0" applyFont="1" applyFill="1" applyBorder="1" applyAlignment="1">
      <alignment wrapText="1"/>
    </xf>
    <xf numFmtId="0" fontId="0" fillId="78" borderId="87" xfId="0" applyFont="1" applyFill="1" applyBorder="1" applyAlignment="1">
      <alignment horizontal="center" wrapText="1"/>
    </xf>
    <xf numFmtId="37" fontId="0" fillId="0" borderId="87" xfId="0" applyNumberFormat="1" applyFont="1" applyFill="1" applyBorder="1" applyAlignment="1">
      <alignment horizontal="center"/>
    </xf>
    <xf numFmtId="0" fontId="0" fillId="0" borderId="10" xfId="0" applyFont="1" applyFill="1" applyBorder="1"/>
    <xf numFmtId="0" fontId="0" fillId="78" borderId="88" xfId="0" applyFont="1" applyFill="1" applyBorder="1" applyAlignment="1">
      <alignment vertical="center" wrapText="1"/>
    </xf>
    <xf numFmtId="0" fontId="0" fillId="0" borderId="10" xfId="0" applyFont="1" applyFill="1" applyBorder="1" applyProtection="1">
      <protection locked="0"/>
    </xf>
    <xf numFmtId="0" fontId="0" fillId="0" borderId="79" xfId="0" applyFont="1" applyBorder="1"/>
    <xf numFmtId="0" fontId="0" fillId="0" borderId="89" xfId="0" applyFont="1" applyBorder="1"/>
    <xf numFmtId="0" fontId="0" fillId="78" borderId="91" xfId="0" applyFont="1" applyFill="1" applyBorder="1"/>
    <xf numFmtId="0" fontId="0" fillId="78" borderId="86" xfId="0" applyFont="1" applyFill="1" applyBorder="1" applyAlignment="1">
      <alignment horizontal="center"/>
    </xf>
    <xf numFmtId="0" fontId="0" fillId="0" borderId="91" xfId="0" applyFont="1" applyFill="1" applyBorder="1"/>
    <xf numFmtId="0" fontId="0" fillId="78" borderId="87" xfId="0" applyFont="1" applyFill="1" applyBorder="1" applyAlignment="1">
      <alignment horizontal="left" vertical="center" wrapText="1"/>
    </xf>
    <xf numFmtId="0" fontId="0" fillId="78" borderId="88" xfId="0" applyFont="1" applyFill="1" applyBorder="1" applyAlignment="1">
      <alignment horizontal="left" vertical="center" wrapText="1"/>
    </xf>
    <xf numFmtId="0" fontId="0" fillId="0" borderId="83" xfId="0" applyFont="1" applyFill="1" applyBorder="1"/>
    <xf numFmtId="37" fontId="0" fillId="0" borderId="93" xfId="0" applyNumberFormat="1" applyFont="1" applyFill="1" applyBorder="1" applyAlignment="1">
      <alignment horizontal="center"/>
    </xf>
    <xf numFmtId="0" fontId="0" fillId="78" borderId="92" xfId="0" applyFont="1" applyFill="1" applyBorder="1"/>
    <xf numFmtId="0" fontId="0" fillId="78" borderId="83" xfId="0" applyFont="1" applyFill="1" applyBorder="1" applyAlignment="1">
      <alignment horizontal="center"/>
    </xf>
    <xf numFmtId="0" fontId="0" fillId="78" borderId="83" xfId="0" applyFont="1" applyFill="1" applyBorder="1"/>
    <xf numFmtId="0" fontId="0" fillId="78" borderId="79" xfId="0" applyFont="1" applyFill="1" applyBorder="1" applyAlignment="1">
      <alignment wrapText="1"/>
    </xf>
    <xf numFmtId="0" fontId="0" fillId="78" borderId="10" xfId="0" applyFont="1" applyFill="1" applyBorder="1" applyAlignment="1">
      <alignment wrapText="1"/>
    </xf>
    <xf numFmtId="0" fontId="0" fillId="0" borderId="89" xfId="0" applyFont="1" applyBorder="1" applyAlignment="1">
      <alignment wrapText="1"/>
    </xf>
    <xf numFmtId="0" fontId="0" fillId="78" borderId="111" xfId="0" applyFont="1" applyFill="1" applyBorder="1"/>
    <xf numFmtId="0" fontId="0" fillId="78" borderId="10" xfId="0" quotePrefix="1" applyFont="1" applyFill="1" applyBorder="1" applyAlignment="1">
      <alignment horizontal="center" wrapText="1"/>
    </xf>
    <xf numFmtId="0" fontId="0" fillId="0" borderId="104" xfId="0" applyFont="1" applyFill="1" applyBorder="1" applyProtection="1">
      <protection locked="0"/>
    </xf>
    <xf numFmtId="0" fontId="0" fillId="78" borderId="10" xfId="0" applyNumberFormat="1" applyFont="1" applyFill="1" applyBorder="1" applyAlignment="1">
      <alignment horizontal="center" wrapText="1"/>
    </xf>
    <xf numFmtId="0" fontId="0" fillId="0" borderId="0" xfId="0" applyNumberFormat="1" applyFont="1" applyBorder="1" applyAlignment="1">
      <alignment horizontal="center" wrapText="1"/>
    </xf>
    <xf numFmtId="0" fontId="0" fillId="78" borderId="109" xfId="0" applyFont="1" applyFill="1" applyBorder="1" applyAlignment="1">
      <alignment wrapText="1"/>
    </xf>
    <xf numFmtId="0" fontId="0" fillId="0" borderId="105" xfId="0" applyFont="1" applyFill="1" applyBorder="1" applyProtection="1">
      <protection locked="0"/>
    </xf>
    <xf numFmtId="2" fontId="0" fillId="0" borderId="10" xfId="0" applyNumberFormat="1" applyFont="1" applyFill="1" applyBorder="1" applyAlignment="1">
      <alignment horizontal="center"/>
    </xf>
    <xf numFmtId="0" fontId="0" fillId="78" borderId="10" xfId="0" applyFont="1" applyFill="1" applyBorder="1" applyAlignment="1">
      <alignment horizontal="center" vertical="center" wrapText="1"/>
    </xf>
    <xf numFmtId="0" fontId="0" fillId="78" borderId="10" xfId="0" applyFont="1" applyFill="1" applyBorder="1" applyAlignment="1">
      <alignment vertical="center" wrapText="1"/>
    </xf>
    <xf numFmtId="167" fontId="0" fillId="0" borderId="10" xfId="0" applyNumberFormat="1" applyFont="1" applyFill="1" applyBorder="1" applyAlignment="1">
      <alignment horizontal="center"/>
    </xf>
    <xf numFmtId="37" fontId="0" fillId="0" borderId="10" xfId="0" applyNumberFormat="1" applyFont="1" applyFill="1" applyBorder="1" applyAlignment="1">
      <alignment horizontal="center"/>
    </xf>
    <xf numFmtId="0" fontId="0" fillId="78" borderId="109" xfId="0" applyFont="1" applyFill="1" applyBorder="1" applyAlignment="1">
      <alignment vertical="center" wrapText="1"/>
    </xf>
    <xf numFmtId="0" fontId="0" fillId="78" borderId="0" xfId="0" applyFont="1" applyFill="1" applyBorder="1" applyAlignment="1">
      <alignment horizontal="center" wrapText="1"/>
    </xf>
    <xf numFmtId="10" fontId="0" fillId="78" borderId="0" xfId="0" applyNumberFormat="1" applyFont="1" applyFill="1" applyBorder="1" applyAlignment="1">
      <alignment horizontal="center"/>
    </xf>
    <xf numFmtId="0" fontId="0" fillId="78" borderId="0" xfId="0" applyFont="1" applyFill="1" applyBorder="1" applyAlignment="1">
      <alignment wrapText="1"/>
    </xf>
    <xf numFmtId="37" fontId="0" fillId="0" borderId="87" xfId="0" applyNumberFormat="1" applyFont="1" applyFill="1" applyBorder="1" applyAlignment="1">
      <alignment horizontal="center" wrapText="1"/>
    </xf>
    <xf numFmtId="0" fontId="0" fillId="0" borderId="10" xfId="0" applyFont="1" applyBorder="1" applyProtection="1">
      <protection locked="0"/>
    </xf>
    <xf numFmtId="0" fontId="40" fillId="0" borderId="79" xfId="0" applyFont="1" applyBorder="1" applyAlignment="1">
      <alignment vertical="center"/>
    </xf>
    <xf numFmtId="0" fontId="173" fillId="78" borderId="110" xfId="0" applyFont="1" applyFill="1" applyBorder="1" applyAlignment="1">
      <alignment wrapText="1"/>
    </xf>
    <xf numFmtId="0" fontId="40" fillId="0" borderId="96" xfId="0" applyFont="1" applyBorder="1" applyAlignment="1">
      <alignment vertical="center"/>
    </xf>
    <xf numFmtId="9" fontId="40" fillId="0" borderId="0" xfId="4688" applyFont="1" applyBorder="1" applyAlignment="1">
      <alignment horizontal="center" wrapText="1"/>
    </xf>
    <xf numFmtId="0" fontId="40" fillId="0" borderId="86" xfId="0" applyFont="1" applyBorder="1" applyAlignment="1">
      <alignment vertical="center"/>
    </xf>
    <xf numFmtId="0" fontId="40" fillId="0" borderId="0" xfId="0" applyFont="1" applyFill="1" applyBorder="1" applyAlignment="1">
      <alignment vertical="center"/>
    </xf>
    <xf numFmtId="0" fontId="40" fillId="0" borderId="89" xfId="0" applyFont="1" applyBorder="1" applyAlignment="1">
      <alignment vertical="center"/>
    </xf>
    <xf numFmtId="0" fontId="40" fillId="0" borderId="83" xfId="0" applyFont="1" applyBorder="1" applyAlignment="1">
      <alignment vertical="center"/>
    </xf>
    <xf numFmtId="0" fontId="0" fillId="78" borderId="10" xfId="0" applyFont="1" applyFill="1" applyBorder="1" applyAlignment="1">
      <alignment horizontal="justify" vertical="center"/>
    </xf>
    <xf numFmtId="0" fontId="40" fillId="0" borderId="0" xfId="0" applyFont="1" applyBorder="1" applyAlignment="1">
      <alignment vertical="center" wrapText="1"/>
    </xf>
    <xf numFmtId="0" fontId="163" fillId="73" borderId="98" xfId="0" applyFont="1" applyFill="1" applyBorder="1" applyAlignment="1">
      <alignment horizontal="center" vertical="center" wrapText="1"/>
    </xf>
    <xf numFmtId="0" fontId="40" fillId="78" borderId="12" xfId="0" applyFont="1" applyFill="1" applyBorder="1"/>
    <xf numFmtId="0" fontId="173" fillId="78" borderId="116" xfId="0" applyFont="1" applyFill="1" applyBorder="1" applyAlignment="1">
      <alignment wrapText="1"/>
    </xf>
    <xf numFmtId="0" fontId="40" fillId="78" borderId="12" xfId="0" applyFont="1" applyFill="1" applyBorder="1" applyAlignment="1">
      <alignment horizontal="center"/>
    </xf>
    <xf numFmtId="0" fontId="40" fillId="78" borderId="12" xfId="0" applyFont="1" applyFill="1" applyBorder="1" applyAlignment="1">
      <alignment horizontal="center" wrapText="1"/>
    </xf>
    <xf numFmtId="0" fontId="0" fillId="78" borderId="117" xfId="0" applyFont="1" applyFill="1" applyBorder="1"/>
    <xf numFmtId="0" fontId="0" fillId="78" borderId="10" xfId="0" applyFont="1" applyFill="1" applyBorder="1"/>
    <xf numFmtId="0" fontId="40" fillId="78" borderId="10" xfId="0" applyFont="1" applyFill="1" applyBorder="1" applyAlignment="1">
      <alignment horizontal="center"/>
    </xf>
    <xf numFmtId="0" fontId="40" fillId="78" borderId="10" xfId="0" applyFont="1" applyFill="1" applyBorder="1" applyAlignment="1">
      <alignment horizontal="center" wrapText="1"/>
    </xf>
    <xf numFmtId="0" fontId="163" fillId="78" borderId="10" xfId="0" applyFont="1" applyFill="1" applyBorder="1" applyAlignment="1">
      <alignment horizontal="center" vertical="center" wrapText="1"/>
    </xf>
    <xf numFmtId="39" fontId="0" fillId="0" borderId="0" xfId="0" applyNumberFormat="1" applyFont="1" applyProtection="1"/>
    <xf numFmtId="0" fontId="0" fillId="22" borderId="0" xfId="0" applyFont="1" applyFill="1" applyBorder="1" applyProtection="1"/>
    <xf numFmtId="0" fontId="0" fillId="23" borderId="0" xfId="0" applyFont="1" applyFill="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9"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9" fillId="21" borderId="0" xfId="0" applyFont="1" applyFill="1" applyBorder="1" applyAlignment="1" applyProtection="1">
      <alignment horizontal="center" vertical="center" wrapText="1"/>
    </xf>
    <xf numFmtId="3" fontId="0" fillId="0" borderId="0" xfId="0" applyNumberFormat="1" applyFont="1" applyProtection="1"/>
    <xf numFmtId="0" fontId="0" fillId="0" borderId="26" xfId="0" applyNumberFormat="1" applyFont="1" applyFill="1" applyBorder="1" applyAlignment="1" applyProtection="1">
      <alignment horizontal="left" vertical="center" wrapText="1"/>
    </xf>
    <xf numFmtId="0" fontId="0" fillId="0" borderId="31" xfId="0" applyNumberFormat="1" applyFont="1" applyFill="1" applyBorder="1" applyAlignment="1" applyProtection="1">
      <alignment horizontal="left" vertical="center" wrapText="1"/>
    </xf>
    <xf numFmtId="37" fontId="0" fillId="0" borderId="29" xfId="439" applyNumberFormat="1" applyFont="1" applyBorder="1" applyAlignment="1" applyProtection="1">
      <alignment vertical="center"/>
    </xf>
    <xf numFmtId="37" fontId="0" fillId="32" borderId="29" xfId="439" applyNumberFormat="1" applyFont="1" applyFill="1" applyBorder="1" applyAlignment="1" applyProtection="1">
      <alignment vertical="center"/>
    </xf>
    <xf numFmtId="0" fontId="0" fillId="0" borderId="30" xfId="0" applyNumberFormat="1" applyFont="1" applyFill="1" applyBorder="1" applyAlignment="1" applyProtection="1">
      <alignment horizontal="left" vertical="center" wrapText="1"/>
    </xf>
    <xf numFmtId="37" fontId="0" fillId="0" borderId="45" xfId="439" applyNumberFormat="1" applyFont="1" applyFill="1" applyBorder="1" applyAlignment="1" applyProtection="1">
      <alignment vertical="center"/>
    </xf>
    <xf numFmtId="0" fontId="0" fillId="0" borderId="45" xfId="0" applyFont="1" applyFill="1" applyBorder="1" applyProtection="1"/>
    <xf numFmtId="0" fontId="0" fillId="0" borderId="45" xfId="0" applyFont="1" applyFill="1" applyBorder="1" applyAlignment="1" applyProtection="1">
      <alignment horizontal="center" vertical="center"/>
    </xf>
    <xf numFmtId="3" fontId="0" fillId="0" borderId="0" xfId="0" applyNumberFormat="1" applyFont="1" applyFill="1" applyProtection="1"/>
    <xf numFmtId="37" fontId="0" fillId="0" borderId="29"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3" xfId="0" applyNumberFormat="1" applyFont="1" applyFill="1" applyBorder="1" applyAlignment="1" applyProtection="1">
      <alignment horizontal="left" vertical="center" wrapText="1"/>
    </xf>
    <xf numFmtId="37" fontId="0" fillId="23" borderId="28" xfId="439" applyNumberFormat="1" applyFont="1" applyFill="1" applyBorder="1" applyAlignment="1" applyProtection="1">
      <alignment vertical="center"/>
    </xf>
    <xf numFmtId="0" fontId="0" fillId="0" borderId="24" xfId="0" applyNumberFormat="1" applyFont="1" applyFill="1" applyBorder="1" applyAlignment="1" applyProtection="1">
      <alignment horizontal="left" vertical="center" wrapText="1"/>
    </xf>
    <xf numFmtId="0" fontId="0" fillId="22" borderId="45" xfId="0" applyFont="1" applyFill="1" applyBorder="1" applyAlignment="1" applyProtection="1">
      <alignment vertical="center"/>
    </xf>
    <xf numFmtId="37" fontId="0" fillId="0" borderId="27" xfId="439" applyNumberFormat="1" applyFont="1" applyFill="1" applyBorder="1" applyAlignment="1" applyProtection="1">
      <alignment vertical="center"/>
    </xf>
    <xf numFmtId="0" fontId="0" fillId="23" borderId="31" xfId="0" applyNumberFormat="1" applyFont="1" applyFill="1" applyBorder="1" applyAlignment="1" applyProtection="1">
      <alignment horizontal="left" vertical="center" wrapText="1"/>
    </xf>
    <xf numFmtId="0" fontId="0" fillId="34" borderId="25" xfId="0" applyNumberFormat="1" applyFont="1" applyFill="1" applyBorder="1" applyAlignment="1" applyProtection="1">
      <alignment horizontal="left" vertical="center" wrapText="1"/>
    </xf>
    <xf numFmtId="0" fontId="0" fillId="34" borderId="23" xfId="0" applyNumberFormat="1" applyFont="1" applyFill="1" applyBorder="1" applyAlignment="1" applyProtection="1">
      <alignment horizontal="left" vertical="center" wrapText="1"/>
    </xf>
    <xf numFmtId="37" fontId="0" fillId="34" borderId="29" xfId="439" applyNumberFormat="1" applyFont="1" applyFill="1" applyBorder="1" applyAlignment="1" applyProtection="1">
      <alignment vertical="center"/>
    </xf>
    <xf numFmtId="3" fontId="46" fillId="0" borderId="23" xfId="1540" applyFont="1" applyFill="1" applyBorder="1" applyAlignment="1" applyProtection="1">
      <alignment vertical="center" wrapText="1"/>
    </xf>
    <xf numFmtId="38" fontId="0" fillId="0" borderId="45" xfId="0" applyNumberFormat="1" applyFont="1" applyFill="1" applyBorder="1" applyProtection="1"/>
    <xf numFmtId="0" fontId="0" fillId="0" borderId="0" xfId="0" applyFont="1" applyFill="1" applyBorder="1" applyProtection="1"/>
    <xf numFmtId="38" fontId="0" fillId="0" borderId="0" xfId="0" applyNumberFormat="1" applyFont="1" applyFill="1" applyBorder="1" applyProtection="1"/>
    <xf numFmtId="0" fontId="0" fillId="0" borderId="0" xfId="0" applyFont="1" applyFill="1" applyBorder="1" applyAlignment="1" applyProtection="1">
      <alignment horizontal="center" vertical="center"/>
    </xf>
    <xf numFmtId="0" fontId="0" fillId="0" borderId="0" xfId="0" applyFont="1" applyAlignment="1" applyProtection="1">
      <alignment wrapText="1"/>
    </xf>
    <xf numFmtId="0" fontId="0" fillId="0" borderId="34" xfId="0" applyNumberFormat="1" applyFont="1" applyFill="1" applyBorder="1" applyAlignment="1" applyProtection="1">
      <alignment horizontal="left" vertical="center" wrapText="1"/>
    </xf>
    <xf numFmtId="37" fontId="0" fillId="0" borderId="28" xfId="439" applyNumberFormat="1" applyFont="1" applyFill="1" applyBorder="1" applyAlignment="1" applyProtection="1">
      <alignment vertical="center"/>
    </xf>
    <xf numFmtId="0" fontId="0" fillId="34" borderId="0" xfId="0" applyFont="1" applyFill="1" applyAlignment="1" applyProtection="1">
      <alignment vertical="center" wrapText="1"/>
      <protection locked="0"/>
    </xf>
    <xf numFmtId="0" fontId="0" fillId="0" borderId="0" xfId="0" applyFont="1" applyFill="1" applyBorder="1" applyAlignment="1" applyProtection="1">
      <alignment vertical="center" wrapText="1"/>
      <protection locked="0"/>
    </xf>
    <xf numFmtId="0" fontId="0" fillId="0" borderId="35" xfId="0" applyNumberFormat="1" applyFont="1" applyFill="1" applyBorder="1" applyAlignment="1" applyProtection="1">
      <alignment horizontal="left" vertical="center" wrapText="1"/>
    </xf>
    <xf numFmtId="0" fontId="0" fillId="0" borderId="0" xfId="0" applyFont="1" applyBorder="1" applyProtection="1"/>
    <xf numFmtId="0" fontId="0" fillId="0" borderId="25" xfId="0" applyFont="1" applyFill="1" applyBorder="1" applyAlignment="1">
      <alignment horizontal="center" vertical="center" wrapText="1"/>
    </xf>
    <xf numFmtId="0" fontId="0" fillId="35" borderId="0" xfId="0" applyFont="1" applyFill="1" applyAlignment="1" applyProtection="1">
      <alignment horizontal="center" vertical="center"/>
    </xf>
    <xf numFmtId="0" fontId="0" fillId="0" borderId="0" xfId="0" applyFont="1" applyFill="1" applyAlignment="1">
      <alignment horizontal="left" vertical="center" wrapText="1"/>
    </xf>
    <xf numFmtId="37" fontId="0" fillId="0" borderId="28" xfId="439" applyNumberFormat="1" applyFont="1" applyFill="1" applyBorder="1" applyAlignment="1" applyProtection="1">
      <alignment horizontal="center" vertical="center" wrapText="1"/>
    </xf>
    <xf numFmtId="0" fontId="0" fillId="0" borderId="23" xfId="0" applyFont="1" applyFill="1" applyBorder="1" applyAlignment="1">
      <alignment vertical="center" wrapText="1"/>
    </xf>
    <xf numFmtId="39" fontId="174" fillId="76" borderId="63" xfId="1562" applyNumberFormat="1" applyFont="1" applyFill="1" applyBorder="1" applyAlignment="1">
      <alignment horizontal="center" vertical="center" wrapText="1"/>
    </xf>
    <xf numFmtId="174" fontId="0" fillId="0" borderId="28" xfId="439" applyNumberFormat="1" applyFont="1" applyFill="1" applyBorder="1" applyAlignment="1" applyProtection="1">
      <alignment vertical="center"/>
    </xf>
    <xf numFmtId="0" fontId="0" fillId="23" borderId="25" xfId="0" applyNumberFormat="1" applyFont="1" applyFill="1" applyBorder="1" applyAlignment="1" applyProtection="1">
      <alignment horizontal="left" vertical="center" wrapText="1"/>
    </xf>
    <xf numFmtId="3" fontId="46" fillId="0" borderId="0" xfId="1540" applyFont="1" applyFill="1" applyAlignment="1" applyProtection="1">
      <alignment vertical="center" wrapText="1"/>
    </xf>
    <xf numFmtId="39" fontId="0" fillId="0" borderId="29" xfId="439" applyNumberFormat="1" applyFont="1" applyBorder="1" applyAlignment="1" applyProtection="1">
      <alignment vertical="center"/>
    </xf>
    <xf numFmtId="181" fontId="0" fillId="75" borderId="28" xfId="439" applyNumberFormat="1" applyFont="1" applyFill="1" applyBorder="1" applyAlignment="1" applyProtection="1">
      <alignment vertical="center"/>
    </xf>
    <xf numFmtId="0" fontId="0" fillId="0" borderId="0" xfId="0" applyFont="1" applyAlignment="1">
      <alignment wrapText="1"/>
    </xf>
    <xf numFmtId="175" fontId="0" fillId="0" borderId="29" xfId="439" applyNumberFormat="1" applyFont="1" applyBorder="1" applyAlignment="1" applyProtection="1">
      <alignment vertical="center"/>
    </xf>
    <xf numFmtId="0" fontId="0" fillId="78" borderId="25" xfId="0" applyNumberFormat="1" applyFont="1" applyFill="1" applyBorder="1" applyAlignment="1" applyProtection="1">
      <alignment horizontal="left" vertical="center" wrapText="1"/>
    </xf>
    <xf numFmtId="0" fontId="174" fillId="78" borderId="0" xfId="0" applyFont="1" applyFill="1" applyAlignment="1" applyProtection="1">
      <alignment horizontal="left" vertical="center" wrapText="1"/>
    </xf>
    <xf numFmtId="164" fontId="0" fillId="78" borderId="23" xfId="439" applyNumberFormat="1" applyFont="1" applyFill="1" applyBorder="1" applyAlignment="1" applyProtection="1">
      <alignment horizontal="center" vertical="center" wrapText="1"/>
    </xf>
    <xf numFmtId="0" fontId="0" fillId="78" borderId="24" xfId="0" quotePrefix="1" applyNumberFormat="1" applyFont="1" applyFill="1" applyBorder="1" applyAlignment="1" applyProtection="1">
      <alignment horizontal="center" vertical="center" wrapText="1"/>
    </xf>
    <xf numFmtId="0" fontId="0" fillId="78" borderId="23" xfId="0" applyFont="1" applyFill="1" applyBorder="1" applyAlignment="1">
      <alignment vertical="center" wrapText="1"/>
    </xf>
    <xf numFmtId="37" fontId="0" fillId="78" borderId="29" xfId="439" applyNumberFormat="1" applyFont="1" applyFill="1" applyBorder="1" applyAlignment="1" applyProtection="1">
      <alignment vertical="center"/>
    </xf>
    <xf numFmtId="0" fontId="0" fillId="78" borderId="0" xfId="0" applyFont="1" applyFill="1" applyProtection="1"/>
    <xf numFmtId="0" fontId="59" fillId="78" borderId="0" xfId="0" applyFont="1" applyFill="1" applyAlignment="1" applyProtection="1">
      <alignment horizontal="left" vertical="center" wrapText="1"/>
    </xf>
    <xf numFmtId="0" fontId="0" fillId="78" borderId="0" xfId="0" quotePrefix="1" applyFont="1" applyFill="1" applyAlignment="1" applyProtection="1">
      <alignment horizontal="center"/>
    </xf>
    <xf numFmtId="0" fontId="57" fillId="78" borderId="0" xfId="0" applyFont="1" applyFill="1" applyAlignment="1" applyProtection="1">
      <alignment horizontal="left" vertical="center" wrapText="1"/>
    </xf>
    <xf numFmtId="0" fontId="0" fillId="22" borderId="25" xfId="0" applyNumberFormat="1" applyFont="1" applyFill="1" applyBorder="1" applyAlignment="1" applyProtection="1">
      <alignment horizontal="left" vertical="center" wrapText="1"/>
    </xf>
    <xf numFmtId="0" fontId="0" fillId="22" borderId="23" xfId="0" applyNumberFormat="1" applyFont="1" applyFill="1" applyBorder="1" applyAlignment="1" applyProtection="1">
      <alignment horizontal="left" vertical="center" wrapText="1"/>
    </xf>
    <xf numFmtId="37" fontId="0" fillId="78" borderId="28" xfId="439" applyNumberFormat="1" applyFont="1" applyFill="1" applyBorder="1" applyAlignment="1" applyProtection="1">
      <alignment vertical="center"/>
    </xf>
    <xf numFmtId="0" fontId="0" fillId="22" borderId="23" xfId="0" applyFont="1" applyFill="1" applyBorder="1" applyAlignment="1" applyProtection="1">
      <alignment vertical="center"/>
      <protection locked="0"/>
    </xf>
    <xf numFmtId="0" fontId="0" fillId="22" borderId="30" xfId="0" applyFont="1" applyFill="1" applyBorder="1" applyAlignment="1" applyProtection="1">
      <alignment vertical="center"/>
    </xf>
    <xf numFmtId="0" fontId="0" fillId="22" borderId="23" xfId="0" applyFont="1" applyFill="1" applyBorder="1" applyAlignment="1" applyProtection="1">
      <alignment vertical="center"/>
    </xf>
    <xf numFmtId="39" fontId="0" fillId="22" borderId="28" xfId="0" applyNumberFormat="1" applyFont="1" applyFill="1" applyBorder="1" applyAlignment="1" applyProtection="1">
      <alignment vertical="center"/>
    </xf>
    <xf numFmtId="0" fontId="0" fillId="22" borderId="28" xfId="0" applyFont="1" applyFill="1" applyBorder="1" applyAlignment="1" applyProtection="1">
      <alignment vertical="center"/>
    </xf>
    <xf numFmtId="39" fontId="0" fillId="78" borderId="28" xfId="439" applyNumberFormat="1" applyFont="1" applyFill="1" applyBorder="1" applyAlignment="1" applyProtection="1">
      <alignment vertical="center"/>
    </xf>
    <xf numFmtId="4" fontId="0" fillId="0" borderId="0" xfId="0" applyNumberFormat="1" applyFont="1" applyProtection="1"/>
    <xf numFmtId="0" fontId="0" fillId="22" borderId="29"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5" xfId="0" applyFont="1" applyFill="1" applyBorder="1" applyAlignment="1">
      <alignment vertical="center" wrapText="1"/>
    </xf>
    <xf numFmtId="37" fontId="0" fillId="0" borderId="65" xfId="439" applyNumberFormat="1" applyFont="1" applyFill="1" applyBorder="1" applyAlignment="1" applyProtection="1">
      <alignment vertical="center"/>
    </xf>
    <xf numFmtId="0" fontId="0" fillId="0" borderId="45" xfId="0" applyFont="1" applyFill="1" applyBorder="1" applyAlignment="1" applyProtection="1">
      <alignment vertical="center" wrapText="1"/>
      <protection locked="0"/>
    </xf>
    <xf numFmtId="0" fontId="0" fillId="22" borderId="0" xfId="0" applyFont="1" applyFill="1" applyAlignment="1" applyProtection="1">
      <alignment vertical="center" wrapText="1"/>
      <protection locked="0"/>
    </xf>
    <xf numFmtId="164" fontId="0" fillId="22" borderId="28" xfId="439" applyNumberFormat="1" applyFont="1" applyFill="1" applyBorder="1" applyAlignment="1" applyProtection="1">
      <alignment vertical="center"/>
    </xf>
    <xf numFmtId="0" fontId="0" fillId="74" borderId="23" xfId="0" applyNumberFormat="1" applyFont="1" applyFill="1" applyBorder="1" applyAlignment="1" applyProtection="1">
      <alignment horizontal="left" vertical="center" wrapText="1"/>
    </xf>
    <xf numFmtId="49" fontId="0" fillId="74" borderId="65"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4" borderId="65" xfId="439" applyNumberFormat="1" applyFont="1" applyFill="1" applyBorder="1" applyAlignment="1" applyProtection="1">
      <alignment horizontal="center" vertical="center"/>
    </xf>
    <xf numFmtId="49" fontId="0" fillId="74" borderId="64" xfId="439" applyNumberFormat="1" applyFont="1" applyFill="1" applyBorder="1" applyAlignment="1" applyProtection="1">
      <alignment horizontal="center" vertical="center"/>
    </xf>
    <xf numFmtId="0" fontId="0" fillId="31" borderId="66" xfId="0" applyFont="1" applyFill="1" applyBorder="1"/>
    <xf numFmtId="49" fontId="0" fillId="31" borderId="0" xfId="0" applyNumberFormat="1" applyFont="1" applyFill="1" applyAlignment="1" applyProtection="1">
      <alignment horizontal="center"/>
    </xf>
    <xf numFmtId="41" fontId="0" fillId="0" borderId="66" xfId="0" applyNumberFormat="1" applyFont="1" applyFill="1" applyBorder="1" applyAlignment="1">
      <alignment horizontal="center" vertical="center" wrapText="1"/>
    </xf>
    <xf numFmtId="0" fontId="0" fillId="31" borderId="23" xfId="0" applyNumberFormat="1" applyFont="1" applyFill="1" applyBorder="1" applyAlignment="1" applyProtection="1">
      <alignment horizontal="left" vertical="center" wrapText="1"/>
    </xf>
    <xf numFmtId="49" fontId="0" fillId="31" borderId="64" xfId="439" applyNumberFormat="1" applyFont="1" applyFill="1" applyBorder="1" applyAlignment="1" applyProtection="1">
      <alignment horizontal="center" vertical="center"/>
    </xf>
    <xf numFmtId="14" fontId="0" fillId="31" borderId="0" xfId="0" applyNumberFormat="1" applyFont="1" applyFill="1" applyAlignment="1" applyProtection="1">
      <alignment horizontal="center"/>
    </xf>
    <xf numFmtId="14" fontId="0" fillId="31" borderId="64" xfId="439" applyNumberFormat="1" applyFont="1" applyFill="1" applyBorder="1" applyAlignment="1" applyProtection="1">
      <alignment horizontal="center" vertical="center"/>
    </xf>
    <xf numFmtId="0" fontId="0" fillId="78" borderId="0" xfId="0" applyFont="1" applyFill="1" applyBorder="1"/>
    <xf numFmtId="14" fontId="0" fillId="78" borderId="0" xfId="0" applyNumberFormat="1" applyFont="1" applyFill="1" applyAlignment="1" applyProtection="1">
      <alignment horizontal="center"/>
    </xf>
    <xf numFmtId="41" fontId="0" fillId="78" borderId="0" xfId="0" applyNumberFormat="1" applyFont="1" applyFill="1" applyBorder="1" applyAlignment="1">
      <alignment horizontal="center" vertical="center" wrapText="1"/>
    </xf>
    <xf numFmtId="14" fontId="0" fillId="78" borderId="64" xfId="439" applyNumberFormat="1" applyFont="1" applyFill="1" applyBorder="1" applyAlignment="1" applyProtection="1">
      <alignment horizontal="center" vertical="center"/>
    </xf>
    <xf numFmtId="169" fontId="0" fillId="74" borderId="65" xfId="439" applyNumberFormat="1" applyFont="1" applyFill="1" applyBorder="1" applyAlignment="1" applyProtection="1">
      <alignment vertical="center"/>
    </xf>
    <xf numFmtId="0" fontId="0" fillId="78"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28" xfId="439" applyNumberFormat="1" applyFont="1" applyFill="1" applyBorder="1" applyAlignment="1" applyProtection="1">
      <alignment vertical="center"/>
    </xf>
    <xf numFmtId="164" fontId="0" fillId="0" borderId="0" xfId="439" applyNumberFormat="1" applyFont="1" applyAlignment="1" applyProtection="1">
      <alignment vertical="center"/>
    </xf>
    <xf numFmtId="0" fontId="59"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6" fillId="0" borderId="0" xfId="439" applyNumberFormat="1" applyFont="1" applyFill="1" applyAlignment="1" applyProtection="1">
      <alignment horizontal="center" vertical="center" wrapText="1"/>
    </xf>
    <xf numFmtId="0" fontId="0" fillId="0" borderId="0" xfId="0" applyNumberFormat="1" applyFont="1" applyFill="1" applyAlignment="1" applyProtection="1">
      <alignment wrapText="1"/>
    </xf>
    <xf numFmtId="0" fontId="0" fillId="0" borderId="0" xfId="0" applyFont="1" applyFill="1" applyAlignment="1" applyProtection="1">
      <alignment horizontal="center" vertical="center" wrapText="1"/>
    </xf>
    <xf numFmtId="0" fontId="0" fillId="0" borderId="0" xfId="0" applyNumberFormat="1" applyFont="1" applyFill="1" applyBorder="1" applyAlignment="1" applyProtection="1">
      <alignment horizontal="center" vertical="center" wrapText="1"/>
    </xf>
    <xf numFmtId="164" fontId="46" fillId="0" borderId="0" xfId="439" applyNumberFormat="1" applyFont="1" applyFill="1" applyProtection="1"/>
    <xf numFmtId="38" fontId="46" fillId="0" borderId="45" xfId="439" applyNumberFormat="1" applyFont="1" applyFill="1" applyBorder="1" applyAlignment="1" applyProtection="1">
      <alignment horizontal="center" vertical="center" wrapText="1"/>
    </xf>
    <xf numFmtId="0" fontId="40" fillId="0" borderId="59" xfId="0" applyFont="1" applyFill="1" applyBorder="1" applyAlignment="1">
      <alignment vertical="center"/>
    </xf>
    <xf numFmtId="174" fontId="40" fillId="28" borderId="0" xfId="439" applyNumberFormat="1" applyFont="1" applyFill="1" applyAlignment="1" applyProtection="1">
      <alignment horizontal="center" vertical="center"/>
      <protection locked="0"/>
    </xf>
    <xf numFmtId="181" fontId="159" fillId="82" borderId="0" xfId="30099" applyNumberFormat="1" applyFont="1" applyFill="1" applyAlignment="1">
      <alignment horizontal="right" vertical="top" indent="1" shrinkToFit="1"/>
    </xf>
    <xf numFmtId="0" fontId="46" fillId="0" borderId="0" xfId="30099" applyFont="1" applyAlignment="1">
      <alignment horizontal="left" vertical="top" wrapText="1" indent="1"/>
    </xf>
    <xf numFmtId="1" fontId="159" fillId="0" borderId="0" xfId="30099" applyNumberFormat="1" applyFont="1" applyAlignment="1">
      <alignment horizontal="center" vertical="top" shrinkToFit="1"/>
    </xf>
    <xf numFmtId="0" fontId="46" fillId="0" borderId="0" xfId="0" applyNumberFormat="1" applyFont="1" applyFill="1" applyAlignment="1" applyProtection="1">
      <alignment horizontal="left" vertical="center" wrapText="1"/>
    </xf>
    <xf numFmtId="181" fontId="159" fillId="0" borderId="0" xfId="30099" applyNumberFormat="1" applyFont="1" applyFill="1" applyAlignment="1">
      <alignment horizontal="right" vertical="top" indent="1" shrinkToFit="1"/>
    </xf>
    <xf numFmtId="1" fontId="159" fillId="82" borderId="0" xfId="30099" applyNumberFormat="1" applyFont="1" applyFill="1" applyAlignment="1">
      <alignment horizontal="left" vertical="top" indent="3" shrinkToFit="1"/>
    </xf>
    <xf numFmtId="181" fontId="159" fillId="0" borderId="0" xfId="30099" applyNumberFormat="1" applyFont="1" applyAlignment="1">
      <alignment horizontal="right" vertical="top" indent="1" shrinkToFit="1"/>
    </xf>
    <xf numFmtId="1" fontId="159" fillId="0" borderId="0" xfId="30099" applyNumberFormat="1" applyFont="1" applyFill="1" applyAlignment="1">
      <alignment horizontal="left" vertical="top" indent="3" shrinkToFit="1"/>
    </xf>
    <xf numFmtId="0" fontId="46" fillId="0" borderId="0" xfId="30099" applyFont="1" applyFill="1" applyAlignment="1">
      <alignment horizontal="left" vertical="top" wrapText="1"/>
    </xf>
    <xf numFmtId="164" fontId="34" fillId="0" borderId="0" xfId="439" applyNumberFormat="1" applyFont="1"/>
    <xf numFmtId="0" fontId="46" fillId="0" borderId="0" xfId="30099" applyFont="1" applyAlignment="1">
      <alignment horizontal="left" vertical="top" wrapText="1" indent="2"/>
    </xf>
    <xf numFmtId="0" fontId="55" fillId="0" borderId="0" xfId="0" applyFont="1" applyFill="1" applyAlignment="1" applyProtection="1">
      <alignment horizontal="left" vertical="center" wrapText="1"/>
    </xf>
    <xf numFmtId="164" fontId="34" fillId="0" borderId="0" xfId="439" applyNumberFormat="1" applyFont="1" applyAlignment="1">
      <alignment horizontal="center" vertical="center" wrapText="1"/>
    </xf>
    <xf numFmtId="0" fontId="34" fillId="0" borderId="0" xfId="439" applyNumberFormat="1" applyFont="1" applyAlignment="1">
      <alignment horizontal="center" vertical="center"/>
    </xf>
    <xf numFmtId="1" fontId="159" fillId="0" borderId="0" xfId="30099" applyNumberFormat="1" applyFont="1" applyFill="1" applyAlignment="1">
      <alignment horizontal="center" vertical="top" shrinkToFit="1"/>
    </xf>
    <xf numFmtId="0" fontId="46" fillId="0" borderId="0" xfId="0" applyFont="1" applyFill="1" applyAlignment="1" applyProtection="1">
      <alignment horizontal="left" vertical="center" wrapText="1"/>
      <protection hidden="1"/>
    </xf>
    <xf numFmtId="0" fontId="46" fillId="0" borderId="0" xfId="30099" applyFont="1" applyAlignment="1">
      <alignment horizontal="left" vertical="top" wrapText="1"/>
    </xf>
    <xf numFmtId="0" fontId="46" fillId="0" borderId="62" xfId="0" applyFont="1" applyFill="1" applyBorder="1" applyAlignment="1">
      <alignment vertical="center" wrapText="1"/>
    </xf>
    <xf numFmtId="1" fontId="159" fillId="82" borderId="0" xfId="30099" applyNumberFormat="1" applyFont="1" applyFill="1" applyAlignment="1">
      <alignment horizontal="center" vertical="top" shrinkToFit="1"/>
    </xf>
    <xf numFmtId="1" fontId="159" fillId="0" borderId="0" xfId="30099" applyNumberFormat="1" applyFont="1" applyAlignment="1">
      <alignment horizontal="left" vertical="top" indent="3" shrinkToFit="1"/>
    </xf>
    <xf numFmtId="0" fontId="46" fillId="0" borderId="0" xfId="30099" applyFont="1" applyAlignment="1">
      <alignment horizontal="center" vertical="top" wrapText="1"/>
    </xf>
    <xf numFmtId="0" fontId="159" fillId="0" borderId="0" xfId="30099" applyFont="1" applyAlignment="1">
      <alignment horizontal="left" wrapText="1"/>
    </xf>
    <xf numFmtId="0" fontId="46" fillId="82" borderId="0" xfId="30099" applyFont="1" applyFill="1" applyAlignment="1">
      <alignment horizontal="left" vertical="top" wrapText="1" indent="1"/>
    </xf>
    <xf numFmtId="0" fontId="46" fillId="82" borderId="0" xfId="30099" applyFont="1" applyFill="1" applyAlignment="1">
      <alignment horizontal="left" vertical="top" wrapText="1" indent="2"/>
    </xf>
    <xf numFmtId="0" fontId="0" fillId="0" borderId="0" xfId="0" applyFont="1" applyAlignment="1">
      <alignment horizontal="center" vertical="center" wrapText="1"/>
    </xf>
    <xf numFmtId="0" fontId="72" fillId="0" borderId="45" xfId="0" applyNumberFormat="1" applyFont="1" applyFill="1" applyBorder="1" applyAlignment="1" applyProtection="1">
      <alignment horizontal="left" vertical="center" wrapText="1"/>
    </xf>
    <xf numFmtId="0" fontId="64" fillId="0" borderId="62" xfId="0" applyFont="1" applyFill="1" applyBorder="1" applyAlignment="1">
      <alignment vertical="center" wrapText="1"/>
    </xf>
    <xf numFmtId="0" fontId="0" fillId="0" borderId="0" xfId="0" applyFont="1" applyProtection="1"/>
    <xf numFmtId="0" fontId="0" fillId="0" borderId="23" xfId="0" applyFont="1" applyFill="1" applyBorder="1" applyAlignment="1" applyProtection="1">
      <alignment vertical="center" wrapText="1"/>
    </xf>
    <xf numFmtId="0" fontId="0" fillId="22" borderId="0" xfId="0" applyFont="1" applyFill="1" applyBorder="1" applyAlignment="1" applyProtection="1">
      <alignment vertical="center"/>
    </xf>
    <xf numFmtId="0" fontId="0" fillId="0" borderId="0" xfId="0" applyNumberFormat="1" applyFont="1" applyFill="1" applyAlignment="1" applyProtection="1">
      <alignment horizontal="left" vertical="center" wrapText="1"/>
    </xf>
    <xf numFmtId="0" fontId="0" fillId="0" borderId="0" xfId="0" applyFont="1" applyProtection="1"/>
    <xf numFmtId="0" fontId="0" fillId="0" borderId="36" xfId="0" applyFont="1" applyFill="1" applyBorder="1" applyAlignment="1" applyProtection="1">
      <alignment vertical="center" wrapText="1"/>
    </xf>
    <xf numFmtId="0" fontId="0" fillId="22" borderId="0" xfId="0" applyFont="1" applyFill="1" applyBorder="1" applyAlignment="1" applyProtection="1">
      <alignment vertical="center"/>
    </xf>
    <xf numFmtId="0" fontId="40" fillId="0" borderId="0" xfId="0" applyFont="1" applyFill="1" applyAlignment="1" applyProtection="1">
      <alignment horizontal="right"/>
    </xf>
    <xf numFmtId="0" fontId="40" fillId="0" borderId="0" xfId="0" applyFont="1" applyFill="1" applyBorder="1" applyAlignment="1" applyProtection="1">
      <alignment horizontal="center"/>
    </xf>
    <xf numFmtId="0" fontId="0" fillId="34" borderId="0" xfId="0" applyFont="1" applyFill="1" applyAlignment="1" applyProtection="1">
      <alignment wrapText="1"/>
    </xf>
    <xf numFmtId="0" fontId="0" fillId="34" borderId="0" xfId="0" applyFont="1" applyFill="1" applyProtection="1"/>
    <xf numFmtId="14" fontId="0" fillId="0" borderId="0" xfId="0" applyNumberFormat="1" applyFont="1" applyFill="1" applyProtection="1"/>
    <xf numFmtId="164" fontId="40"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6" fillId="21" borderId="16" xfId="0" applyNumberFormat="1" applyFont="1" applyFill="1" applyBorder="1" applyProtection="1"/>
    <xf numFmtId="41" fontId="0" fillId="21" borderId="12" xfId="0" applyNumberFormat="1" applyFont="1" applyFill="1" applyBorder="1" applyAlignment="1" applyProtection="1">
      <alignment wrapText="1"/>
    </xf>
    <xf numFmtId="0" fontId="40" fillId="21" borderId="10" xfId="0" applyFont="1" applyFill="1" applyBorder="1" applyAlignment="1" applyProtection="1">
      <alignment horizontal="center" wrapText="1"/>
    </xf>
    <xf numFmtId="0" fontId="40" fillId="21" borderId="0" xfId="0" applyFont="1" applyFill="1" applyBorder="1" applyAlignment="1" applyProtection="1">
      <alignment horizontal="center"/>
    </xf>
    <xf numFmtId="164" fontId="72" fillId="21" borderId="12" xfId="439" applyNumberFormat="1" applyFont="1" applyFill="1" applyBorder="1" applyAlignment="1" applyProtection="1">
      <alignment horizontal="center" wrapText="1"/>
    </xf>
    <xf numFmtId="0" fontId="40" fillId="21" borderId="22" xfId="0" applyFont="1" applyFill="1" applyBorder="1" applyAlignment="1" applyProtection="1">
      <alignment horizontal="center" wrapText="1"/>
    </xf>
    <xf numFmtId="41" fontId="71" fillId="28" borderId="0" xfId="439" applyNumberFormat="1" applyFont="1" applyFill="1" applyAlignment="1" applyProtection="1">
      <alignment wrapText="1"/>
    </xf>
    <xf numFmtId="41" fontId="72"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0" fontId="71" fillId="0" borderId="0" xfId="0" applyFont="1" applyFill="1" applyAlignment="1" applyProtection="1">
      <alignment wrapText="1"/>
      <protection locked="0"/>
    </xf>
    <xf numFmtId="0" fontId="0" fillId="0" borderId="45" xfId="0" applyFont="1" applyFill="1" applyBorder="1" applyAlignment="1" applyProtection="1">
      <alignment wrapText="1"/>
      <protection locked="0"/>
    </xf>
    <xf numFmtId="41" fontId="71" fillId="0" borderId="0" xfId="439" applyNumberFormat="1" applyFont="1" applyFill="1" applyAlignment="1" applyProtection="1">
      <alignment wrapText="1"/>
    </xf>
    <xf numFmtId="38" fontId="0" fillId="0" borderId="0" xfId="0" applyNumberFormat="1" applyFont="1" applyFill="1" applyAlignment="1" applyProtection="1">
      <alignment wrapText="1"/>
      <protection locked="0"/>
    </xf>
    <xf numFmtId="37" fontId="0" fillId="29" borderId="0" xfId="439" applyNumberFormat="1" applyFont="1" applyFill="1" applyAlignment="1" applyProtection="1">
      <alignment horizontal="center" vertical="center"/>
      <protection locked="0"/>
    </xf>
    <xf numFmtId="0" fontId="0" fillId="34" borderId="0" xfId="0" applyNumberFormat="1" applyFont="1" applyFill="1" applyAlignment="1" applyProtection="1">
      <alignment horizontal="left" vertical="center" wrapText="1"/>
    </xf>
    <xf numFmtId="41" fontId="71" fillId="0" borderId="0" xfId="0" applyNumberFormat="1" applyFont="1" applyFill="1" applyAlignment="1" applyProtection="1">
      <alignment wrapText="1"/>
    </xf>
    <xf numFmtId="0" fontId="71" fillId="0" borderId="0" xfId="0" applyFont="1" applyFill="1" applyProtection="1"/>
    <xf numFmtId="164" fontId="0" fillId="0" borderId="45" xfId="0" applyNumberFormat="1" applyFont="1" applyFill="1" applyBorder="1" applyAlignment="1" applyProtection="1">
      <alignment wrapText="1"/>
      <protection locked="0"/>
    </xf>
    <xf numFmtId="0" fontId="72" fillId="0" borderId="0" xfId="0" applyFont="1" applyFill="1" applyAlignment="1" applyProtection="1">
      <alignment wrapText="1"/>
    </xf>
    <xf numFmtId="0" fontId="40" fillId="0" borderId="0" xfId="0" applyFont="1" applyFill="1" applyAlignment="1" applyProtection="1">
      <alignment horizontal="center" vertical="center" wrapText="1"/>
    </xf>
    <xf numFmtId="0" fontId="72" fillId="0" borderId="0" xfId="0" applyFont="1" applyFill="1" applyAlignment="1" applyProtection="1">
      <alignment horizontal="left" wrapText="1" indent="2"/>
    </xf>
    <xf numFmtId="0" fontId="0" fillId="0" borderId="0" xfId="0" applyFont="1" applyBorder="1" applyAlignment="1" applyProtection="1">
      <alignment wrapText="1"/>
    </xf>
    <xf numFmtId="41" fontId="72" fillId="0" borderId="45" xfId="0" applyNumberFormat="1" applyFont="1" applyFill="1" applyBorder="1" applyAlignment="1" applyProtection="1">
      <alignment wrapText="1"/>
    </xf>
    <xf numFmtId="41" fontId="72" fillId="0" borderId="45" xfId="0" applyNumberFormat="1" applyFont="1" applyBorder="1" applyAlignment="1">
      <alignment wrapText="1"/>
    </xf>
    <xf numFmtId="41" fontId="72" fillId="0" borderId="0" xfId="0" applyNumberFormat="1" applyFont="1" applyFill="1" applyAlignment="1">
      <alignment wrapText="1"/>
    </xf>
    <xf numFmtId="37" fontId="0" fillId="0" borderId="0" xfId="0" applyNumberFormat="1" applyFont="1" applyAlignment="1" applyProtection="1">
      <alignment wrapText="1"/>
      <protection locked="0"/>
    </xf>
    <xf numFmtId="164" fontId="0" fillId="0" borderId="0" xfId="0" applyNumberFormat="1" applyFont="1" applyAlignment="1" applyProtection="1">
      <alignment wrapText="1"/>
      <protection locked="0"/>
    </xf>
    <xf numFmtId="41" fontId="72" fillId="0" borderId="0" xfId="0" applyNumberFormat="1" applyFont="1" applyAlignment="1">
      <alignment wrapText="1"/>
    </xf>
    <xf numFmtId="37" fontId="0" fillId="0" borderId="45" xfId="0" applyNumberFormat="1" applyFont="1" applyFill="1" applyBorder="1" applyAlignment="1" applyProtection="1">
      <alignment wrapText="1"/>
      <protection locked="0"/>
    </xf>
    <xf numFmtId="3" fontId="0" fillId="28" borderId="0" xfId="439" applyNumberFormat="1" applyFont="1" applyFill="1" applyAlignment="1" applyProtection="1">
      <alignment horizontal="center" vertical="center"/>
      <protection locked="0"/>
    </xf>
    <xf numFmtId="0" fontId="0" fillId="0" borderId="45" xfId="0" applyNumberFormat="1" applyFont="1" applyFill="1" applyBorder="1" applyAlignment="1" applyProtection="1">
      <alignment vertical="center" wrapText="1"/>
    </xf>
    <xf numFmtId="0" fontId="40" fillId="0" borderId="0" xfId="0" applyNumberFormat="1" applyFont="1" applyFill="1" applyAlignment="1" applyProtection="1">
      <alignment wrapText="1"/>
    </xf>
    <xf numFmtId="0" fontId="0" fillId="34" borderId="0" xfId="0" applyNumberFormat="1" applyFont="1" applyFill="1" applyAlignment="1" applyProtection="1">
      <alignment vertical="center" wrapText="1"/>
    </xf>
    <xf numFmtId="41" fontId="72" fillId="0" borderId="0" xfId="0" applyNumberFormat="1" applyFont="1" applyFill="1" applyAlignment="1" applyProtection="1">
      <alignment horizontal="center" wrapText="1"/>
    </xf>
    <xf numFmtId="0" fontId="40"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indent="3"/>
    </xf>
    <xf numFmtId="3" fontId="0" fillId="0" borderId="0" xfId="0" applyNumberFormat="1" applyFont="1" applyAlignment="1" applyProtection="1">
      <alignment horizontal="center" vertical="center"/>
    </xf>
    <xf numFmtId="0" fontId="0" fillId="0" borderId="14" xfId="0" applyNumberFormat="1" applyFont="1" applyFill="1" applyBorder="1" applyAlignment="1" applyProtection="1">
      <alignment vertical="center" wrapText="1"/>
    </xf>
    <xf numFmtId="0" fontId="0" fillId="0" borderId="14" xfId="0" applyNumberFormat="1" applyFont="1" applyFill="1" applyBorder="1" applyAlignment="1" applyProtection="1">
      <alignment horizontal="left" vertical="center" wrapText="1" indent="3"/>
    </xf>
    <xf numFmtId="3" fontId="0" fillId="0" borderId="0" xfId="0" applyNumberFormat="1" applyFont="1" applyFill="1" applyAlignment="1" applyProtection="1">
      <alignment horizontal="center" vertical="center" wrapText="1"/>
    </xf>
    <xf numFmtId="0" fontId="0" fillId="0" borderId="14" xfId="0" applyNumberFormat="1" applyFont="1" applyFill="1" applyBorder="1" applyAlignment="1" applyProtection="1">
      <alignment horizontal="left" vertical="center" wrapText="1" indent="6"/>
    </xf>
    <xf numFmtId="0" fontId="0" fillId="0" borderId="0" xfId="0" applyFont="1" applyAlignment="1" applyProtection="1">
      <protection locked="0"/>
    </xf>
    <xf numFmtId="39" fontId="0" fillId="0" borderId="0" xfId="439" applyNumberFormat="1" applyFont="1" applyFill="1" applyBorder="1" applyAlignment="1" applyProtection="1">
      <alignment horizontal="center" vertical="center" wrapText="1"/>
    </xf>
    <xf numFmtId="164" fontId="0" fillId="28" borderId="0" xfId="439" applyNumberFormat="1" applyFont="1" applyFill="1" applyProtection="1"/>
    <xf numFmtId="0" fontId="0" fillId="32" borderId="0" xfId="0" applyFont="1" applyFill="1" applyProtection="1"/>
    <xf numFmtId="164" fontId="0" fillId="0" borderId="23" xfId="439" applyNumberFormat="1" applyFont="1" applyFill="1" applyBorder="1" applyAlignment="1" applyProtection="1">
      <alignment horizontal="center" vertical="center" wrapText="1"/>
      <protection locked="0"/>
    </xf>
    <xf numFmtId="41" fontId="72" fillId="29" borderId="0" xfId="439" applyNumberFormat="1" applyFont="1" applyFill="1" applyAlignment="1" applyProtection="1">
      <alignment horizontal="center" vertical="center" wrapText="1"/>
      <protection locked="0"/>
    </xf>
    <xf numFmtId="3" fontId="0" fillId="28" borderId="0" xfId="439" applyNumberFormat="1" applyFont="1" applyFill="1" applyAlignment="1" applyProtection="1">
      <alignment horizontal="center" vertical="center"/>
    </xf>
    <xf numFmtId="41" fontId="71" fillId="0" borderId="0" xfId="439" applyNumberFormat="1" applyFont="1" applyFill="1" applyAlignment="1" applyProtection="1">
      <alignment vertical="center" wrapText="1"/>
    </xf>
    <xf numFmtId="39" fontId="71"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0" fontId="0" fillId="0" borderId="0" xfId="0" applyFont="1" applyFill="1" applyAlignment="1" applyProtection="1">
      <alignment horizontal="center" wrapText="1"/>
      <protection locked="0"/>
    </xf>
    <xf numFmtId="0" fontId="40" fillId="0" borderId="0" xfId="0" applyFont="1" applyAlignment="1" applyProtection="1">
      <alignment wrapText="1"/>
      <protection locked="0"/>
    </xf>
    <xf numFmtId="2" fontId="0" fillId="0" borderId="0" xfId="0" applyNumberFormat="1" applyFont="1" applyFill="1" applyProtection="1"/>
    <xf numFmtId="2" fontId="0" fillId="0" borderId="0" xfId="0" applyNumberFormat="1" applyFont="1" applyAlignment="1" applyProtection="1">
      <alignment wrapText="1"/>
      <protection locked="0"/>
    </xf>
    <xf numFmtId="0" fontId="0" fillId="34" borderId="0" xfId="0" applyFont="1" applyFill="1" applyAlignment="1">
      <alignment vertical="center" wrapText="1"/>
    </xf>
    <xf numFmtId="0" fontId="40" fillId="0" borderId="0" xfId="0" applyFont="1" applyAlignment="1" applyProtection="1">
      <alignment horizontal="center" wrapText="1"/>
      <protection locked="0"/>
    </xf>
    <xf numFmtId="49" fontId="0" fillId="29" borderId="0" xfId="0" applyNumberFormat="1" applyFont="1" applyFill="1" applyProtection="1">
      <protection locked="0"/>
    </xf>
    <xf numFmtId="0" fontId="0" fillId="34" borderId="45" xfId="0" applyNumberFormat="1" applyFont="1" applyFill="1" applyBorder="1" applyAlignment="1" applyProtection="1">
      <alignment vertical="center" wrapText="1"/>
    </xf>
    <xf numFmtId="14" fontId="0" fillId="29" borderId="0" xfId="439" applyNumberFormat="1" applyFont="1" applyFill="1" applyAlignment="1" applyProtection="1">
      <alignment horizontal="left" vertical="center" wrapText="1"/>
      <protection locked="0"/>
    </xf>
    <xf numFmtId="14" fontId="0" fillId="0" borderId="0" xfId="0" applyNumberFormat="1" applyFont="1"/>
    <xf numFmtId="0" fontId="0" fillId="0" borderId="22" xfId="0" applyFont="1" applyFill="1" applyBorder="1"/>
    <xf numFmtId="0" fontId="0" fillId="0" borderId="0" xfId="0" applyFont="1" applyBorder="1"/>
    <xf numFmtId="0" fontId="0" fillId="0" borderId="56"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71" fillId="0" borderId="0" xfId="439" applyNumberFormat="1" applyFont="1" applyFill="1" applyAlignment="1" applyProtection="1">
      <alignment vertical="center" wrapText="1"/>
      <protection locked="0"/>
    </xf>
    <xf numFmtId="0" fontId="40" fillId="31" borderId="37" xfId="0" applyFont="1" applyFill="1" applyBorder="1" applyAlignment="1">
      <alignment horizontal="center" vertical="center" wrapText="1"/>
    </xf>
    <xf numFmtId="0" fontId="40" fillId="31" borderId="39" xfId="0" applyFont="1" applyFill="1" applyBorder="1" applyAlignment="1">
      <alignment horizontal="center" vertical="center" wrapText="1"/>
    </xf>
    <xf numFmtId="41" fontId="71" fillId="0" borderId="0" xfId="439" applyNumberFormat="1" applyFont="1" applyAlignment="1">
      <alignment vertical="center" wrapText="1"/>
    </xf>
    <xf numFmtId="49" fontId="0" fillId="31" borderId="13" xfId="0" applyNumberFormat="1" applyFont="1" applyFill="1" applyBorder="1" applyAlignment="1" applyProtection="1">
      <alignment horizontal="center"/>
      <protection locked="0"/>
    </xf>
    <xf numFmtId="14" fontId="0" fillId="31" borderId="13" xfId="0" applyNumberFormat="1" applyFont="1" applyFill="1" applyBorder="1" applyAlignment="1" applyProtection="1">
      <alignment horizontal="center"/>
      <protection locked="0"/>
    </xf>
    <xf numFmtId="49" fontId="36" fillId="31" borderId="13" xfId="611" applyNumberFormat="1" applyFont="1" applyFill="1" applyBorder="1" applyAlignment="1" applyProtection="1">
      <alignment horizontal="center"/>
      <protection locked="0"/>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6" fontId="0" fillId="0" borderId="0" xfId="0" applyNumberFormat="1" applyFont="1" applyAlignment="1" applyProtection="1">
      <alignment wrapText="1"/>
    </xf>
    <xf numFmtId="0" fontId="40"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81" fillId="0" borderId="0" xfId="0" applyNumberFormat="1" applyFont="1" applyFill="1" applyAlignment="1" applyProtection="1">
      <alignment horizontal="left" vertical="center" wrapText="1"/>
    </xf>
    <xf numFmtId="0" fontId="0" fillId="0" borderId="45" xfId="0" applyFont="1" applyFill="1" applyBorder="1" applyAlignment="1" applyProtection="1">
      <alignment wrapText="1"/>
    </xf>
    <xf numFmtId="0" fontId="46" fillId="0" borderId="45" xfId="0" applyFont="1" applyFill="1" applyBorder="1" applyAlignment="1" applyProtection="1">
      <alignment wrapText="1"/>
    </xf>
    <xf numFmtId="0" fontId="181" fillId="0" borderId="0" xfId="0" applyFont="1" applyFill="1" applyAlignment="1" applyProtection="1">
      <alignment horizontal="left" vertical="center" wrapText="1"/>
    </xf>
    <xf numFmtId="0" fontId="64" fillId="0" borderId="36" xfId="0" applyNumberFormat="1" applyFont="1" applyFill="1" applyBorder="1" applyAlignment="1" applyProtection="1">
      <alignment horizontal="left" vertical="center" wrapText="1"/>
    </xf>
    <xf numFmtId="0" fontId="46" fillId="0" borderId="0" xfId="0" applyFont="1" applyFill="1" applyAlignment="1" applyProtection="1">
      <alignment wrapText="1"/>
    </xf>
    <xf numFmtId="0" fontId="64" fillId="0" borderId="0" xfId="0" applyFont="1" applyAlignment="1">
      <alignment wrapText="1"/>
    </xf>
    <xf numFmtId="0" fontId="46" fillId="0" borderId="45" xfId="0" applyFont="1" applyBorder="1" applyAlignment="1">
      <alignment horizontal="center" vertical="center" wrapText="1"/>
    </xf>
    <xf numFmtId="0" fontId="40" fillId="0" borderId="0" xfId="0" applyFont="1" applyFill="1" applyAlignment="1" applyProtection="1">
      <alignment horizontal="left" vertical="center" wrapText="1"/>
    </xf>
    <xf numFmtId="0" fontId="0" fillId="0" borderId="25" xfId="0" applyFont="1" applyFill="1" applyBorder="1" applyAlignment="1">
      <alignment horizontal="left" vertical="center" wrapText="1"/>
    </xf>
    <xf numFmtId="0" fontId="0" fillId="0" borderId="23" xfId="0" applyFont="1" applyBorder="1" applyAlignment="1">
      <alignment horizontal="left" vertical="center" wrapText="1"/>
    </xf>
    <xf numFmtId="0" fontId="0" fillId="0" borderId="0" xfId="0" applyFont="1" applyBorder="1" applyAlignment="1">
      <alignment horizontal="left" vertical="center" wrapText="1"/>
    </xf>
    <xf numFmtId="0" fontId="0" fillId="0" borderId="0" xfId="0" applyFont="1" applyFill="1" applyAlignment="1" applyProtection="1">
      <alignment vertical="center"/>
    </xf>
    <xf numFmtId="0" fontId="46" fillId="0" borderId="0" xfId="0" applyFont="1" applyFill="1" applyAlignment="1" applyProtection="1">
      <alignment horizontal="center" vertical="center" wrapText="1"/>
    </xf>
    <xf numFmtId="0" fontId="46" fillId="0" borderId="0" xfId="0" applyNumberFormat="1" applyFont="1" applyFill="1" applyAlignment="1" applyProtection="1">
      <alignment vertical="center" wrapText="1"/>
    </xf>
    <xf numFmtId="0" fontId="0" fillId="0" borderId="45" xfId="0" applyFont="1" applyFill="1" applyBorder="1" applyAlignment="1" applyProtection="1">
      <alignment horizontal="center" vertical="center" wrapText="1"/>
    </xf>
    <xf numFmtId="0" fontId="46" fillId="0" borderId="45" xfId="0" applyFont="1" applyFill="1" applyBorder="1" applyAlignment="1" applyProtection="1">
      <alignment horizontal="center" vertical="center" wrapText="1"/>
    </xf>
    <xf numFmtId="0" fontId="40" fillId="28" borderId="0" xfId="0" applyFont="1" applyFill="1" applyAlignment="1" applyProtection="1">
      <alignment horizontal="left" vertical="center"/>
    </xf>
    <xf numFmtId="0" fontId="0" fillId="28" borderId="0" xfId="0" applyFont="1" applyFill="1" applyAlignment="1" applyProtection="1">
      <alignment horizontal="left" vertical="center"/>
    </xf>
    <xf numFmtId="0" fontId="0" fillId="34" borderId="0" xfId="0" applyFont="1" applyFill="1" applyAlignment="1" applyProtection="1">
      <alignment horizontal="center" vertical="center" wrapText="1"/>
    </xf>
    <xf numFmtId="0" fontId="40" fillId="0" borderId="0" xfId="0" applyFont="1" applyAlignment="1" applyProtection="1">
      <alignment horizontal="center" vertical="center" wrapText="1"/>
    </xf>
    <xf numFmtId="0" fontId="0" fillId="0" borderId="14" xfId="0" applyFont="1" applyFill="1" applyBorder="1" applyAlignment="1" applyProtection="1">
      <alignment horizontal="center" vertical="center"/>
    </xf>
    <xf numFmtId="0" fontId="46" fillId="34" borderId="0" xfId="0" applyFont="1" applyFill="1" applyAlignment="1" applyProtection="1">
      <alignment horizontal="center" vertical="center" wrapText="1"/>
    </xf>
    <xf numFmtId="0" fontId="64" fillId="0" borderId="0" xfId="0" applyFont="1" applyFill="1" applyAlignment="1" applyProtection="1">
      <alignment horizontal="center" vertical="center" wrapText="1"/>
    </xf>
    <xf numFmtId="3" fontId="188" fillId="0" borderId="0" xfId="1540" applyFont="1" applyFill="1" applyAlignment="1" applyProtection="1">
      <alignment vertical="center" wrapText="1"/>
    </xf>
    <xf numFmtId="0" fontId="60" fillId="0" borderId="0" xfId="30099" applyFont="1" applyFill="1" applyAlignment="1">
      <alignment horizontal="left" vertical="top" wrapText="1"/>
    </xf>
    <xf numFmtId="0" fontId="60" fillId="0" borderId="0" xfId="0" applyFont="1" applyFill="1" applyAlignment="1" applyProtection="1">
      <alignment vertical="center" wrapText="1"/>
    </xf>
    <xf numFmtId="0" fontId="0" fillId="34" borderId="45" xfId="0" applyFont="1" applyFill="1" applyBorder="1" applyAlignment="1" applyProtection="1">
      <alignment horizontal="center" vertical="center" wrapText="1"/>
    </xf>
    <xf numFmtId="0" fontId="40" fillId="0" borderId="0" xfId="0" applyFont="1" applyFill="1" applyAlignment="1" applyProtection="1">
      <alignment horizontal="center" vertical="center"/>
    </xf>
    <xf numFmtId="0" fontId="40" fillId="74" borderId="0" xfId="0" applyFont="1" applyFill="1" applyAlignment="1" applyProtection="1">
      <alignment horizontal="left" vertical="center" wrapText="1"/>
    </xf>
    <xf numFmtId="0" fontId="40" fillId="74" borderId="0" xfId="0" applyFont="1" applyFill="1" applyAlignment="1" applyProtection="1">
      <alignment vertical="center" wrapText="1"/>
    </xf>
    <xf numFmtId="0" fontId="40" fillId="74" borderId="0" xfId="0" applyFont="1" applyFill="1" applyAlignment="1" applyProtection="1">
      <alignment vertical="center"/>
    </xf>
    <xf numFmtId="0" fontId="40" fillId="74" borderId="0" xfId="0" applyFont="1" applyFill="1" applyAlignment="1" applyProtection="1"/>
    <xf numFmtId="0" fontId="0" fillId="74" borderId="0" xfId="0" applyFont="1" applyFill="1" applyAlignment="1" applyProtection="1"/>
    <xf numFmtId="0" fontId="40" fillId="74" borderId="0" xfId="0" applyFont="1" applyFill="1" applyAlignment="1" applyProtection="1">
      <alignment wrapText="1"/>
    </xf>
    <xf numFmtId="2" fontId="40" fillId="74" borderId="0" xfId="0" applyNumberFormat="1" applyFont="1" applyFill="1" applyAlignment="1" applyProtection="1">
      <alignment horizontal="center" vertical="center" wrapText="1"/>
      <protection locked="0"/>
    </xf>
    <xf numFmtId="0" fontId="72" fillId="74" borderId="0" xfId="0" applyFont="1" applyFill="1" applyAlignment="1" applyProtection="1">
      <alignment wrapText="1"/>
    </xf>
    <xf numFmtId="0" fontId="0"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vertical="center"/>
    </xf>
    <xf numFmtId="37" fontId="0" fillId="74" borderId="0" xfId="439" applyNumberFormat="1" applyFont="1" applyFill="1" applyAlignment="1" applyProtection="1">
      <alignment horizontal="center" vertical="center"/>
      <protection locked="0"/>
    </xf>
    <xf numFmtId="41" fontId="71" fillId="74" borderId="0" xfId="439" applyNumberFormat="1" applyFont="1" applyFill="1" applyAlignment="1" applyProtection="1">
      <alignment wrapText="1"/>
    </xf>
    <xf numFmtId="0" fontId="40"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horizontal="center" vertical="center"/>
      <protection locked="0"/>
    </xf>
    <xf numFmtId="41" fontId="72" fillId="74" borderId="0" xfId="439" applyNumberFormat="1" applyFont="1" applyFill="1" applyAlignment="1" applyProtection="1">
      <alignment wrapText="1"/>
    </xf>
    <xf numFmtId="0" fontId="60" fillId="74" borderId="0" xfId="0" applyFont="1" applyFill="1" applyAlignment="1" applyProtection="1">
      <alignment horizontal="left" vertical="center"/>
    </xf>
    <xf numFmtId="0" fontId="46" fillId="74" borderId="0" xfId="0" applyFont="1" applyFill="1" applyAlignment="1" applyProtection="1">
      <alignment horizontal="left" vertical="center"/>
    </xf>
    <xf numFmtId="0" fontId="0" fillId="74" borderId="0" xfId="0" applyNumberFormat="1" applyFont="1" applyFill="1" applyAlignment="1" applyProtection="1">
      <alignment wrapText="1"/>
    </xf>
    <xf numFmtId="0" fontId="0" fillId="74" borderId="0" xfId="0" applyFont="1" applyFill="1" applyAlignment="1" applyProtection="1">
      <alignment vertical="center"/>
    </xf>
    <xf numFmtId="164" fontId="0" fillId="74" borderId="0" xfId="0" applyNumberFormat="1" applyFont="1" applyFill="1" applyAlignment="1" applyProtection="1">
      <alignment vertical="center"/>
    </xf>
    <xf numFmtId="164" fontId="40" fillId="74" borderId="0" xfId="439" applyNumberFormat="1" applyFont="1" applyFill="1" applyAlignment="1" applyProtection="1">
      <alignment horizontal="center" vertical="center"/>
      <protection locked="0"/>
    </xf>
    <xf numFmtId="41" fontId="72" fillId="74" borderId="0" xfId="0" applyNumberFormat="1" applyFont="1" applyFill="1" applyAlignment="1" applyProtection="1">
      <alignment wrapText="1"/>
    </xf>
    <xf numFmtId="0" fontId="40" fillId="74" borderId="0" xfId="0" applyFont="1" applyFill="1" applyAlignment="1" applyProtection="1">
      <alignment horizontal="center" vertical="center"/>
      <protection locked="0"/>
    </xf>
    <xf numFmtId="0" fontId="72" fillId="74" borderId="0" xfId="0" applyFont="1" applyFill="1" applyAlignment="1" applyProtection="1"/>
    <xf numFmtId="0" fontId="40" fillId="74" borderId="0" xfId="0" applyFont="1" applyFill="1" applyAlignment="1" applyProtection="1">
      <alignment horizontal="center" vertical="center" wrapText="1"/>
      <protection locked="0"/>
    </xf>
    <xf numFmtId="0" fontId="72" fillId="74" borderId="0" xfId="0" applyFont="1" applyFill="1" applyAlignment="1" applyProtection="1">
      <alignment horizontal="left" wrapText="1" indent="2"/>
    </xf>
    <xf numFmtId="0" fontId="40" fillId="74" borderId="0" xfId="0" applyFont="1" applyFill="1" applyAlignment="1" applyProtection="1">
      <alignment horizontal="left" vertical="center"/>
    </xf>
    <xf numFmtId="0" fontId="0" fillId="74" borderId="0" xfId="0" applyFont="1" applyFill="1" applyAlignment="1" applyProtection="1">
      <alignment horizontal="left" vertical="center"/>
    </xf>
    <xf numFmtId="0" fontId="40" fillId="74" borderId="0" xfId="0" applyNumberFormat="1" applyFont="1" applyFill="1" applyAlignment="1" applyProtection="1">
      <alignment vertical="center" wrapText="1"/>
    </xf>
    <xf numFmtId="0" fontId="0" fillId="74" borderId="0" xfId="0" applyNumberFormat="1" applyFont="1" applyFill="1" applyAlignment="1" applyProtection="1">
      <alignment vertical="center" wrapText="1"/>
    </xf>
    <xf numFmtId="3" fontId="0" fillId="74" borderId="0" xfId="439" applyNumberFormat="1" applyFont="1" applyFill="1" applyAlignment="1" applyProtection="1">
      <alignment horizontal="center" vertical="center"/>
      <protection locked="0"/>
    </xf>
    <xf numFmtId="0" fontId="64" fillId="74" borderId="0" xfId="0" applyFont="1" applyFill="1" applyAlignment="1" applyProtection="1">
      <alignment horizontal="left" vertical="center"/>
    </xf>
    <xf numFmtId="3" fontId="40" fillId="74" borderId="0" xfId="0" applyNumberFormat="1" applyFont="1" applyFill="1" applyAlignment="1" applyProtection="1">
      <alignment horizontal="center" vertical="center"/>
      <protection locked="0"/>
    </xf>
    <xf numFmtId="3" fontId="40" fillId="74" borderId="0" xfId="0" applyNumberFormat="1" applyFont="1" applyFill="1" applyAlignment="1" applyProtection="1">
      <alignment horizontal="center" vertical="center" wrapText="1"/>
      <protection locked="0"/>
    </xf>
    <xf numFmtId="0" fontId="72" fillId="74" borderId="0" xfId="0" applyFont="1" applyFill="1" applyAlignment="1" applyProtection="1">
      <alignment vertical="center"/>
    </xf>
    <xf numFmtId="3" fontId="40" fillId="74" borderId="0" xfId="439" applyNumberFormat="1" applyFont="1" applyFill="1" applyAlignment="1" applyProtection="1">
      <alignment horizontal="center" vertical="center"/>
      <protection locked="0"/>
    </xf>
    <xf numFmtId="38" fontId="46" fillId="74" borderId="0" xfId="439" applyNumberFormat="1" applyFont="1" applyFill="1" applyAlignment="1" applyProtection="1">
      <alignment horizontal="center" vertical="center" wrapText="1"/>
    </xf>
    <xf numFmtId="0" fontId="0" fillId="74" borderId="0" xfId="0" applyFont="1" applyFill="1" applyAlignment="1" applyProtection="1">
      <alignment horizontal="center" vertical="center"/>
    </xf>
    <xf numFmtId="0" fontId="40" fillId="74" borderId="0" xfId="0" applyNumberFormat="1" applyFont="1" applyFill="1" applyAlignment="1" applyProtection="1">
      <alignment wrapText="1"/>
    </xf>
    <xf numFmtId="164" fontId="40" fillId="74" borderId="0" xfId="439" applyNumberFormat="1" applyFont="1" applyFill="1" applyAlignment="1" applyProtection="1">
      <alignment horizontal="center" wrapText="1"/>
    </xf>
    <xf numFmtId="3" fontId="40" fillId="74" borderId="0" xfId="439" applyNumberFormat="1" applyFont="1" applyFill="1" applyAlignment="1" applyProtection="1">
      <alignment horizontal="center" vertical="center" wrapText="1"/>
    </xf>
    <xf numFmtId="41" fontId="71" fillId="74" borderId="0" xfId="0" applyNumberFormat="1" applyFont="1" applyFill="1" applyAlignment="1" applyProtection="1">
      <alignment wrapText="1"/>
    </xf>
    <xf numFmtId="3" fontId="40" fillId="74" borderId="0" xfId="0" applyNumberFormat="1" applyFont="1" applyFill="1" applyAlignment="1" applyProtection="1">
      <alignment horizontal="center" vertical="center"/>
    </xf>
    <xf numFmtId="164" fontId="0" fillId="74" borderId="0" xfId="439" applyNumberFormat="1" applyFont="1" applyFill="1" applyProtection="1"/>
    <xf numFmtId="164" fontId="0" fillId="74" borderId="0" xfId="439" applyNumberFormat="1" applyFont="1" applyFill="1" applyAlignment="1" applyProtection="1">
      <alignment horizontal="center" vertical="center"/>
    </xf>
    <xf numFmtId="38" fontId="46" fillId="74" borderId="0" xfId="439" applyNumberFormat="1" applyFont="1" applyFill="1" applyProtection="1"/>
    <xf numFmtId="0" fontId="190" fillId="74" borderId="0" xfId="0" applyFont="1" applyFill="1" applyAlignment="1" applyProtection="1">
      <alignment horizontal="left" vertical="center"/>
    </xf>
    <xf numFmtId="37" fontId="0" fillId="74" borderId="0" xfId="439" applyNumberFormat="1" applyFont="1" applyFill="1" applyAlignment="1" applyProtection="1">
      <alignment horizontal="center" vertical="center"/>
    </xf>
    <xf numFmtId="38" fontId="40" fillId="74" borderId="0" xfId="0" applyNumberFormat="1" applyFont="1" applyFill="1" applyAlignment="1" applyProtection="1">
      <alignment horizontal="left" vertical="center"/>
    </xf>
    <xf numFmtId="0" fontId="72" fillId="74" borderId="0" xfId="0" applyFont="1" applyFill="1" applyAlignment="1" applyProtection="1">
      <alignment horizontal="left" vertical="center"/>
    </xf>
    <xf numFmtId="0" fontId="0" fillId="74" borderId="0" xfId="0" applyFont="1" applyFill="1" applyProtection="1"/>
    <xf numFmtId="0" fontId="0" fillId="74" borderId="0" xfId="0" applyFont="1" applyFill="1" applyAlignment="1" applyProtection="1">
      <alignment horizontal="center" vertical="center" wrapText="1"/>
    </xf>
    <xf numFmtId="0" fontId="40" fillId="74" borderId="0" xfId="0" applyFont="1" applyFill="1" applyAlignment="1" applyProtection="1">
      <alignment horizontal="center" vertical="center" wrapText="1"/>
    </xf>
    <xf numFmtId="41" fontId="0" fillId="74" borderId="0" xfId="439" applyNumberFormat="1" applyFont="1" applyFill="1" applyAlignment="1" applyProtection="1">
      <alignment vertical="center" wrapText="1"/>
      <protection locked="0"/>
    </xf>
    <xf numFmtId="41" fontId="0" fillId="74" borderId="0" xfId="439" applyNumberFormat="1" applyFont="1" applyFill="1" applyAlignment="1" applyProtection="1">
      <alignment vertical="center" wrapText="1"/>
    </xf>
    <xf numFmtId="0" fontId="0" fillId="74" borderId="0" xfId="0" applyFont="1" applyFill="1" applyAlignment="1" applyProtection="1">
      <alignment wrapText="1"/>
      <protection locked="0"/>
    </xf>
    <xf numFmtId="0" fontId="191" fillId="74" borderId="0" xfId="0" applyFont="1" applyFill="1" applyAlignment="1" applyProtection="1">
      <alignment horizontal="left" vertical="center"/>
    </xf>
    <xf numFmtId="0" fontId="84" fillId="74" borderId="0" xfId="0" applyFont="1" applyFill="1" applyAlignment="1" applyProtection="1">
      <alignment vertical="center"/>
    </xf>
    <xf numFmtId="0" fontId="192" fillId="74" borderId="0" xfId="0" applyFont="1" applyFill="1" applyAlignment="1" applyProtection="1">
      <alignment vertical="center"/>
      <protection locked="0"/>
    </xf>
    <xf numFmtId="0" fontId="64" fillId="74" borderId="36" xfId="0" applyNumberFormat="1" applyFont="1" applyFill="1" applyBorder="1" applyAlignment="1" applyProtection="1">
      <alignment horizontal="left" vertical="center" wrapText="1"/>
    </xf>
    <xf numFmtId="0" fontId="55" fillId="74" borderId="0" xfId="0" applyNumberFormat="1" applyFont="1" applyFill="1" applyAlignment="1" applyProtection="1">
      <alignment horizontal="left" vertical="center" wrapText="1"/>
    </xf>
    <xf numFmtId="168" fontId="40" fillId="29" borderId="0" xfId="439" applyNumberFormat="1" applyFont="1" applyFill="1" applyAlignment="1" applyProtection="1">
      <alignment horizontal="center" vertical="center"/>
      <protection locked="0"/>
    </xf>
    <xf numFmtId="0" fontId="60" fillId="74" borderId="0" xfId="0" applyFont="1" applyFill="1" applyAlignment="1">
      <alignment vertical="center" wrapText="1"/>
    </xf>
    <xf numFmtId="41" fontId="72" fillId="36" borderId="119" xfId="439" applyNumberFormat="1" applyFont="1" applyFill="1" applyBorder="1" applyAlignment="1">
      <alignment vertical="center" wrapText="1"/>
    </xf>
    <xf numFmtId="41" fontId="72" fillId="36" borderId="0" xfId="439" applyNumberFormat="1" applyFont="1" applyFill="1" applyAlignment="1">
      <alignment vertical="center" wrapText="1"/>
    </xf>
    <xf numFmtId="41" fontId="72" fillId="36" borderId="120" xfId="439" applyNumberFormat="1" applyFont="1" applyFill="1" applyBorder="1" applyAlignment="1">
      <alignment vertical="center" wrapText="1"/>
    </xf>
    <xf numFmtId="41" fontId="193" fillId="0" borderId="0" xfId="0" applyNumberFormat="1" applyFont="1" applyFill="1" applyAlignment="1" applyProtection="1">
      <alignment wrapText="1"/>
    </xf>
    <xf numFmtId="0" fontId="60" fillId="74" borderId="0" xfId="0" applyFont="1" applyFill="1" applyAlignment="1" applyProtection="1">
      <alignment vertical="center"/>
    </xf>
    <xf numFmtId="174" fontId="0" fillId="0" borderId="29" xfId="439" applyNumberFormat="1" applyFont="1" applyBorder="1" applyAlignment="1" applyProtection="1">
      <alignment vertical="center"/>
    </xf>
    <xf numFmtId="38" fontId="46" fillId="22" borderId="0" xfId="439" applyNumberFormat="1" applyFont="1" applyFill="1" applyAlignment="1" applyProtection="1">
      <alignment horizontal="center" vertical="center" wrapText="1"/>
    </xf>
    <xf numFmtId="167" fontId="0" fillId="80" borderId="88" xfId="545" applyNumberFormat="1" applyFont="1" applyFill="1" applyBorder="1"/>
    <xf numFmtId="37" fontId="0" fillId="0" borderId="109" xfId="0" applyNumberFormat="1" applyFont="1" applyFill="1" applyBorder="1" applyAlignment="1">
      <alignment horizontal="center" wrapText="1"/>
    </xf>
    <xf numFmtId="37" fontId="84" fillId="0" borderId="109" xfId="0" applyNumberFormat="1" applyFont="1" applyFill="1" applyBorder="1" applyAlignment="1">
      <alignment horizontal="center" wrapText="1"/>
    </xf>
    <xf numFmtId="41" fontId="72" fillId="0" borderId="0" xfId="0" applyNumberFormat="1" applyFont="1" applyFill="1" applyAlignment="1" applyProtection="1">
      <alignment vertical="center" wrapText="1"/>
    </xf>
    <xf numFmtId="0" fontId="0" fillId="78" borderId="10" xfId="0" applyFont="1" applyFill="1" applyBorder="1" applyAlignment="1">
      <alignment horizontal="left" vertical="center" wrapText="1"/>
    </xf>
    <xf numFmtId="0" fontId="163" fillId="73" borderId="57" xfId="0" applyFont="1" applyFill="1" applyBorder="1" applyAlignment="1">
      <alignment vertical="center" wrapText="1"/>
    </xf>
    <xf numFmtId="166" fontId="0" fillId="21" borderId="16" xfId="0" applyNumberFormat="1" applyFont="1" applyFill="1" applyBorder="1" applyProtection="1"/>
    <xf numFmtId="2" fontId="0" fillId="0" borderId="10" xfId="0" applyNumberFormat="1" applyFont="1" applyFill="1" applyBorder="1" applyAlignment="1">
      <alignment horizontal="center" wrapText="1"/>
    </xf>
    <xf numFmtId="37" fontId="0" fillId="0" borderId="10" xfId="0" applyNumberFormat="1" applyFont="1" applyFill="1" applyBorder="1" applyAlignment="1">
      <alignment horizontal="center" wrapText="1"/>
    </xf>
    <xf numFmtId="2" fontId="0" fillId="0" borderId="87" xfId="0" applyNumberFormat="1" applyFont="1" applyFill="1" applyBorder="1" applyAlignment="1">
      <alignment horizontal="center" wrapText="1"/>
    </xf>
    <xf numFmtId="37" fontId="0" fillId="0" borderId="90" xfId="0" applyNumberFormat="1" applyFont="1" applyFill="1" applyBorder="1" applyAlignment="1">
      <alignment horizontal="center" wrapText="1"/>
    </xf>
    <xf numFmtId="10" fontId="0" fillId="0" borderId="100" xfId="0" applyNumberFormat="1" applyFont="1" applyFill="1" applyBorder="1" applyAlignment="1">
      <alignment horizontal="center" wrapText="1"/>
    </xf>
    <xf numFmtId="0" fontId="40" fillId="78" borderId="10" xfId="0" applyFont="1" applyFill="1" applyBorder="1" applyAlignment="1">
      <alignment wrapText="1"/>
    </xf>
    <xf numFmtId="0" fontId="40" fillId="78" borderId="121" xfId="0" applyFont="1" applyFill="1" applyBorder="1" applyAlignment="1">
      <alignment wrapText="1"/>
    </xf>
    <xf numFmtId="10" fontId="0" fillId="0" borderId="85" xfId="4688" applyNumberFormat="1" applyFont="1" applyFill="1" applyBorder="1"/>
    <xf numFmtId="10" fontId="0" fillId="0" borderId="85" xfId="0" applyNumberFormat="1" applyFont="1" applyFill="1" applyBorder="1" applyAlignment="1">
      <alignment horizontal="center" wrapText="1"/>
    </xf>
    <xf numFmtId="0" fontId="0" fillId="0" borderId="122" xfId="0" applyFont="1" applyFill="1" applyBorder="1" applyProtection="1">
      <protection locked="0"/>
    </xf>
    <xf numFmtId="37" fontId="0" fillId="0" borderId="10" xfId="0" applyNumberFormat="1" applyFont="1" applyFill="1" applyBorder="1"/>
    <xf numFmtId="0" fontId="0" fillId="78" borderId="10" xfId="0" applyFont="1" applyFill="1" applyBorder="1" applyAlignment="1">
      <alignment horizontal="center" wrapText="1"/>
    </xf>
    <xf numFmtId="3" fontId="46" fillId="0" borderId="0" xfId="439" applyNumberFormat="1" applyFont="1" applyFill="1" applyAlignment="1" applyProtection="1">
      <alignment horizontal="center" vertical="center" wrapText="1"/>
    </xf>
    <xf numFmtId="0" fontId="0" fillId="78" borderId="87" xfId="0" applyFont="1" applyFill="1" applyBorder="1" applyAlignment="1">
      <alignment vertical="center" wrapText="1"/>
    </xf>
    <xf numFmtId="0" fontId="0" fillId="78" borderId="86" xfId="0" applyFont="1" applyFill="1" applyBorder="1" applyAlignment="1">
      <alignment vertical="center" wrapText="1"/>
    </xf>
    <xf numFmtId="0" fontId="0" fillId="78" borderId="86" xfId="0" applyFont="1" applyFill="1" applyBorder="1" applyAlignment="1">
      <alignment vertical="center"/>
    </xf>
    <xf numFmtId="0" fontId="0" fillId="78" borderId="91" xfId="0" applyFont="1" applyFill="1" applyBorder="1" applyAlignment="1">
      <alignment vertical="center"/>
    </xf>
    <xf numFmtId="0" fontId="40" fillId="78" borderId="86" xfId="0" applyFont="1" applyFill="1" applyBorder="1" applyAlignment="1">
      <alignment vertical="center" wrapText="1"/>
    </xf>
    <xf numFmtId="0" fontId="0" fillId="0" borderId="93" xfId="0" applyFont="1" applyFill="1" applyBorder="1" applyAlignment="1">
      <alignment horizontal="center" vertical="center" wrapText="1"/>
    </xf>
    <xf numFmtId="0" fontId="0" fillId="78" borderId="87" xfId="0" applyFont="1" applyFill="1" applyBorder="1" applyAlignment="1">
      <alignment horizontal="center" vertical="center" wrapText="1"/>
    </xf>
    <xf numFmtId="0" fontId="0" fillId="0" borderId="87" xfId="0" applyFont="1" applyFill="1" applyBorder="1" applyAlignment="1">
      <alignment horizontal="center" vertical="center" wrapText="1"/>
    </xf>
    <xf numFmtId="0" fontId="0" fillId="0" borderId="93" xfId="0" applyFont="1" applyFill="1" applyBorder="1" applyAlignment="1">
      <alignment horizontal="center" vertical="center"/>
    </xf>
    <xf numFmtId="0" fontId="0" fillId="0" borderId="87" xfId="0" applyFont="1" applyFill="1" applyBorder="1" applyAlignment="1">
      <alignment horizontal="center" vertical="center"/>
    </xf>
    <xf numFmtId="37" fontId="0" fillId="0" borderId="10" xfId="0" applyNumberFormat="1" applyFont="1" applyBorder="1" applyAlignment="1">
      <alignment vertical="center"/>
    </xf>
    <xf numFmtId="0" fontId="40" fillId="78" borderId="84" xfId="0" applyFont="1" applyFill="1" applyBorder="1" applyAlignment="1">
      <alignment vertical="center" wrapText="1"/>
    </xf>
    <xf numFmtId="0" fontId="0" fillId="78" borderId="102" xfId="0" applyFont="1" applyFill="1" applyBorder="1" applyAlignment="1">
      <alignment vertical="center" wrapText="1"/>
    </xf>
    <xf numFmtId="0" fontId="0" fillId="78" borderId="108" xfId="0" applyFont="1" applyFill="1" applyBorder="1" applyAlignment="1">
      <alignment vertical="center" wrapText="1"/>
    </xf>
    <xf numFmtId="0" fontId="0" fillId="78" borderId="100" xfId="0" applyFont="1" applyFill="1" applyBorder="1" applyAlignment="1">
      <alignment vertical="center" wrapText="1"/>
    </xf>
    <xf numFmtId="0" fontId="0" fillId="78" borderId="10" xfId="0" quotePrefix="1" applyFont="1" applyFill="1" applyBorder="1" applyAlignment="1">
      <alignment horizontal="center" vertical="center" wrapText="1"/>
    </xf>
    <xf numFmtId="0" fontId="0" fillId="78" borderId="85" xfId="0" quotePrefix="1" applyFont="1" applyFill="1" applyBorder="1" applyAlignment="1">
      <alignment horizontal="center" vertical="center" wrapText="1"/>
    </xf>
    <xf numFmtId="0" fontId="0" fillId="78" borderId="85" xfId="0" applyFont="1" applyFill="1" applyBorder="1" applyAlignment="1">
      <alignment vertical="center" wrapText="1"/>
    </xf>
    <xf numFmtId="164" fontId="46" fillId="0" borderId="10" xfId="439" applyNumberFormat="1" applyFont="1" applyFill="1" applyBorder="1" applyAlignment="1">
      <alignment horizontal="center"/>
    </xf>
    <xf numFmtId="0" fontId="0" fillId="78" borderId="0" xfId="0" applyFont="1" applyFill="1" applyBorder="1" applyProtection="1">
      <protection locked="0"/>
    </xf>
    <xf numFmtId="0" fontId="173" fillId="78" borderId="123" xfId="0" applyFont="1" applyFill="1" applyBorder="1" applyAlignment="1">
      <alignment wrapText="1"/>
    </xf>
    <xf numFmtId="9" fontId="0" fillId="78" borderId="85" xfId="4688" applyFont="1" applyFill="1" applyBorder="1" applyAlignment="1">
      <alignment horizontal="center" wrapText="1"/>
    </xf>
    <xf numFmtId="0" fontId="0" fillId="78" borderId="86" xfId="0" applyFont="1" applyFill="1" applyBorder="1" applyAlignment="1">
      <alignment horizontal="center" vertical="center" wrapText="1"/>
    </xf>
    <xf numFmtId="0" fontId="46" fillId="78" borderId="87" xfId="0" applyFont="1" applyFill="1" applyBorder="1" applyAlignment="1">
      <alignment horizontal="center" wrapText="1"/>
    </xf>
    <xf numFmtId="37" fontId="0" fillId="0" borderId="10" xfId="0" applyNumberFormat="1" applyFont="1" applyFill="1" applyBorder="1" applyAlignment="1">
      <alignment vertical="center"/>
    </xf>
    <xf numFmtId="0" fontId="0" fillId="78" borderId="100" xfId="0" applyFont="1" applyFill="1" applyBorder="1" applyAlignment="1">
      <alignment horizontal="center" vertical="center" wrapText="1"/>
    </xf>
    <xf numFmtId="37" fontId="0" fillId="78" borderId="109" xfId="0" applyNumberFormat="1" applyFont="1" applyFill="1" applyBorder="1" applyAlignment="1">
      <alignment horizontal="center" wrapText="1"/>
    </xf>
    <xf numFmtId="0" fontId="0" fillId="78" borderId="104" xfId="0" applyFont="1" applyFill="1" applyBorder="1" applyProtection="1">
      <protection locked="0"/>
    </xf>
    <xf numFmtId="43" fontId="0" fillId="0" borderId="10" xfId="439" applyNumberFormat="1" applyFont="1" applyFill="1" applyBorder="1" applyAlignment="1">
      <alignment horizontal="center"/>
    </xf>
    <xf numFmtId="43" fontId="46" fillId="0" borderId="10" xfId="439" applyNumberFormat="1" applyFont="1" applyFill="1" applyBorder="1" applyAlignment="1">
      <alignment horizontal="center"/>
    </xf>
    <xf numFmtId="0" fontId="0" fillId="0" borderId="0" xfId="0" applyAlignment="1">
      <alignment wrapText="1"/>
    </xf>
    <xf numFmtId="0" fontId="0" fillId="0" borderId="0" xfId="0" applyAlignment="1">
      <alignment horizontal="left"/>
    </xf>
    <xf numFmtId="0" fontId="0" fillId="0" borderId="124" xfId="0" applyBorder="1"/>
    <xf numFmtId="0" fontId="0" fillId="0" borderId="82" xfId="0" applyBorder="1"/>
    <xf numFmtId="0" fontId="0" fillId="0" borderId="83" xfId="0" applyBorder="1"/>
    <xf numFmtId="0" fontId="0" fillId="0" borderId="127" xfId="0" applyBorder="1"/>
    <xf numFmtId="0" fontId="197" fillId="0" borderId="10" xfId="0" applyFont="1" applyBorder="1" applyAlignment="1">
      <alignment horizontal="center" vertical="center" wrapText="1"/>
    </xf>
    <xf numFmtId="0" fontId="0" fillId="0" borderId="75" xfId="0" applyBorder="1" applyAlignment="1">
      <alignment horizontal="center" wrapText="1"/>
    </xf>
    <xf numFmtId="1" fontId="0" fillId="0" borderId="0" xfId="0" applyNumberFormat="1"/>
    <xf numFmtId="0" fontId="197" fillId="0" borderId="85" xfId="0" applyFont="1" applyBorder="1" applyAlignment="1">
      <alignment horizontal="center" vertical="center" wrapText="1"/>
    </xf>
    <xf numFmtId="0" fontId="0" fillId="0" borderId="0" xfId="0" applyAlignment="1">
      <alignment horizontal="center" wrapText="1"/>
    </xf>
    <xf numFmtId="37" fontId="0" fillId="0" borderId="0" xfId="0" applyNumberFormat="1"/>
    <xf numFmtId="0" fontId="0" fillId="78" borderId="128" xfId="0" applyFill="1" applyBorder="1" applyAlignment="1">
      <alignment horizontal="left" vertical="center" wrapText="1"/>
    </xf>
    <xf numFmtId="0" fontId="51" fillId="78" borderId="57" xfId="0" applyFont="1" applyFill="1" applyBorder="1" applyAlignment="1">
      <alignment horizontal="center" wrapText="1"/>
    </xf>
    <xf numFmtId="0" fontId="0" fillId="78" borderId="11" xfId="0" quotePrefix="1" applyFill="1" applyBorder="1" applyAlignment="1">
      <alignment horizontal="center" wrapText="1"/>
    </xf>
    <xf numFmtId="0" fontId="0" fillId="78" borderId="73" xfId="0" applyFill="1" applyBorder="1" applyAlignment="1">
      <alignment horizontal="left" vertical="center" wrapText="1"/>
    </xf>
    <xf numFmtId="10" fontId="0" fillId="0" borderId="0" xfId="0" applyNumberFormat="1"/>
    <xf numFmtId="9" fontId="0" fillId="0" borderId="0" xfId="4688" applyFont="1" applyFill="1" applyBorder="1"/>
    <xf numFmtId="10" fontId="0" fillId="0" borderId="82" xfId="0" applyNumberFormat="1" applyBorder="1"/>
    <xf numFmtId="0" fontId="0" fillId="0" borderId="57" xfId="0" applyBorder="1" applyAlignment="1">
      <alignment horizontal="center" vertical="center" wrapText="1"/>
    </xf>
    <xf numFmtId="10" fontId="0" fillId="0" borderId="57" xfId="0" applyNumberFormat="1" applyBorder="1" applyAlignment="1">
      <alignment horizontal="center" vertical="center" wrapText="1"/>
    </xf>
    <xf numFmtId="0" fontId="0" fillId="78" borderId="16" xfId="0" quotePrefix="1" applyFill="1" applyBorder="1" applyAlignment="1">
      <alignment horizontal="center" wrapText="1"/>
    </xf>
    <xf numFmtId="0" fontId="0" fillId="78" borderId="57" xfId="0" applyFill="1" applyBorder="1" applyAlignment="1">
      <alignment vertical="center" wrapText="1"/>
    </xf>
    <xf numFmtId="0" fontId="60" fillId="78" borderId="13" xfId="0" applyFont="1" applyFill="1" applyBorder="1" applyAlignment="1">
      <alignment wrapText="1"/>
    </xf>
    <xf numFmtId="0" fontId="40" fillId="78" borderId="16" xfId="0" applyFont="1" applyFill="1" applyBorder="1" applyAlignment="1">
      <alignment horizontal="center"/>
    </xf>
    <xf numFmtId="0" fontId="0" fillId="78" borderId="11" xfId="0" applyFill="1" applyBorder="1" applyAlignment="1">
      <alignment wrapText="1"/>
    </xf>
    <xf numFmtId="0" fontId="60" fillId="78" borderId="11" xfId="0" applyFont="1" applyFill="1" applyBorder="1" applyAlignment="1">
      <alignment horizontal="center" vertical="center" wrapText="1"/>
    </xf>
    <xf numFmtId="2" fontId="0" fillId="0" borderId="0" xfId="0" applyNumberFormat="1"/>
    <xf numFmtId="168" fontId="0" fillId="0" borderId="0" xfId="0" applyNumberFormat="1"/>
    <xf numFmtId="168" fontId="0" fillId="0" borderId="82" xfId="0" applyNumberFormat="1" applyBorder="1"/>
    <xf numFmtId="168" fontId="0" fillId="0" borderId="83" xfId="0" applyNumberFormat="1" applyBorder="1"/>
    <xf numFmtId="0" fontId="40" fillId="0" borderId="40" xfId="0" applyFont="1" applyBorder="1" applyAlignment="1">
      <alignment vertical="center" wrapText="1"/>
    </xf>
    <xf numFmtId="2" fontId="0" fillId="0" borderId="41" xfId="0" applyNumberFormat="1" applyBorder="1" applyAlignment="1">
      <alignment horizontal="center"/>
    </xf>
    <xf numFmtId="2" fontId="0" fillId="0" borderId="42" xfId="0" applyNumberFormat="1" applyBorder="1" applyAlignment="1">
      <alignment horizontal="center"/>
    </xf>
    <xf numFmtId="0" fontId="0" fillId="0" borderId="73" xfId="0" applyBorder="1" applyAlignment="1">
      <alignment horizontal="center" vertical="center" wrapText="1"/>
    </xf>
    <xf numFmtId="2" fontId="0" fillId="0" borderId="73" xfId="0" applyNumberFormat="1" applyBorder="1" applyAlignment="1">
      <alignment horizontal="center" vertical="center"/>
    </xf>
    <xf numFmtId="0" fontId="0" fillId="78" borderId="129" xfId="0" applyFill="1" applyBorder="1" applyAlignment="1">
      <alignment horizontal="center" vertical="center" wrapText="1"/>
    </xf>
    <xf numFmtId="0" fontId="40" fillId="0" borderId="37" xfId="0" applyFont="1" applyBorder="1" applyAlignment="1">
      <alignment vertical="center" wrapText="1"/>
    </xf>
    <xf numFmtId="0" fontId="40" fillId="0" borderId="71" xfId="0" applyFont="1" applyBorder="1" applyAlignment="1">
      <alignment horizontal="center"/>
    </xf>
    <xf numFmtId="0" fontId="0" fillId="78" borderId="60" xfId="0" applyFill="1" applyBorder="1" applyAlignment="1">
      <alignment horizontal="center" vertical="center" wrapText="1"/>
    </xf>
    <xf numFmtId="0" fontId="40" fillId="78" borderId="57" xfId="0" applyFont="1" applyFill="1" applyBorder="1" applyAlignment="1">
      <alignment vertical="center" wrapText="1"/>
    </xf>
    <xf numFmtId="42" fontId="0" fillId="0" borderId="57" xfId="0" applyNumberFormat="1" applyBorder="1" applyAlignment="1">
      <alignment horizontal="center"/>
    </xf>
    <xf numFmtId="0" fontId="0" fillId="0" borderId="57" xfId="0" applyBorder="1" applyAlignment="1">
      <alignment horizontal="center" wrapText="1"/>
    </xf>
    <xf numFmtId="0" fontId="0" fillId="78" borderId="57" xfId="0" applyFill="1" applyBorder="1" applyAlignment="1">
      <alignment horizontal="center" vertical="center" wrapText="1"/>
    </xf>
    <xf numFmtId="0" fontId="0" fillId="78" borderId="57" xfId="0" applyFill="1" applyBorder="1" applyAlignment="1">
      <alignment wrapText="1"/>
    </xf>
    <xf numFmtId="167" fontId="0" fillId="0" borderId="0" xfId="545" applyNumberFormat="1" applyFont="1" applyFill="1" applyBorder="1"/>
    <xf numFmtId="10" fontId="0" fillId="0" borderId="57" xfId="4688" applyNumberFormat="1" applyFont="1" applyFill="1" applyBorder="1" applyAlignment="1">
      <alignment horizontal="center"/>
    </xf>
    <xf numFmtId="10" fontId="0" fillId="0" borderId="57" xfId="0" applyNumberFormat="1" applyBorder="1" applyAlignment="1">
      <alignment horizontal="center"/>
    </xf>
    <xf numFmtId="10" fontId="0" fillId="0" borderId="0" xfId="4688" applyNumberFormat="1" applyFont="1" applyFill="1" applyBorder="1"/>
    <xf numFmtId="37" fontId="0" fillId="0" borderId="57" xfId="0" applyNumberFormat="1" applyBorder="1" applyAlignment="1">
      <alignment horizontal="center" wrapText="1"/>
    </xf>
    <xf numFmtId="37" fontId="0" fillId="85" borderId="57" xfId="0" applyNumberFormat="1" applyFill="1" applyBorder="1" applyAlignment="1">
      <alignment horizontal="center" wrapText="1"/>
    </xf>
    <xf numFmtId="43" fontId="0" fillId="0" borderId="0" xfId="439" applyFont="1" applyFill="1" applyBorder="1"/>
    <xf numFmtId="0" fontId="40" fillId="0" borderId="130" xfId="0" applyFont="1" applyBorder="1" applyAlignment="1">
      <alignment wrapText="1"/>
    </xf>
    <xf numFmtId="0" fontId="0" fillId="0" borderId="86" xfId="0" applyBorder="1"/>
    <xf numFmtId="0" fontId="0" fillId="0" borderId="86" xfId="0" applyBorder="1" applyAlignment="1">
      <alignment horizontal="center" wrapText="1"/>
    </xf>
    <xf numFmtId="0" fontId="0" fillId="0" borderId="86" xfId="0" applyBorder="1" applyAlignment="1">
      <alignment wrapText="1"/>
    </xf>
    <xf numFmtId="0" fontId="0" fillId="73" borderId="131" xfId="0" applyFill="1" applyBorder="1" applyAlignment="1">
      <alignment wrapText="1"/>
    </xf>
    <xf numFmtId="0" fontId="60" fillId="78" borderId="39" xfId="0" applyFont="1" applyFill="1" applyBorder="1" applyAlignment="1">
      <alignment horizontal="center" wrapText="1"/>
    </xf>
    <xf numFmtId="2" fontId="0" fillId="0" borderId="0" xfId="439" applyNumberFormat="1" applyFont="1" applyFill="1" applyBorder="1"/>
    <xf numFmtId="39" fontId="0" fillId="0" borderId="0" xfId="0" applyNumberFormat="1"/>
    <xf numFmtId="0" fontId="0" fillId="78" borderId="57" xfId="0" applyFill="1" applyBorder="1" applyAlignment="1">
      <alignment horizontal="left" vertical="center" wrapText="1"/>
    </xf>
    <xf numFmtId="0" fontId="40" fillId="0" borderId="57" xfId="0" applyFont="1" applyBorder="1" applyAlignment="1">
      <alignment vertical="center" wrapText="1"/>
    </xf>
    <xf numFmtId="0" fontId="40" fillId="0" borderId="57" xfId="0" applyFont="1" applyBorder="1" applyAlignment="1">
      <alignment horizontal="center"/>
    </xf>
    <xf numFmtId="167" fontId="0" fillId="0" borderId="57" xfId="545" applyNumberFormat="1" applyFont="1" applyFill="1" applyBorder="1" applyAlignment="1">
      <alignment horizontal="center"/>
    </xf>
    <xf numFmtId="0" fontId="40" fillId="0" borderId="132" xfId="0" applyFont="1" applyBorder="1" applyAlignment="1">
      <alignment wrapText="1"/>
    </xf>
    <xf numFmtId="0" fontId="0" fillId="0" borderId="133" xfId="0" applyBorder="1"/>
    <xf numFmtId="0" fontId="0" fillId="0" borderId="133" xfId="0" applyBorder="1" applyAlignment="1">
      <alignment horizontal="center" wrapText="1"/>
    </xf>
    <xf numFmtId="0" fontId="0" fillId="0" borderId="133" xfId="0" applyBorder="1" applyAlignment="1">
      <alignment wrapText="1"/>
    </xf>
    <xf numFmtId="0" fontId="0" fillId="78" borderId="86" xfId="0" applyFill="1" applyBorder="1"/>
    <xf numFmtId="0" fontId="40" fillId="78" borderId="95" xfId="0" applyFont="1" applyFill="1" applyBorder="1" applyAlignment="1">
      <alignment horizontal="center" wrapText="1"/>
    </xf>
    <xf numFmtId="0" fontId="40" fillId="78" borderId="71" xfId="0" applyFont="1" applyFill="1" applyBorder="1" applyAlignment="1">
      <alignment horizontal="center"/>
    </xf>
    <xf numFmtId="37" fontId="0" fillId="0" borderId="57" xfId="0" applyNumberFormat="1" applyBorder="1" applyAlignment="1">
      <alignment horizontal="center"/>
    </xf>
    <xf numFmtId="0" fontId="40" fillId="78" borderId="11" xfId="0" applyFont="1" applyFill="1" applyBorder="1" applyAlignment="1">
      <alignment horizontal="center" wrapText="1"/>
    </xf>
    <xf numFmtId="0" fontId="40" fillId="78" borderId="57" xfId="0" applyFont="1" applyFill="1" applyBorder="1" applyAlignment="1">
      <alignment horizontal="center"/>
    </xf>
    <xf numFmtId="0" fontId="0" fillId="78" borderId="57" xfId="0" applyFill="1" applyBorder="1"/>
    <xf numFmtId="9" fontId="0" fillId="0" borderId="57" xfId="4688" applyFont="1" applyFill="1" applyBorder="1" applyAlignment="1">
      <alignment horizontal="center"/>
    </xf>
    <xf numFmtId="9" fontId="40" fillId="0" borderId="57" xfId="0" applyNumberFormat="1" applyFont="1" applyBorder="1" applyAlignment="1">
      <alignment horizontal="center"/>
    </xf>
    <xf numFmtId="0" fontId="0" fillId="0" borderId="135" xfId="0" applyBorder="1"/>
    <xf numFmtId="0" fontId="40" fillId="0" borderId="0" xfId="0" applyFont="1" applyAlignment="1">
      <alignment wrapText="1"/>
    </xf>
    <xf numFmtId="0" fontId="0" fillId="0" borderId="126" xfId="0" applyBorder="1"/>
    <xf numFmtId="0" fontId="40" fillId="0" borderId="57" xfId="0" applyFont="1" applyBorder="1" applyAlignment="1">
      <alignment horizontal="center" wrapText="1"/>
    </xf>
    <xf numFmtId="0" fontId="0" fillId="0" borderId="57" xfId="0" applyBorder="1" applyAlignment="1">
      <alignment horizontal="center"/>
    </xf>
    <xf numFmtId="0" fontId="0" fillId="78" borderId="57" xfId="0" applyFill="1" applyBorder="1" applyAlignment="1">
      <alignment horizontal="center"/>
    </xf>
    <xf numFmtId="0" fontId="46" fillId="85" borderId="57" xfId="0" applyFont="1" applyFill="1" applyBorder="1" applyAlignment="1">
      <alignment horizontal="center" wrapText="1"/>
    </xf>
    <xf numFmtId="0" fontId="0" fillId="85" borderId="57" xfId="0" applyFill="1" applyBorder="1" applyAlignment="1">
      <alignment horizontal="center" wrapText="1"/>
    </xf>
    <xf numFmtId="37" fontId="46" fillId="0" borderId="57" xfId="0" applyNumberFormat="1" applyFont="1" applyBorder="1" applyAlignment="1">
      <alignment horizontal="center"/>
    </xf>
    <xf numFmtId="37" fontId="46" fillId="0" borderId="57" xfId="0" applyNumberFormat="1" applyFont="1" applyBorder="1" applyAlignment="1">
      <alignment horizontal="center" wrapText="1"/>
    </xf>
    <xf numFmtId="37" fontId="0" fillId="0" borderId="0" xfId="0" applyNumberFormat="1" applyAlignment="1">
      <alignment horizontal="center"/>
    </xf>
    <xf numFmtId="0" fontId="0" fillId="0" borderId="89" xfId="0" applyBorder="1"/>
    <xf numFmtId="0" fontId="0" fillId="0" borderId="89" xfId="0" applyBorder="1" applyAlignment="1">
      <alignment wrapText="1"/>
    </xf>
    <xf numFmtId="0" fontId="0" fillId="0" borderId="83" xfId="0" applyBorder="1" applyAlignment="1">
      <alignment wrapText="1"/>
    </xf>
    <xf numFmtId="2" fontId="0" fillId="0" borderId="57" xfId="0" applyNumberFormat="1" applyBorder="1" applyAlignment="1">
      <alignment horizontal="center"/>
    </xf>
    <xf numFmtId="0" fontId="0" fillId="0" borderId="95" xfId="0" applyBorder="1"/>
    <xf numFmtId="0" fontId="0" fillId="0" borderId="125" xfId="0" applyBorder="1"/>
    <xf numFmtId="0" fontId="0" fillId="78" borderId="71" xfId="0" applyFill="1" applyBorder="1" applyAlignment="1">
      <alignment horizontal="center" vertical="center" wrapText="1"/>
    </xf>
    <xf numFmtId="0" fontId="60" fillId="78" borderId="57" xfId="0" applyFont="1" applyFill="1" applyBorder="1" applyAlignment="1">
      <alignment horizontal="center" vertical="center" wrapText="1"/>
    </xf>
    <xf numFmtId="0" fontId="60" fillId="78" borderId="57" xfId="0" applyFont="1" applyFill="1" applyBorder="1" applyAlignment="1">
      <alignment horizontal="center" wrapText="1"/>
    </xf>
    <xf numFmtId="0" fontId="38" fillId="78" borderId="57" xfId="0" applyFont="1" applyFill="1" applyBorder="1" applyAlignment="1">
      <alignment vertical="center" wrapText="1"/>
    </xf>
    <xf numFmtId="0" fontId="47" fillId="78" borderId="57" xfId="0" applyFont="1" applyFill="1" applyBorder="1" applyAlignment="1">
      <alignment vertical="center" wrapText="1"/>
    </xf>
    <xf numFmtId="0" fontId="40" fillId="78" borderId="13" xfId="0" applyFont="1" applyFill="1" applyBorder="1" applyAlignment="1">
      <alignment vertical="center" wrapText="1"/>
    </xf>
    <xf numFmtId="0" fontId="0" fillId="78" borderId="16" xfId="0" applyFill="1" applyBorder="1" applyAlignment="1">
      <alignment wrapText="1"/>
    </xf>
    <xf numFmtId="0" fontId="0" fillId="78" borderId="16" xfId="0" applyFill="1" applyBorder="1" applyAlignment="1">
      <alignment vertical="center" wrapText="1"/>
    </xf>
    <xf numFmtId="10" fontId="0" fillId="78" borderId="16" xfId="4688" applyNumberFormat="1" applyFont="1" applyFill="1" applyBorder="1" applyAlignment="1">
      <alignment horizontal="center"/>
    </xf>
    <xf numFmtId="0" fontId="0" fillId="78" borderId="16" xfId="0" applyFill="1" applyBorder="1" applyAlignment="1">
      <alignment horizontal="center" wrapText="1"/>
    </xf>
    <xf numFmtId="10" fontId="0" fillId="78" borderId="16" xfId="0" applyNumberFormat="1" applyFill="1" applyBorder="1" applyAlignment="1">
      <alignment horizontal="center"/>
    </xf>
    <xf numFmtId="0" fontId="163" fillId="0" borderId="0" xfId="0" applyFont="1" applyFill="1" applyBorder="1" applyAlignment="1">
      <alignment vertical="center" wrapText="1"/>
    </xf>
    <xf numFmtId="0" fontId="0" fillId="0" borderId="126" xfId="0" applyBorder="1" applyAlignment="1">
      <alignment wrapText="1"/>
    </xf>
    <xf numFmtId="0" fontId="0" fillId="78" borderId="57" xfId="0" applyFill="1" applyBorder="1" applyAlignment="1">
      <alignment vertical="center"/>
    </xf>
    <xf numFmtId="0" fontId="38" fillId="78" borderId="57" xfId="0" applyFont="1" applyFill="1" applyBorder="1" applyAlignment="1">
      <alignment horizontal="left" vertical="center" wrapText="1"/>
    </xf>
    <xf numFmtId="0" fontId="38" fillId="78" borderId="57" xfId="0" applyFont="1" applyFill="1" applyBorder="1" applyAlignment="1">
      <alignment horizontal="justify" vertical="center"/>
    </xf>
    <xf numFmtId="0" fontId="47" fillId="78" borderId="57" xfId="0" quotePrefix="1" applyFont="1" applyFill="1" applyBorder="1" applyAlignment="1">
      <alignment horizontal="center" vertical="center" wrapText="1"/>
    </xf>
    <xf numFmtId="0" fontId="47" fillId="78" borderId="57" xfId="0" applyFont="1" applyFill="1" applyBorder="1" applyAlignment="1">
      <alignment horizontal="center" vertical="center" wrapText="1"/>
    </xf>
    <xf numFmtId="0" fontId="47" fillId="78" borderId="57" xfId="0" applyFont="1" applyFill="1" applyBorder="1" applyAlignment="1">
      <alignment horizontal="center" wrapText="1"/>
    </xf>
    <xf numFmtId="0" fontId="0" fillId="0" borderId="57" xfId="0" applyFill="1" applyBorder="1" applyAlignment="1">
      <alignment vertical="center" wrapText="1"/>
    </xf>
    <xf numFmtId="0" fontId="0" fillId="0" borderId="57" xfId="0" applyFill="1" applyBorder="1" applyAlignment="1">
      <alignment wrapText="1"/>
    </xf>
    <xf numFmtId="0" fontId="0" fillId="0" borderId="57" xfId="0" applyFill="1" applyBorder="1" applyAlignment="1">
      <alignment horizontal="left" vertical="center" wrapText="1"/>
    </xf>
    <xf numFmtId="0" fontId="47" fillId="78" borderId="13" xfId="0" applyFont="1" applyFill="1" applyBorder="1" applyAlignment="1">
      <alignment vertical="center" wrapText="1"/>
    </xf>
    <xf numFmtId="0" fontId="47" fillId="0" borderId="95" xfId="0" applyFont="1" applyFill="1" applyBorder="1" applyAlignment="1">
      <alignment vertical="center"/>
    </xf>
    <xf numFmtId="0" fontId="0" fillId="0" borderId="57" xfId="0" applyFill="1" applyBorder="1" applyAlignment="1">
      <alignment horizontal="justify" vertical="center"/>
    </xf>
    <xf numFmtId="0" fontId="41" fillId="78" borderId="13" xfId="0" applyFont="1" applyFill="1" applyBorder="1" applyAlignment="1">
      <alignment horizontal="center" vertical="center"/>
    </xf>
    <xf numFmtId="0" fontId="47" fillId="78" borderId="13" xfId="0" applyFont="1" applyFill="1" applyBorder="1" applyAlignment="1">
      <alignment vertical="center"/>
    </xf>
    <xf numFmtId="0" fontId="47" fillId="78" borderId="13" xfId="0" applyFont="1" applyFill="1" applyBorder="1" applyAlignment="1">
      <alignment horizontal="left" vertical="center" wrapText="1"/>
    </xf>
    <xf numFmtId="0" fontId="47" fillId="78" borderId="136" xfId="0" applyFont="1" applyFill="1" applyBorder="1" applyAlignment="1">
      <alignment vertical="center" wrapText="1"/>
    </xf>
    <xf numFmtId="0" fontId="0" fillId="78" borderId="128" xfId="0" applyFill="1" applyBorder="1"/>
    <xf numFmtId="10" fontId="0" fillId="0" borderId="0" xfId="0" applyNumberFormat="1" applyAlignment="1">
      <alignment horizontal="center" wrapText="1"/>
    </xf>
    <xf numFmtId="10" fontId="0" fillId="0" borderId="0" xfId="4688" applyNumberFormat="1" applyFont="1" applyAlignment="1">
      <alignment horizontal="center" wrapText="1"/>
    </xf>
    <xf numFmtId="9" fontId="0" fillId="0" borderId="124" xfId="4688" applyNumberFormat="1" applyFont="1" applyBorder="1"/>
    <xf numFmtId="9" fontId="0" fillId="0" borderId="57" xfId="0" applyNumberFormat="1" applyBorder="1" applyAlignment="1">
      <alignment horizontal="center" vertical="center" wrapText="1"/>
    </xf>
    <xf numFmtId="0" fontId="0" fillId="0" borderId="57" xfId="0" applyNumberFormat="1" applyBorder="1" applyAlignment="1">
      <alignment horizontal="center"/>
    </xf>
    <xf numFmtId="0" fontId="0" fillId="0" borderId="57" xfId="4688" applyNumberFormat="1" applyFont="1" applyFill="1" applyBorder="1" applyAlignment="1">
      <alignment horizontal="center"/>
    </xf>
    <xf numFmtId="0" fontId="0" fillId="0" borderId="0" xfId="4688" applyNumberFormat="1" applyFont="1" applyFill="1" applyBorder="1"/>
    <xf numFmtId="0" fontId="0" fillId="78" borderId="10" xfId="0" applyFill="1" applyBorder="1"/>
    <xf numFmtId="37" fontId="0" fillId="0" borderId="10" xfId="0" applyNumberFormat="1" applyBorder="1"/>
    <xf numFmtId="0" fontId="0" fillId="78" borderId="10" xfId="0" applyFill="1" applyBorder="1" applyAlignment="1">
      <alignment horizontal="center" wrapText="1"/>
    </xf>
    <xf numFmtId="0" fontId="0" fillId="78" borderId="10" xfId="0" applyFill="1" applyBorder="1" applyAlignment="1">
      <alignment vertical="center" wrapText="1"/>
    </xf>
    <xf numFmtId="0" fontId="46" fillId="78" borderId="11" xfId="0" applyFont="1" applyFill="1" applyBorder="1" applyAlignment="1">
      <alignment horizontal="center" vertical="center" wrapText="1"/>
    </xf>
    <xf numFmtId="0" fontId="47" fillId="78" borderId="57" xfId="0" applyFont="1" applyFill="1" applyBorder="1" applyAlignment="1">
      <alignment wrapText="1"/>
    </xf>
    <xf numFmtId="0" fontId="0" fillId="78" borderId="84" xfId="0" applyFill="1" applyBorder="1" applyAlignment="1">
      <alignment vertical="center" wrapText="1"/>
    </xf>
    <xf numFmtId="0" fontId="0" fillId="0" borderId="57" xfId="0" applyBorder="1"/>
    <xf numFmtId="0" fontId="47" fillId="78" borderId="16" xfId="0" applyFont="1" applyFill="1" applyBorder="1" applyAlignment="1">
      <alignment vertical="center" wrapText="1"/>
    </xf>
    <xf numFmtId="0" fontId="0" fillId="78" borderId="11" xfId="0" applyFill="1" applyBorder="1" applyAlignment="1">
      <alignment vertical="center" wrapText="1"/>
    </xf>
    <xf numFmtId="0" fontId="0" fillId="0" borderId="61" xfId="0" applyBorder="1" applyAlignment="1">
      <alignment horizontal="center"/>
    </xf>
    <xf numFmtId="0" fontId="1" fillId="0" borderId="62" xfId="0" applyFont="1" applyBorder="1" applyAlignment="1">
      <alignment vertical="center" wrapText="1"/>
    </xf>
    <xf numFmtId="38" fontId="0" fillId="0" borderId="0" xfId="0" applyNumberFormat="1"/>
    <xf numFmtId="40" fontId="0" fillId="0" borderId="0" xfId="0" applyNumberFormat="1"/>
    <xf numFmtId="0" fontId="45" fillId="0" borderId="0" xfId="659" applyFont="1" applyAlignment="1">
      <alignment horizontal="center"/>
    </xf>
    <xf numFmtId="0" fontId="25" fillId="0" borderId="0" xfId="659" applyFont="1" applyAlignment="1">
      <alignment horizontal="left" vertical="center" wrapText="1"/>
    </xf>
    <xf numFmtId="0" fontId="45" fillId="0" borderId="0" xfId="659" applyFont="1"/>
    <xf numFmtId="38" fontId="198" fillId="0" borderId="0" xfId="440" applyNumberFormat="1" applyFont="1" applyFill="1" applyAlignment="1" applyProtection="1">
      <alignment horizontal="right" vertical="center"/>
    </xf>
    <xf numFmtId="0" fontId="199" fillId="0" borderId="0" xfId="659" applyFont="1"/>
    <xf numFmtId="0" fontId="35" fillId="0" borderId="0" xfId="659"/>
    <xf numFmtId="0" fontId="114" fillId="0" borderId="0" xfId="0" applyFont="1"/>
    <xf numFmtId="172" fontId="0" fillId="0" borderId="0" xfId="439" applyNumberFormat="1" applyFont="1"/>
    <xf numFmtId="164" fontId="35" fillId="0" borderId="0" xfId="659" applyNumberFormat="1"/>
    <xf numFmtId="37" fontId="0" fillId="0" borderId="0" xfId="439" applyNumberFormat="1" applyFont="1"/>
    <xf numFmtId="0" fontId="200" fillId="0" borderId="0" xfId="841" applyFont="1" applyFill="1" applyAlignment="1">
      <alignment horizontal="left" vertical="center" wrapText="1"/>
    </xf>
    <xf numFmtId="0" fontId="201" fillId="0" borderId="0" xfId="0" applyFont="1" applyFill="1" applyAlignment="1">
      <alignment horizontal="center"/>
    </xf>
    <xf numFmtId="0" fontId="46" fillId="0" borderId="0" xfId="0" applyFont="1" applyFill="1" applyAlignment="1">
      <alignment wrapText="1"/>
    </xf>
    <xf numFmtId="0" fontId="46" fillId="0" borderId="0" xfId="0" applyFont="1" applyFill="1"/>
    <xf numFmtId="1" fontId="46" fillId="0" borderId="0" xfId="0" applyNumberFormat="1" applyFont="1" applyFill="1" applyAlignment="1">
      <alignment horizontal="center" vertical="center" wrapText="1"/>
    </xf>
    <xf numFmtId="164" fontId="46" fillId="0" borderId="0" xfId="439" applyNumberFormat="1" applyFont="1" applyFill="1"/>
    <xf numFmtId="1" fontId="201" fillId="0" borderId="0" xfId="0" applyNumberFormat="1" applyFont="1" applyFill="1" applyAlignment="1">
      <alignment horizontal="center"/>
    </xf>
    <xf numFmtId="1" fontId="202" fillId="0" borderId="0" xfId="0" applyNumberFormat="1" applyFont="1" applyFill="1" applyAlignment="1">
      <alignment horizontal="center"/>
    </xf>
    <xf numFmtId="1" fontId="46" fillId="0" borderId="0" xfId="0" applyNumberFormat="1" applyFont="1" applyFill="1" applyAlignment="1">
      <alignment horizontal="center" vertical="center"/>
    </xf>
    <xf numFmtId="0" fontId="202" fillId="0" borderId="0" xfId="0" applyFont="1" applyFill="1" applyAlignment="1">
      <alignment horizontal="center"/>
    </xf>
    <xf numFmtId="0" fontId="46" fillId="0" borderId="0" xfId="0" applyFont="1" applyFill="1" applyAlignment="1">
      <alignment horizontal="center" wrapText="1"/>
    </xf>
    <xf numFmtId="1" fontId="46" fillId="0" borderId="0" xfId="0" applyNumberFormat="1" applyFont="1" applyFill="1"/>
    <xf numFmtId="38" fontId="46" fillId="0" borderId="0" xfId="0" applyNumberFormat="1" applyFont="1" applyFill="1" applyAlignment="1">
      <alignment horizontal="center" vertical="center"/>
    </xf>
    <xf numFmtId="38" fontId="46" fillId="0" borderId="0" xfId="439" applyNumberFormat="1" applyFont="1" applyFill="1" applyAlignment="1" applyProtection="1">
      <alignment horizontal="center" vertical="center"/>
    </xf>
    <xf numFmtId="38" fontId="202" fillId="0" borderId="0" xfId="0" applyNumberFormat="1" applyFont="1" applyFill="1" applyAlignment="1">
      <alignment horizontal="center"/>
    </xf>
    <xf numFmtId="0" fontId="46" fillId="0" borderId="0" xfId="683" applyFont="1" applyFill="1" applyAlignment="1" applyProtection="1">
      <alignment vertical="center" wrapText="1"/>
      <protection locked="0"/>
    </xf>
    <xf numFmtId="0" fontId="46" fillId="0" borderId="0" xfId="0" applyFont="1" applyFill="1" applyAlignment="1">
      <alignment horizontal="center"/>
    </xf>
    <xf numFmtId="40" fontId="46" fillId="0" borderId="0" xfId="0" applyNumberFormat="1" applyFont="1" applyFill="1" applyAlignment="1">
      <alignment horizontal="center" vertical="center"/>
    </xf>
    <xf numFmtId="40" fontId="46" fillId="0" borderId="0" xfId="439" applyNumberFormat="1" applyFont="1" applyFill="1" applyAlignment="1" applyProtection="1">
      <alignment horizontal="center" vertical="center"/>
    </xf>
    <xf numFmtId="40" fontId="202" fillId="0" borderId="0" xfId="0" applyNumberFormat="1" applyFont="1" applyFill="1" applyAlignment="1">
      <alignment horizontal="center"/>
    </xf>
    <xf numFmtId="172" fontId="46" fillId="0" borderId="0" xfId="439" applyNumberFormat="1" applyFont="1" applyFill="1"/>
    <xf numFmtId="184" fontId="46" fillId="0" borderId="0" xfId="439" applyNumberFormat="1" applyFont="1" applyFill="1"/>
    <xf numFmtId="1" fontId="202" fillId="0" borderId="0" xfId="1531" applyNumberFormat="1" applyFont="1" applyFill="1"/>
    <xf numFmtId="0" fontId="46" fillId="0" borderId="0" xfId="683" applyFont="1" applyFill="1" applyAlignment="1">
      <alignment vertical="center" wrapText="1"/>
    </xf>
    <xf numFmtId="0" fontId="202" fillId="0" borderId="0" xfId="1531" applyFont="1" applyFill="1"/>
    <xf numFmtId="0" fontId="46" fillId="0" borderId="0" xfId="683" applyFont="1" applyFill="1" applyAlignment="1">
      <alignment wrapText="1"/>
    </xf>
    <xf numFmtId="0" fontId="202" fillId="0" borderId="0" xfId="720" applyFont="1" applyFill="1" applyAlignment="1">
      <alignment vertical="center" wrapText="1"/>
    </xf>
    <xf numFmtId="0" fontId="202" fillId="0" borderId="23" xfId="720" applyFont="1" applyFill="1" applyBorder="1" applyAlignment="1">
      <alignment vertical="center" wrapText="1"/>
    </xf>
    <xf numFmtId="0" fontId="201" fillId="0" borderId="0" xfId="0" applyFont="1" applyFill="1"/>
    <xf numFmtId="0" fontId="201" fillId="0" borderId="0" xfId="683" applyFont="1" applyFill="1" applyAlignment="1">
      <alignment horizontal="left" vertical="center" wrapText="1"/>
    </xf>
    <xf numFmtId="0" fontId="46" fillId="0" borderId="0" xfId="3120" applyFont="1" applyFill="1" applyAlignment="1">
      <alignment horizontal="center" vertical="center"/>
    </xf>
    <xf numFmtId="0" fontId="201" fillId="0" borderId="0" xfId="683" applyFont="1" applyFill="1" applyAlignment="1">
      <alignment horizontal="right" vertical="center"/>
    </xf>
    <xf numFmtId="0" fontId="46" fillId="0" borderId="0" xfId="683" applyFont="1" applyFill="1"/>
    <xf numFmtId="1" fontId="46" fillId="0" borderId="0" xfId="0" applyNumberFormat="1" applyFont="1" applyFill="1" applyAlignment="1">
      <alignment horizontal="right"/>
    </xf>
    <xf numFmtId="43" fontId="46" fillId="0" borderId="0" xfId="439" applyNumberFormat="1" applyFont="1" applyFill="1"/>
    <xf numFmtId="0" fontId="46" fillId="0" borderId="0" xfId="0" applyFont="1" applyFill="1" applyAlignment="1">
      <alignment horizontal="right"/>
    </xf>
    <xf numFmtId="0" fontId="46" fillId="0" borderId="0" xfId="0" applyFont="1" applyFill="1" applyAlignment="1">
      <alignment horizontal="center" vertical="center"/>
    </xf>
    <xf numFmtId="0" fontId="46" fillId="0" borderId="0" xfId="439" applyNumberFormat="1" applyFont="1" applyFill="1" applyAlignment="1" applyProtection="1">
      <alignment horizontal="center" vertical="center"/>
    </xf>
    <xf numFmtId="0" fontId="201" fillId="0" borderId="0" xfId="3525" applyFont="1" applyFill="1" applyAlignment="1">
      <alignment horizontal="center"/>
    </xf>
    <xf numFmtId="0" fontId="46" fillId="0" borderId="0" xfId="680" applyFont="1" applyFill="1"/>
    <xf numFmtId="0" fontId="201" fillId="0" borderId="0" xfId="683" applyFont="1" applyFill="1" applyAlignment="1">
      <alignment vertical="center" wrapText="1"/>
    </xf>
    <xf numFmtId="0" fontId="60" fillId="0" borderId="0" xfId="0" applyFont="1" applyFill="1" applyAlignment="1">
      <alignment horizontal="left" vertical="center" wrapText="1"/>
    </xf>
    <xf numFmtId="0" fontId="202" fillId="0" borderId="0" xfId="720" applyFont="1" applyFill="1"/>
    <xf numFmtId="0" fontId="46" fillId="0" borderId="23" xfId="679" applyFont="1" applyFill="1" applyBorder="1" applyAlignment="1">
      <alignment horizontal="left" vertical="center" wrapText="1"/>
    </xf>
    <xf numFmtId="0" fontId="46" fillId="0" borderId="23" xfId="628" applyFont="1" applyFill="1" applyBorder="1" applyAlignment="1">
      <alignment vertical="center" wrapText="1"/>
    </xf>
    <xf numFmtId="0" fontId="46" fillId="0" borderId="23" xfId="628" applyFont="1" applyFill="1" applyBorder="1" applyAlignment="1">
      <alignment horizontal="left" vertical="center" wrapText="1"/>
    </xf>
    <xf numFmtId="0" fontId="46" fillId="0" borderId="0" xfId="0" applyFont="1" applyFill="1" applyAlignment="1">
      <alignment vertical="center" wrapText="1"/>
    </xf>
    <xf numFmtId="0" fontId="46" fillId="0" borderId="0" xfId="2858" applyFont="1" applyFill="1" applyAlignment="1">
      <alignment horizontal="left" vertical="center" wrapText="1"/>
    </xf>
    <xf numFmtId="2" fontId="46" fillId="0" borderId="0" xfId="0" applyNumberFormat="1" applyFont="1" applyFill="1" applyAlignment="1">
      <alignment horizontal="center" vertical="center"/>
    </xf>
    <xf numFmtId="2" fontId="46" fillId="0" borderId="0" xfId="439" applyNumberFormat="1" applyFont="1" applyFill="1" applyAlignment="1" applyProtection="1">
      <alignment horizontal="center" vertical="center"/>
    </xf>
    <xf numFmtId="2" fontId="202" fillId="0" borderId="0" xfId="0" applyNumberFormat="1" applyFont="1" applyFill="1" applyAlignment="1">
      <alignment horizontal="center"/>
    </xf>
    <xf numFmtId="0" fontId="201" fillId="0" borderId="0" xfId="0" applyFont="1" applyFill="1" applyAlignment="1">
      <alignment horizontal="left" vertical="center" wrapText="1"/>
    </xf>
    <xf numFmtId="0" fontId="46" fillId="0" borderId="0" xfId="31722" applyFont="1" applyFill="1"/>
    <xf numFmtId="0" fontId="46" fillId="0" borderId="0" xfId="31722" applyFont="1" applyFill="1" applyAlignment="1">
      <alignment wrapText="1"/>
    </xf>
    <xf numFmtId="0" fontId="201" fillId="0" borderId="0" xfId="3627" applyFont="1" applyFill="1" applyAlignment="1">
      <alignment horizontal="left"/>
    </xf>
    <xf numFmtId="0" fontId="201" fillId="0" borderId="0" xfId="3627" applyFont="1" applyFill="1"/>
    <xf numFmtId="0" fontId="201" fillId="0" borderId="0" xfId="3627" applyFont="1" applyFill="1" applyAlignment="1">
      <alignment horizontal="right" vertical="center" wrapText="1"/>
    </xf>
    <xf numFmtId="38" fontId="46" fillId="0" borderId="0" xfId="0" applyNumberFormat="1" applyFont="1" applyFill="1"/>
    <xf numFmtId="0" fontId="201" fillId="0" borderId="0" xfId="3627" applyFont="1" applyFill="1" applyAlignment="1">
      <alignment wrapText="1"/>
    </xf>
    <xf numFmtId="38" fontId="46" fillId="0" borderId="0" xfId="0" applyNumberFormat="1" applyFont="1" applyFill="1" applyAlignment="1">
      <alignment horizontal="right" vertical="center" wrapText="1"/>
    </xf>
    <xf numFmtId="0" fontId="202" fillId="0" borderId="0" xfId="3627" applyFont="1" applyFill="1"/>
    <xf numFmtId="0" fontId="60" fillId="0" borderId="0" xfId="0" applyFont="1" applyFill="1"/>
    <xf numFmtId="10" fontId="46" fillId="0" borderId="0" xfId="0" applyNumberFormat="1" applyFont="1" applyFill="1"/>
    <xf numFmtId="164" fontId="202" fillId="0" borderId="0" xfId="3627" applyNumberFormat="1" applyFont="1" applyFill="1"/>
    <xf numFmtId="0" fontId="201" fillId="0" borderId="0" xfId="3627" applyFont="1" applyFill="1" applyAlignment="1">
      <alignment horizontal="center"/>
    </xf>
    <xf numFmtId="0" fontId="201" fillId="0" borderId="0" xfId="3627" applyFont="1" applyFill="1" applyAlignment="1">
      <alignment horizontal="left" vertical="center" wrapText="1"/>
    </xf>
    <xf numFmtId="0" fontId="46" fillId="0" borderId="137" xfId="0" applyFont="1" applyFill="1" applyBorder="1" applyAlignment="1">
      <alignment horizontal="center" vertical="center" wrapText="1"/>
    </xf>
    <xf numFmtId="164" fontId="46" fillId="0" borderId="0" xfId="439" applyNumberFormat="1" applyFont="1" applyFill="1" applyAlignment="1" applyProtection="1">
      <alignment horizontal="center" vertical="center"/>
    </xf>
    <xf numFmtId="0" fontId="201" fillId="0" borderId="15" xfId="0" applyFont="1" applyFill="1" applyBorder="1" applyAlignment="1">
      <alignment vertical="center"/>
    </xf>
    <xf numFmtId="0" fontId="46" fillId="0" borderId="138" xfId="0" applyFont="1" applyFill="1" applyBorder="1" applyAlignment="1">
      <alignment horizontal="center" vertical="center" wrapText="1"/>
    </xf>
    <xf numFmtId="0" fontId="60" fillId="0" borderId="99" xfId="0" applyFont="1" applyFill="1" applyBorder="1" applyAlignment="1">
      <alignment vertical="center"/>
    </xf>
    <xf numFmtId="0" fontId="46" fillId="0" borderId="87" xfId="0" applyFont="1" applyFill="1" applyBorder="1" applyAlignment="1">
      <alignment wrapText="1"/>
    </xf>
    <xf numFmtId="40" fontId="46" fillId="0" borderId="0" xfId="0" applyNumberFormat="1" applyFont="1" applyFill="1"/>
    <xf numFmtId="4" fontId="46" fillId="0" borderId="0" xfId="0" applyNumberFormat="1" applyFont="1" applyFill="1"/>
    <xf numFmtId="0" fontId="46" fillId="0" borderId="0" xfId="31723" applyFont="1" applyFill="1" applyAlignment="1">
      <alignment horizontal="center" wrapText="1"/>
    </xf>
    <xf numFmtId="0" fontId="201" fillId="0" borderId="0" xfId="31723" applyFont="1" applyFill="1" applyAlignment="1">
      <alignment horizontal="center"/>
    </xf>
    <xf numFmtId="43" fontId="0" fillId="0" borderId="0" xfId="0" applyNumberFormat="1"/>
    <xf numFmtId="43" fontId="0" fillId="0" borderId="0" xfId="439" applyFont="1" applyFill="1"/>
    <xf numFmtId="10" fontId="0" fillId="0" borderId="0" xfId="4688" applyNumberFormat="1" applyFont="1" applyFill="1"/>
    <xf numFmtId="0" fontId="0" fillId="36" borderId="0" xfId="0" applyFill="1"/>
    <xf numFmtId="0" fontId="25" fillId="36" borderId="0" xfId="659" applyFont="1" applyFill="1" applyAlignment="1">
      <alignment horizontal="left" vertical="center" wrapText="1"/>
    </xf>
    <xf numFmtId="43" fontId="0" fillId="0" borderId="0" xfId="0" applyNumberFormat="1" applyFont="1" applyFill="1"/>
    <xf numFmtId="173" fontId="46" fillId="22" borderId="0" xfId="439" applyNumberFormat="1" applyFont="1" applyFill="1" applyAlignment="1" applyProtection="1">
      <alignment horizontal="center" vertical="center" wrapText="1"/>
    </xf>
    <xf numFmtId="164" fontId="46" fillId="22" borderId="0" xfId="439" applyNumberFormat="1" applyFont="1" applyFill="1" applyAlignment="1" applyProtection="1">
      <alignment horizontal="center" vertical="center" wrapText="1"/>
    </xf>
    <xf numFmtId="0" fontId="46" fillId="0" borderId="95" xfId="0" applyFont="1" applyFill="1" applyBorder="1" applyAlignment="1">
      <alignment horizontal="left" vertical="center" wrapText="1"/>
    </xf>
    <xf numFmtId="0" fontId="46" fillId="0" borderId="0" xfId="0" applyFont="1" applyFill="1" applyAlignment="1">
      <alignment horizontal="left" vertical="center" wrapText="1"/>
    </xf>
    <xf numFmtId="0" fontId="59" fillId="0" borderId="32" xfId="0" applyFont="1" applyBorder="1" applyAlignment="1">
      <alignment horizontal="center" wrapText="1"/>
    </xf>
    <xf numFmtId="49" fontId="0" fillId="0" borderId="32" xfId="0" applyNumberFormat="1" applyBorder="1" applyAlignment="1">
      <alignment horizontal="center"/>
    </xf>
    <xf numFmtId="49" fontId="0" fillId="0" borderId="33" xfId="0" applyNumberFormat="1" applyBorder="1" applyAlignment="1">
      <alignment horizontal="center"/>
    </xf>
    <xf numFmtId="3" fontId="0" fillId="0" borderId="0" xfId="0" applyNumberFormat="1"/>
    <xf numFmtId="1" fontId="46" fillId="0" borderId="0" xfId="0" applyNumberFormat="1" applyFont="1" applyFill="1" applyAlignment="1">
      <alignment horizontal="left" vertical="center"/>
    </xf>
    <xf numFmtId="164" fontId="46" fillId="0" borderId="0" xfId="439" applyNumberFormat="1" applyFont="1" applyFill="1" applyAlignment="1">
      <alignment horizontal="left"/>
    </xf>
    <xf numFmtId="0" fontId="0" fillId="0" borderId="0" xfId="0" applyFont="1" applyAlignment="1" applyProtection="1">
      <alignment horizontal="left"/>
    </xf>
    <xf numFmtId="10" fontId="0" fillId="0" borderId="57" xfId="0" applyNumberFormat="1" applyBorder="1" applyAlignment="1">
      <alignment horizontal="center" wrapText="1"/>
    </xf>
    <xf numFmtId="0" fontId="134" fillId="78" borderId="15" xfId="30099" applyFont="1" applyFill="1" applyBorder="1" applyAlignment="1">
      <alignment horizontal="left" wrapText="1"/>
    </xf>
    <xf numFmtId="0" fontId="134" fillId="78" borderId="0" xfId="30099" applyFont="1" applyFill="1" applyAlignment="1">
      <alignment horizontal="left" wrapText="1"/>
    </xf>
    <xf numFmtId="0" fontId="134" fillId="78" borderId="60" xfId="30099" applyFont="1" applyFill="1" applyBorder="1" applyAlignment="1">
      <alignment horizontal="left" wrapText="1"/>
    </xf>
    <xf numFmtId="0" fontId="40" fillId="78" borderId="86" xfId="0" applyFont="1" applyFill="1" applyBorder="1" applyAlignment="1">
      <alignment horizontal="left"/>
    </xf>
    <xf numFmtId="0" fontId="0" fillId="78" borderId="139" xfId="0" applyFill="1" applyBorder="1"/>
    <xf numFmtId="0" fontId="203" fillId="77" borderId="57" xfId="0" applyFont="1" applyFill="1" applyBorder="1" applyAlignment="1">
      <alignment horizontal="center" vertical="center" wrapText="1"/>
    </xf>
    <xf numFmtId="0" fontId="195" fillId="0" borderId="0" xfId="0" applyFont="1"/>
    <xf numFmtId="0" fontId="204" fillId="73" borderId="0" xfId="0" applyFont="1" applyFill="1" applyAlignment="1">
      <alignment horizontal="justify" vertical="center"/>
    </xf>
    <xf numFmtId="0" fontId="204" fillId="73" borderId="0" xfId="0" applyFont="1" applyFill="1" applyAlignment="1">
      <alignment vertical="center"/>
    </xf>
    <xf numFmtId="0" fontId="0" fillId="0" borderId="0" xfId="0" applyAlignment="1">
      <alignment vertical="center"/>
    </xf>
    <xf numFmtId="0" fontId="204" fillId="73" borderId="0" xfId="0" applyFont="1" applyFill="1" applyAlignment="1">
      <alignment vertical="center" wrapText="1"/>
    </xf>
    <xf numFmtId="0" fontId="208" fillId="73" borderId="0" xfId="611" applyFont="1" applyFill="1" applyAlignment="1">
      <alignment vertical="center"/>
    </xf>
    <xf numFmtId="0" fontId="209" fillId="73" borderId="0" xfId="0" applyFont="1" applyFill="1" applyAlignment="1">
      <alignment vertical="center"/>
    </xf>
    <xf numFmtId="0" fontId="210" fillId="73" borderId="0" xfId="611" applyFont="1" applyFill="1" applyAlignment="1" applyProtection="1">
      <alignment vertical="center"/>
      <protection locked="0"/>
    </xf>
    <xf numFmtId="0" fontId="209" fillId="73" borderId="0" xfId="0" applyFont="1" applyFill="1"/>
    <xf numFmtId="0" fontId="210" fillId="73" borderId="0" xfId="611" applyFont="1" applyFill="1" applyProtection="1">
      <protection locked="0"/>
    </xf>
    <xf numFmtId="0" fontId="121" fillId="73" borderId="0" xfId="30098" applyFont="1" applyFill="1" applyAlignment="1">
      <alignment horizontal="left" vertical="center" wrapText="1" indent="1"/>
    </xf>
    <xf numFmtId="0" fontId="121" fillId="73" borderId="0" xfId="30098" quotePrefix="1" applyFont="1" applyFill="1" applyAlignment="1">
      <alignment horizontal="left" vertical="center" wrapText="1" indent="1"/>
    </xf>
    <xf numFmtId="0" fontId="213" fillId="73" borderId="0" xfId="30098" applyFont="1" applyFill="1" applyAlignment="1">
      <alignment vertical="center" wrapText="1"/>
    </xf>
    <xf numFmtId="0" fontId="36" fillId="0" borderId="0" xfId="611"/>
    <xf numFmtId="0" fontId="204" fillId="73" borderId="0" xfId="30098" applyFont="1" applyFill="1" applyAlignment="1">
      <alignment vertical="center" wrapText="1"/>
    </xf>
    <xf numFmtId="0" fontId="210" fillId="73" borderId="0" xfId="611" applyFont="1" applyFill="1" applyAlignment="1">
      <alignment vertical="center"/>
    </xf>
    <xf numFmtId="0" fontId="215" fillId="78" borderId="15" xfId="30099" applyFont="1" applyFill="1" applyBorder="1" applyAlignment="1">
      <alignment horizontal="left" vertical="center"/>
    </xf>
    <xf numFmtId="0" fontId="133" fillId="78" borderId="0" xfId="30099" applyFont="1" applyFill="1" applyAlignment="1">
      <alignment horizontal="left" vertical="center"/>
    </xf>
    <xf numFmtId="0" fontId="215" fillId="78" borderId="0" xfId="30099" applyFont="1" applyFill="1" applyAlignment="1">
      <alignment horizontal="left" vertical="center"/>
    </xf>
    <xf numFmtId="0" fontId="134" fillId="78" borderId="40" xfId="30099" applyFont="1" applyFill="1" applyBorder="1" applyAlignment="1"/>
    <xf numFmtId="0" fontId="134" fillId="78" borderId="41" xfId="30099" applyFont="1" applyFill="1" applyBorder="1" applyAlignment="1"/>
    <xf numFmtId="0" fontId="134" fillId="78" borderId="42" xfId="30099" applyFont="1" applyFill="1" applyBorder="1" applyAlignment="1"/>
    <xf numFmtId="14" fontId="0" fillId="0" borderId="0" xfId="0" applyNumberFormat="1" applyFont="1" applyProtection="1"/>
    <xf numFmtId="38" fontId="0" fillId="34" borderId="0" xfId="0" applyNumberFormat="1" applyFill="1" applyAlignment="1" applyProtection="1">
      <alignment vertical="center" wrapText="1"/>
      <protection locked="0"/>
    </xf>
    <xf numFmtId="164" fontId="59" fillId="34" borderId="29" xfId="439" applyNumberFormat="1" applyFont="1" applyFill="1" applyBorder="1" applyAlignment="1" applyProtection="1">
      <alignment horizontal="center" vertical="center" wrapText="1"/>
    </xf>
    <xf numFmtId="0" fontId="0" fillId="34" borderId="25" xfId="0" applyNumberFormat="1" applyFont="1" applyFill="1" applyBorder="1" applyAlignment="1" applyProtection="1">
      <alignment horizontal="center" vertical="center" wrapText="1"/>
    </xf>
    <xf numFmtId="0" fontId="146" fillId="26" borderId="0" xfId="30099" applyFont="1" applyFill="1" applyAlignment="1">
      <alignment horizontal="right" vertical="center" wrapText="1"/>
    </xf>
    <xf numFmtId="0" fontId="155" fillId="26" borderId="0" xfId="30099" applyFont="1" applyFill="1" applyAlignment="1">
      <alignment horizontal="left" vertical="center" wrapText="1"/>
    </xf>
    <xf numFmtId="2" fontId="46" fillId="0" borderId="0" xfId="439" applyNumberFormat="1" applyFont="1" applyFill="1"/>
    <xf numFmtId="40" fontId="46" fillId="86" borderId="0" xfId="0" applyNumberFormat="1" applyFont="1" applyFill="1"/>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0" fillId="74" borderId="0" xfId="0" applyFont="1" applyFill="1" applyAlignment="1" applyProtection="1">
      <alignment horizontal="left" vertical="center" wrapText="1"/>
    </xf>
    <xf numFmtId="0" fontId="40" fillId="0" borderId="13" xfId="0" applyFont="1" applyBorder="1" applyAlignment="1">
      <alignment horizontal="center"/>
    </xf>
    <xf numFmtId="0" fontId="40" fillId="0" borderId="16" xfId="0" applyFont="1" applyBorder="1" applyAlignment="1">
      <alignment horizontal="center"/>
    </xf>
    <xf numFmtId="0" fontId="40" fillId="0" borderId="11" xfId="0" applyFont="1" applyBorder="1" applyAlignment="1">
      <alignment horizontal="center"/>
    </xf>
    <xf numFmtId="0" fontId="60" fillId="74" borderId="118" xfId="0" applyFont="1" applyFill="1" applyBorder="1" applyAlignment="1">
      <alignment horizontal="center" vertical="center" wrapText="1"/>
    </xf>
    <xf numFmtId="0" fontId="0" fillId="0" borderId="38" xfId="0" applyFont="1" applyBorder="1" applyAlignment="1">
      <alignment horizontal="left" wrapText="1"/>
    </xf>
    <xf numFmtId="0" fontId="0" fillId="0" borderId="13" xfId="0" applyFont="1" applyBorder="1" applyAlignment="1">
      <alignment horizontal="left" wrapText="1"/>
    </xf>
    <xf numFmtId="0" fontId="0" fillId="0" borderId="16" xfId="0" applyFont="1" applyBorder="1" applyAlignment="1">
      <alignment horizontal="left" wrapText="1"/>
    </xf>
    <xf numFmtId="0" fontId="0" fillId="0" borderId="13" xfId="0" applyFont="1" applyBorder="1" applyAlignment="1">
      <alignment horizontal="left"/>
    </xf>
    <xf numFmtId="0" fontId="0" fillId="0" borderId="16" xfId="0" applyFont="1" applyBorder="1" applyAlignment="1">
      <alignment horizontal="left"/>
    </xf>
    <xf numFmtId="0" fontId="0" fillId="0" borderId="13" xfId="0" applyFont="1" applyFill="1" applyBorder="1" applyAlignment="1">
      <alignment horizontal="left" wrapText="1"/>
    </xf>
    <xf numFmtId="0" fontId="0" fillId="0" borderId="16" xfId="0" applyFont="1" applyFill="1" applyBorder="1" applyAlignment="1">
      <alignment horizontal="left" wrapText="1"/>
    </xf>
    <xf numFmtId="0" fontId="129" fillId="0" borderId="67" xfId="30099" applyFont="1" applyBorder="1" applyAlignment="1" applyProtection="1">
      <alignment horizontal="left" vertical="center"/>
      <protection locked="0"/>
    </xf>
    <xf numFmtId="0" fontId="129" fillId="0" borderId="68" xfId="30099" applyFont="1" applyBorder="1" applyAlignment="1" applyProtection="1">
      <alignment horizontal="left" vertical="center"/>
      <protection locked="0"/>
    </xf>
    <xf numFmtId="0" fontId="129" fillId="0" borderId="69" xfId="30099" applyFont="1" applyBorder="1" applyAlignment="1" applyProtection="1">
      <alignment horizontal="left" vertical="center"/>
      <protection locked="0"/>
    </xf>
    <xf numFmtId="0" fontId="149" fillId="26" borderId="0" xfId="30099" applyFont="1" applyFill="1" applyAlignment="1">
      <alignment horizontal="right" vertical="center" wrapText="1"/>
    </xf>
    <xf numFmtId="0" fontId="151" fillId="26" borderId="0" xfId="30099" applyFont="1" applyFill="1" applyAlignment="1">
      <alignment horizontal="center" vertical="center" wrapText="1"/>
    </xf>
    <xf numFmtId="0" fontId="141" fillId="26" borderId="0" xfId="30099" applyFont="1" applyFill="1" applyAlignment="1">
      <alignment horizontal="left" vertical="center" wrapText="1"/>
    </xf>
    <xf numFmtId="0" fontId="129" fillId="26" borderId="0" xfId="30099" applyFont="1" applyFill="1" applyAlignment="1">
      <alignment horizontal="left" vertical="center" wrapText="1"/>
    </xf>
    <xf numFmtId="0" fontId="129" fillId="26" borderId="60" xfId="30099" applyFont="1" applyFill="1" applyBorder="1" applyAlignment="1">
      <alignment horizontal="left" vertical="center" wrapText="1"/>
    </xf>
    <xf numFmtId="0" fontId="135" fillId="26" borderId="0" xfId="30099" applyFont="1" applyFill="1" applyAlignment="1">
      <alignment horizontal="left" wrapText="1"/>
    </xf>
    <xf numFmtId="0" fontId="135" fillId="26" borderId="60" xfId="30099" applyFont="1" applyFill="1" applyBorder="1" applyAlignment="1">
      <alignment horizontal="left" wrapText="1"/>
    </xf>
    <xf numFmtId="0" fontId="135" fillId="26" borderId="0" xfId="30099" applyFont="1" applyFill="1" applyBorder="1" applyAlignment="1">
      <alignment horizontal="left" wrapText="1"/>
    </xf>
    <xf numFmtId="0" fontId="129" fillId="26" borderId="0" xfId="30099" applyFont="1" applyFill="1" applyAlignment="1">
      <alignment horizontal="left" vertical="top" wrapText="1"/>
    </xf>
    <xf numFmtId="0" fontId="129" fillId="26" borderId="72" xfId="30099" applyFont="1" applyFill="1" applyBorder="1" applyAlignment="1">
      <alignment horizontal="left" vertical="center" wrapText="1"/>
    </xf>
    <xf numFmtId="0" fontId="145" fillId="26" borderId="41" xfId="30099" applyFont="1" applyFill="1" applyBorder="1" applyAlignment="1">
      <alignment horizontal="center" vertical="center" wrapText="1"/>
    </xf>
    <xf numFmtId="164" fontId="136" fillId="79" borderId="13" xfId="30100" applyNumberFormat="1" applyFont="1" applyFill="1" applyBorder="1" applyAlignment="1">
      <alignment horizontal="center" vertical="center" wrapText="1"/>
    </xf>
    <xf numFmtId="164" fontId="136" fillId="79" borderId="16" xfId="30100" applyNumberFormat="1" applyFont="1" applyFill="1" applyBorder="1" applyAlignment="1">
      <alignment horizontal="center" vertical="center" wrapText="1"/>
    </xf>
    <xf numFmtId="164" fontId="136" fillId="79" borderId="11" xfId="30100" applyNumberFormat="1" applyFont="1" applyFill="1" applyBorder="1" applyAlignment="1">
      <alignment horizontal="center" vertical="center" wrapText="1"/>
    </xf>
    <xf numFmtId="0" fontId="129" fillId="26" borderId="0" xfId="30099" applyFont="1" applyFill="1" applyAlignment="1">
      <alignment horizontal="left" wrapText="1"/>
    </xf>
    <xf numFmtId="0" fontId="129" fillId="26" borderId="72" xfId="30099" applyFont="1" applyFill="1" applyBorder="1" applyAlignment="1">
      <alignment horizontal="left" wrapText="1"/>
    </xf>
    <xf numFmtId="0" fontId="134" fillId="78" borderId="15" xfId="30099" applyFont="1" applyFill="1" applyBorder="1" applyAlignment="1">
      <alignment horizontal="left" wrapText="1"/>
    </xf>
    <xf numFmtId="0" fontId="134" fillId="78" borderId="0" xfId="30099" applyFont="1" applyFill="1" applyBorder="1" applyAlignment="1">
      <alignment horizontal="left" wrapText="1"/>
    </xf>
    <xf numFmtId="0" fontId="134" fillId="78" borderId="60" xfId="30099" applyFont="1" applyFill="1" applyBorder="1" applyAlignment="1">
      <alignment horizontal="left" wrapText="1"/>
    </xf>
    <xf numFmtId="0" fontId="143" fillId="26" borderId="0" xfId="30099" applyFont="1" applyFill="1" applyAlignment="1">
      <alignment horizontal="left" vertical="center" wrapText="1"/>
    </xf>
    <xf numFmtId="0" fontId="119" fillId="0" borderId="67" xfId="29597" applyFill="1" applyBorder="1" applyAlignment="1" applyProtection="1">
      <alignment horizontal="left" vertical="center"/>
      <protection locked="0"/>
    </xf>
    <xf numFmtId="0" fontId="130" fillId="78" borderId="13" xfId="30099" applyFont="1" applyFill="1" applyBorder="1" applyAlignment="1">
      <alignment horizontal="center" vertical="center" wrapText="1"/>
    </xf>
    <xf numFmtId="0" fontId="130" fillId="78" borderId="16" xfId="30099" applyFont="1" applyFill="1" applyBorder="1" applyAlignment="1">
      <alignment horizontal="center" vertical="center" wrapText="1"/>
    </xf>
    <xf numFmtId="0" fontId="130" fillId="78" borderId="11" xfId="30099" applyFont="1" applyFill="1" applyBorder="1" applyAlignment="1">
      <alignment horizontal="center" vertical="center" wrapText="1"/>
    </xf>
    <xf numFmtId="0" fontId="130" fillId="78" borderId="13" xfId="30099" applyFont="1" applyFill="1" applyBorder="1" applyAlignment="1">
      <alignment horizontal="center" vertical="top" wrapText="1"/>
    </xf>
    <xf numFmtId="0" fontId="130" fillId="78" borderId="16" xfId="30099" applyFont="1" applyFill="1" applyBorder="1" applyAlignment="1">
      <alignment horizontal="center" vertical="top" wrapText="1"/>
    </xf>
    <xf numFmtId="0" fontId="130" fillId="78" borderId="11" xfId="30099" applyFont="1" applyFill="1" applyBorder="1" applyAlignment="1">
      <alignment horizontal="center" vertical="top" wrapText="1"/>
    </xf>
    <xf numFmtId="164" fontId="132" fillId="79" borderId="13" xfId="30100" applyNumberFormat="1" applyFont="1" applyFill="1" applyBorder="1" applyAlignment="1">
      <alignment horizontal="center" vertical="center"/>
    </xf>
    <xf numFmtId="164" fontId="132" fillId="79" borderId="16" xfId="30100" applyNumberFormat="1" applyFont="1" applyFill="1" applyBorder="1" applyAlignment="1">
      <alignment horizontal="center" vertical="center"/>
    </xf>
    <xf numFmtId="164" fontId="132" fillId="79" borderId="11" xfId="30100" applyNumberFormat="1" applyFont="1" applyFill="1" applyBorder="1" applyAlignment="1">
      <alignment horizontal="center" vertical="center"/>
    </xf>
    <xf numFmtId="0" fontId="134" fillId="78" borderId="38" xfId="30099" applyFont="1" applyFill="1" applyBorder="1" applyAlignment="1">
      <alignment horizontal="left" vertical="top"/>
    </xf>
    <xf numFmtId="0" fontId="134" fillId="78" borderId="39" xfId="30099" applyFont="1" applyFill="1" applyBorder="1" applyAlignment="1">
      <alignment horizontal="left" vertical="top"/>
    </xf>
    <xf numFmtId="0" fontId="146" fillId="0" borderId="67" xfId="30099" applyFont="1" applyBorder="1" applyAlignment="1" applyProtection="1">
      <alignment horizontal="left" vertical="center"/>
      <protection locked="0"/>
    </xf>
    <xf numFmtId="0" fontId="146" fillId="0" borderId="68" xfId="30099" applyFont="1" applyBorder="1" applyAlignment="1" applyProtection="1">
      <alignment horizontal="left" vertical="center"/>
      <protection locked="0"/>
    </xf>
    <xf numFmtId="0" fontId="146" fillId="0" borderId="69" xfId="30099" applyFont="1" applyBorder="1" applyAlignment="1" applyProtection="1">
      <alignment horizontal="left" vertical="center"/>
      <protection locked="0"/>
    </xf>
    <xf numFmtId="0" fontId="129" fillId="0" borderId="13" xfId="30099" applyFont="1" applyBorder="1" applyAlignment="1" applyProtection="1">
      <alignment horizontal="left" vertical="center"/>
      <protection locked="0"/>
    </xf>
    <xf numFmtId="0" fontId="129" fillId="0" borderId="11" xfId="30099" applyFont="1" applyBorder="1" applyAlignment="1" applyProtection="1">
      <alignment horizontal="left" vertical="center"/>
      <protection locked="0"/>
    </xf>
    <xf numFmtId="0" fontId="145" fillId="26" borderId="0" xfId="30099" applyFont="1" applyFill="1" applyAlignment="1">
      <alignment horizontal="center" vertical="center" wrapText="1"/>
    </xf>
    <xf numFmtId="0" fontId="141" fillId="26" borderId="15" xfId="30099" applyFont="1" applyFill="1" applyBorder="1" applyAlignment="1">
      <alignment horizontal="center" vertical="top"/>
    </xf>
    <xf numFmtId="0" fontId="141" fillId="26" borderId="0" xfId="30099" applyFont="1" applyFill="1" applyAlignment="1">
      <alignment horizontal="center" vertical="top"/>
    </xf>
    <xf numFmtId="0" fontId="141" fillId="26" borderId="0" xfId="30099" applyFont="1" applyFill="1" applyAlignment="1">
      <alignment horizontal="center" vertical="top" wrapText="1"/>
    </xf>
    <xf numFmtId="0" fontId="196" fillId="0" borderId="13" xfId="0" applyFont="1" applyBorder="1" applyAlignment="1">
      <alignment horizontal="center" vertical="center"/>
    </xf>
    <xf numFmtId="0" fontId="196" fillId="0" borderId="16" xfId="0" applyFont="1" applyBorder="1" applyAlignment="1">
      <alignment horizontal="center" vertical="center"/>
    </xf>
    <xf numFmtId="0" fontId="196" fillId="0" borderId="11" xfId="0" applyFont="1" applyBorder="1" applyAlignment="1">
      <alignment horizontal="center" vertical="center"/>
    </xf>
    <xf numFmtId="0" fontId="60" fillId="34" borderId="13" xfId="0" applyFont="1" applyFill="1" applyBorder="1" applyAlignment="1">
      <alignment horizontal="center" vertical="center" wrapText="1"/>
    </xf>
    <xf numFmtId="0" fontId="60" fillId="34" borderId="16" xfId="0" applyFont="1" applyFill="1" applyBorder="1" applyAlignment="1">
      <alignment horizontal="center" vertical="center" wrapText="1"/>
    </xf>
    <xf numFmtId="0" fontId="60" fillId="34" borderId="11" xfId="0" applyFont="1" applyFill="1" applyBorder="1" applyAlignment="1">
      <alignment horizontal="center" vertical="center" wrapText="1"/>
    </xf>
    <xf numFmtId="0" fontId="0" fillId="78" borderId="140" xfId="0" applyFill="1" applyBorder="1" applyAlignment="1">
      <alignment horizontal="center"/>
    </xf>
    <xf numFmtId="0" fontId="0" fillId="78" borderId="17" xfId="0" applyFill="1" applyBorder="1" applyAlignment="1">
      <alignment horizontal="center"/>
    </xf>
    <xf numFmtId="0" fontId="50" fillId="0" borderId="10" xfId="0" applyFont="1" applyBorder="1" applyAlignment="1">
      <alignment horizontal="center" vertical="center" wrapText="1"/>
    </xf>
    <xf numFmtId="0" fontId="40" fillId="0" borderId="22" xfId="0" applyFont="1" applyBorder="1" applyAlignment="1">
      <alignment horizontal="center" vertical="center"/>
    </xf>
    <xf numFmtId="0" fontId="40" fillId="0" borderId="0" xfId="0" applyFont="1" applyAlignment="1">
      <alignment horizontal="center" vertical="center"/>
    </xf>
    <xf numFmtId="0" fontId="40" fillId="0" borderId="85" xfId="0" applyFont="1" applyBorder="1" applyAlignment="1">
      <alignment horizontal="center" vertical="center"/>
    </xf>
    <xf numFmtId="0" fontId="40" fillId="0" borderId="141" xfId="0" applyFont="1" applyBorder="1" applyAlignment="1">
      <alignment horizontal="center" vertical="center"/>
    </xf>
    <xf numFmtId="0" fontId="50" fillId="0" borderId="85" xfId="0" applyFont="1" applyBorder="1" applyAlignment="1">
      <alignment horizontal="center" vertical="center"/>
    </xf>
    <xf numFmtId="0" fontId="40" fillId="78" borderId="13" xfId="0" applyFont="1" applyFill="1" applyBorder="1" applyAlignment="1">
      <alignment horizontal="center" wrapText="1"/>
    </xf>
    <xf numFmtId="0" fontId="40" fillId="78" borderId="16" xfId="0" applyFont="1" applyFill="1" applyBorder="1" applyAlignment="1">
      <alignment horizontal="center" wrapText="1"/>
    </xf>
    <xf numFmtId="0" fontId="40" fillId="78" borderId="11" xfId="0" applyFont="1" applyFill="1" applyBorder="1" applyAlignment="1">
      <alignment horizontal="center" wrapText="1"/>
    </xf>
    <xf numFmtId="0" fontId="60" fillId="0" borderId="37" xfId="0" applyFont="1" applyBorder="1" applyAlignment="1">
      <alignment horizontal="center" wrapText="1"/>
    </xf>
    <xf numFmtId="0" fontId="60" fillId="0" borderId="38" xfId="0" applyFont="1" applyBorder="1" applyAlignment="1">
      <alignment horizontal="center" wrapText="1"/>
    </xf>
    <xf numFmtId="0" fontId="60" fillId="0" borderId="39" xfId="0" applyFont="1" applyBorder="1" applyAlignment="1">
      <alignment horizontal="center" wrapText="1"/>
    </xf>
    <xf numFmtId="0" fontId="60" fillId="0" borderId="15" xfId="0" applyFont="1" applyBorder="1" applyAlignment="1">
      <alignment horizontal="center" wrapText="1"/>
    </xf>
    <xf numFmtId="0" fontId="60" fillId="0" borderId="0" xfId="0" applyFont="1" applyAlignment="1">
      <alignment horizontal="center" wrapText="1"/>
    </xf>
    <xf numFmtId="0" fontId="60" fillId="0" borderId="60" xfId="0" applyFont="1" applyBorder="1" applyAlignment="1">
      <alignment horizontal="center" wrapText="1"/>
    </xf>
    <xf numFmtId="0" fontId="38" fillId="78" borderId="71" xfId="0" applyFont="1" applyFill="1" applyBorder="1" applyAlignment="1">
      <alignment horizontal="left" vertical="center" wrapText="1"/>
    </xf>
    <xf numFmtId="0" fontId="38" fillId="78" borderId="128" xfId="0" applyFont="1" applyFill="1" applyBorder="1" applyAlignment="1">
      <alignment horizontal="left" vertical="center" wrapText="1"/>
    </xf>
    <xf numFmtId="0" fontId="38" fillId="78" borderId="73" xfId="0" applyFont="1" applyFill="1" applyBorder="1" applyAlignment="1">
      <alignment horizontal="left" vertical="center" wrapText="1"/>
    </xf>
    <xf numFmtId="0" fontId="60" fillId="78" borderId="57" xfId="0" applyFont="1" applyFill="1" applyBorder="1" applyAlignment="1">
      <alignment horizontal="left" wrapText="1"/>
    </xf>
    <xf numFmtId="0" fontId="40" fillId="0" borderId="13" xfId="0" applyFont="1" applyBorder="1" applyAlignment="1">
      <alignment horizontal="left" wrapText="1"/>
    </xf>
    <xf numFmtId="0" fontId="40" fillId="0" borderId="16" xfId="0" applyFont="1" applyBorder="1" applyAlignment="1">
      <alignment horizontal="left" wrapText="1"/>
    </xf>
    <xf numFmtId="0" fontId="40" fillId="0" borderId="11" xfId="0" applyFont="1" applyBorder="1" applyAlignment="1">
      <alignment horizontal="left" wrapText="1"/>
    </xf>
    <xf numFmtId="0" fontId="40" fillId="78" borderId="13" xfId="0" applyFont="1" applyFill="1" applyBorder="1" applyAlignment="1">
      <alignment horizontal="left" wrapText="1"/>
    </xf>
    <xf numFmtId="0" fontId="40" fillId="78" borderId="16" xfId="0" applyFont="1" applyFill="1" applyBorder="1" applyAlignment="1">
      <alignment horizontal="left" wrapText="1"/>
    </xf>
    <xf numFmtId="0" fontId="40" fillId="78" borderId="11" xfId="0" applyFont="1" applyFill="1" applyBorder="1" applyAlignment="1">
      <alignment horizontal="left" wrapText="1"/>
    </xf>
    <xf numFmtId="0" fontId="60" fillId="78" borderId="13" xfId="0" applyFont="1" applyFill="1" applyBorder="1" applyAlignment="1">
      <alignment horizontal="left" wrapText="1"/>
    </xf>
    <xf numFmtId="0" fontId="60" fillId="78" borderId="16" xfId="0" applyFont="1" applyFill="1" applyBorder="1" applyAlignment="1">
      <alignment horizontal="left" wrapText="1"/>
    </xf>
    <xf numFmtId="0" fontId="40" fillId="0" borderId="13" xfId="0" applyFont="1" applyBorder="1" applyAlignment="1">
      <alignment horizontal="center" wrapText="1"/>
    </xf>
    <xf numFmtId="0" fontId="40" fillId="0" borderId="16" xfId="0" applyFont="1" applyBorder="1" applyAlignment="1">
      <alignment horizontal="center" wrapText="1"/>
    </xf>
    <xf numFmtId="0" fontId="40" fillId="0" borderId="11" xfId="0" applyFont="1" applyBorder="1" applyAlignment="1">
      <alignment horizontal="center" wrapText="1"/>
    </xf>
    <xf numFmtId="0" fontId="60" fillId="78" borderId="134" xfId="0" applyFont="1" applyFill="1" applyBorder="1" applyAlignment="1">
      <alignment horizontal="left" wrapText="1"/>
    </xf>
    <xf numFmtId="0" fontId="40" fillId="78" borderId="57" xfId="0" applyFont="1" applyFill="1" applyBorder="1" applyAlignment="1">
      <alignment horizontal="left" wrapText="1"/>
    </xf>
    <xf numFmtId="0" fontId="196" fillId="0" borderId="40" xfId="0" applyFont="1" applyBorder="1" applyAlignment="1">
      <alignment horizontal="center" vertical="center"/>
    </xf>
    <xf numFmtId="0" fontId="196" fillId="0" borderId="41" xfId="0" applyFont="1" applyBorder="1" applyAlignment="1">
      <alignment horizontal="center" vertical="center"/>
    </xf>
    <xf numFmtId="0" fontId="163" fillId="73" borderId="71" xfId="0" applyFont="1" applyFill="1" applyBorder="1" applyAlignment="1">
      <alignment horizontal="center" vertical="center" wrapText="1"/>
    </xf>
    <xf numFmtId="0" fontId="163" fillId="73" borderId="128" xfId="0" applyFont="1" applyFill="1" applyBorder="1" applyAlignment="1">
      <alignment horizontal="center" vertical="center" wrapText="1"/>
    </xf>
    <xf numFmtId="0" fontId="163" fillId="73" borderId="60" xfId="0" applyFont="1" applyFill="1" applyBorder="1" applyAlignment="1">
      <alignment horizontal="center" vertical="center" wrapText="1"/>
    </xf>
    <xf numFmtId="0" fontId="163" fillId="73" borderId="42" xfId="0" applyFont="1" applyFill="1" applyBorder="1" applyAlignment="1">
      <alignment horizontal="center" vertical="center" wrapText="1"/>
    </xf>
    <xf numFmtId="0" fontId="40" fillId="78" borderId="71" xfId="0" applyFont="1" applyFill="1" applyBorder="1" applyAlignment="1">
      <alignment horizontal="center" vertical="center" wrapText="1"/>
    </xf>
    <xf numFmtId="0" fontId="40" fillId="78" borderId="128" xfId="0" applyFont="1" applyFill="1" applyBorder="1" applyAlignment="1">
      <alignment horizontal="center" vertical="center" wrapText="1"/>
    </xf>
    <xf numFmtId="0" fontId="40" fillId="78" borderId="73" xfId="0" applyFont="1" applyFill="1" applyBorder="1" applyAlignment="1">
      <alignment horizontal="center" vertical="center" wrapText="1"/>
    </xf>
    <xf numFmtId="0" fontId="0" fillId="0" borderId="71" xfId="0" applyFill="1" applyBorder="1" applyAlignment="1">
      <alignment horizontal="center" vertical="center" wrapText="1"/>
    </xf>
    <xf numFmtId="0" fontId="0" fillId="0" borderId="128" xfId="0" applyFill="1" applyBorder="1" applyAlignment="1">
      <alignment horizontal="center" vertical="center" wrapText="1"/>
    </xf>
    <xf numFmtId="0" fontId="0" fillId="0" borderId="73" xfId="0" applyFill="1" applyBorder="1" applyAlignment="1">
      <alignment horizontal="center" vertical="center" wrapText="1"/>
    </xf>
    <xf numFmtId="0" fontId="0" fillId="78" borderId="13" xfId="0" applyFill="1" applyBorder="1" applyAlignment="1">
      <alignment horizontal="center"/>
    </xf>
    <xf numFmtId="0" fontId="0" fillId="78" borderId="16" xfId="0" applyFill="1" applyBorder="1" applyAlignment="1">
      <alignment horizontal="center"/>
    </xf>
    <xf numFmtId="0" fontId="0" fillId="78" borderId="11" xfId="0" applyFill="1" applyBorder="1" applyAlignment="1">
      <alignment horizontal="center"/>
    </xf>
    <xf numFmtId="0" fontId="40" fillId="78" borderId="57" xfId="0" applyFont="1" applyFill="1" applyBorder="1" applyAlignment="1">
      <alignment horizontal="left" vertical="center" wrapText="1"/>
    </xf>
    <xf numFmtId="0" fontId="60" fillId="78" borderId="11" xfId="0" applyFont="1" applyFill="1" applyBorder="1" applyAlignment="1">
      <alignment horizontal="left" wrapText="1"/>
    </xf>
    <xf numFmtId="0" fontId="40" fillId="78" borderId="84" xfId="0" applyFont="1" applyFill="1" applyBorder="1" applyAlignment="1">
      <alignment horizontal="left" wrapText="1"/>
    </xf>
    <xf numFmtId="0" fontId="40" fillId="78" borderId="14" xfId="0" applyFont="1" applyFill="1" applyBorder="1" applyAlignment="1">
      <alignment horizontal="left" wrapText="1"/>
    </xf>
    <xf numFmtId="0" fontId="40" fillId="78" borderId="21" xfId="0" applyFont="1" applyFill="1" applyBorder="1" applyAlignment="1">
      <alignment horizontal="left" wrapText="1"/>
    </xf>
    <xf numFmtId="0" fontId="40" fillId="78" borderId="88" xfId="0" applyFont="1" applyFill="1" applyBorder="1" applyAlignment="1">
      <alignment horizontal="left" wrapText="1"/>
    </xf>
    <xf numFmtId="0" fontId="40" fillId="78" borderId="94" xfId="0" applyFont="1" applyFill="1" applyBorder="1" applyAlignment="1">
      <alignment horizontal="left" wrapText="1"/>
    </xf>
    <xf numFmtId="0" fontId="40" fillId="78" borderId="93" xfId="0" applyFont="1" applyFill="1" applyBorder="1" applyAlignment="1">
      <alignment horizontal="left" wrapText="1"/>
    </xf>
    <xf numFmtId="0" fontId="40" fillId="78" borderId="88" xfId="0" applyFont="1" applyFill="1" applyBorder="1" applyAlignment="1">
      <alignment horizontal="left" vertical="center" wrapText="1"/>
    </xf>
    <xf numFmtId="0" fontId="40" fillId="78" borderId="94" xfId="0" applyFont="1" applyFill="1" applyBorder="1" applyAlignment="1">
      <alignment horizontal="left" vertical="center" wrapText="1"/>
    </xf>
    <xf numFmtId="0" fontId="40" fillId="78" borderId="93" xfId="0" applyFont="1" applyFill="1" applyBorder="1" applyAlignment="1">
      <alignment horizontal="left" vertical="center" wrapText="1"/>
    </xf>
    <xf numFmtId="0" fontId="40" fillId="78" borderId="101" xfId="0" applyFont="1" applyFill="1" applyBorder="1" applyAlignment="1">
      <alignment horizontal="left" wrapText="1"/>
    </xf>
    <xf numFmtId="0" fontId="40" fillId="0" borderId="88" xfId="0" applyFont="1" applyFill="1" applyBorder="1" applyAlignment="1">
      <alignment horizontal="left" wrapText="1"/>
    </xf>
    <xf numFmtId="0" fontId="40" fillId="0" borderId="101" xfId="0" applyFont="1" applyFill="1" applyBorder="1" applyAlignment="1">
      <alignment horizontal="left" wrapText="1"/>
    </xf>
    <xf numFmtId="0" fontId="40" fillId="78" borderId="101" xfId="0" applyFont="1" applyFill="1" applyBorder="1" applyAlignment="1">
      <alignment horizontal="left" vertical="center" wrapText="1"/>
    </xf>
    <xf numFmtId="0" fontId="60" fillId="78" borderId="88" xfId="0" applyFont="1" applyFill="1" applyBorder="1" applyAlignment="1">
      <alignment horizontal="left" vertical="center" wrapText="1"/>
    </xf>
    <xf numFmtId="0" fontId="60" fillId="78" borderId="101" xfId="0" applyFont="1" applyFill="1" applyBorder="1" applyAlignment="1">
      <alignment horizontal="left" vertical="center" wrapText="1"/>
    </xf>
    <xf numFmtId="0" fontId="40" fillId="78" borderId="113" xfId="0" applyFont="1" applyFill="1" applyBorder="1" applyAlignment="1">
      <alignment horizontal="left" wrapText="1"/>
    </xf>
    <xf numFmtId="0" fontId="40" fillId="78" borderId="109" xfId="0" applyFont="1" applyFill="1" applyBorder="1" applyAlignment="1">
      <alignment horizontal="left" wrapText="1"/>
    </xf>
    <xf numFmtId="0" fontId="0" fillId="78" borderId="80" xfId="0" applyFont="1" applyFill="1" applyBorder="1" applyAlignment="1">
      <alignment horizontal="center"/>
    </xf>
    <xf numFmtId="0" fontId="0" fillId="78" borderId="81" xfId="0" applyFont="1" applyFill="1" applyBorder="1" applyAlignment="1">
      <alignment horizontal="center"/>
    </xf>
    <xf numFmtId="0" fontId="50" fillId="73" borderId="10" xfId="0" applyFont="1" applyFill="1" applyBorder="1" applyAlignment="1">
      <alignment horizontal="center" vertical="center" wrapText="1"/>
    </xf>
    <xf numFmtId="0" fontId="47" fillId="73" borderId="10" xfId="0" applyFont="1" applyFill="1" applyBorder="1" applyAlignment="1">
      <alignment horizontal="center" vertical="center" wrapText="1"/>
    </xf>
    <xf numFmtId="0" fontId="47" fillId="73" borderId="85" xfId="0" applyFont="1" applyFill="1" applyBorder="1" applyAlignment="1">
      <alignment horizontal="center" vertical="center" wrapText="1"/>
    </xf>
    <xf numFmtId="0" fontId="0" fillId="73" borderId="10" xfId="0" applyFont="1" applyFill="1" applyBorder="1" applyAlignment="1">
      <alignment horizontal="center" vertical="center"/>
    </xf>
    <xf numFmtId="0" fontId="163" fillId="73" borderId="75" xfId="0" applyFont="1" applyFill="1" applyBorder="1" applyAlignment="1">
      <alignment horizontal="center" vertical="center" wrapText="1"/>
    </xf>
    <xf numFmtId="0" fontId="163" fillId="73" borderId="0" xfId="0" applyFont="1" applyFill="1" applyBorder="1" applyAlignment="1">
      <alignment horizontal="center" vertical="center" wrapText="1"/>
    </xf>
    <xf numFmtId="0" fontId="164" fillId="73" borderId="114" xfId="0" applyFont="1" applyFill="1" applyBorder="1" applyAlignment="1">
      <alignment horizontal="center" vertical="center" wrapText="1"/>
    </xf>
    <xf numFmtId="0" fontId="164" fillId="73" borderId="115" xfId="0" applyFont="1" applyFill="1" applyBorder="1" applyAlignment="1">
      <alignment horizontal="center" vertical="center" wrapText="1"/>
    </xf>
    <xf numFmtId="0" fontId="54" fillId="0" borderId="0" xfId="682" applyFont="1" applyAlignment="1">
      <alignment horizontal="left" wrapText="1"/>
    </xf>
    <xf numFmtId="0" fontId="172" fillId="27" borderId="0" xfId="682" applyFont="1" applyFill="1" applyAlignment="1">
      <alignment horizontal="left" vertical="center" wrapText="1"/>
    </xf>
    <xf numFmtId="0" fontId="169" fillId="0" borderId="0" xfId="682" applyFont="1" applyAlignment="1">
      <alignment horizontal="center" vertical="center"/>
    </xf>
    <xf numFmtId="0" fontId="40" fillId="27" borderId="0" xfId="682" applyFont="1" applyFill="1" applyAlignment="1">
      <alignment horizontal="left" wrapText="1"/>
    </xf>
    <xf numFmtId="0" fontId="46" fillId="0" borderId="0" xfId="30099" applyFont="1" applyAlignment="1">
      <alignment horizontal="left" vertical="top" wrapText="1" indent="1"/>
    </xf>
    <xf numFmtId="0" fontId="46" fillId="0" borderId="0" xfId="30099" applyFont="1" applyAlignment="1">
      <alignment horizontal="left" vertical="top" wrapText="1" indent="5"/>
    </xf>
    <xf numFmtId="0" fontId="46" fillId="0" borderId="0" xfId="30099" applyFont="1" applyAlignment="1">
      <alignment horizontal="center" vertical="top" wrapText="1"/>
    </xf>
    <xf numFmtId="0" fontId="46" fillId="0" borderId="0" xfId="30099" applyFont="1" applyAlignment="1">
      <alignment horizontal="left" vertical="top" wrapText="1" indent="4"/>
    </xf>
    <xf numFmtId="0" fontId="46" fillId="0" borderId="0" xfId="30099" applyFont="1" applyAlignment="1">
      <alignment horizontal="left" vertical="top" wrapText="1" indent="8"/>
    </xf>
    <xf numFmtId="0" fontId="46" fillId="0" borderId="0" xfId="30099" applyFont="1" applyAlignment="1">
      <alignment horizontal="left" vertical="center" wrapText="1" indent="1"/>
    </xf>
    <xf numFmtId="0" fontId="46" fillId="0" borderId="37" xfId="26000" applyFont="1" applyBorder="1" applyAlignment="1" applyProtection="1">
      <alignment horizontal="left" vertical="top" wrapText="1"/>
    </xf>
    <xf numFmtId="0" fontId="46" fillId="0" borderId="38" xfId="26000" applyFont="1" applyBorder="1" applyAlignment="1" applyProtection="1">
      <alignment horizontal="left" vertical="top" wrapText="1"/>
    </xf>
    <xf numFmtId="0" fontId="46" fillId="0" borderId="39" xfId="26000" applyFont="1" applyBorder="1" applyAlignment="1" applyProtection="1">
      <alignment horizontal="left" vertical="top" wrapText="1"/>
    </xf>
    <xf numFmtId="0" fontId="46" fillId="0" borderId="15" xfId="26000" applyFont="1" applyBorder="1" applyAlignment="1" applyProtection="1">
      <alignment horizontal="left" vertical="top" wrapText="1"/>
    </xf>
    <xf numFmtId="0" fontId="46" fillId="0" borderId="0" xfId="26000" applyFont="1" applyAlignment="1" applyProtection="1">
      <alignment horizontal="left" vertical="top" wrapText="1"/>
    </xf>
    <xf numFmtId="0" fontId="46" fillId="0" borderId="60" xfId="26000" applyFont="1" applyBorder="1" applyAlignment="1" applyProtection="1">
      <alignment horizontal="left" vertical="top" wrapText="1"/>
    </xf>
    <xf numFmtId="0" fontId="46" fillId="0" borderId="40" xfId="26000" applyFont="1" applyBorder="1" applyAlignment="1" applyProtection="1">
      <alignment horizontal="left" vertical="top" wrapText="1"/>
    </xf>
    <xf numFmtId="0" fontId="46" fillId="0" borderId="41" xfId="26000" applyFont="1" applyBorder="1" applyAlignment="1" applyProtection="1">
      <alignment horizontal="left" vertical="top" wrapText="1"/>
    </xf>
    <xf numFmtId="0" fontId="46" fillId="0" borderId="42" xfId="26000" applyFont="1" applyBorder="1" applyAlignment="1" applyProtection="1">
      <alignment horizontal="left" vertical="top" wrapText="1"/>
    </xf>
    <xf numFmtId="0" fontId="60" fillId="0" borderId="0" xfId="26000" applyFont="1" applyAlignment="1" applyProtection="1">
      <alignment horizontal="center" vertical="top"/>
    </xf>
    <xf numFmtId="0" fontId="60" fillId="0" borderId="0" xfId="26000" applyFont="1" applyAlignment="1" applyProtection="1">
      <alignment horizontal="center" vertical="top" wrapText="1"/>
    </xf>
    <xf numFmtId="0" fontId="166" fillId="0" borderId="74" xfId="26000" applyFont="1" applyBorder="1" applyAlignment="1" applyProtection="1">
      <alignment horizontal="left" vertical="top" wrapText="1"/>
    </xf>
    <xf numFmtId="0" fontId="166" fillId="0" borderId="75" xfId="26000" applyFont="1" applyBorder="1" applyAlignment="1" applyProtection="1">
      <alignment horizontal="left" vertical="top" wrapText="1"/>
    </xf>
    <xf numFmtId="0" fontId="166" fillId="0" borderId="76" xfId="26000" applyFont="1" applyBorder="1" applyAlignment="1" applyProtection="1">
      <alignment horizontal="left" vertical="top" wrapText="1"/>
    </xf>
    <xf numFmtId="0" fontId="166" fillId="0" borderId="22" xfId="26000" applyFont="1" applyBorder="1" applyAlignment="1" applyProtection="1">
      <alignment horizontal="left" vertical="top" wrapText="1"/>
    </xf>
    <xf numFmtId="0" fontId="166" fillId="0" borderId="0" xfId="26000" applyFont="1" applyAlignment="1" applyProtection="1">
      <alignment horizontal="left" vertical="top" wrapText="1"/>
    </xf>
    <xf numFmtId="0" fontId="166" fillId="0" borderId="56" xfId="26000" applyFont="1" applyBorder="1" applyAlignment="1" applyProtection="1">
      <alignment horizontal="left" vertical="top" wrapText="1"/>
    </xf>
    <xf numFmtId="0" fontId="166" fillId="0" borderId="77" xfId="26000" applyFont="1" applyBorder="1" applyAlignment="1" applyProtection="1">
      <alignment horizontal="left" vertical="top" wrapText="1"/>
    </xf>
    <xf numFmtId="0" fontId="166" fillId="0" borderId="17" xfId="26000" applyFont="1" applyBorder="1" applyAlignment="1" applyProtection="1">
      <alignment horizontal="left" vertical="top" wrapText="1"/>
    </xf>
    <xf numFmtId="0" fontId="166" fillId="0" borderId="78" xfId="26000" applyFont="1" applyBorder="1" applyAlignment="1" applyProtection="1">
      <alignment horizontal="left" vertical="top" wrapText="1"/>
    </xf>
    <xf numFmtId="0" fontId="60" fillId="0" borderId="41" xfId="26000" applyFont="1" applyBorder="1" applyAlignment="1" applyProtection="1">
      <alignment horizontal="left"/>
    </xf>
  </cellXfs>
  <cellStyles count="31724">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2 2" xfId="29794" xr:uid="{F4742CAB-EE8A-4F65-A5A1-A8EA60CAE710}"/>
    <cellStyle name="Comma 10 2 2 2 3" xfId="24673" xr:uid="{DDF8ACA5-2AFD-4024-B635-F103D987427D}"/>
    <cellStyle name="Comma 10 2 2 2 4" xfId="30048" xr:uid="{3022D834-5AD4-4789-AA9A-422519C0A007}"/>
    <cellStyle name="Comma 10 2 2 3" xfId="4848" xr:uid="{8F94D0E0-B6FC-4A5A-96EA-540CD9CE6C5C}"/>
    <cellStyle name="Comma 10 2 2 3 2" xfId="28026" xr:uid="{9E108CF4-A88E-4CA8-B7DD-2946C5BBAD03}"/>
    <cellStyle name="Comma 10 2 2 3 2 2" xfId="31200" xr:uid="{B8614D68-E4D5-449A-AC4B-CDF4ED1EE035}"/>
    <cellStyle name="Comma 10 2 2 3 2 3" xfId="30641" xr:uid="{DFF08651-449D-4396-9E32-8C7D875A681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4 2" xfId="29749" xr:uid="{CF5D2640-E526-43E0-BA56-AD4FA4FBFC5A}"/>
    <cellStyle name="Comma 10 2 3 5" xfId="23967" xr:uid="{872D2A5E-2248-4DBD-A4C8-F9817C8FE0C9}"/>
    <cellStyle name="Comma 10 2 3 5 2" xfId="29840" xr:uid="{53EBA3A0-8A8E-41BA-BEEA-5C5EFEDBB1D3}"/>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3 2" xfId="29891" xr:uid="{3C345DA9-232A-4A53-AA10-55EDA166162A}"/>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2 2" xfId="29675" xr:uid="{910931E2-DB10-4C31-A77B-FB04EFA1DED8}"/>
    <cellStyle name="Comma 10 2 5 2 2 2" xfId="31157" xr:uid="{21B53B7A-B52F-4990-BABE-5580191787F7}"/>
    <cellStyle name="Comma 10 2 5 2 3" xfId="30640" xr:uid="{7EC80DBB-6F40-40B4-9324-B9E60C405E46}"/>
    <cellStyle name="Comma 10 2 5 3" xfId="25744" xr:uid="{0CB8BCFE-C336-455F-AB49-F3C7B1BC9CDD}"/>
    <cellStyle name="Comma 10 2 5 4" xfId="26726" xr:uid="{E10D12CB-9FC4-43DF-9506-CC26BADEEDA0}"/>
    <cellStyle name="Comma 10 2 6" xfId="22924" xr:uid="{6875A78D-7D82-435D-82A6-AE342806D5C5}"/>
    <cellStyle name="Comma 10 2 6 2" xfId="29717" xr:uid="{75234A64-AAA0-42BA-A9EA-3C0DB2735BB4}"/>
    <cellStyle name="Comma 10 2 7" xfId="28538" xr:uid="{DC7A2659-338F-45FE-B0DB-9DBBE3311BDD}"/>
    <cellStyle name="Comma 10 2 7 2" xfId="29672" xr:uid="{C346A8C2-3DB3-42DB-A377-6D31684099AA}"/>
    <cellStyle name="Comma 10 2 7 2 2" xfId="31209" xr:uid="{3241FD88-2E3A-4A7F-91A8-62B6F4940F71}"/>
    <cellStyle name="Comma 10 2 8" xfId="29838" xr:uid="{40B22064-AAF7-4863-8F25-65D531C30E59}"/>
    <cellStyle name="Comma 10 2 9" xfId="29983" xr:uid="{E9094487-74F6-4A84-A11B-7F3935258FB1}"/>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2 3" xfId="31002" xr:uid="{E590BC16-15EE-4924-8848-778D3E4A89CE}"/>
    <cellStyle name="Comma 10 3 4 2 4" xfId="30642" xr:uid="{4DFC3DE0-3B6C-4F74-9DAC-4286A1C1DC94}"/>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2 2" xfId="31214" xr:uid="{C5898CD3-95E5-4E55-97B3-E7DFF2EDE9B8}"/>
    <cellStyle name="Comma 10 4 2 2 2 3" xfId="30644" xr:uid="{15F7C382-4917-4D01-9DFB-DA9009983639}"/>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2 3" xfId="31057" xr:uid="{5579DD09-2BFB-4FE1-912C-2BC187101C35}"/>
    <cellStyle name="Comma 10 4 4 2 4" xfId="30643" xr:uid="{18A4DFC5-33A3-47FD-833B-2AE056D5805F}"/>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5 2" xfId="29930" xr:uid="{2A9D8251-9F42-44B6-AE30-1987BF1D4A0C}"/>
    <cellStyle name="Comma 10 4 5 2 2" xfId="30955" xr:uid="{E9011422-05E3-4560-AAC8-5B0377BA6E5B}"/>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4 2" xfId="29888" xr:uid="{6D06C6E3-D0AD-422D-A9DE-E301F61D463B}"/>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6 6" xfId="31267" xr:uid="{A4D5031B-2004-4538-BF8C-B4A048DF0DB4}"/>
    <cellStyle name="Comma 10 7" xfId="24295" xr:uid="{344DCAF3-DA96-45E3-9F88-C607554C61E4}"/>
    <cellStyle name="Comma 10 7 2" xfId="27814" xr:uid="{1067AA7F-8FEA-4C90-923A-936739E57666}"/>
    <cellStyle name="Comma 10 7 3" xfId="31152" xr:uid="{C5496218-A9DD-47F3-8C2E-81E3ADC8FD5D}"/>
    <cellStyle name="Comma 10 8" xfId="28005" xr:uid="{E7712595-FDE1-4527-8110-F08C9BD2B4D5}"/>
    <cellStyle name="Comma 10 9" xfId="26457" xr:uid="{34BF2C5E-A5C7-4A84-AB73-BFB00FFDC39F}"/>
    <cellStyle name="Comma 10 9 2" xfId="30398" xr:uid="{36D04115-A232-4017-8499-A0543DF30744}"/>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4 2" xfId="30079" xr:uid="{1277A8FD-6083-436E-99F1-F49C951033A8}"/>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4 2" xfId="29773" xr:uid="{687E3D0F-93F6-41FC-A263-BC359B09D7DC}"/>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2 5" xfId="30422" xr:uid="{9C10034A-DB87-4E31-9765-1BF6E5A23CE8}"/>
    <cellStyle name="Comma 11 3 3" xfId="3625" xr:uid="{00000000-0005-0000-0000-0000C3010000}"/>
    <cellStyle name="Comma 11 3 4" xfId="24017" xr:uid="{14E1B29C-AAA1-44F5-AD07-8E4FC697E6A9}"/>
    <cellStyle name="Comma 11 3 4 2" xfId="29748" xr:uid="{0055F465-A603-4D53-9DBD-2C902049CB61}"/>
    <cellStyle name="Comma 11 3 5" xfId="29890" xr:uid="{CCF74651-5B1C-4DDE-B115-CAD74F391071}"/>
    <cellStyle name="Comma 11 3 6" xfId="30008" xr:uid="{30856FF1-EAAD-4839-AAFB-735735686948}"/>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2 5" xfId="31004" xr:uid="{E7EFB901-FFE8-4FD5-A500-07B63BEEACD2}"/>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29787" xr:uid="{62F9D09B-9FF7-422B-A32D-3D37D1704DEF}"/>
    <cellStyle name="Comma 12 2 2 2 2" xfId="30646" xr:uid="{BACC46BC-C29D-4BF8-8F5B-BCC14C871348}"/>
    <cellStyle name="Comma 12 2 3" xfId="29656" xr:uid="{B47812A9-F555-454A-8F3F-946EFB179A34}"/>
    <cellStyle name="Comma 12 2 4" xfId="30096" xr:uid="{F83BC86D-1566-4D14-ACFD-F33C31141344}"/>
    <cellStyle name="Comma 12 3" xfId="3626" xr:uid="{00000000-0005-0000-0000-0000C5010000}"/>
    <cellStyle name="Comma 12 3 2" xfId="29788" xr:uid="{33AA548C-D797-4568-9126-E3D501F4FDC8}"/>
    <cellStyle name="Comma 12 3 3" xfId="29658" xr:uid="{11D32195-315E-49FB-ABE2-A5A93DFF4A4E}"/>
    <cellStyle name="Comma 12 4" xfId="5538" xr:uid="{A85C391B-D1F2-4216-9318-8F0D3F6AE60C}"/>
    <cellStyle name="Comma 12 4 2" xfId="29742" xr:uid="{8C58184A-BAEB-4E53-8424-41182C888A46}"/>
    <cellStyle name="Comma 12 4 2 2" xfId="30645" xr:uid="{EDF49783-1110-4297-BDA9-D7B8F2510818}"/>
    <cellStyle name="Comma 12 4 3" xfId="30561" xr:uid="{BD86C246-5046-425B-9AA5-444941F4BC54}"/>
    <cellStyle name="Comma 12 5" xfId="23517" xr:uid="{07A7475F-DD9D-4311-BCE3-CDFB929ABEC3}"/>
    <cellStyle name="Comma 12 5 2" xfId="24228" xr:uid="{737B9A1D-50A5-487A-9FD7-3644CCD4DE49}"/>
    <cellStyle name="Comma 12 6" xfId="29839" xr:uid="{6E14ACA3-AD72-4CFF-AC57-1A7106AAB474}"/>
    <cellStyle name="Comma 12 7" xfId="29984" xr:uid="{7B26457B-B100-45C9-AEF8-717D44DFD419}"/>
    <cellStyle name="Comma 12 8" xfId="29657" xr:uid="{018DB76F-8040-473C-9051-83E285BBCC78}"/>
    <cellStyle name="Comma 13" xfId="4847" xr:uid="{98FB8AE3-8A74-4A04-B00D-D9411690E8F8}"/>
    <cellStyle name="Comma 13 2" xfId="23769" xr:uid="{8137F544-9DC0-4A1D-A743-03E39E4E26C7}"/>
    <cellStyle name="Comma 13 3" xfId="27979" xr:uid="{280881A1-6BC3-460B-B930-F17C044447D4}"/>
    <cellStyle name="Comma 13 3 2" xfId="29987" xr:uid="{450A7152-C174-465E-A145-7A65D7CDF750}"/>
    <cellStyle name="Comma 13 4" xfId="14135" xr:uid="{B486616B-8B26-4DA6-8C53-0516518C48A3}"/>
    <cellStyle name="Comma 13 5" xfId="29615" xr:uid="{5F5E5C0E-EC18-477B-9B73-CD31B3561E61}"/>
    <cellStyle name="Comma 13 6" xfId="29590" xr:uid="{FB89F83E-E37C-4FFC-BA48-F04575448186}"/>
    <cellStyle name="Comma 13 6 2" xfId="30105" xr:uid="{74667268-208E-4EAB-8D25-919982D3AA46}"/>
    <cellStyle name="Comma 13 7" xfId="31694" xr:uid="{2B7125CE-691E-46A9-A75B-A95548906904}"/>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17" xfId="30100" xr:uid="{30B0F030-09BF-4437-91FA-9ED25A3FEA9F}"/>
    <cellStyle name="Comma 2" xfId="445" xr:uid="{00000000-0005-0000-0000-0000C6010000}"/>
    <cellStyle name="Comma 2 2" xfId="446" xr:uid="{00000000-0005-0000-0000-0000C7010000}"/>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2 2" xfId="29827" xr:uid="{DE635B18-0487-4AE6-BFE3-D3C44E388539}"/>
    <cellStyle name="Comma 4 2 2 3" xfId="23122" xr:uid="{ECBCBC83-1276-4F3B-90ED-6EB6B5E3BEE4}"/>
    <cellStyle name="Comma 4 2 3" xfId="1572" xr:uid="{00000000-0005-0000-0000-0000CD010000}"/>
    <cellStyle name="Comma 4 2 3 2" xfId="31306" xr:uid="{49A9EC71-F7ED-4673-8683-2A4474D511C9}"/>
    <cellStyle name="Comma 4 2 3 3" xfId="31259" xr:uid="{23FD20D2-6052-4A6D-AD0A-35FA86F58AFB}"/>
    <cellStyle name="Comma 4 2 4" xfId="1570" xr:uid="{00000000-0005-0000-0000-0000CE010000}"/>
    <cellStyle name="Comma 4 2 5" xfId="30400" xr:uid="{5DA86F6A-D3C0-4A5F-9842-2E156ABF6968}"/>
    <cellStyle name="Comma 4 2 5 2" xfId="30423" xr:uid="{9B6E160E-E0CE-4CCE-BEB0-650117FAFF0C}"/>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3 2" xfId="31307" xr:uid="{562EDFC7-98B1-48F5-955F-063537062A1F}"/>
    <cellStyle name="Comma 4 4 3 3" xfId="31270" xr:uid="{16BF9C11-0CAE-4CE6-9869-9C95A116E155}"/>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6 3" xfId="29822" xr:uid="{74EDB160-7CBA-4494-B188-F170C704F614}"/>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6 2" xfId="31308" xr:uid="{3EE936EE-7448-454D-8369-0075FED3742F}"/>
    <cellStyle name="Comma 4 6 3" xfId="31258" xr:uid="{AFF60B54-71D9-4F5E-95FC-6C8E9DA513F1}"/>
    <cellStyle name="Comma 4 7" xfId="29547" xr:uid="{B78349B5-AC35-4642-873C-F8F50234A6AC}"/>
    <cellStyle name="Comma 4 7 2" xfId="30399" xr:uid="{D7B37039-F76C-4235-9170-2C1DDBE8BE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2 2 2" xfId="31141" xr:uid="{BC4DE43E-54B6-47AE-8D8D-5E090F90402D}"/>
    <cellStyle name="Comma 5 10 2 2 2 2 3" xfId="30648" xr:uid="{780AA264-0FC4-467A-BD71-C14BFA2B4099}"/>
    <cellStyle name="Comma 5 10 2 2 3" xfId="10924" xr:uid="{B5528361-C365-4949-B220-3DC910C95B2B}"/>
    <cellStyle name="Comma 5 10 2 2 3 2" xfId="21304" xr:uid="{03F24B28-9B30-484A-95F2-76CD18C333A5}"/>
    <cellStyle name="Comma 5 10 2 2 4" xfId="23027" xr:uid="{6ED6C659-6C8B-4E98-AD16-21CAEAAA3990}"/>
    <cellStyle name="Comma 5 10 2 2 4 2" xfId="30078" xr:uid="{5D480D1D-8388-4F62-9CF4-9DBF9FA54D95}"/>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4 2" xfId="29774" xr:uid="{1FDA87F3-3FD6-448E-9F67-39316B95EE76}"/>
    <cellStyle name="Comma 5 10 2 4 2 2" xfId="31493" xr:uid="{1199F9C1-2C32-4C48-9889-51EEF7A981C2}"/>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2 2 2" xfId="31134" xr:uid="{D66B271E-31C5-428C-ACF2-9245CA7B6F3D}"/>
    <cellStyle name="Comma 5 10 3 2 2 2 3" xfId="30649" xr:uid="{5209E49B-98EE-4AAE-8B20-56D727995719}"/>
    <cellStyle name="Comma 5 10 3 2 3" xfId="10621" xr:uid="{B59C76FD-A4E9-4866-9F1E-6518BC0C5396}"/>
    <cellStyle name="Comma 5 10 3 2 3 2" xfId="21001" xr:uid="{47E7FFC6-63B5-4650-B36B-84C80C2755B8}"/>
    <cellStyle name="Comma 5 10 3 2 4" xfId="15335" xr:uid="{62DDD7AA-A1D8-420F-846E-73F0CBC3D630}"/>
    <cellStyle name="Comma 5 10 3 2 5" xfId="30424" xr:uid="{0D3BEB3D-D227-4EB9-9B37-EBD8C7DD146B}"/>
    <cellStyle name="Comma 5 10 3 3" xfId="3623" xr:uid="{00000000-0005-0000-0000-0000E0010000}"/>
    <cellStyle name="Comma 5 10 3 4" xfId="5540" xr:uid="{2F4176BB-1147-4705-9BF5-3478E814BF1F}"/>
    <cellStyle name="Comma 5 10 3 4 2" xfId="29750" xr:uid="{C0AE8EE6-7BBE-424E-806D-886FC26B0A0A}"/>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5" xfId="3859" xr:uid="{F8C8D734-DCC5-4C88-B842-664E1299CBF0}"/>
    <cellStyle name="Comma 5 10 5 2" xfId="8691" xr:uid="{5E5913C1-036C-42F6-8350-C4BD4BAE9EF4}"/>
    <cellStyle name="Comma 5 10 5 2 2" xfId="28963" xr:uid="{7ED6E5D1-F2F9-47D7-B3B9-B23DAC9DEA56}"/>
    <cellStyle name="Comma 5 10 5 2 2 2" xfId="31241" xr:uid="{A60BA2E9-5E09-4F2A-9DB6-B3FEE45D40DC}"/>
    <cellStyle name="Comma 5 10 5 2 2 3" xfId="30647" xr:uid="{10006A27-5DF4-43B7-AE9F-0CE667495F20}"/>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2 2 2" xfId="31142" xr:uid="{BEACBA90-14BE-4F92-B5E7-3C26563FBC82}"/>
    <cellStyle name="Comma 5 11 2 2 2 2 3" xfId="30650" xr:uid="{EE401E08-5210-4185-B9F9-C2D3DC80A78B}"/>
    <cellStyle name="Comma 5 11 2 2 2 3" xfId="30081" xr:uid="{E6661E45-819E-42CB-8A7D-43A8E81FC579}"/>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4 2" xfId="29775" xr:uid="{5B89B83B-E1C6-40C5-AF29-1ADC272529C9}"/>
    <cellStyle name="Comma 5 11 2 5" xfId="22728" xr:uid="{8D9ECDAE-292F-46A0-BFD2-DA9957370FAD}"/>
    <cellStyle name="Comma 5 11 2 6" xfId="13515" xr:uid="{39ABB685-FAC4-4C1E-B36A-85BFF7734362}"/>
    <cellStyle name="Comma 5 11 2 7" xfId="29988" xr:uid="{A3343EC1-8F20-4E29-86BB-E29B03AAC49D}"/>
    <cellStyle name="Comma 5 11 3" xfId="1588" xr:uid="{00000000-0005-0000-0000-0000E4010000}"/>
    <cellStyle name="Comma 5 11 3 2" xfId="23724" xr:uid="{DE4AAC3D-5400-4129-ACD2-D8964E8AE622}"/>
    <cellStyle name="Comma 5 11 3 2 2" xfId="29678" xr:uid="{9474F383-D5BD-41F9-8619-741081722E0E}"/>
    <cellStyle name="Comma 5 11 3 2 2 2" xfId="30651" xr:uid="{14E09C75-6A48-4605-B0CF-75A08A9D1184}"/>
    <cellStyle name="Comma 5 11 3 3" xfId="25078" xr:uid="{C5B7A41E-9D71-47D2-9EF7-127D9DBA2D47}"/>
    <cellStyle name="Comma 5 11 3 3 2" xfId="30089" xr:uid="{234EB7E4-AF97-4EA4-B207-EBADEEC79F40}"/>
    <cellStyle name="Comma 5 11 3 3 3" xfId="29790" xr:uid="{93461E03-FAE1-47C5-BE60-8136A914F2E8}"/>
    <cellStyle name="Comma 5 11 3 4" xfId="29931" xr:uid="{ED92591A-7C8B-4C2B-9824-630241CBB16F}"/>
    <cellStyle name="Comma 5 11 3 5" xfId="30049" xr:uid="{A605A163-DF82-49C7-BA28-2842EBC3D630}"/>
    <cellStyle name="Comma 5 11 3 6" xfId="29659" xr:uid="{88614ECA-9FAA-44D9-8706-EB4957BA3CF1}"/>
    <cellStyle name="Comma 5 11 4" xfId="1586" xr:uid="{00000000-0005-0000-0000-0000E5010000}"/>
    <cellStyle name="Comma 5 11 4 2" xfId="25781" xr:uid="{DBEBD298-D49E-492E-82DD-D45AE9C70099}"/>
    <cellStyle name="Comma 5 11 4 2 2" xfId="29791" xr:uid="{6E3F2F72-313F-4976-A168-08F65B495545}"/>
    <cellStyle name="Comma 5 11 4 2 2 2" xfId="30652" xr:uid="{DD9EEB0E-77BF-4E10-96B5-564B49FC67E2}"/>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2 2" xfId="29803" xr:uid="{28069167-96F1-4760-B171-26C9359F893A}"/>
    <cellStyle name="Comma 5 12 2 2 2 2" xfId="30654" xr:uid="{1C15ADE8-9C6B-4E22-ABDB-1CDE3C1EAEF3}"/>
    <cellStyle name="Comma 5 12 2 3" xfId="25392" xr:uid="{743C3469-6FF5-41E6-ABC2-03AE1A3F0028}"/>
    <cellStyle name="Comma 5 12 2 3 2" xfId="30095" xr:uid="{8FDA08CE-536E-4BFE-98F8-7C70F6A1D15C}"/>
    <cellStyle name="Comma 5 12 2 3 3" xfId="29789" xr:uid="{4BBFA82A-C001-427F-A921-B1CB7AFDA3A9}"/>
    <cellStyle name="Comma 5 12 2 4" xfId="29920" xr:uid="{004245DF-BDE0-4333-8AC4-755018D8E4AD}"/>
    <cellStyle name="Comma 5 12 2 5" xfId="30034" xr:uid="{0ACE1595-6482-489E-B630-577F27B231A3}"/>
    <cellStyle name="Comma 5 12 2 6" xfId="29654" xr:uid="{2C57DB15-B736-4E88-AEC9-323F5ACFBD95}"/>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5 2 2" xfId="31113" xr:uid="{C0AE9176-2E0B-4399-B7EF-13AFE3E0D51C}"/>
    <cellStyle name="Comma 5 12 5 2 3" xfId="30653" xr:uid="{540D4B2D-5839-41C4-BB67-C634993101F7}"/>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2 2 2" xfId="31131" xr:uid="{449A2E8F-2AC7-47DC-B478-E5E05118B3AB}"/>
    <cellStyle name="Comma 5 13 2 2 2 3" xfId="30655" xr:uid="{9E013BF8-2A6D-4407-97E0-37CC1EB70273}"/>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4 2" xfId="29743" xr:uid="{83290D88-98BF-4B31-878D-137425176835}"/>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2 2" xfId="31195" xr:uid="{A859EBA4-C66C-49BD-9DEA-1AB3109F716F}"/>
    <cellStyle name="Comma 5 14 2 2 3" xfId="30656" xr:uid="{BEC1FD1F-B5EC-4F1A-BCDF-25B7ACE13F58}"/>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10" xfId="30621" xr:uid="{6CBFC4BF-7DDA-4C8A-94A9-9E3C38E62A4B}"/>
    <cellStyle name="Comma 5 2 11" xfId="30919" xr:uid="{8F444BA6-836C-451D-A598-AB3984741623}"/>
    <cellStyle name="Comma 5 2 2" xfId="460" xr:uid="{00000000-0005-0000-0000-0000EC010000}"/>
    <cellStyle name="Comma 5 2 2 2" xfId="1594" xr:uid="{00000000-0005-0000-0000-0000ED010000}"/>
    <cellStyle name="Comma 5 2 2 2 2" xfId="30598" xr:uid="{F2BDA96F-A29A-44D4-96C7-93F474199524}"/>
    <cellStyle name="Comma 5 2 2 2 2 2" xfId="30658" xr:uid="{7828C1F8-5535-4B0E-A3F8-9190370F23A7}"/>
    <cellStyle name="Comma 5 2 2 2 3" xfId="30562" xr:uid="{FE94402B-6C78-43D2-9887-F6959E6CC981}"/>
    <cellStyle name="Comma 5 2 2 2 4" xfId="30927" xr:uid="{3089C8D7-EDC7-49C2-98BE-A8D0DB944D04}"/>
    <cellStyle name="Comma 5 2 2 3" xfId="1595" xr:uid="{00000000-0005-0000-0000-0000EE010000}"/>
    <cellStyle name="Comma 5 2 2 3 2" xfId="30614" xr:uid="{8A82B498-C017-42E6-9D27-435A4DAFCF79}"/>
    <cellStyle name="Comma 5 2 2 3 2 2" xfId="30659" xr:uid="{84E2DE58-A4C0-4259-9280-0F10CD7AD0EB}"/>
    <cellStyle name="Comma 5 2 2 3 3" xfId="30575" xr:uid="{08126CC7-7B32-4987-B56B-3E8A92004100}"/>
    <cellStyle name="Comma 5 2 2 3 4" xfId="30941" xr:uid="{85BC386F-6704-42BC-B35B-A909453864AD}"/>
    <cellStyle name="Comma 5 2 2 4" xfId="1593" xr:uid="{00000000-0005-0000-0000-0000EF010000}"/>
    <cellStyle name="Comma 5 2 2 4 2" xfId="30550" xr:uid="{2B6B9656-2890-4C76-9E86-2F9A400B5207}"/>
    <cellStyle name="Comma 5 2 2 4 2 2" xfId="30660" xr:uid="{ABCDE278-9ADF-4B7C-B51D-6A70B9BEFAB0}"/>
    <cellStyle name="Comma 5 2 2 5" xfId="6599" xr:uid="{273D3645-09BF-4A18-A4AB-EDE25B05A3A6}"/>
    <cellStyle name="Comma 5 2 2 5 2" xfId="16979" xr:uid="{2C95035C-ACBA-47B5-BDB7-B687EB0B1702}"/>
    <cellStyle name="Comma 5 2 2 5 2 2" xfId="30657" xr:uid="{E4E4FE59-056E-41F0-8A6A-EBAEB1C31ADE}"/>
    <cellStyle name="Comma 5 2 2 5 3" xfId="30425" xr:uid="{81309697-6C75-42F8-A5FC-85A5EDEE9FEF}"/>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3 2" xfId="31243" xr:uid="{794021D0-B7E1-43D6-8B4B-606F025E00C3}"/>
    <cellStyle name="Comma 5 2 3 3" xfId="30410" xr:uid="{8B4B4793-C486-440B-BCBB-9B72DFB4032F}"/>
    <cellStyle name="Comma 5 2 4" xfId="29548" xr:uid="{508F08B6-13CA-453B-BC60-59F1E4465DDC}"/>
    <cellStyle name="Comma 5 2 4 2" xfId="30426" xr:uid="{30BD32B9-0394-4F1A-8237-D6AC5BD7AB92}"/>
    <cellStyle name="Comma 5 2 4 2 2" xfId="30599" xr:uid="{7C326B72-A0A1-4BC5-AB91-EEAB81161F94}"/>
    <cellStyle name="Comma 5 2 4 2 2 2" xfId="30661" xr:uid="{ED5AF7EF-0B78-407A-864D-EEEBE05E98FC}"/>
    <cellStyle name="Comma 5 2 4 2 3" xfId="30563" xr:uid="{92CD2FD6-65B4-444B-9BD4-8BD03B652048}"/>
    <cellStyle name="Comma 5 2 4 2 4" xfId="30928" xr:uid="{9F33CA11-07C6-481C-A78E-213CF504BA88}"/>
    <cellStyle name="Comma 5 2 4 3" xfId="30551" xr:uid="{0F4C2308-2688-446C-A27E-BFCE11140C68}"/>
    <cellStyle name="Comma 5 2 4 3 2" xfId="30633" xr:uid="{CFB4CA51-42B2-4BF5-9AF9-673F00BD5CFD}"/>
    <cellStyle name="Comma 5 2 4 3 3" xfId="30943" xr:uid="{35CEEE63-7BB2-4EEA-83CF-5333A9F63EF4}"/>
    <cellStyle name="Comma 5 2 4 4" xfId="30581" xr:uid="{79C2FE9C-BC47-45D3-81C7-55923423D801}"/>
    <cellStyle name="Comma 5 2 4 5" xfId="30622" xr:uid="{2D2FE097-3E58-4E43-B405-32F2F658B65A}"/>
    <cellStyle name="Comma 5 2 4 6" xfId="30920" xr:uid="{FFFC894D-F0FF-4CEA-9DAF-F49F3E52EACB}"/>
    <cellStyle name="Comma 5 2 4 7" xfId="31242" xr:uid="{2E5D930F-8B70-4941-B7AD-A1A539EE389A}"/>
    <cellStyle name="Comma 5 2 4 8" xfId="30411" xr:uid="{2F788AFF-2365-4173-9AD4-9EB5EE2CD90F}"/>
    <cellStyle name="Comma 5 2 5" xfId="30412" xr:uid="{1B854D74-2C11-4B25-A896-E9F8E6D4D71C}"/>
    <cellStyle name="Comma 5 2 5 2" xfId="30427" xr:uid="{C24CF4A1-604C-4A78-A752-E05C845168E9}"/>
    <cellStyle name="Comma 5 2 5 2 2" xfId="30600" xr:uid="{10A672CB-2ACF-4A8A-BC8B-83FA20866661}"/>
    <cellStyle name="Comma 5 2 5 2 2 2" xfId="30662" xr:uid="{96AF56BC-6E91-454F-A913-1B5EF260B524}"/>
    <cellStyle name="Comma 5 2 5 2 3" xfId="30564" xr:uid="{EB087388-5735-47DA-A778-C37D3BA09F7B}"/>
    <cellStyle name="Comma 5 2 5 2 4" xfId="30929" xr:uid="{9C5FD4B9-51E1-40C8-A1C0-B9DA63A12820}"/>
    <cellStyle name="Comma 5 2 5 3" xfId="30582" xr:uid="{594004CE-4C85-49C3-98D5-50D24316BFB4}"/>
    <cellStyle name="Comma 5 2 5 3 2" xfId="30634" xr:uid="{5DF27414-0425-4CEA-9FF2-B029A5DDBF7D}"/>
    <cellStyle name="Comma 5 2 5 3 3" xfId="30944" xr:uid="{7FF4A0CA-6FEC-4011-9105-1F245F102EA7}"/>
    <cellStyle name="Comma 5 2 5 4" xfId="30623" xr:uid="{8D5CFC01-28FD-48B9-B5AE-BF61C0025B69}"/>
    <cellStyle name="Comma 5 2 5 5" xfId="30921" xr:uid="{8B4C09D8-9DF0-4BAC-A0B6-095950680402}"/>
    <cellStyle name="Comma 5 2 6" xfId="30549" xr:uid="{5C64EDE1-D10D-405A-BEBE-498A5BCE0F98}"/>
    <cellStyle name="Comma 5 2 7" xfId="30572" xr:uid="{02BF2878-498D-48D7-8F68-577919C83D6F}"/>
    <cellStyle name="Comma 5 2 7 2" xfId="30611" xr:uid="{C0CD91E5-D6C5-434A-96EB-1B3A036C6BBA}"/>
    <cellStyle name="Comma 5 2 7 3" xfId="30630" xr:uid="{F8EDEA31-A8F6-431F-BA36-CFAAABCD185E}"/>
    <cellStyle name="Comma 5 2 7 4" xfId="30937" xr:uid="{47F7B796-4D4E-4909-966E-3439D41D5605}"/>
    <cellStyle name="Comma 5 2 8" xfId="30547" xr:uid="{B1DF5FDB-1841-4554-815D-7CDC6C437CC6}"/>
    <cellStyle name="Comma 5 2 9" xfId="30579" xr:uid="{A369C976-3FD5-4322-AB61-3F6F862BE607}"/>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2 3" xfId="31028" xr:uid="{D5BC14E3-2A5D-4C04-A1B3-FB7278D938D5}"/>
    <cellStyle name="Comma 5 3 2 2 2 5 2 4" xfId="30663" xr:uid="{88978C8C-DE0D-41D5-B666-4404FA6D88AC}"/>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6 2" xfId="29893" xr:uid="{9C519322-6E9C-4E0B-84A2-5A544F46923B}"/>
    <cellStyle name="Comma 5 3 2 2 2 6 2 2" xfId="30956" xr:uid="{405A5DEB-8EC3-4ABC-8B7D-3B894A42504F}"/>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2 3" xfId="31058" xr:uid="{7B903B43-0C6D-49A6-9727-D8D888B7F2E1}"/>
    <cellStyle name="Comma 5 3 2 2 3 4 2 4" xfId="30664" xr:uid="{041D7F03-0160-44D8-BDD1-0265CDA0BADC}"/>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5 2" xfId="29934" xr:uid="{494685AF-0887-4B2F-B673-AAA2D6A71859}"/>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4 2" xfId="29933" xr:uid="{9B2CC529-1177-42F3-BD02-4244CA3CA83A}"/>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2 5" xfId="31026" xr:uid="{5C44E956-2742-49E9-8428-22740D671C8D}"/>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2 3" xfId="31162" xr:uid="{6B1BD7C4-2E44-416A-8483-EDEB32572E10}"/>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2 3" xfId="31027" xr:uid="{DE62BA68-8C4C-4A75-84AA-7F79DFE185D2}"/>
    <cellStyle name="Comma 5 3 2 3 5 2 4" xfId="30665" xr:uid="{40E91CE9-FAE0-4A4A-BB16-C0782A9D60D7}"/>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6 2" xfId="29718" xr:uid="{E2CF8A21-A49D-4062-A218-0B7CB0D745A6}"/>
    <cellStyle name="Comma 5 3 2 3 6 2 2" xfId="30957" xr:uid="{8F8C2ECC-CE5A-415D-A9CD-A9A3EDB1C7F9}"/>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2 2" xfId="31215" xr:uid="{C3151A16-BBA8-47F1-A872-2F3F10860F06}"/>
    <cellStyle name="Comma 5 3 2 4 2 2 2 3" xfId="30667" xr:uid="{1B5DB8C6-AAB9-479C-98EA-E8DAB47A0D09}"/>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2 3" xfId="31059" xr:uid="{266785F0-BEB9-43B7-A016-7C4C3192ADB9}"/>
    <cellStyle name="Comma 5 3 2 4 4 2 4" xfId="30666" xr:uid="{3AD4EE4D-9551-418A-A0B9-356D5465EE8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5 2" xfId="29935" xr:uid="{33DA0D6C-2126-4F0E-A5AD-154CF23F8B14}"/>
    <cellStyle name="Comma 5 3 2 4 5 2 2" xfId="30958" xr:uid="{B6288167-F3EF-48C0-9EAE-9F49B165C7FC}"/>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4 2" xfId="29932" xr:uid="{25AF1F10-0E1C-4936-BC83-2F9C841885FC}"/>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2 2" xfId="31204" xr:uid="{53FEDC8F-7233-40C0-B6A8-00E9C84B4D91}"/>
    <cellStyle name="Comma 5 3 2 6 2 2 3" xfId="30668" xr:uid="{55A9D467-3BFB-4E0E-9EC3-17611FFA3CE0}"/>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2 3" xfId="31153" xr:uid="{E1BB7096-EC90-4029-B5A7-0FAD42F4C98A}"/>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2 3" xfId="31029" xr:uid="{C0D2D35F-E7B3-441D-B8A9-807C30CBF4A0}"/>
    <cellStyle name="Comma 5 3 3 2 5 2 4" xfId="30670" xr:uid="{17AF4E78-0E6D-4FCF-AFAC-0D2D6FE5164D}"/>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6 2" xfId="29719" xr:uid="{96A1D024-8268-4E76-B2EC-700DAF216034}"/>
    <cellStyle name="Comma 5 3 3 2 6 2 2" xfId="30959" xr:uid="{DAE0FF1E-EF08-43F3-A73C-BAA7B7306C91}"/>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2 3" xfId="31060" xr:uid="{4C1E76E2-FBC7-4E4E-BC49-BD83C1CFD7C0}"/>
    <cellStyle name="Comma 5 3 3 3 4 2 4" xfId="30671" xr:uid="{8927AF79-460F-4196-92BC-16D0CE048F72}"/>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5 2" xfId="29699" xr:uid="{81B28F9D-8AA9-4910-9A48-4EE65C1022E0}"/>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4 2" xfId="29936" xr:uid="{F801DD17-8BA2-4F48-B19F-F2110F15120C}"/>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2 3" xfId="31003" xr:uid="{5E573AEF-FC93-4A83-AC2B-6937BAD6C83E}"/>
    <cellStyle name="Comma 5 3 3 7 2 4" xfId="30669" xr:uid="{F7EA0D66-97C4-40F3-A931-FCFE523E7601}"/>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4 2" xfId="29937" xr:uid="{F7D8417D-86B8-44F3-8192-B6ED212C1704}"/>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4 2" xfId="29892" xr:uid="{28B005BD-8B7C-45F5-88C2-4C22FDFB4F10}"/>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2 3" xfId="31006" xr:uid="{652E968E-D3FA-4707-B01D-97094D6B1424}"/>
    <cellStyle name="Comma 5 3 4 5 2 4" xfId="30672" xr:uid="{4E2D6263-25F4-463D-94D3-1CFE66A370DC}"/>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2 2" xfId="31216" xr:uid="{4560F66A-A4EC-44A6-90F1-5DA7986E04EA}"/>
    <cellStyle name="Comma 5 3 5 2 2 2 3" xfId="30674" xr:uid="{DCC66FAA-4E41-4EFB-9B03-216E82F99718}"/>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2 3" xfId="31061" xr:uid="{157988F9-5057-414A-B1C6-730F9F4629FF}"/>
    <cellStyle name="Comma 5 3 5 4 2 4" xfId="30673" xr:uid="{BC30637A-9309-45D6-B3EA-4136BB8A9DA2}"/>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5 2" xfId="29688" xr:uid="{F9F675D5-8113-4588-A3AE-224FC6F06B9F}"/>
    <cellStyle name="Comma 5 3 5 5 2 2" xfId="30960" xr:uid="{7875E500-DBEB-4CA4-AF12-2A9373028ADD}"/>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2 2" xfId="31189" xr:uid="{2214C770-FEBD-4FB2-8153-96FA46F9B13C}"/>
    <cellStyle name="Comma 5 3 6 2 2 2 3" xfId="30675" xr:uid="{70A150DB-6F83-42B0-A715-A16026A0644F}"/>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4 2" xfId="29921" xr:uid="{C51E7046-954C-4FA0-81CA-3ABC12CDE141}"/>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4 2" xfId="29868" xr:uid="{148AE6C6-3C9E-4E6D-95C0-D85C88EDADA5}"/>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2 2 2" xfId="31121" xr:uid="{CF07C3AB-2C4D-472D-BC21-58F5BE798A45}"/>
    <cellStyle name="Comma 5 3 8 2 2 3" xfId="30676" xr:uid="{DD5071D3-B176-4A5E-B3EE-C9BC5649DD83}"/>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4 2" xfId="29939" xr:uid="{E77E4B37-1023-473D-B823-A966092B7334}"/>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3 3 2" xfId="29895" xr:uid="{F005C7EF-F97C-4135-81B0-7BB5D359B727}"/>
    <cellStyle name="Comma 5 4 2 2 3 4" xfId="30010" xr:uid="{BEF40FD6-867C-4F0E-B7D5-D2A9EEDAE25F}"/>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2 3" xfId="31031" xr:uid="{B6F58660-A39C-4763-8A43-9C253FD9994C}"/>
    <cellStyle name="Comma 5 4 2 2 5 2 4" xfId="30677" xr:uid="{3DD2E12D-D946-4D8E-BE9E-BC2E33A64C5A}"/>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2 2" xfId="31217" xr:uid="{D2B06BC6-FAB0-4DD2-A415-01FA1A682016}"/>
    <cellStyle name="Comma 5 4 2 3 2 2 2 3" xfId="30679" xr:uid="{6F17634A-C656-4BDE-ABDE-631F7F98A05E}"/>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2 3" xfId="31062" xr:uid="{D3CF83B4-480B-415E-AF73-CCC5FA70C824}"/>
    <cellStyle name="Comma 5 4 2 3 4 2 4" xfId="30678" xr:uid="{10FA5DDB-8E66-4A39-BFBF-D09CDB0960E7}"/>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5 2" xfId="29689" xr:uid="{9F3CE6F8-799E-4FBC-A9D4-FAF867C49683}"/>
    <cellStyle name="Comma 5 4 2 3 5 2 2" xfId="30961" xr:uid="{F99190AE-028F-4301-BB9F-1110E074192D}"/>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4 2" xfId="29938" xr:uid="{397CB543-DEA8-462F-98D6-8A7C5CBC8C95}"/>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4 2" xfId="29874" xr:uid="{B8527FC9-A446-4C93-90A2-78F2ABD5D9FB}"/>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2 3" xfId="31159" xr:uid="{E403FF4C-B1E8-42E1-9ECF-5008D27D4796}"/>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2 3" xfId="31032" xr:uid="{DEF4EEB6-28AB-41BA-BFF2-7A7C61321EAB}"/>
    <cellStyle name="Comma 5 4 3 2 5 2 4" xfId="30681" xr:uid="{4EF6A5C3-375D-4403-9D1B-8D91B43C7AAA}"/>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6 2" xfId="29720" xr:uid="{1A4A5A7C-7351-43D2-B3DF-864B1C97F00E}"/>
    <cellStyle name="Comma 5 4 3 2 6 2 2" xfId="30962" xr:uid="{4E9CD10B-1971-4E18-B1AD-EC7A5CB51431}"/>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2 3" xfId="31063" xr:uid="{4ECFCCE6-377C-43EB-B657-8F00BA251960}"/>
    <cellStyle name="Comma 5 4 3 3 4 2 4" xfId="30682" xr:uid="{3876AF0A-6E4D-4053-9A80-038F6DCD8EF8}"/>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5 2" xfId="29705" xr:uid="{B15CE909-C9C3-40A0-8455-FE5E12A46018}"/>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4 2" xfId="29940" xr:uid="{0A80C9F8-3AA4-40ED-9AE4-5B274546AA28}"/>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2 3" xfId="31007" xr:uid="{F0229DE4-DA70-4444-888D-FB38F150BD65}"/>
    <cellStyle name="Comma 5 4 3 6 2 4" xfId="30680" xr:uid="{B578D268-E4DF-43C5-9C96-327C24967103}"/>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4 2" xfId="29941" xr:uid="{F25E46E9-8558-4043-ADCB-9C9C47D7CEFB}"/>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3 3 2" xfId="29894" xr:uid="{8D77C375-FDEC-4907-A255-D0B6239AD792}"/>
    <cellStyle name="Comma 5 4 4 3 4" xfId="30009" xr:uid="{CDF06ABB-B7EB-4325-89E0-F9CB296CBBCC}"/>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2 3" xfId="31030" xr:uid="{DAB37AB3-6C01-4DC1-9197-01E7A80416DE}"/>
    <cellStyle name="Comma 5 4 4 5 2 4" xfId="30683" xr:uid="{1F8F53D2-8B33-42D3-9E60-E867CD366200}"/>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2 2" xfId="31218" xr:uid="{F2BAD945-64C0-4B38-8C09-26DD496487BE}"/>
    <cellStyle name="Comma 5 4 5 2 2 2 3" xfId="30685" xr:uid="{A3310739-5307-4198-8F24-D15B491AA5A8}"/>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2 3" xfId="31064" xr:uid="{3984102B-822A-450E-A43C-4246090CCDB8}"/>
    <cellStyle name="Comma 5 4 5 4 2 4" xfId="30684" xr:uid="{588785B0-3463-43A7-92E2-9D66925BECD9}"/>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5 2" xfId="29684" xr:uid="{4487DE43-472A-4A71-9B22-68844F54F5CF}"/>
    <cellStyle name="Comma 5 4 5 5 2 2" xfId="30963" xr:uid="{7EF5E265-F8DD-42D8-916E-4FE670324B78}"/>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2 2" xfId="31190" xr:uid="{65375153-FF84-4309-A5AB-7211D688AF6C}"/>
    <cellStyle name="Comma 5 4 6 2 2 2 3" xfId="30686" xr:uid="{AA82D6A9-E423-4665-BA59-CD8573E965C4}"/>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4 2" xfId="29922" xr:uid="{DEBEC20E-7EF6-43C2-8010-087AFB98BA3B}"/>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4 2" xfId="29862" xr:uid="{81821E37-88CD-41E0-A9C6-01CE1D5393AD}"/>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2 2 2" xfId="31122" xr:uid="{5C2AB8B5-A73F-4FCC-AF90-57C166D98ABC}"/>
    <cellStyle name="Comma 5 4 8 2 2 3" xfId="30687" xr:uid="{E0BA424B-14C3-40B8-BACF-E009F7A5BEF5}"/>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4 2" xfId="29943" xr:uid="{0D010CB5-5F6A-4720-B93A-F2E76E3D3185}"/>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3 3 2" xfId="29897" xr:uid="{2E172FD6-8857-4391-B419-ABFDC80BB508}"/>
    <cellStyle name="Comma 5 5 2 2 3 4" xfId="30011" xr:uid="{90B5CBFA-773D-4DCA-9D81-2CAA54A6CBB0}"/>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2 3" xfId="31033" xr:uid="{4BA37740-99D8-4CB4-B471-35EA920B8290}"/>
    <cellStyle name="Comma 5 5 2 2 5 2 4" xfId="30688" xr:uid="{AC70B46C-F6DA-4750-B6ED-B64C9D0A9C69}"/>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2 2" xfId="31219" xr:uid="{25CDBFA8-B5EF-4E3D-9F68-CCC9EBFB7FA2}"/>
    <cellStyle name="Comma 5 5 2 3 2 2 2 3" xfId="30690" xr:uid="{59C9BFCC-C44C-4B53-BDE8-EA9524F87295}"/>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2 3" xfId="31065" xr:uid="{5EB8706E-0031-40A6-9765-3B305E95095B}"/>
    <cellStyle name="Comma 5 5 2 3 4 2 4" xfId="30689" xr:uid="{033FE0DB-75AA-4554-B811-17A0F466E96D}"/>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5 2" xfId="29702" xr:uid="{5D2D8791-0CFD-4C9F-850F-A68D1255BD93}"/>
    <cellStyle name="Comma 5 5 2 3 5 2 2" xfId="30964" xr:uid="{A2A588AE-3984-4379-8013-6E0918DDA01D}"/>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4 2" xfId="29942" xr:uid="{31D45137-92A6-45CF-83E9-6D020EE1BB31}"/>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4 2" xfId="29885" xr:uid="{9981A58F-D7D0-4204-A4F1-535CDEC7F29D}"/>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4 2" xfId="29944" xr:uid="{6B08990C-50CE-496C-AF55-F4679CB10C17}"/>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2 5" xfId="30428" xr:uid="{DD045C8D-2616-4424-BD5E-1B33066A33C9}"/>
    <cellStyle name="Comma 5 5 3 3 3" xfId="3632" xr:uid="{00000000-0005-0000-0000-000023020000}"/>
    <cellStyle name="Comma 5 5 3 3 4" xfId="5573" xr:uid="{D0F45DDC-9CDB-4C3E-93A0-24657C4062B9}"/>
    <cellStyle name="Comma 5 5 3 3 4 2" xfId="29896" xr:uid="{531BF005-CF26-4DAC-B1C2-BD66BC46E9D9}"/>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2 5" xfId="31008" xr:uid="{58E598E3-3590-49F1-B280-EAD888A0713F}"/>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2 2" xfId="29804" xr:uid="{75BDAE03-1549-48B9-83F3-375AF8EEC7A4}"/>
    <cellStyle name="Comma 5 5 4 2 2 2 2" xfId="30692" xr:uid="{AF1A20E1-C8F0-45DD-A69C-428A1597AB3F}"/>
    <cellStyle name="Comma 5 5 4 2 3" xfId="25591" xr:uid="{C5C79797-796D-481F-AAE7-1B994078CEAF}"/>
    <cellStyle name="Comma 5 5 4 2 4" xfId="30050" xr:uid="{4FD2E640-EF0A-4B6E-AE70-83AC36DAACDC}"/>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2 3" xfId="31066" xr:uid="{7DC98981-9C7C-4223-A8C3-16FADEBAB0FA}"/>
    <cellStyle name="Comma 5 5 4 5 2 4" xfId="30691" xr:uid="{20EB5551-7940-4282-AE60-DB9923A87B4E}"/>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2 2" xfId="31170" xr:uid="{3DC96652-2A4E-41B6-B5B5-AF5C41938E4F}"/>
    <cellStyle name="Comma 5 5 5 2 2 2 3" xfId="30693" xr:uid="{727C6657-9979-41CA-8FB2-D04CBFA2548B}"/>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4 2" xfId="29841" xr:uid="{232E3991-FF0B-45E7-A910-79D7101065D5}"/>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4 2" xfId="29859" xr:uid="{57A21993-13B3-4F68-9E76-EAB12ABFCDAB}"/>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4 2" xfId="29946" xr:uid="{5B635471-5052-46FB-B146-0AFDD2B36BB8}"/>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3 3 2" xfId="29899" xr:uid="{E6772AFF-F70E-4799-AD63-89E737EDB507}"/>
    <cellStyle name="Comma 5 6 2 2 3 4" xfId="30012" xr:uid="{D420D383-93D8-4BAC-8C64-58B618B5958B}"/>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2 3" xfId="31034" xr:uid="{1EA9922A-E309-408C-BB74-3D1F5E1A14F2}"/>
    <cellStyle name="Comma 5 6 2 2 5 2 4" xfId="30694" xr:uid="{885FB70C-6BB5-4532-A96A-20D44FAFED30}"/>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2 2" xfId="31220" xr:uid="{E754FD69-8023-47E5-8936-45EC17C01A95}"/>
    <cellStyle name="Comma 5 6 2 3 2 2 2 3" xfId="30696" xr:uid="{8B730094-61E6-4360-85C8-E6490B245982}"/>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2 3" xfId="31067" xr:uid="{0BCC3248-510F-4F80-AE31-2C20A5227116}"/>
    <cellStyle name="Comma 5 6 2 3 4 2 4" xfId="30695" xr:uid="{9A1704C5-92D3-4EC2-ABE4-64113981F989}"/>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5 2" xfId="29715" xr:uid="{4E272700-95C3-44A0-BF31-07E252DAB136}"/>
    <cellStyle name="Comma 5 6 2 3 5 2 2" xfId="30965" xr:uid="{AF3CA143-BBE9-44FB-93FF-A7145ECBFBE4}"/>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4 2" xfId="29945" xr:uid="{9FB3FC22-56A3-44B5-87A0-EBCF4B7BBF43}"/>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4 2" xfId="29889" xr:uid="{BA1CDCF9-FD46-4D60-8CA7-A7079119BBF5}"/>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4 2" xfId="29947" xr:uid="{8B1B28A8-133C-4516-A9F3-7FE36BF04379}"/>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2 5" xfId="30429" xr:uid="{ED4880D0-7E90-4301-AA4F-4731D701629B}"/>
    <cellStyle name="Comma 5 6 3 3 3" xfId="3540" xr:uid="{00000000-0005-0000-0000-000037020000}"/>
    <cellStyle name="Comma 5 6 3 3 4" xfId="5581" xr:uid="{761EBF54-5B24-4AA9-86E2-6BDAAF962FA7}"/>
    <cellStyle name="Comma 5 6 3 3 4 2" xfId="29898" xr:uid="{AB4FD6CD-0861-47AC-BFF8-0942381BE83B}"/>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2 5" xfId="31009" xr:uid="{B8E6B64A-486D-4071-8DC3-AA330959E8E0}"/>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2 2" xfId="29833" xr:uid="{ACAEC5BD-7D04-4A07-8311-C37FECBDA470}"/>
    <cellStyle name="Comma 5 6 4 2 2 2 2" xfId="30698" xr:uid="{6FD28594-8527-46A9-81FF-53A5969F8A03}"/>
    <cellStyle name="Comma 5 6 4 2 3" xfId="23617" xr:uid="{EB20E96A-ABBE-4405-A83A-0C56D225D782}"/>
    <cellStyle name="Comma 5 6 4 2 4" xfId="30051" xr:uid="{55CA51AD-2F4D-46A7-8227-ED4BBA99702B}"/>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2 3" xfId="31068" xr:uid="{F2786672-7DFE-4FB0-BA25-C00762325A99}"/>
    <cellStyle name="Comma 5 6 4 5 2 4" xfId="30697" xr:uid="{4B424C80-EECD-4381-B558-D0681B8D1102}"/>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2 2" xfId="31205" xr:uid="{7D4C9951-2CC3-4A50-BBC9-67EE0E29863D}"/>
    <cellStyle name="Comma 5 6 5 2 2 2 3" xfId="30699" xr:uid="{776FC7D4-7BCD-4D98-A3F7-74BEEC5CD323}"/>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4 2" xfId="29842" xr:uid="{C378B11F-FE1B-4D48-8F76-B07AE9EB0C13}"/>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4 2" xfId="29871" xr:uid="{C06840A9-7BF7-48E8-BD43-5AA0864EF63B}"/>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2 2" xfId="29735" xr:uid="{FE2222D0-7793-40F0-A436-798F90E6F940}"/>
    <cellStyle name="Comma 5 7 2 2 2 2 2 2" xfId="30701" xr:uid="{9BD97334-2881-445B-A34E-42326F312AE5}"/>
    <cellStyle name="Comma 5 7 2 2 2 3" xfId="25603" xr:uid="{2E4144DF-BA35-444A-B073-CD4ECDA4E41B}"/>
    <cellStyle name="Comma 5 7 2 2 2 4" xfId="30052" xr:uid="{9E34B2C9-B31D-4C5D-8B66-EEB757494DBF}"/>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2 2" xfId="31179" xr:uid="{0FF2F87E-EA1D-4F08-B923-8F0B3224573A}"/>
    <cellStyle name="Comma 5 7 2 2 5 2 3" xfId="30700" xr:uid="{A84E266A-6C4D-48FB-B0F5-7AE41F9D8B5F}"/>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2 5" xfId="30430" xr:uid="{73CA2C10-218A-4D2A-81E4-A47A78477738}"/>
    <cellStyle name="Comma 5 7 2 3 3" xfId="3542" xr:uid="{00000000-0005-0000-0000-000046020000}"/>
    <cellStyle name="Comma 5 7 2 3 4" xfId="5584" xr:uid="{F1C4E9C9-E7C5-4999-9F4B-6A3BEE167DF3}"/>
    <cellStyle name="Comma 5 7 2 3 4 2" xfId="29751" xr:uid="{9A070076-FD0C-4E69-84C5-AB1037CE374D}"/>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2 3" xfId="31111" xr:uid="{F57B2301-3A0F-4B61-985A-7206CFD1129C}"/>
    <cellStyle name="Comma 5 7 2 4 2 2 4" xfId="30702" xr:uid="{A568AC5A-EBC6-4C11-987C-AB2234DC4239}"/>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4 3 2" xfId="29900" xr:uid="{9C01E95A-74BC-47F7-B7A5-8BC1061F59A5}"/>
    <cellStyle name="Comma 5 7 2 4 4" xfId="30013" xr:uid="{106398AA-ED2F-4348-890B-9FBF05EF801E}"/>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2 2" xfId="29677" xr:uid="{2D743BA9-5D74-41FF-8A56-E6FF48540754}"/>
    <cellStyle name="Comma 5 7 3 2 2 2 2" xfId="30704" xr:uid="{F8B265D7-D215-4C1F-B255-1B417890B3FC}"/>
    <cellStyle name="Comma 5 7 3 2 3" xfId="24036" xr:uid="{A956536C-0D0C-4B64-AB6C-3D32B84691CB}"/>
    <cellStyle name="Comma 5 7 3 2 3 2" xfId="27246" xr:uid="{2D391E2F-17BF-40F3-AC9B-F935480D75C5}"/>
    <cellStyle name="Comma 5 7 3 2 4" xfId="30053" xr:uid="{7D739D2D-6EFB-4DC1-9CEE-49DF4959E175}"/>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2 3" xfId="31069" xr:uid="{4F35AD9B-147C-403E-AC2A-4005FB889638}"/>
    <cellStyle name="Comma 5 7 3 5 2 4" xfId="30703" xr:uid="{2CF44F40-820F-4CCA-B82A-E11E5C240E31}"/>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2 2" xfId="29830" xr:uid="{F7CD230F-B65A-4593-9417-9FB6AD98AA28}"/>
    <cellStyle name="Comma 5 7 4 2 2 2 2" xfId="30706" xr:uid="{8D9CD661-7477-4CA4-A153-5E6471FBB6CB}"/>
    <cellStyle name="Comma 5 7 4 2 3" xfId="23289" xr:uid="{D45419FA-DEA1-4FF5-944A-3804F3B313AF}"/>
    <cellStyle name="Comma 5 7 4 2 4" xfId="30035" xr:uid="{AC32E726-9F55-4195-96E0-7352BD474D9D}"/>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5 2 2" xfId="31114" xr:uid="{FF2EE620-52C5-4E38-901B-D8EC7D6F936B}"/>
    <cellStyle name="Comma 5 7 4 5 2 3" xfId="30705" xr:uid="{1BAA88F6-1BCE-4EA7-8A2A-713DC40B742F}"/>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2 5" xfId="30431" xr:uid="{0C859140-1E98-42C7-9ADC-47E8A5D1F2C8}"/>
    <cellStyle name="Comma 5 7 5 3" xfId="3708" xr:uid="{00000000-0005-0000-0000-000051020000}"/>
    <cellStyle name="Comma 5 7 5 4" xfId="5585" xr:uid="{445FBE4B-D100-4012-9843-6726F1C23419}"/>
    <cellStyle name="Comma 5 7 5 4 2" xfId="29843" xr:uid="{04BAC53C-0E86-4839-945D-6630D920F403}"/>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6 4 2" xfId="29882" xr:uid="{46A80738-32FD-4F61-83A7-D4444073205A}"/>
    <cellStyle name="Comma 5 7 6 5" xfId="30004" xr:uid="{9E45B833-AA3E-4C42-86BA-FF11565FD327}"/>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2 2 2" xfId="31143" xr:uid="{45C30206-3A93-4FA0-9F4F-E970C6555ABA}"/>
    <cellStyle name="Comma 5 8 2 2 2 2 2 3" xfId="30707" xr:uid="{40931A3F-EFB0-4B78-8C96-34DE658927E1}"/>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4 2" xfId="29776" xr:uid="{06F5E240-6626-40DD-94FD-891798718C4E}"/>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2 2" xfId="30708" xr:uid="{33BA462E-2DD6-45C4-9B64-D122CEE1605E}"/>
    <cellStyle name="Comma 5 8 2 3 2 3" xfId="30552" xr:uid="{B6513C23-9EE7-4413-9D8F-CAD62F9FD3DE}"/>
    <cellStyle name="Comma 5 8 2 3 3" xfId="23017" xr:uid="{DB6EE825-2DCD-429A-9F59-4AC7F43A2769}"/>
    <cellStyle name="Comma 5 8 2 3 4" xfId="30054" xr:uid="{978411B6-56DD-4C90-89F4-2121420A39C1}"/>
    <cellStyle name="Comma 5 8 2 3 5" xfId="29660" xr:uid="{A80A5DC5-EADA-408A-9E37-AA5872793871}"/>
    <cellStyle name="Comma 5 8 2 4" xfId="1672" xr:uid="{00000000-0005-0000-0000-000058020000}"/>
    <cellStyle name="Comma 5 8 2 4 2" xfId="28519" xr:uid="{DB5287D2-A3BC-4D9D-A5AD-D97C9934A7A4}"/>
    <cellStyle name="Comma 5 8 2 4 2 2" xfId="30709" xr:uid="{A3272CAB-83C9-416E-A5D9-D0B05295D51B}"/>
    <cellStyle name="Comma 5 8 2 4 2 3" xfId="30584" xr:uid="{E0F084EF-22C3-46D5-95E2-A0541AFFE25C}"/>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2 2" xfId="29808" xr:uid="{A16796A0-C536-46DB-8E0E-8CC66009832A}"/>
    <cellStyle name="Comma 5 8 3 2 2 2 2" xfId="30711" xr:uid="{F658FE12-6F3E-4B0A-B54E-A7FF09FDADE0}"/>
    <cellStyle name="Comma 5 8 3 2 3" xfId="25444" xr:uid="{8F83E9BD-D752-4670-83D0-42D787B89054}"/>
    <cellStyle name="Comma 5 8 3 2 3 2" xfId="27841" xr:uid="{3EDC9502-0DFD-4975-83D4-00C65AD487AD}"/>
    <cellStyle name="Comma 5 8 3 2 4" xfId="30036" xr:uid="{D3FD3568-0D74-4E96-85CC-D3A48B10523B}"/>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2 2" xfId="31172" xr:uid="{842693BC-CC20-404C-8856-79558A6CD263}"/>
    <cellStyle name="Comma 5 8 3 5 2 3" xfId="30710" xr:uid="{813779E3-886C-4293-B28F-F0E9872B5AA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2 2 2" xfId="31135" xr:uid="{62D238FC-6347-4192-97CE-39DC26771B37}"/>
    <cellStyle name="Comma 5 8 4 2 2 2 3" xfId="30712" xr:uid="{CA877F40-44FB-4FD0-BE13-08310BD6406D}"/>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4 2" xfId="29752" xr:uid="{B23374D4-9EA4-47D3-8221-B7DC4E11F6B5}"/>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2 5" xfId="30432" xr:uid="{3EAE95C7-3CF1-49BF-B334-23DF8958441E}"/>
    <cellStyle name="Comma 5 8 5 3" xfId="2086" xr:uid="{00000000-0005-0000-0000-00005E020000}"/>
    <cellStyle name="Comma 5 8 5 4" xfId="24921" xr:uid="{73CD0007-7AA6-4C23-BE0B-E3F5295A5FA9}"/>
    <cellStyle name="Comma 5 8 5 4 2" xfId="29901" xr:uid="{5F75C6C7-0D1C-4F31-BA20-114360A40F9E}"/>
    <cellStyle name="Comma 5 8 5 5" xfId="30014" xr:uid="{C09199D8-A0F8-4F00-B4B1-D5B29F949D0F}"/>
    <cellStyle name="Comma 5 8 6" xfId="1671" xr:uid="{00000000-0005-0000-0000-00005F020000}"/>
    <cellStyle name="Comma 5 8 6 2" xfId="26586" xr:uid="{422903AC-287E-4EC3-BB8E-0A504F69CB1D}"/>
    <cellStyle name="Comma 5 8 6 2 2" xfId="30713" xr:uid="{3462D339-733B-4AEB-9A0A-A3A3A15B2E2A}"/>
    <cellStyle name="Comma 5 8 6 2 3" xfId="30583" xr:uid="{646BD82D-6032-48CF-BAD3-144F8987CF64}"/>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2 2 2" xfId="31136" xr:uid="{6BE75A01-8681-4A86-852E-5CA96578CD07}"/>
    <cellStyle name="Comma 5 9 2 2 2 2 2 3" xfId="30714" xr:uid="{4CB97A7A-50B9-47D4-B501-400C9AC937B3}"/>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4 2" xfId="29764" xr:uid="{5A5A3821-4E20-4ABC-8E69-75E4640375B8}"/>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2 2" xfId="30715" xr:uid="{47DB5FD4-96FA-4173-8E53-6DA4234BEA2D}"/>
    <cellStyle name="Comma 5 9 2 3 2 3" xfId="30553" xr:uid="{F5088134-8CE5-4A2C-9753-895A284CAC6E}"/>
    <cellStyle name="Comma 5 9 2 3 3" xfId="22956" xr:uid="{1221D88C-6031-4EEF-9013-D90C6923BB63}"/>
    <cellStyle name="Comma 5 9 2 3 4" xfId="30037" xr:uid="{8E6C886B-4461-492D-A2D3-77A7DD14FA89}"/>
    <cellStyle name="Comma 5 9 2 3 5" xfId="29661" xr:uid="{5C83A64C-738C-4B76-A536-451C4CDAEBDA}"/>
    <cellStyle name="Comma 5 9 2 4" xfId="1681" xr:uid="{00000000-0005-0000-0000-000064020000}"/>
    <cellStyle name="Comma 5 9 2 4 2" xfId="26144" xr:uid="{11F3DDB7-F030-4752-8665-FF4829009ADA}"/>
    <cellStyle name="Comma 5 9 2 4 2 2" xfId="30716" xr:uid="{BD8F26DD-5947-436A-8E4A-F7C8D3342C18}"/>
    <cellStyle name="Comma 5 9 2 4 2 3" xfId="30586" xr:uid="{A1610AE6-DFB3-4902-854F-8CE0CA56D516}"/>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5 5" xfId="30617" xr:uid="{06850C7D-2AAC-4475-AD05-17DE7A9F5617}"/>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2 2" xfId="30718" xr:uid="{B0C70532-9092-4845-BAD0-1BA2E82A1E86}"/>
    <cellStyle name="Comma 5 9 3 2 2 3" xfId="30601" xr:uid="{431458AB-C9BA-4E59-BFC7-8AC4B17F7501}"/>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2 2" xfId="31198" xr:uid="{0301959F-F531-44B8-B593-826B6FD4315E}"/>
    <cellStyle name="Comma 5 9 3 5 2 3" xfId="30717" xr:uid="{84D65F06-96BE-4435-B794-A50A7ACD6ECD}"/>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2 2 2" xfId="31126" xr:uid="{0B51279B-2A5B-4395-ADC6-689D69249167}"/>
    <cellStyle name="Comma 5 9 4 2 2 2 3" xfId="30719" xr:uid="{2B2AC912-036D-468D-8CF3-4AA2B8F5290D}"/>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4 4 2" xfId="29737" xr:uid="{23982877-3765-4743-AD98-45F4A9C681B2}"/>
    <cellStyle name="Comma 5 9 4 5" xfId="29844" xr:uid="{45E3FC05-22F4-4882-A2EE-6AE2BB9EB86D}"/>
    <cellStyle name="Comma 5 9 4 6" xfId="29989" xr:uid="{6B05C73D-E431-4BD3-A0E9-D68B75A751E3}"/>
    <cellStyle name="Comma 5 9 5" xfId="1688" xr:uid="{00000000-0005-0000-0000-00006A020000}"/>
    <cellStyle name="Comma 5 9 5 2" xfId="24215" xr:uid="{4EF621CF-F50D-4230-AF83-2E870655BDA3}"/>
    <cellStyle name="Comma 5 9 5 2 2" xfId="29798" xr:uid="{AC7AD2D9-EE19-437C-B1CB-74F8FC52A265}"/>
    <cellStyle name="Comma 5 9 5 2 2 2" xfId="30720" xr:uid="{B026E2CA-F479-4414-B3BC-598E63AD2D30}"/>
    <cellStyle name="Comma 5 9 5 3" xfId="24967" xr:uid="{569BA925-3A3B-4717-B1B9-3D852F1BB19D}"/>
    <cellStyle name="Comma 5 9 5 4" xfId="30015" xr:uid="{0A634316-065C-4E51-B319-E58017A9EF5E}"/>
    <cellStyle name="Comma 5 9 6" xfId="1680" xr:uid="{00000000-0005-0000-0000-00006B020000}"/>
    <cellStyle name="Comma 5 9 6 2" xfId="27178" xr:uid="{14EF25F5-D9BE-45D5-9005-4E60957A0203}"/>
    <cellStyle name="Comma 5 9 6 2 2" xfId="30721" xr:uid="{FDE5ECE4-C2F4-4D3A-A86F-4B131C787202}"/>
    <cellStyle name="Comma 5 9 6 2 3" xfId="30585" xr:uid="{A40CFB98-27E5-4F51-8348-E9CA033F2552}"/>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2 2" xfId="29824" xr:uid="{993FD6BC-13E5-4F0C-A1CB-0B9266626B05}"/>
    <cellStyle name="Comma 6 3 2 3" xfId="24576" xr:uid="{A28E2AF0-11DC-454F-8523-E8CC9FF3477F}"/>
    <cellStyle name="Comma 6 3 3" xfId="1691" xr:uid="{00000000-0005-0000-0000-000070020000}"/>
    <cellStyle name="Comma 6 3 3 2" xfId="31309" xr:uid="{B892DCB0-225F-4A82-BF1C-F3D3857F7969}"/>
    <cellStyle name="Comma 6 3 3 3" xfId="31268" xr:uid="{6EC989E8-EEBE-4E56-B842-6FAA8089D686}"/>
    <cellStyle name="Comma 6 3 4" xfId="1689" xr:uid="{00000000-0005-0000-0000-000071020000}"/>
    <cellStyle name="Comma 6 3 5" xfId="30402" xr:uid="{826A58AB-2EF0-437D-8B25-98E5B40781A9}"/>
    <cellStyle name="Comma 6 3 5 2" xfId="30433" xr:uid="{C80FF380-C62E-48FE-B3CF-F41618084E64}"/>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4 2" xfId="29949" xr:uid="{233E463F-54C2-4C29-870A-0D49BFA16A91}"/>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3 3 2" xfId="29903" xr:uid="{4DA074B1-E9A6-4FB2-9574-AF0CB56E487E}"/>
    <cellStyle name="Comma 6 4 2 2 3 4" xfId="30017" xr:uid="{B0E6ED8B-7F94-4C65-B922-D81312B6C1B9}"/>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2 3" xfId="31036" xr:uid="{E5D61C2A-5E38-417B-8489-A5D1DF3FC18F}"/>
    <cellStyle name="Comma 6 4 2 2 5 2 4" xfId="30722" xr:uid="{0FF41AB0-D970-4E31-9E8E-8298D6AF25BD}"/>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2 2" xfId="31221" xr:uid="{020E94C7-3C33-4C62-9CE1-8B3A7270B784}"/>
    <cellStyle name="Comma 6 4 2 3 2 2 2 3" xfId="30724" xr:uid="{F335279E-1B9E-4D18-8CA1-66BD0EDC3A2A}"/>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2 3" xfId="31070" xr:uid="{55898A08-20A6-4893-81F2-362535D71995}"/>
    <cellStyle name="Comma 6 4 2 3 4 2 4" xfId="30723" xr:uid="{991663E5-093A-4C82-AB81-8EF79A9D4B8B}"/>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5 2" xfId="29690" xr:uid="{63269818-A85D-49A6-B8ED-4F376BDFFA23}"/>
    <cellStyle name="Comma 6 4 2 3 5 2 2" xfId="30966" xr:uid="{7D70C7BF-EF85-401A-AD86-BF5235BE5695}"/>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4 2" xfId="29948" xr:uid="{F9D8C378-6662-4A0B-BF57-80CDD28C6729}"/>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4 2" xfId="29875" xr:uid="{1F5868CB-B8F6-4FD2-BE45-16F85B1BB38D}"/>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2 3" xfId="31161" xr:uid="{B8B7D374-F9E5-4444-AC13-477FC287386D}"/>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2 3" xfId="31037" xr:uid="{48EC53A8-509B-4602-9481-7646B7A295C3}"/>
    <cellStyle name="Comma 6 4 3 2 5 2 4" xfId="30726" xr:uid="{DAB1BA0C-8406-4AF8-9D58-1646B3244154}"/>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6 2" xfId="29721" xr:uid="{B517F1E3-A38C-4F58-A6FD-5D445DFE68EB}"/>
    <cellStyle name="Comma 6 4 3 2 6 2 2" xfId="30967" xr:uid="{68C3F424-D42B-415D-A275-3C3491C69598}"/>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2 3" xfId="31071" xr:uid="{64CBF01D-BCC0-4E97-A30C-4817D685CDEB}"/>
    <cellStyle name="Comma 6 4 3 3 4 2 4" xfId="30727" xr:uid="{32E7DD8E-8E93-48A0-B22A-199885881375}"/>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5 2" xfId="29706" xr:uid="{8C47B7A5-55DE-41F0-ABE8-96B67015A584}"/>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4 2" xfId="29950" xr:uid="{A9380C1B-14A6-4B53-9630-BB03006EEA3E}"/>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2 3" xfId="31010" xr:uid="{2C79F960-4C49-4A44-BE3E-BA4DD4C9FBB0}"/>
    <cellStyle name="Comma 6 4 3 6 2 4" xfId="30725" xr:uid="{888020BF-966F-45AF-AD87-05FC86173A31}"/>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4 2" xfId="29951" xr:uid="{FDB36AFE-899A-4744-9DD8-6E4865CE36DC}"/>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3 3 2" xfId="29902" xr:uid="{DE18F8CC-9AE1-4F5E-9463-70483CF3EC52}"/>
    <cellStyle name="Comma 6 4 4 3 4" xfId="30016" xr:uid="{54B5A641-CBAA-4C36-9169-160B5E571C1F}"/>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2 3" xfId="31035" xr:uid="{7E47475A-DD01-4834-94C2-1630B8804BB1}"/>
    <cellStyle name="Comma 6 4 4 5 2 4" xfId="30728" xr:uid="{162F962F-579D-4E61-99F1-D903E08A5944}"/>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2 2" xfId="31222" xr:uid="{691BCCD8-3FCB-46F4-AA19-66BD8B2792E8}"/>
    <cellStyle name="Comma 6 4 5 2 2 2 3" xfId="30730" xr:uid="{787E4866-BDC8-4893-9282-491F88D13FE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2 3" xfId="31072" xr:uid="{22979A5B-49A1-42E6-BA89-CCDBEAE37202}"/>
    <cellStyle name="Comma 6 4 5 4 2 4" xfId="30729" xr:uid="{E5F89DE4-F2D2-4C08-B671-36C13540F10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5 2" xfId="29685" xr:uid="{EF3BD0A6-DB09-431F-92E2-3C8D869A5B95}"/>
    <cellStyle name="Comma 6 4 5 5 2 2" xfId="30968" xr:uid="{308557D5-49FB-45ED-B51A-8AA44B8D7B71}"/>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2 2" xfId="31171" xr:uid="{9743733B-E35B-44C2-895E-4E9F3FD9AD20}"/>
    <cellStyle name="Comma 6 4 6 2 2 2 3" xfId="30731" xr:uid="{36F4C335-21C6-4B80-A783-6DEE9EA2C7B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4 2" xfId="29923" xr:uid="{CDA048C9-974C-400A-AA42-F64BD97DF22B}"/>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4 2" xfId="29863" xr:uid="{C263C62B-DABD-420C-A97D-0F3CE47933DF}"/>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2 2 2" xfId="31123" xr:uid="{24EFB6D6-DF65-42CC-96F4-F84914B8D4E7}"/>
    <cellStyle name="Comma 6 4 8 2 2 3" xfId="30732" xr:uid="{29EF420D-7071-41EC-A1CD-1C25DE9D0314}"/>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0 2" xfId="30005" xr:uid="{9BBA55C4-F717-4123-9745-FD974FD5C92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2 2" xfId="31192" xr:uid="{325C7F89-E089-4071-A4CA-9ADB67FB52F9}"/>
    <cellStyle name="Comma 6 5 2 2 2 2 3" xfId="30734" xr:uid="{16F0985C-0D59-4C77-AE81-D539AE6EC8DC}"/>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2 5" xfId="31038" xr:uid="{8012AB0B-EB59-44A7-8DB7-259914660E82}"/>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2 3" xfId="31073" xr:uid="{A2A4928A-1757-4797-9AD6-3490D0D71705}"/>
    <cellStyle name="Comma 6 5 3 2 2 4" xfId="30735" xr:uid="{CC9E0DDD-F5C7-4081-BD6A-4AF5E6D9D0A0}"/>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2 3" xfId="31025" xr:uid="{14ACCE49-649F-4D5B-8F9D-24E42BD4A4E9}"/>
    <cellStyle name="Comma 6 5 7 2 4" xfId="30733" xr:uid="{57466AA1-E89A-486E-89A6-F5D9E03FEBE5}"/>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8 2" xfId="29825" xr:uid="{FA06CDE3-AD95-4F28-BB21-F621D65E4E87}"/>
    <cellStyle name="Comma 6 5 8 2 2" xfId="30969" xr:uid="{50FCA492-10FD-4CB8-BB65-65A595E6C1EE}"/>
    <cellStyle name="Comma 6 5 8 3" xfId="30627" xr:uid="{D6644BB0-0D0B-41C4-A086-5EB2E7A61544}"/>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6 7" xfId="30434" xr:uid="{86EF0529-B324-4719-B2B1-2B9231FB2917}"/>
    <cellStyle name="Comma 6 6 8" xfId="31260" xr:uid="{40BDEAA4-3800-4985-8263-4E0A9E3CC9C3}"/>
    <cellStyle name="Comma 6 7" xfId="22762" xr:uid="{37A7E8A0-43E7-41E2-BDB1-D7874A32CC13}"/>
    <cellStyle name="Comma 6 7 2" xfId="30401" xr:uid="{8AB278A9-D60A-4CCF-8FB0-D023A9F7D997}"/>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4 2" xfId="29777" xr:uid="{69895E25-65E5-4D76-A26D-A63F28A4B978}"/>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3 4" xfId="30055" xr:uid="{82D7F95B-ADDB-4CD3-8CA5-38E26A9A1505}"/>
    <cellStyle name="Comma 7 10 3 5" xfId="29662" xr:uid="{6948ED0E-1928-433B-8896-129390D39D27}"/>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2 3" xfId="31011" xr:uid="{D6C854D8-D37F-4A44-B89C-1C0E594B72EA}"/>
    <cellStyle name="Comma 7 10 5 2 4" xfId="30736" xr:uid="{1539EA9C-5098-413E-9C5B-D0DF900926AD}"/>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10" xfId="31256" xr:uid="{E835B43B-FDA2-4DDE-83E1-FBF9D27ED0DE}"/>
    <cellStyle name="Comma 7 11 2" xfId="1713" xr:uid="{00000000-0005-0000-0000-00008D020000}"/>
    <cellStyle name="Comma 7 11 2 2" xfId="25052" xr:uid="{23ABD4A7-3C9B-4DBA-8948-EF7696DC0549}"/>
    <cellStyle name="Comma 7 11 2 2 2" xfId="29812" xr:uid="{2804BB26-590B-4F9E-8251-636B18D7E4FE}"/>
    <cellStyle name="Comma 7 11 2 2 2 2" xfId="30738" xr:uid="{3DAD6463-AE5B-4A7E-A235-D117BC01C86B}"/>
    <cellStyle name="Comma 7 11 2 3" xfId="25318" xr:uid="{7CB5C089-12DC-4C77-B45B-B4312F852EC0}"/>
    <cellStyle name="Comma 7 11 2 4" xfId="30038" xr:uid="{567DD56B-F8B3-45D4-86C5-0960C07F73C2}"/>
    <cellStyle name="Comma 7 11 3" xfId="1714" xr:uid="{00000000-0005-0000-0000-00008E020000}"/>
    <cellStyle name="Comma 7 11 3 2" xfId="31310" xr:uid="{BF8591BA-BEDC-47CC-8EFA-C694600B8972}"/>
    <cellStyle name="Comma 7 11 3 3" xfId="31272" xr:uid="{2324712B-9FE1-4E85-A8B2-EE1C9063D0B9}"/>
    <cellStyle name="Comma 7 11 4" xfId="1712" xr:uid="{00000000-0005-0000-0000-00008F020000}"/>
    <cellStyle name="Comma 7 11 5" xfId="4893" xr:uid="{4D7EF800-D3FE-4415-997D-80EB71861FD5}"/>
    <cellStyle name="Comma 7 11 5 2" xfId="14185" xr:uid="{237C6960-02C1-47B1-93F9-D85783831FC0}"/>
    <cellStyle name="Comma 7 11 5 2 2" xfId="31115" xr:uid="{F9048556-5930-4AED-AE0A-49345657D6F3}"/>
    <cellStyle name="Comma 7 11 5 2 3" xfId="30737" xr:uid="{1DDC157D-0ED6-4BFF-BF05-1F10AA0C45F1}"/>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2 2 2" xfId="31132" xr:uid="{739F47EE-1697-4F75-9A1F-73E308A7FAE6}"/>
    <cellStyle name="Comma 7 12 2 2 2 3" xfId="30739" xr:uid="{79E3D847-09B7-406F-A8CF-8B9C6BA67CC6}"/>
    <cellStyle name="Comma 7 12 2 3" xfId="10392" xr:uid="{1C9A0FA7-3839-49B7-B9C6-489E59242394}"/>
    <cellStyle name="Comma 7 12 2 3 2" xfId="20772" xr:uid="{E2D691C5-6C3C-43B7-8FBD-A5642F6BDFE7}"/>
    <cellStyle name="Comma 7 12 2 4" xfId="15106" xr:uid="{394B16FD-FC1A-4870-BC31-909DEE327F64}"/>
    <cellStyle name="Comma 7 12 2 5" xfId="30435" xr:uid="{E91DB9E4-8773-4A90-836F-853E0ADD18FD}"/>
    <cellStyle name="Comma 7 12 3" xfId="3597" xr:uid="{00000000-0005-0000-0000-000090020000}"/>
    <cellStyle name="Comma 7 12 4" xfId="5602" xr:uid="{CC94EC69-AD3D-4EA5-A1E0-1BACCD539177}"/>
    <cellStyle name="Comma 7 12 4 2" xfId="29744" xr:uid="{E94F5ABB-9BF5-4EDB-9248-CDB704943345}"/>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3 4 2" xfId="29857" xr:uid="{8E68E056-46A1-493A-A824-DE927F27CD41}"/>
    <cellStyle name="Comma 7 13 5" xfId="30000" xr:uid="{CDAD209D-5AEE-42B6-A650-1520C83196B3}"/>
    <cellStyle name="Comma 7 14" xfId="1708" xr:uid="{00000000-0005-0000-0000-000092020000}"/>
    <cellStyle name="Comma 7 14 2" xfId="24640" xr:uid="{A6E59767-7C11-40A9-9CB4-E620D76DFBAF}"/>
    <cellStyle name="Comma 7 14 2 2" xfId="30740" xr:uid="{20627FD3-BC5A-44E9-9321-3CFCE969D60D}"/>
    <cellStyle name="Comma 7 14 2 3" xfId="30578" xr:uid="{293AA1E7-D6FF-4E29-9D1A-3B9D5650BE0B}"/>
    <cellStyle name="Comma 7 14 3" xfId="24749" xr:uid="{21C0A86C-9258-4F6E-BBD2-E1ADC08986B9}"/>
    <cellStyle name="Comma 7 14 4" xfId="31257" xr:uid="{60B07CE3-3025-411C-B89F-E948725F8A6F}"/>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2 3" xfId="31039" xr:uid="{AA539B6E-4723-4789-AC85-1CFE67B89BFD}"/>
    <cellStyle name="Comma 7 2 2 2 2 5 2 4" xfId="30741" xr:uid="{9E89B3B5-DBDF-44A9-AA99-6000B493F40F}"/>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6 2" xfId="29722" xr:uid="{A9AFC85D-8C0D-4130-B886-7E8359B0A603}"/>
    <cellStyle name="Comma 7 2 2 2 2 6 2 2" xfId="30970" xr:uid="{8CEB5E9E-E0FF-4F20-96AA-69D70D0E860D}"/>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2 2" xfId="31223" xr:uid="{64669DDE-E9DA-4EAC-840F-300D8458696F}"/>
    <cellStyle name="Comma 7 2 2 2 3 2 2 2 3" xfId="30743" xr:uid="{9BE22F56-5609-4E7F-8914-A50524A8AE51}"/>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2 3" xfId="31074" xr:uid="{D38E3B53-D156-4B44-AB59-891FBD40DA19}"/>
    <cellStyle name="Comma 7 2 2 2 3 4 2 4" xfId="30742" xr:uid="{5EC7C62E-B9BD-4D62-B823-6C633004A8F9}"/>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5 2" xfId="29713" xr:uid="{727D4473-6337-4C2B-993C-B70A69606063}"/>
    <cellStyle name="Comma 7 2 2 2 3 5 2 2" xfId="30971" xr:uid="{0009754D-8DF5-4501-AFC6-1CE7BF8EF82E}"/>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4 2" xfId="29952" xr:uid="{896A5489-FC9F-470C-A32A-715D7DC9DC2F}"/>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2 2" xfId="31210" xr:uid="{41DF6F33-8D60-4576-8FB0-D042E3C8EBFB}"/>
    <cellStyle name="Comma 7 2 2 2 5 2 2 3" xfId="30744" xr:uid="{9A76BCD1-2FA8-476D-82A1-5C281FED076E}"/>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4 2" xfId="29953" xr:uid="{D1E25D06-EBB3-4F98-B33B-12157C3439B0}"/>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2 5" xfId="30436" xr:uid="{05238282-1775-49FC-85C1-8ED1502C2358}"/>
    <cellStyle name="Comma 7 2 2 3 3 3" xfId="3609" xr:uid="{00000000-0005-0000-0000-00009B020000}"/>
    <cellStyle name="Comma 7 2 2 3 3 4" xfId="5608" xr:uid="{BC4ED24D-C538-4B6F-951C-1BD6831C47CE}"/>
    <cellStyle name="Comma 7 2 2 3 3 4 2" xfId="29904" xr:uid="{8D00CB34-EEFC-4608-9CEE-C41B70B1020A}"/>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2 5" xfId="31013" xr:uid="{E512D330-B569-42B6-B9FD-CEFB02E870B3}"/>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2 2" xfId="31224" xr:uid="{510942B6-0D2C-405B-ABD3-31DD104B2B1D}"/>
    <cellStyle name="Comma 7 2 2 4 2 2 2 3" xfId="30746" xr:uid="{3CE79F9A-1CEF-4341-8F09-994E691C3E10}"/>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2 3" xfId="31075" xr:uid="{786407AF-304B-44BB-91C9-41B73DBEF52E}"/>
    <cellStyle name="Comma 7 2 2 4 4 2 4" xfId="30745" xr:uid="{5E54725C-897D-40F1-8695-19F030094CFB}"/>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5 2" xfId="29695" xr:uid="{C51DD962-D486-41B6-AEF9-F352089D8979}"/>
    <cellStyle name="Comma 7 2 2 4 5 2 2" xfId="30972" xr:uid="{B554B0FB-577C-43D4-A599-63A4BA115F07}"/>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2 2" xfId="31184" xr:uid="{FC14198E-000A-4F8E-9452-58AE2CA30190}"/>
    <cellStyle name="Comma 7 2 2 5 2 2 2 3" xfId="30747" xr:uid="{A5AC0F89-1883-4D8B-B375-FC2E34278669}"/>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4 2" xfId="29924" xr:uid="{A6817449-271B-4CF5-A4A3-F87834A3357F}"/>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4 2" xfId="29880" xr:uid="{E8ADF7C4-F8D2-4A89-906B-03E3C1A7B97B}"/>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2 2" xfId="31168" xr:uid="{868935A9-795E-4969-B715-257C032BF947}"/>
    <cellStyle name="Comma 7 2 2 7 2 2 3" xfId="30748" xr:uid="{C0A2DEC5-358A-4E0F-873B-906DEBD77BD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2 3" xfId="31164" xr:uid="{C56FF428-67DB-4E35-8FFF-769DCB0D3C4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5 2" xfId="30072" xr:uid="{CA91868D-1CB6-464E-8CBF-4DCD3DCE018A}"/>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2 3" xfId="31040" xr:uid="{75B026AB-7DD8-43E2-9850-05B56B1C9A25}"/>
    <cellStyle name="Comma 7 2 3 2 5 2 4" xfId="30749" xr:uid="{3152E72E-1085-4AC3-8737-1EDAD6857F17}"/>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6 2" xfId="29723" xr:uid="{3978CA91-463F-4FB3-83B5-1A479610C314}"/>
    <cellStyle name="Comma 7 2 3 2 6 2 2" xfId="30973" xr:uid="{FBC6C47D-C56E-4878-A380-938D7859EBA3}"/>
    <cellStyle name="Comma 7 2 3 2 7" xfId="24740" xr:uid="{113CF7D5-3CC3-4C78-AA45-6BB36B301A7F}"/>
    <cellStyle name="Comma 7 2 3 2 8" xfId="13088" xr:uid="{84212721-431A-4A5B-A3B6-C12D2C24C27E}"/>
    <cellStyle name="Comma 7 2 3 2 9" xfId="29990" xr:uid="{E6F54CCC-E5B6-4A92-8CFB-C7AA169FBB12}"/>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2 2" xfId="31225" xr:uid="{C8EBC6BE-55BB-4085-B6E1-FC370F250ABF}"/>
    <cellStyle name="Comma 7 2 3 3 2 2 2 3" xfId="30751" xr:uid="{D91F4771-FE89-42CC-ACEC-7AC06163A138}"/>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2 3" xfId="31076" xr:uid="{135B9B38-57A7-4FCB-B543-F2903615F848}"/>
    <cellStyle name="Comma 7 2 3 3 4 2 4" xfId="30750" xr:uid="{C0FDE45D-0A74-4B48-B868-CC3A381D3938}"/>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5 2" xfId="29700" xr:uid="{8F0345B5-C42A-4F97-AC9E-5A49983112D6}"/>
    <cellStyle name="Comma 7 2 3 3 5 2 2" xfId="30974" xr:uid="{49AB00ED-D3D7-42C2-B932-B7FA414535C5}"/>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4 2" xfId="29954" xr:uid="{6F5E6FF8-BD18-41B0-9298-1562BF4F1B7A}"/>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2 2" xfId="31182" xr:uid="{20ACC1DA-DDA0-4DFF-BBE4-E7B9006F30B2}"/>
    <cellStyle name="Comma 7 2 3 5 2 2 3" xfId="30752" xr:uid="{D28CA131-6C32-427C-80B1-1949D54DB14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4 2" xfId="29778" xr:uid="{717A8B57-F613-4934-A2BA-B4DA41722BE9}"/>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2 5" xfId="30437" xr:uid="{DF58A38D-B193-4A6E-8EE2-33862B27ADE5}"/>
    <cellStyle name="Comma 7 2 4 3 3" xfId="3690" xr:uid="{00000000-0005-0000-0000-0000A6020000}"/>
    <cellStyle name="Comma 7 2 4 3 4" xfId="5615" xr:uid="{9A822023-40EF-4024-BA32-71C8DA489B1B}"/>
    <cellStyle name="Comma 7 2 4 3 4 2" xfId="29754" xr:uid="{74AF2044-288C-4259-962B-6890C3AD7521}"/>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2 5" xfId="31012" xr:uid="{4DF67780-7E6B-44B0-A3FE-2A2D9262F36F}"/>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2 2" xfId="29809" xr:uid="{204B9508-2436-4FC6-8C97-CBC6E74FC93F}"/>
    <cellStyle name="Comma 7 2 5 2 2 2 2" xfId="30754" xr:uid="{B5D93598-8236-4471-B3EC-1978D2E1072A}"/>
    <cellStyle name="Comma 7 2 5 2 3" xfId="25638" xr:uid="{B96FBEC1-5BE6-4663-9CFF-AEA34151F77D}"/>
    <cellStyle name="Comma 7 2 5 2 4" xfId="30056" xr:uid="{E4DAD63E-503C-406A-B8BA-9B1C802DB5C2}"/>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2 3" xfId="31077" xr:uid="{17B13F84-67BE-4A07-A34F-F4CE611049F3}"/>
    <cellStyle name="Comma 7 2 5 5 2 4" xfId="30753" xr:uid="{E58FD6DF-6DEC-499C-BEC4-86D88EF5CE76}"/>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2 2" xfId="31186" xr:uid="{7F1F2059-99DE-446F-8BD0-EAEBA6DBAE22}"/>
    <cellStyle name="Comma 7 2 6 2 2 2 3" xfId="30755" xr:uid="{9590EA42-5241-4666-9BE3-D0CB28A14838}"/>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4 2" xfId="29765" xr:uid="{F47EEEA3-4F8B-40CC-BF5B-CF0F5EF74B6F}"/>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4 2" xfId="29869" xr:uid="{5E7A83DB-A0C5-4ED1-A233-B36A18D163CB}"/>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4 2" xfId="29956" xr:uid="{8B3FC41C-7281-4CF2-A98D-63A3095363A9}"/>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3 3 2" xfId="29906" xr:uid="{93403E33-B739-48C8-B3FF-C5FA96787F9D}"/>
    <cellStyle name="Comma 7 3 2 2 3 4" xfId="30019" xr:uid="{83A93D49-37FF-4080-A033-54F7CB7FA7AE}"/>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2 3" xfId="31042" xr:uid="{A4B4FE6B-5C09-45A8-B162-ECE9F59A9D18}"/>
    <cellStyle name="Comma 7 3 2 2 5 2 4" xfId="30756" xr:uid="{F2ABCE9C-BFA0-49C6-A07A-003C2976380F}"/>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2 2" xfId="31226" xr:uid="{A413791A-F936-450E-8898-B28874C3FB8E}"/>
    <cellStyle name="Comma 7 3 2 3 2 2 2 3" xfId="30758" xr:uid="{F6141DB5-1C57-421B-B213-CF6C071CD99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2 3" xfId="31078" xr:uid="{4789A897-290F-4E25-A48E-8AA52182CD7F}"/>
    <cellStyle name="Comma 7 3 2 3 4 2 4" xfId="30757" xr:uid="{117CC0FA-7F90-489F-8F9C-66A69315D0FF}"/>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5 2" xfId="29691" xr:uid="{249FB12A-7A27-4B61-879F-A256C0817664}"/>
    <cellStyle name="Comma 7 3 2 3 5 2 2" xfId="30975" xr:uid="{2A7E378A-0FD3-4967-96A4-3E638EC84947}"/>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4 2" xfId="29955" xr:uid="{55B8B43E-4A73-4E99-BCC6-D74B637F3A5B}"/>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4 2" xfId="29876" xr:uid="{4FC4C9B9-B5E7-45D0-B8BB-332448A3B3EC}"/>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2 3" xfId="31147" xr:uid="{0F0E9F80-7732-414C-B0DB-5DCE9C6228C8}"/>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2 3" xfId="31043" xr:uid="{63AC0313-CC44-4BAB-B99B-3AFFB46C8671}"/>
    <cellStyle name="Comma 7 3 3 2 5 2 4" xfId="30760" xr:uid="{8E4BCF6B-DBB4-4075-978A-BD1BDD7DB325}"/>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6 2" xfId="29724" xr:uid="{3D06F1E3-79B4-4811-B657-F16B4EEA06E8}"/>
    <cellStyle name="Comma 7 3 3 2 6 2 2" xfId="30976" xr:uid="{112E69B3-69F1-44A5-8738-0AA881F3DFDC}"/>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2 3" xfId="31079" xr:uid="{7AD836FD-8CD5-4690-A33A-8DF428ABF448}"/>
    <cellStyle name="Comma 7 3 3 3 4 2 4" xfId="30761" xr:uid="{95AEBBD9-A3AC-4749-8833-DDB070EBC3BF}"/>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5 2" xfId="29707" xr:uid="{629F5DA6-01D3-4F91-A6F3-08DAFF81178A}"/>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4 2" xfId="29957" xr:uid="{DF3BC11F-BB56-413E-BA58-E5E717506BBC}"/>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2 3" xfId="31014" xr:uid="{19B449DC-F951-4406-BBDC-1E361946CBF1}"/>
    <cellStyle name="Comma 7 3 3 6 2 4" xfId="30759" xr:uid="{09060111-3662-4062-98E2-27280CA31DEF}"/>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4 2" xfId="29958" xr:uid="{20F9AA12-6498-407B-9E82-41086B0B3BDD}"/>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3 3 2" xfId="29905" xr:uid="{01103EB1-3290-4D07-BEF6-3D3C9114883A}"/>
    <cellStyle name="Comma 7 3 4 3 4" xfId="30018" xr:uid="{00434217-AB1C-4C6B-A83C-62A5AC08F336}"/>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2 3" xfId="31041" xr:uid="{29E5A903-E367-4DFA-8B14-41FC53E28582}"/>
    <cellStyle name="Comma 7 3 4 5 2 4" xfId="30762" xr:uid="{5C39344B-BBCA-404A-B8F8-90DD4B557283}"/>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2 2" xfId="31227" xr:uid="{B1824CD6-0A45-4DFE-A5DA-1765F10D715A}"/>
    <cellStyle name="Comma 7 3 5 2 2 2 3" xfId="30764" xr:uid="{7B31E587-79F0-4CA4-A017-3FC64EB68955}"/>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2 3" xfId="31080" xr:uid="{7E1DD9F1-4C18-4368-A763-2CFDB57D9BB0}"/>
    <cellStyle name="Comma 7 3 5 4 2 4" xfId="30763" xr:uid="{CEB76293-5225-4DF8-B182-6C8C0AFD630E}"/>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5 2" xfId="29686" xr:uid="{DD02D9DC-2EC2-4EBC-A2AB-DA7D0EF6B5A6}"/>
    <cellStyle name="Comma 7 3 5 5 2 2" xfId="30977" xr:uid="{235E9461-30B4-44D8-929B-6F79698976C3}"/>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2 2" xfId="31169" xr:uid="{00E20836-A709-4D76-A735-95493E287AD1}"/>
    <cellStyle name="Comma 7 3 6 2 2 2 3" xfId="30765" xr:uid="{80F05594-7611-41F2-83FC-870D7DE32EE2}"/>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4 2" xfId="29925" xr:uid="{741779F3-8687-413A-BABB-6A7AC4C6DE25}"/>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4 2" xfId="29864" xr:uid="{AF8F967D-6CD8-4490-B648-1B12B79D6ED9}"/>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2 2 2" xfId="31124" xr:uid="{25B90749-E1DC-406F-B88F-4BB77DEB39C9}"/>
    <cellStyle name="Comma 7 3 8 2 2 3" xfId="30766" xr:uid="{2521966B-AD35-4B5A-923F-A6EECC98E499}"/>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4 2" xfId="29960" xr:uid="{C6BDF0EC-6B58-4DBD-A047-E46FD0F0B294}"/>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3 3 2" xfId="29908" xr:uid="{017EC55E-1B0E-4659-9FEC-BE3BA3E8B5C9}"/>
    <cellStyle name="Comma 7 4 2 2 3 4" xfId="30020" xr:uid="{76B366F6-D4B3-4EDF-A05B-E111BAF2E291}"/>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2 3" xfId="31044" xr:uid="{0466D549-57DE-48E9-B876-F7DA4CBAA235}"/>
    <cellStyle name="Comma 7 4 2 2 5 2 4" xfId="30767" xr:uid="{B6266582-5973-4625-BC73-800F26BE8E45}"/>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2 2" xfId="31228" xr:uid="{5DCE9DDA-5CBE-40F0-BC23-B3C9BE848D80}"/>
    <cellStyle name="Comma 7 4 2 3 2 2 2 3" xfId="30769" xr:uid="{C45D28CF-F3F7-4E67-9E26-B73EEE81ED73}"/>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2 3" xfId="31081" xr:uid="{F6B95315-CE84-493B-AAC8-03822C5B8988}"/>
    <cellStyle name="Comma 7 4 2 3 4 2 4" xfId="30768" xr:uid="{622C6861-D115-499C-A407-9F5AA1C65C51}"/>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5 2" xfId="29703" xr:uid="{2CD370FC-BE89-44C6-B960-89019767396E}"/>
    <cellStyle name="Comma 7 4 2 3 5 2 2" xfId="30978" xr:uid="{AB2A1405-E9B2-4D65-9C63-84C25CAAF278}"/>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4 2" xfId="29959" xr:uid="{89796A6F-5040-434A-BAAD-19672D0CD23D}"/>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4 2" xfId="29886" xr:uid="{E23FAD94-262E-486E-AC68-65CF7F67F6ED}"/>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4 2" xfId="29961" xr:uid="{CBFC30DF-918A-4635-9F73-C3728EBCA183}"/>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2 5" xfId="30438" xr:uid="{B1C8CA97-8768-4B9B-AA25-B2978BD9674C}"/>
    <cellStyle name="Comma 7 4 3 3 3" xfId="3617" xr:uid="{00000000-0005-0000-0000-0000CE020000}"/>
    <cellStyle name="Comma 7 4 3 3 4" xfId="5634" xr:uid="{C0C64253-4544-4979-A07F-7EEC2FA73C74}"/>
    <cellStyle name="Comma 7 4 3 3 4 2" xfId="29907" xr:uid="{7158D19A-9FDF-4D3B-84E8-BAA5FCE634A9}"/>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2 5" xfId="31015" xr:uid="{AE91DB1F-9BFA-4E40-ABB4-055D676741C7}"/>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2 2" xfId="29795" xr:uid="{FD56B18F-F2A1-4404-84AA-2710BD5F70E9}"/>
    <cellStyle name="Comma 7 4 4 2 2 2 2" xfId="30771" xr:uid="{319C5315-1AFF-4ADF-8B9D-E9FDD8A5291F}"/>
    <cellStyle name="Comma 7 4 4 2 3" xfId="24977" xr:uid="{BAF6A2DD-6226-43D4-A684-8150AEF97C75}"/>
    <cellStyle name="Comma 7 4 4 2 4" xfId="30057" xr:uid="{75B74586-5889-4F8A-8B94-D1B0980FFA5F}"/>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2 3" xfId="31082" xr:uid="{54FF0A26-6FC3-46E7-B541-2D3D4C7445BB}"/>
    <cellStyle name="Comma 7 4 4 5 2 4" xfId="30770" xr:uid="{9E45CC61-8D14-4306-AE88-07132C06F482}"/>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2 2" xfId="31202" xr:uid="{C4434D6B-27E6-4DB2-B5C6-11D236A9EB9B}"/>
    <cellStyle name="Comma 7 4 5 2 2 2 3" xfId="30772" xr:uid="{5B586058-E49A-4F5A-A031-B1916C57A197}"/>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4 2" xfId="29845" xr:uid="{4B10996F-A14C-46DD-8C2F-249591EC5D98}"/>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4 2" xfId="29860" xr:uid="{805902E2-1874-4F43-B319-8A070BE8AB08}"/>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2 2" xfId="29820" xr:uid="{5C6E918E-4939-45E8-B81B-2BB9443B9369}"/>
    <cellStyle name="Comma 7 5 2 2 2 2 2 2" xfId="30774" xr:uid="{8331577E-3BE0-4863-9249-C2E29EC91883}"/>
    <cellStyle name="Comma 7 5 2 2 2 3" xfId="25615" xr:uid="{E11AB7C8-071A-4B09-83C8-46783A515B04}"/>
    <cellStyle name="Comma 7 5 2 2 2 4" xfId="30058" xr:uid="{EDBA2B5F-6CEF-4901-AC0B-962DF8EC9CB1}"/>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2 2" xfId="31180" xr:uid="{87B6A0FC-0A0D-4749-B9C8-431AB1B2B79E}"/>
    <cellStyle name="Comma 7 5 2 2 5 2 3" xfId="30773" xr:uid="{6B021D7B-467E-41E0-86AE-C149D8B144C3}"/>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2 5" xfId="30439" xr:uid="{4C69A4F6-066B-4602-A2FB-2507B99DA2D3}"/>
    <cellStyle name="Comma 7 5 2 3 3" xfId="3604" xr:uid="{00000000-0005-0000-0000-0000DD020000}"/>
    <cellStyle name="Comma 7 5 2 3 4" xfId="5637" xr:uid="{22F7C8BC-3E9A-4B2A-806B-9A80343B7F05}"/>
    <cellStyle name="Comma 7 5 2 3 4 2" xfId="29755" xr:uid="{CB335343-DFF7-47C9-BAD2-5555E0887C81}"/>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2 3" xfId="31109" xr:uid="{F6B2EA94-75BA-4FE9-BA97-825E66BAC5CD}"/>
    <cellStyle name="Comma 7 5 2 4 2 2 4" xfId="30775" xr:uid="{9413EA06-846F-4538-A8B6-AC9D9CB1956E}"/>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4 3 2" xfId="29909" xr:uid="{FC352166-CC94-4832-943B-05E380014AC4}"/>
    <cellStyle name="Comma 7 5 2 4 4" xfId="30021" xr:uid="{F9CFF630-ED37-41F2-88D7-D77DA160E269}"/>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2 2" xfId="29799" xr:uid="{E1BC0F88-3013-4A17-86BC-D393EC6A12C2}"/>
    <cellStyle name="Comma 7 5 3 2 2 2 2" xfId="30777" xr:uid="{0405C4BC-9FA5-4E1C-AE2C-0E8E035E6E55}"/>
    <cellStyle name="Comma 7 5 3 2 3" xfId="24071" xr:uid="{8A811A5F-863A-432D-8845-82D7A335A18F}"/>
    <cellStyle name="Comma 7 5 3 2 3 2" xfId="26964" xr:uid="{ACD1A0F0-669A-46F3-822C-B3E39EEFFB34}"/>
    <cellStyle name="Comma 7 5 3 2 4" xfId="30059" xr:uid="{4003CD9E-9CDC-471A-80E3-40C67E7AE6F3}"/>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2 3" xfId="31083" xr:uid="{D2DA8AD8-9203-46A4-840D-08F9276927A9}"/>
    <cellStyle name="Comma 7 5 3 5 2 4" xfId="30776" xr:uid="{ADEA8ABE-EF1C-4EE3-B196-098AA0C6560D}"/>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2 2" xfId="29813" xr:uid="{ACABB38E-F2C3-4AC1-BAE5-A0B7DA0C7293}"/>
    <cellStyle name="Comma 7 5 4 2 2 2 2" xfId="30779" xr:uid="{AF40BC1E-0D28-4ADA-909F-280C9863C3CF}"/>
    <cellStyle name="Comma 7 5 4 2 3" xfId="25559" xr:uid="{57C8C355-B884-4ABB-8802-01C4ABA7B528}"/>
    <cellStyle name="Comma 7 5 4 2 4" xfId="30039" xr:uid="{2590A26D-2BC3-46D2-9CBC-376320D777B3}"/>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5 2 2" xfId="31116" xr:uid="{AFD7E339-6562-4166-B7E4-17A96787670E}"/>
    <cellStyle name="Comma 7 5 4 5 2 3" xfId="30778" xr:uid="{171CD150-B758-49E1-ADA7-FED0D3CB3AFB}"/>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2 5" xfId="30440" xr:uid="{03E98A0F-5295-4006-9775-DC44882EA57A}"/>
    <cellStyle name="Comma 7 5 5 3" xfId="3668" xr:uid="{00000000-0005-0000-0000-0000E8020000}"/>
    <cellStyle name="Comma 7 5 5 4" xfId="5638" xr:uid="{549DF708-A440-479B-B2F3-1DB44B4EF640}"/>
    <cellStyle name="Comma 7 5 5 4 2" xfId="29846" xr:uid="{0CCCBC86-3CE8-47B5-9F99-C8ED5F9D97B3}"/>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6 4 2" xfId="29872" xr:uid="{1E50365E-F381-4A78-9DEE-85DE002A0ED4}"/>
    <cellStyle name="Comma 7 5 6 5" xfId="30002" xr:uid="{2C6228CA-1ACB-48D5-AC98-48ED27FB57CC}"/>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2 2" xfId="29800" xr:uid="{6530A366-0929-4E11-BB5C-1247AF3904CA}"/>
    <cellStyle name="Comma 7 6 2 2 2 2 2 2" xfId="30781" xr:uid="{CD5614D8-BFEE-49F5-8B7B-9193CFB74C10}"/>
    <cellStyle name="Comma 7 6 2 2 2 3" xfId="23934" xr:uid="{E36F713B-902C-474C-93D2-2A68907E4954}"/>
    <cellStyle name="Comma 7 6 2 2 2 4" xfId="30060" xr:uid="{01672D53-D010-430C-A056-32DE89E2A64E}"/>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2 2" xfId="31191" xr:uid="{5D3FFA2F-4D53-434E-94A8-7F717C58A0F3}"/>
    <cellStyle name="Comma 7 6 2 2 5 2 3" xfId="30780" xr:uid="{1CC38D04-CD23-46B7-BB5E-CB53C7761DA1}"/>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2 5" xfId="30441" xr:uid="{D87D8F3D-F43C-41C0-8037-C1D88E2C0419}"/>
    <cellStyle name="Comma 7 6 2 3 3" xfId="3618" xr:uid="{00000000-0005-0000-0000-0000F1020000}"/>
    <cellStyle name="Comma 7 6 2 3 4" xfId="5639" xr:uid="{A859882B-B923-4E27-B0EB-8C0E2A828252}"/>
    <cellStyle name="Comma 7 6 2 3 4 2" xfId="29756" xr:uid="{2383F154-FBC3-4396-AA20-4E3ACC12478B}"/>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2 3" xfId="31110" xr:uid="{53BB95EB-C7DA-4A8C-A4C2-E7F1D2015036}"/>
    <cellStyle name="Comma 7 6 2 4 2 2 4" xfId="30782" xr:uid="{BFE3B2AC-07A6-4004-A56B-5447B1DA410D}"/>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4 3 2" xfId="29910" xr:uid="{A56ADC01-A341-4692-A5BD-408AA86B465C}"/>
    <cellStyle name="Comma 7 6 2 4 4" xfId="30022" xr:uid="{038B0F77-68FE-441B-A2D7-3E607D8FBD3E}"/>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2 2" xfId="29807" xr:uid="{C1CE4960-82BB-4DAF-BD8F-C3EF7E964D61}"/>
    <cellStyle name="Comma 7 6 3 2 2 2 2" xfId="30784" xr:uid="{05E51192-649A-411F-9AB3-46D1F40C9C68}"/>
    <cellStyle name="Comma 7 6 3 2 3" xfId="25625" xr:uid="{EF760203-0895-4660-ABBE-998EE7974075}"/>
    <cellStyle name="Comma 7 6 3 2 3 2" xfId="26189" xr:uid="{817FEF4E-F9EF-4ACF-AE83-5398CABA09AF}"/>
    <cellStyle name="Comma 7 6 3 2 4" xfId="30061" xr:uid="{A2F331B9-7AA9-4AC8-AD6F-60544D09BFCC}"/>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2 3" xfId="31084" xr:uid="{5B1F8756-6123-46BD-9F5C-3032651408D7}"/>
    <cellStyle name="Comma 7 6 3 5 2 4" xfId="30783" xr:uid="{75EF5744-0076-4620-A6E4-89D8800440B2}"/>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2 2" xfId="29811" xr:uid="{57D54F67-70B5-4496-B67A-CCD271CE0A1A}"/>
    <cellStyle name="Comma 7 6 4 2 2 2 2" xfId="30786" xr:uid="{275B49E3-BA19-4808-AF0E-992BAD75E9CA}"/>
    <cellStyle name="Comma 7 6 4 2 3" xfId="24294" xr:uid="{089D13FD-4729-4D15-80E1-E28074858099}"/>
    <cellStyle name="Comma 7 6 4 2 4" xfId="30040" xr:uid="{3CAEEE8B-0AAD-4E47-8D9D-7B15CA8A6CF5}"/>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5 2 2" xfId="31117" xr:uid="{108BB9CF-32ED-4F0D-84FA-ED3968C16286}"/>
    <cellStyle name="Comma 7 6 4 5 2 3" xfId="30785" xr:uid="{0C9D9E98-C376-4509-99C7-461FA0F154D1}"/>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2 5" xfId="30442" xr:uid="{F7FA1887-1CFD-4A77-A944-6246311872AB}"/>
    <cellStyle name="Comma 7 6 5 3" xfId="2063" xr:uid="{00000000-0005-0000-0000-0000FC020000}"/>
    <cellStyle name="Comma 7 6 5 4" xfId="5640" xr:uid="{E6B8AE12-F1B5-499A-8F3E-004979DA9C30}"/>
    <cellStyle name="Comma 7 6 5 4 2" xfId="29847" xr:uid="{7BBD256C-B730-43AF-815C-82C21BC38304}"/>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6 4 2" xfId="29883" xr:uid="{BA8926F2-5495-4B23-B877-3C97DC6CD642}"/>
    <cellStyle name="Comma 7 6 6 5" xfId="30006" xr:uid="{FA1DB840-8290-41D1-B01F-2F13D74261E2}"/>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2 2 2" xfId="31137" xr:uid="{7B4E6E3D-5D0B-40D6-84BD-43D775109142}"/>
    <cellStyle name="Comma 7 7 2 2 2 2 2 3" xfId="30787" xr:uid="{B018A964-2BCE-44BC-8397-0B29A05DF726}"/>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4 2" xfId="29766" xr:uid="{FA4FB0BF-A96C-40AA-BA96-8F4951D06A90}"/>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2 2" xfId="30788" xr:uid="{1E3CD265-152F-4835-8EE5-09A9941F2276}"/>
    <cellStyle name="Comma 7 7 2 3 2 3" xfId="30554" xr:uid="{02D9238D-CBBE-43CD-9C24-03C90F95B3B3}"/>
    <cellStyle name="Comma 7 7 2 3 3" xfId="23910" xr:uid="{53A23F6E-80A4-406E-B3C9-3A9ED17968CC}"/>
    <cellStyle name="Comma 7 7 2 3 4" xfId="30041" xr:uid="{B10D0033-ABBF-4989-8018-A0B99E559E65}"/>
    <cellStyle name="Comma 7 7 2 3 5" xfId="29663" xr:uid="{F6B21234-EF52-417D-A18F-B6EF8AD1E09D}"/>
    <cellStyle name="Comma 7 7 2 4" xfId="1799" xr:uid="{00000000-0005-0000-0000-000003030000}"/>
    <cellStyle name="Comma 7 7 2 4 2" xfId="25969" xr:uid="{928C0968-72D2-40CF-B38F-C587FD022FFD}"/>
    <cellStyle name="Comma 7 7 2 4 2 2" xfId="30789" xr:uid="{7E046A25-CAE9-4CDB-BD51-E8747CBC0EBF}"/>
    <cellStyle name="Comma 7 7 2 4 2 3" xfId="30588" xr:uid="{B9BA8C80-016D-4DAF-B5A7-EEAE08BA1850}"/>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5 5" xfId="30619" xr:uid="{E846814E-5B6C-4A6E-9E58-68D4CC744C88}"/>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2 2" xfId="30791" xr:uid="{54EA8795-81FA-4C62-9DDB-F155986CC086}"/>
    <cellStyle name="Comma 7 7 3 2 2 3" xfId="30602" xr:uid="{AC10B343-A6F7-4CEA-BFEF-D4DBB8A29826}"/>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2 2" xfId="31197" xr:uid="{222CF450-24C8-4421-8103-13361694F782}"/>
    <cellStyle name="Comma 7 7 3 5 2 3" xfId="30790" xr:uid="{7960C803-F401-450C-B756-1ADD0E85CCC6}"/>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2 2 2" xfId="31127" xr:uid="{578F950F-8ECC-4DFC-BB7D-F799DE989C62}"/>
    <cellStyle name="Comma 7 7 4 2 2 2 3" xfId="30792" xr:uid="{F5A2BB4A-33A4-4166-889B-4FB51AB60A5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4 4 2" xfId="29738" xr:uid="{787F23BB-5755-4C4F-9AEF-D15F9D5BAA42}"/>
    <cellStyle name="Comma 7 7 4 5" xfId="29848" xr:uid="{B9DD2DA5-2A68-4CBC-BCA3-1B5F3034B17B}"/>
    <cellStyle name="Comma 7 7 4 6" xfId="29991" xr:uid="{B686D5D9-8B80-451A-AB28-EB3DD1D3523C}"/>
    <cellStyle name="Comma 7 7 5" xfId="1806" xr:uid="{00000000-0005-0000-0000-000009030000}"/>
    <cellStyle name="Comma 7 7 5 2" xfId="25672" xr:uid="{6DCCAF9D-3C6C-4CF6-ADEB-8BDFB46B6777}"/>
    <cellStyle name="Comma 7 7 5 2 2" xfId="29828" xr:uid="{4A7BD1EE-60D6-4780-87E7-19A73C10E6BF}"/>
    <cellStyle name="Comma 7 7 5 2 2 2" xfId="30793" xr:uid="{BA5C71EA-B3F2-4687-A4B5-790C585B6E1A}"/>
    <cellStyle name="Comma 7 7 5 3" xfId="24747" xr:uid="{3D5F4592-4DA7-47D0-9EA5-0B5125233E85}"/>
    <cellStyle name="Comma 7 7 5 4" xfId="30023" xr:uid="{1DEC4015-E095-4F70-8620-A8BE279518E9}"/>
    <cellStyle name="Comma 7 7 6" xfId="1798" xr:uid="{00000000-0005-0000-0000-00000A030000}"/>
    <cellStyle name="Comma 7 7 6 2" xfId="27388" xr:uid="{FD0E0FBD-37AE-490F-91F8-9CCBB4423EF3}"/>
    <cellStyle name="Comma 7 7 6 2 2" xfId="30794" xr:uid="{CAA61A27-B80A-4F0E-809E-70C3BBC4F0DD}"/>
    <cellStyle name="Comma 7 7 6 2 3" xfId="30587" xr:uid="{779BF925-478F-4B92-9D61-F3E81C8C6CCA}"/>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2 2 2" xfId="31138" xr:uid="{081405D7-D07D-4A91-BD9B-45D8AD436235}"/>
    <cellStyle name="Comma 7 8 2 2 2 2 2 3" xfId="30795" xr:uid="{ED36736C-00D1-4FB1-B140-7B9566A4683E}"/>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4 2" xfId="29767" xr:uid="{E9FED823-1012-4BC6-A428-7E2379C3BA30}"/>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2 2" xfId="30796" xr:uid="{F6B8A557-F23D-438B-8822-B00D42CBEC46}"/>
    <cellStyle name="Comma 7 8 2 3 2 3" xfId="30555" xr:uid="{D701D235-4E4F-4A67-B996-44B03CEEE62B}"/>
    <cellStyle name="Comma 7 8 2 3 3" xfId="23270" xr:uid="{E168AB56-CAC1-4EAC-9C84-294233F63871}"/>
    <cellStyle name="Comma 7 8 2 3 4" xfId="30042" xr:uid="{5595654F-D3F2-4C58-9711-80F5D4516389}"/>
    <cellStyle name="Comma 7 8 2 3 5" xfId="29664" xr:uid="{F89B622F-2B7F-4DD5-B596-4AE854E840FE}"/>
    <cellStyle name="Comma 7 8 2 4" xfId="1808" xr:uid="{00000000-0005-0000-0000-00000F030000}"/>
    <cellStyle name="Comma 7 8 2 4 2" xfId="27624" xr:uid="{E4811423-FA33-410A-9876-3E8BEC2D3065}"/>
    <cellStyle name="Comma 7 8 2 4 2 2" xfId="30797" xr:uid="{F5E6F138-1B96-4B9C-A041-BA40BEE9149A}"/>
    <cellStyle name="Comma 7 8 2 4 2 3" xfId="30590" xr:uid="{113A6CB1-FA98-4193-9DC6-59E261BEBAD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5 5" xfId="30618" xr:uid="{36739910-A0E7-407D-A213-70F47A9FB38C}"/>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2 2" xfId="30799" xr:uid="{27CF7EC5-7EB8-4BFD-BCE0-B0F02E2406C6}"/>
    <cellStyle name="Comma 7 8 3 2 2 3" xfId="30603" xr:uid="{5081A3B1-9BBF-4264-A72F-EC54681B085A}"/>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2 2" xfId="31177" xr:uid="{B7C2DA88-707B-4D9B-B86B-2337AB76038C}"/>
    <cellStyle name="Comma 7 8 3 5 2 3" xfId="30798" xr:uid="{C3139D6A-C6C8-4FB4-A5E3-3E0682926834}"/>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2 2 2" xfId="31128" xr:uid="{DCA6D1C7-1322-4480-B219-4BF158B0F1E8}"/>
    <cellStyle name="Comma 7 8 4 2 2 2 3" xfId="30800" xr:uid="{DE93F21A-3123-4AC4-B36D-73D11AF2C594}"/>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4 4 2" xfId="29739" xr:uid="{24393F3C-DB19-4078-9336-35E1AE2F85F6}"/>
    <cellStyle name="Comma 7 8 4 5" xfId="29849" xr:uid="{4A5ECDAD-660F-4328-BAC4-07C32749A506}"/>
    <cellStyle name="Comma 7 8 4 6" xfId="29992" xr:uid="{587744C6-0414-46C8-8D3F-F58C20B13D75}"/>
    <cellStyle name="Comma 7 8 5" xfId="1815" xr:uid="{00000000-0005-0000-0000-000015030000}"/>
    <cellStyle name="Comma 7 8 5 2" xfId="23786" xr:uid="{79A225CD-EE67-4FD6-AD4B-AA6D75F99659}"/>
    <cellStyle name="Comma 7 8 5 2 2" xfId="29829" xr:uid="{85D21D4E-521C-4890-ABEA-B0F0A9C6E194}"/>
    <cellStyle name="Comma 7 8 5 2 2 2" xfId="30801" xr:uid="{32CF2401-1888-4757-9934-9E94BDDB7892}"/>
    <cellStyle name="Comma 7 8 5 3" xfId="24113" xr:uid="{BE8CBB68-BEC0-4594-95E1-007E844A55A2}"/>
    <cellStyle name="Comma 7 8 5 4" xfId="30024" xr:uid="{43D9B9D1-144B-4A25-937C-F86412C4CA52}"/>
    <cellStyle name="Comma 7 8 6" xfId="1807" xr:uid="{00000000-0005-0000-0000-000016030000}"/>
    <cellStyle name="Comma 7 8 6 2" xfId="28223" xr:uid="{1CA307A6-ECBB-4DCD-88E9-ED86F26BE09F}"/>
    <cellStyle name="Comma 7 8 6 2 2" xfId="30802" xr:uid="{36E76C61-6C08-4EC0-ADAB-97813DC20F84}"/>
    <cellStyle name="Comma 7 8 6 2 3" xfId="30589" xr:uid="{E692720D-A46C-47F1-A85F-B7A7AD465287}"/>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2 2 2" xfId="31144" xr:uid="{8996AED9-583D-45D1-90AF-796571A1EF0C}"/>
    <cellStyle name="Comma 7 9 2 2 2 2 3" xfId="30803" xr:uid="{11FE597E-A302-4F05-AB71-E873DAD04A9D}"/>
    <cellStyle name="Comma 7 9 2 2 3" xfId="10987" xr:uid="{5A4792B8-16DA-4A10-B4BA-D0A16135D4E9}"/>
    <cellStyle name="Comma 7 9 2 2 3 2" xfId="21367" xr:uid="{407AA900-0444-45C7-87FB-519CD37F3547}"/>
    <cellStyle name="Comma 7 9 2 2 4" xfId="24622" xr:uid="{263D3238-FB6A-4166-9E0F-9A170E5F5491}"/>
    <cellStyle name="Comma 7 9 2 2 4 2" xfId="30073" xr:uid="{4DA89B82-2FB7-4F27-A5F9-327004076252}"/>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4 2" xfId="29779" xr:uid="{EBB2BB2F-2710-46EF-886B-754275719B42}"/>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2 5" xfId="30443" xr:uid="{92D51025-E4C0-4904-9638-6A17E656034E}"/>
    <cellStyle name="Comma 7 9 3 3" xfId="3679" xr:uid="{00000000-0005-0000-0000-000019030000}"/>
    <cellStyle name="Comma 7 9 3 4" xfId="5644" xr:uid="{E6BE7499-77E4-463B-BA19-0EA0E6022915}"/>
    <cellStyle name="Comma 7 9 3 4 2" xfId="29753" xr:uid="{8B795218-E896-406B-B68C-5A7BF886D01A}"/>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2 3" xfId="31045" xr:uid="{F0C0A167-9B27-4A98-AB6A-B02856686997}"/>
    <cellStyle name="Comma 9 2 2 2 5 2 4" xfId="30804" xr:uid="{940BAFB2-DDDF-4DFD-AC79-DD26DD309846}"/>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6 2" xfId="29725" xr:uid="{5FAFEE43-02EA-4263-B848-C1EA850D9CC6}"/>
    <cellStyle name="Comma 9 2 2 2 6 2 2" xfId="30979" xr:uid="{5D796100-B80F-4D81-937F-89F02B01DAF1}"/>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2 2" xfId="31229" xr:uid="{E0EAEE44-385B-43C4-A241-FDA503A0345E}"/>
    <cellStyle name="Comma 9 2 2 3 2 2 2 3" xfId="30806" xr:uid="{0E41FCD9-0F8F-41FD-9B49-7F0530E67F12}"/>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2 3" xfId="31085" xr:uid="{200D0FEF-51EA-4B32-BD4F-ED01F56CF64F}"/>
    <cellStyle name="Comma 9 2 2 3 4 2 4" xfId="30805" xr:uid="{45D769B4-A51B-4357-BF7C-CEA3942690FF}"/>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5 2" xfId="29711" xr:uid="{8E3DEB05-C8FD-4B12-9825-E73EE046D749}"/>
    <cellStyle name="Comma 9 2 2 3 5 2 2" xfId="30980" xr:uid="{AFFAD961-C129-4BDB-B8E1-FC9907D6727B}"/>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4 2" xfId="29962" xr:uid="{7C9ED966-91AA-4C46-BB66-8180C9956C71}"/>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2 2" xfId="31211" xr:uid="{972E3E93-27A6-4530-8159-6C6AF4E7DBCC}"/>
    <cellStyle name="Comma 9 2 2 5 2 2 3" xfId="30807" xr:uid="{08104823-45CC-4C4D-B84B-B3362DB2DCBC}"/>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4 2" xfId="29963" xr:uid="{C540771B-03DD-4A97-8D6C-125C8B900220}"/>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2 5" xfId="30444" xr:uid="{B9D0D307-C678-4D48-9BB3-FA80D0D64076}"/>
    <cellStyle name="Comma 9 2 3 3 3" xfId="2079" xr:uid="{00000000-0005-0000-0000-000024030000}"/>
    <cellStyle name="Comma 9 2 3 3 4" xfId="5650" xr:uid="{CE82BC05-DECC-433A-A1AE-079FA93D71A1}"/>
    <cellStyle name="Comma 9 2 3 3 4 2" xfId="29911" xr:uid="{DEAC15BD-E4D5-4066-9D0F-223E4FCD8552}"/>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2 5" xfId="31017" xr:uid="{F7D350F9-DB22-40CD-A277-E89E784C5412}"/>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2 2" xfId="31230" xr:uid="{D86CE846-FB1A-46CF-AAA1-01DB85ECFA69}"/>
    <cellStyle name="Comma 9 2 4 2 2 2 3" xfId="30809" xr:uid="{BE13AE7C-8747-44CE-A1E1-1A36A7111489}"/>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2 3" xfId="31086" xr:uid="{BE5A0B73-4A4C-4029-A301-6535C3F13C1D}"/>
    <cellStyle name="Comma 9 2 4 4 2 4" xfId="30808" xr:uid="{C1548C2B-E83F-4CD1-8AE4-504BDC32719D}"/>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5 2" xfId="29693" xr:uid="{E7A06D38-4B4A-4976-BC01-C3B6B233E532}"/>
    <cellStyle name="Comma 9 2 4 5 2 2" xfId="30981" xr:uid="{FFEA7A56-AD8A-44D9-BC17-C7A9B2757E95}"/>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2 2" xfId="31188" xr:uid="{935049C4-8F57-47F7-A020-2141BFAE117B}"/>
    <cellStyle name="Comma 9 2 5 2 2 2 3" xfId="30810" xr:uid="{E09FB7FE-6B02-4145-8F9C-245D63874152}"/>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4 2" xfId="29926" xr:uid="{5C9B02E0-C788-4B1D-BC0E-E607E53C7539}"/>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4 2" xfId="29878" xr:uid="{E41C2E13-76EE-4F01-AD17-0737E327D418}"/>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2 2" xfId="31183" xr:uid="{B8E870C8-2DC3-4142-9B70-BD70882B4D51}"/>
    <cellStyle name="Comma 9 2 7 2 2 3" xfId="30811" xr:uid="{BBA9BA85-2DE8-4D34-8E86-BAE1DE19E844}"/>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2 3" xfId="31150" xr:uid="{5B67C8A6-D0F9-4F81-B1C0-F30C304F8C08}"/>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5 2" xfId="30075" xr:uid="{8548742A-9BBA-4637-B5B9-9DA740E4A09B}"/>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2 3" xfId="31046" xr:uid="{A3B5197F-9B5D-4143-A697-326D2D0AB011}"/>
    <cellStyle name="Comma 9 3 2 5 2 4" xfId="30812" xr:uid="{C5508924-C6EA-4A67-BDDF-7E50FD3BE005}"/>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6 2" xfId="29726" xr:uid="{553F6754-B523-42B0-B4FE-4907B6316108}"/>
    <cellStyle name="Comma 9 3 2 6 2 2" xfId="30982" xr:uid="{699CA55B-0135-496F-BFC8-968E66D2718F}"/>
    <cellStyle name="Comma 9 3 2 7" xfId="25227" xr:uid="{32CD50D2-C9AE-4571-939C-C8C54DC3B34F}"/>
    <cellStyle name="Comma 9 3 2 8" xfId="13101" xr:uid="{B68D3080-BA5F-48EA-9188-311DC047BBAB}"/>
    <cellStyle name="Comma 9 3 2 9" xfId="29993" xr:uid="{9DCA55B1-63A8-4DF5-A458-C59A6106A22A}"/>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2 2" xfId="31231" xr:uid="{122F2141-B372-4667-A3EB-B92731022D63}"/>
    <cellStyle name="Comma 9 3 3 2 2 2 3" xfId="30814" xr:uid="{B37193DA-685B-4302-9C78-E276FA29B8E2}"/>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2 3" xfId="31087" xr:uid="{057F8738-14E9-452A-B2A1-4B72350EA751}"/>
    <cellStyle name="Comma 9 3 3 4 2 4" xfId="30813" xr:uid="{BE881679-89E9-4CF6-A166-B978E2ED3F85}"/>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5 2" xfId="29697" xr:uid="{25FDA149-4835-475C-A7F8-D677AAAFBB08}"/>
    <cellStyle name="Comma 9 3 3 5 2 2" xfId="30983" xr:uid="{8A31E08D-F38C-4717-AA35-0B286BA438E3}"/>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4 2" xfId="29964" xr:uid="{BB309544-82A9-4F34-A3A4-5C8ABA70C651}"/>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2 2" xfId="31196" xr:uid="{A200391D-8B39-419F-859D-3D90BFEFCC8C}"/>
    <cellStyle name="Comma 9 3 5 2 2 3" xfId="30815" xr:uid="{66DD9239-68FF-45F3-AF1C-1AA6F4162EB8}"/>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4 2" xfId="29780" xr:uid="{E30DC661-0A7D-4302-84B9-97F8610FC21A}"/>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2 5" xfId="30445" xr:uid="{B26AB995-9DA7-45C6-8F4A-F83B12EC79F3}"/>
    <cellStyle name="Comma 9 4 3 3" xfId="2865" xr:uid="{00000000-0005-0000-0000-00002F030000}"/>
    <cellStyle name="Comma 9 4 3 4" xfId="5657" xr:uid="{5A2DC35C-DA84-47EE-9C97-6ECF34E3F1B9}"/>
    <cellStyle name="Comma 9 4 3 4 2" xfId="29757" xr:uid="{3FF33E2E-17F3-4806-92DB-FC2FBAC24A0C}"/>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2 5" xfId="31016" xr:uid="{C70E7451-E225-40B7-9553-75756977E965}"/>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2 2" xfId="29734" xr:uid="{4EE9F0A9-B64B-4BBC-877F-5C2DC9EA782C}"/>
    <cellStyle name="Comma 9 5 2 2 2 2" xfId="30817" xr:uid="{7DDDB3C0-0AA8-429A-9485-C1BA4A808B64}"/>
    <cellStyle name="Comma 9 5 2 3" xfId="25740" xr:uid="{BD4F76CC-DB4F-408A-9F04-DD94FC6E59F4}"/>
    <cellStyle name="Comma 9 5 2 4" xfId="30062" xr:uid="{2C5886AA-A058-4749-A25F-7DF620D43BC6}"/>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2 3" xfId="31088" xr:uid="{2CDF2188-A78B-4855-8CE4-F384313AF8EE}"/>
    <cellStyle name="Comma 9 5 5 2 4" xfId="30816" xr:uid="{A68B76D1-A43A-4AAC-9BB7-E9A4D4A197E0}"/>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2 2" xfId="31207" xr:uid="{AC86CCF5-87B5-486C-A95D-B373481C3E5D}"/>
    <cellStyle name="Comma 9 6 2 2 2 3" xfId="30818" xr:uid="{A3D88B5A-1B43-49B3-A188-71217E96AF43}"/>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4 2" xfId="29768" xr:uid="{B3881E7F-EA6D-4505-A0C2-F6197E7FCB7D}"/>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4 2" xfId="29866" xr:uid="{F821CFCD-FFB9-4C80-B833-DA30AE5E5A8C}"/>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2 2" xfId="29676" xr:uid="{8A10BD16-5AEB-494E-881F-7E0D230EA123}"/>
    <cellStyle name="Currency 2 2 2 3" xfId="25761" xr:uid="{8F717FAC-E6A7-4309-961E-F4148D0E234D}"/>
    <cellStyle name="Currency 2 2 3" xfId="1842" xr:uid="{00000000-0005-0000-0000-00003C030000}"/>
    <cellStyle name="Currency 2 2 3 2" xfId="31311" xr:uid="{7BFE6CF7-9CFB-4E56-9502-51B9DDDA54DC}"/>
    <cellStyle name="Currency 2 2 3 3" xfId="31262" xr:uid="{1228AB1E-3502-40BF-A461-A45B15291AD2}"/>
    <cellStyle name="Currency 2 2 4" xfId="1840" xr:uid="{00000000-0005-0000-0000-00003D030000}"/>
    <cellStyle name="Currency 2 2 5" xfId="30404" xr:uid="{6C56C78C-CF80-400B-8AD4-5EA478965CBC}"/>
    <cellStyle name="Currency 2 2 5 2" xfId="30446" xr:uid="{52EAF437-DE7B-45B5-A79E-F2F09DDEC780}"/>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3 2" xfId="31312" xr:uid="{63EA3BD5-D743-4D3E-B117-DC4C143B3472}"/>
    <cellStyle name="Currency 2 4 3 3" xfId="31271" xr:uid="{143BD92B-F210-4D52-85D1-C1196C82AA7E}"/>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6 3" xfId="29821" xr:uid="{7495F884-4559-4BB6-B6DD-02CAC4FD0E91}"/>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2 5 2" xfId="31273" xr:uid="{C9960BEB-433F-4D8A-AB3D-38B8005C5B97}"/>
    <cellStyle name="Currency 2 5 3" xfId="31313" xr:uid="{17E81078-713B-441E-8C51-6F85DC0B3771}"/>
    <cellStyle name="Currency 2 5 4" xfId="31255" xr:uid="{71529EA7-54A6-4052-B414-B4F635F70A11}"/>
    <cellStyle name="Currency 2 6" xfId="30403" xr:uid="{BCAB48D8-82F5-4F43-A322-3E67DE7472E1}"/>
    <cellStyle name="Currency 2 6 2" xfId="31261" xr:uid="{E8739B1A-634F-45BD-BCE4-041B23EE0F95}"/>
    <cellStyle name="Currency 3" xfId="551" xr:uid="{00000000-0005-0000-0000-000048030000}"/>
    <cellStyle name="Currency 3 10" xfId="30620" xr:uid="{CC98C09A-FB90-4F09-8713-CE67BE1C4FA6}"/>
    <cellStyle name="Currency 3 11" xfId="30918" xr:uid="{AC79C766-96F4-4BB0-9D53-CAD075CD5FB9}"/>
    <cellStyle name="Currency 3 2" xfId="552" xr:uid="{00000000-0005-0000-0000-000049030000}"/>
    <cellStyle name="Currency 3 2 2" xfId="1851" xr:uid="{00000000-0005-0000-0000-00004A030000}"/>
    <cellStyle name="Currency 3 2 2 2" xfId="30604" xr:uid="{87CC1BB8-D490-4CBA-AE62-52158B1BF23D}"/>
    <cellStyle name="Currency 3 2 2 2 2" xfId="30820" xr:uid="{0C94806D-7676-421F-9E69-D685AFF23599}"/>
    <cellStyle name="Currency 3 2 2 3" xfId="30565" xr:uid="{1EE52B54-EC85-4641-BC5E-D5D513A14121}"/>
    <cellStyle name="Currency 3 2 2 4" xfId="30931" xr:uid="{9104C6C5-305B-4CE0-B9BE-66CC40287E6D}"/>
    <cellStyle name="Currency 3 2 3" xfId="1852" xr:uid="{00000000-0005-0000-0000-00004B030000}"/>
    <cellStyle name="Currency 3 2 3 2" xfId="30615" xr:uid="{2D020D6F-B1E2-42BA-9525-8CD612C11686}"/>
    <cellStyle name="Currency 3 2 3 2 2" xfId="30821" xr:uid="{793F920B-E972-4134-AAFB-C8B0826B0E0C}"/>
    <cellStyle name="Currency 3 2 3 3" xfId="30576" xr:uid="{B4E6E47A-8B2C-4E61-BB8D-30D9C4F7C82A}"/>
    <cellStyle name="Currency 3 2 3 4" xfId="30942" xr:uid="{F852420D-7AB5-4DD1-92DF-D97324C12DE3}"/>
    <cellStyle name="Currency 3 2 4" xfId="1850" xr:uid="{00000000-0005-0000-0000-00004C030000}"/>
    <cellStyle name="Currency 3 2 4 2" xfId="30557" xr:uid="{143D821B-A1E5-45AA-8D28-FA09A9A6E54E}"/>
    <cellStyle name="Currency 3 2 4 2 2" xfId="30822" xr:uid="{5A603EFF-9CB2-4DC6-9418-67911C9EF2AE}"/>
    <cellStyle name="Currency 3 2 5" xfId="6683" xr:uid="{4FCFE811-3755-46F4-8803-2EFC844A90DA}"/>
    <cellStyle name="Currency 3 2 5 2" xfId="17063" xr:uid="{1F927C96-6E01-4C40-9B2D-7222789598FC}"/>
    <cellStyle name="Currency 3 2 5 2 2" xfId="30819" xr:uid="{82416E93-F733-465F-9221-BF5CA319CA6B}"/>
    <cellStyle name="Currency 3 2 5 3" xfId="30447" xr:uid="{CFB4445B-2822-44EE-97D3-586E0F3CB5E1}"/>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3 3" xfId="30413" xr:uid="{D9261D7C-4BB0-4F23-8A7D-89513C8C9F65}"/>
    <cellStyle name="Currency 3 4" xfId="30414" xr:uid="{56B42A0C-41FC-4CE6-B7AD-37115BE76475}"/>
    <cellStyle name="Currency 3 4 2" xfId="30448" xr:uid="{FAFC5492-58AD-4064-AA46-E99FA44DE317}"/>
    <cellStyle name="Currency 3 4 2 2" xfId="30605" xr:uid="{26A558A6-6954-4BC7-9B2E-CB04CA19DF15}"/>
    <cellStyle name="Currency 3 4 2 2 2" xfId="30823" xr:uid="{BAD0F4FB-A620-4584-9052-59B615478FE4}"/>
    <cellStyle name="Currency 3 4 2 3" xfId="30566" xr:uid="{CF89AC64-B129-47C4-9033-859EF82BC59F}"/>
    <cellStyle name="Currency 3 4 2 4" xfId="30932" xr:uid="{BFD1A78F-8924-435D-8C6C-0D4901C78012}"/>
    <cellStyle name="Currency 3 4 3" xfId="30558" xr:uid="{20CD84F8-EDE8-4AF4-B532-A3E1B5109EF4}"/>
    <cellStyle name="Currency 3 4 3 2" xfId="30635" xr:uid="{DF88B98C-68E1-47F3-A338-2C5D7520D934}"/>
    <cellStyle name="Currency 3 4 3 3" xfId="30945" xr:uid="{45BC16B4-B7BF-4099-8716-EADE89E871F5}"/>
    <cellStyle name="Currency 3 4 4" xfId="30591" xr:uid="{68808DD4-EE59-4BA1-BF12-A45A21B1D415}"/>
    <cellStyle name="Currency 3 4 5" xfId="30624" xr:uid="{D16E1CA0-3C3A-427D-9FC3-9BB85E6A1553}"/>
    <cellStyle name="Currency 3 4 6" xfId="30922" xr:uid="{FAD81B93-BBB8-43D5-BD80-94DF096C6A51}"/>
    <cellStyle name="Currency 3 5" xfId="30415" xr:uid="{81863DDD-1FEA-49F1-AEA7-615BE80C86A1}"/>
    <cellStyle name="Currency 3 5 2" xfId="30449" xr:uid="{CE9DCB24-732B-4ADA-857C-6F58DD618B77}"/>
    <cellStyle name="Currency 3 5 2 2" xfId="30606" xr:uid="{34227F4F-8C86-4B60-BC19-C90512E35E07}"/>
    <cellStyle name="Currency 3 5 2 2 2" xfId="30824" xr:uid="{239D24BD-EA61-4223-A6AC-E2D0B4B19C16}"/>
    <cellStyle name="Currency 3 5 2 3" xfId="30567" xr:uid="{DD97E0D8-3A98-41BE-B0BE-039F013CA0A8}"/>
    <cellStyle name="Currency 3 5 2 4" xfId="30933" xr:uid="{7558C0CC-CC3C-48DB-873C-E663906AD405}"/>
    <cellStyle name="Currency 3 5 3" xfId="30592" xr:uid="{06599778-836F-4CFE-92BA-FDF17CE2D98E}"/>
    <cellStyle name="Currency 3 5 3 2" xfId="30636" xr:uid="{2D11F2B4-9C32-4FD4-856C-702A205F961B}"/>
    <cellStyle name="Currency 3 5 3 3" xfId="30946" xr:uid="{DF42840B-E34C-485E-9570-C84EC1F5ECCC}"/>
    <cellStyle name="Currency 3 5 4" xfId="30625" xr:uid="{DFF81114-405C-4BD9-882E-3E6DCC627BBA}"/>
    <cellStyle name="Currency 3 5 5" xfId="30923" xr:uid="{889487E8-CDE1-4124-A152-07293079280A}"/>
    <cellStyle name="Currency 3 6" xfId="30556" xr:uid="{E6F281E3-0276-4ECA-AC9C-37A1F772038D}"/>
    <cellStyle name="Currency 3 7" xfId="30573" xr:uid="{5086352A-41FE-4853-9FBE-0A6014B61D30}"/>
    <cellStyle name="Currency 3 7 2" xfId="30612" xr:uid="{7367140C-062D-4451-8ECD-8EE326D93E2A}"/>
    <cellStyle name="Currency 3 7 3" xfId="30631" xr:uid="{EE3C1B3E-C238-41D4-83A6-0E95DA0C6E18}"/>
    <cellStyle name="Currency 3 7 4" xfId="30938" xr:uid="{95BC5195-8BFF-481F-A698-758C4BBDB773}"/>
    <cellStyle name="Currency 3 8" xfId="30546" xr:uid="{0CD1A085-9703-4560-91E9-56A6256AB4B6}"/>
    <cellStyle name="Currency 3 9" xfId="30577" xr:uid="{DB854ECE-A65B-4464-A0DC-C7561B51E415}"/>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4 2" xfId="29781" xr:uid="{BF8FBF9C-A9AE-4570-B79D-C7C876F315A5}"/>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3 4" xfId="30063" xr:uid="{40918CAD-B437-47A8-B12D-997B4568D142}"/>
    <cellStyle name="Currency 4 10 3 5" xfId="29665" xr:uid="{67C50BD9-2CAF-4C73-BD9D-C799CBCDBB6B}"/>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2 3" xfId="31018" xr:uid="{0871327B-F0E4-4A2A-83E5-48144795B73F}"/>
    <cellStyle name="Currency 4 10 5 2 4" xfId="30825" xr:uid="{F6878F02-5380-4822-B59B-FA3551951465}"/>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2 2" xfId="29797" xr:uid="{E480E336-5C3C-44AC-9220-09707E85CE00}"/>
    <cellStyle name="Currency 4 11 2 2 2 2" xfId="30827" xr:uid="{4D352770-668B-4CB1-9BFD-BFF3A4AC1C1B}"/>
    <cellStyle name="Currency 4 11 2 3" xfId="22791" xr:uid="{5ABBA574-11C1-4A53-8D6F-81175CE6891C}"/>
    <cellStyle name="Currency 4 11 2 4" xfId="30043" xr:uid="{91030C44-997A-4D80-B0EF-B6069FB20D88}"/>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5 2 2" xfId="31118" xr:uid="{C0B40B35-E5C0-4FB5-9DCF-943164FD01CF}"/>
    <cellStyle name="Currency 4 11 5 2 3" xfId="30826" xr:uid="{E4F6EF9A-2249-4A18-99D1-59B07C1167CD}"/>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2 2 2" xfId="31133" xr:uid="{59565F86-36CB-4BB2-8FFA-3406B5C83954}"/>
    <cellStyle name="Currency 4 12 2 2 2 3" xfId="30828" xr:uid="{CADA9377-013A-437D-AE8B-EEFEA9B1C519}"/>
    <cellStyle name="Currency 4 12 2 3" xfId="10393" xr:uid="{74AA856C-1546-48A1-902B-0B9C48E13197}"/>
    <cellStyle name="Currency 4 12 2 3 2" xfId="20773" xr:uid="{DB56C7FD-1566-4A75-8FCC-9C848565BFF6}"/>
    <cellStyle name="Currency 4 12 2 4" xfId="15107" xr:uid="{29096738-BB6A-486C-9D3B-D9E98C7DF5A2}"/>
    <cellStyle name="Currency 4 12 2 5" xfId="30450" xr:uid="{A1023E56-DF96-4373-8785-3BEA0179AB65}"/>
    <cellStyle name="Currency 4 12 3" xfId="3606" xr:uid="{00000000-0005-0000-0000-000056030000}"/>
    <cellStyle name="Currency 4 12 4" xfId="5661" xr:uid="{442882FD-A814-4225-99B5-C1E0B22554C2}"/>
    <cellStyle name="Currency 4 12 4 2" xfId="29745" xr:uid="{80832A7C-4F8F-4063-9660-3EE52C1F2BAF}"/>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3 4 2" xfId="29858" xr:uid="{B799D5DA-0548-4483-A7DA-59D6502F3999}"/>
    <cellStyle name="Currency 4 13 5" xfId="30001" xr:uid="{4FCFD07F-7408-4267-B201-B872777B8AC2}"/>
    <cellStyle name="Currency 4 14" xfId="1853" xr:uid="{00000000-0005-0000-0000-000058030000}"/>
    <cellStyle name="Currency 4 14 2" xfId="25803" xr:uid="{FBE6B4CA-BCAB-44EE-A7E9-70F4C6699F61}"/>
    <cellStyle name="Currency 4 14 2 2" xfId="30829" xr:uid="{08C9B446-C64D-40BA-8420-DEAE598B52CC}"/>
    <cellStyle name="Currency 4 14 2 3" xfId="30580" xr:uid="{7D39938B-7E55-4F5A-BF14-F961544A2D2A}"/>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2 3" xfId="31048" xr:uid="{3B7AB140-6A10-4BC0-BE67-072D624912D8}"/>
    <cellStyle name="Currency 4 2 2 2 2 5 2 4" xfId="30830" xr:uid="{841903E7-109E-4832-AD2D-F43F3855F60D}"/>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6 2" xfId="29727" xr:uid="{D4F02699-9D7A-4636-8246-722EE6D50577}"/>
    <cellStyle name="Currency 4 2 2 2 2 6 2 2" xfId="30984" xr:uid="{25D31D1E-9374-4588-8BAD-34D1CFD1B55D}"/>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2 2" xfId="31232" xr:uid="{3429C379-89FB-4D0B-AA6F-20CAB746CD96}"/>
    <cellStyle name="Currency 4 2 2 2 3 2 2 2 3" xfId="30832" xr:uid="{8634E1EF-FB6D-4204-A640-59C7D326ADDF}"/>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2 3" xfId="31089" xr:uid="{D1E76A2F-6447-478C-A663-6EA53EC550CC}"/>
    <cellStyle name="Currency 4 2 2 2 3 4 2 4" xfId="30831" xr:uid="{657565F7-E228-4780-9F08-C035C0197582}"/>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5 2" xfId="29714" xr:uid="{EC6735F0-7DE9-4568-B77B-F6FDEF7A8DC7}"/>
    <cellStyle name="Currency 4 2 2 2 3 5 2 2" xfId="30985" xr:uid="{CFC58C28-6C1B-47B8-8F44-D625CD50AA8A}"/>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4 2" xfId="29965" xr:uid="{FF29FBEB-C139-42CC-898F-F368F7E51091}"/>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2 2" xfId="31174" xr:uid="{599A9C6C-AF98-47C8-9562-6F1C30BA128B}"/>
    <cellStyle name="Currency 4 2 2 2 5 2 2 3" xfId="30833" xr:uid="{92DF8621-EC15-4BA9-BFE4-A154DAF79516}"/>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4 2" xfId="29966" xr:uid="{BCF43D88-6F00-4BCB-8D9B-D13D0B18D182}"/>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2 5" xfId="30451" xr:uid="{3FE6DD69-5112-4CB9-B21A-BAC2204DC643}"/>
    <cellStyle name="Currency 4 2 2 3 3 3" xfId="3657" xr:uid="{00000000-0005-0000-0000-000061030000}"/>
    <cellStyle name="Currency 4 2 2 3 3 4" xfId="5667" xr:uid="{54673D43-2BB9-4497-8CC5-C0E86AE657BC}"/>
    <cellStyle name="Currency 4 2 2 3 3 4 2" xfId="29912" xr:uid="{DD81D97E-F9C6-4B81-A72E-F394027770CE}"/>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2 5" xfId="31020" xr:uid="{CF2B4C35-60CF-460E-A7D8-6BD89E16FAF9}"/>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2 2" xfId="31233" xr:uid="{69AF95F0-2C79-4BC4-A731-DBA5CA72172F}"/>
    <cellStyle name="Currency 4 2 2 4 2 2 2 3" xfId="30835" xr:uid="{F7ED024B-50A5-4D78-9170-B4E74ADDAF8F}"/>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2 3" xfId="31090" xr:uid="{ADCB1A0A-2CA2-44D3-9A0C-3CB9A9AFA32C}"/>
    <cellStyle name="Currency 4 2 2 4 4 2 4" xfId="30834" xr:uid="{93DE7190-B7AD-4AB0-B507-D2661CDEBD52}"/>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5 2" xfId="29696" xr:uid="{DF7D1619-517D-47AF-AAFD-626650862B22}"/>
    <cellStyle name="Currency 4 2 2 4 5 2 2" xfId="30986" xr:uid="{6FA4CAAA-8E9A-4CF5-91CC-0CAAFF2C5227}"/>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2 2" xfId="31213" xr:uid="{DDC9AFF2-2326-4EB9-95EC-058A72C5EA4C}"/>
    <cellStyle name="Currency 4 2 2 5 2 2 2 3" xfId="30836" xr:uid="{33C4AC48-D594-48B2-8E15-C4425C6412AB}"/>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4 2" xfId="29927" xr:uid="{924939E3-BF39-442A-AD08-F63E11A1C0F0}"/>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4 2" xfId="29881" xr:uid="{90064861-D917-4C49-97BF-764532CE1FD2}"/>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2 2" xfId="31193" xr:uid="{8BFEFF6A-F05D-4F21-A359-E27BC701FB97}"/>
    <cellStyle name="Currency 4 2 2 7 2 2 3" xfId="30837" xr:uid="{AD4086B9-CE40-4A7C-AF4B-5AEC0730E92D}"/>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2 3" xfId="31165" xr:uid="{3B754025-5AC2-41B4-85AB-66A50B2BE5A3}"/>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5 2" xfId="30082" xr:uid="{21807AB0-79A4-4976-8C9B-271BC80672DC}"/>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2 3" xfId="31049" xr:uid="{92252FF1-0E6E-4F89-9FC8-C021125B6D9E}"/>
    <cellStyle name="Currency 4 2 3 2 5 2 4" xfId="30838" xr:uid="{2AE58734-02FC-450F-90A1-8F5E85C2D3B9}"/>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6 2" xfId="29728" xr:uid="{FE5A2704-6749-4B6E-8BB6-A7683E9B9E0D}"/>
    <cellStyle name="Currency 4 2 3 2 6 2 2" xfId="30987" xr:uid="{39D5B816-D691-4D85-95CC-46B2E8671A0E}"/>
    <cellStyle name="Currency 4 2 3 2 7" xfId="23523" xr:uid="{E6D4F43F-005B-44E0-A529-E07D81929683}"/>
    <cellStyle name="Currency 4 2 3 2 8" xfId="13107" xr:uid="{2F7DCC0A-CB6C-48C1-8D0F-8FB466F04FD1}"/>
    <cellStyle name="Currency 4 2 3 2 9" xfId="29994" xr:uid="{CE033F57-9BDB-4821-8A87-DD0E4EAE44F2}"/>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2 2" xfId="31234" xr:uid="{C99B5626-34D4-4ECE-A3A0-3BD7C3C868CA}"/>
    <cellStyle name="Currency 4 2 3 3 2 2 2 3" xfId="30840" xr:uid="{540CDF2A-17D0-4EA1-8CE7-D91FE6235E7F}"/>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2 3" xfId="31091" xr:uid="{2085B30E-C37C-4522-A981-D6661F484E54}"/>
    <cellStyle name="Currency 4 2 3 3 4 2 4" xfId="30839" xr:uid="{C2DA64AC-30E0-4B03-B951-7E831A57408C}"/>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5 2" xfId="29701" xr:uid="{8B2CE640-C1D9-4645-B3FB-D2F01298CF19}"/>
    <cellStyle name="Currency 4 2 3 3 5 2 2" xfId="30988" xr:uid="{0C3D6EFD-9BBD-4736-8CE3-EC30A16ED133}"/>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4 2" xfId="29967" xr:uid="{D1E42E86-3344-414E-8575-B8C7A311F714}"/>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2 2" xfId="31199" xr:uid="{A372AF4B-0BAD-46E7-AA5D-F790CCD5BF14}"/>
    <cellStyle name="Currency 4 2 3 5 2 2 3" xfId="30841" xr:uid="{2DA2947D-AA7D-4126-9341-6CAA595EB8A4}"/>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4 2" xfId="29782" xr:uid="{779327EA-EF40-48DB-992B-79710876AA2B}"/>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2 5" xfId="30452" xr:uid="{3E7E8B7A-271B-4ED0-B1E0-67B7EC7F1A1F}"/>
    <cellStyle name="Currency 4 2 4 3 3" xfId="3544" xr:uid="{00000000-0005-0000-0000-00006C030000}"/>
    <cellStyle name="Currency 4 2 4 3 4" xfId="5674" xr:uid="{08E421AE-DDE3-4B6C-AA1C-46544E7401B9}"/>
    <cellStyle name="Currency 4 2 4 3 4 2" xfId="29759" xr:uid="{2AC4BDB1-E701-44D9-B0FC-9883B7A7B3FF}"/>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2 5" xfId="31019" xr:uid="{CFD86F19-DED4-497F-A8E9-A80709CF90C1}"/>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2 2" xfId="29679" xr:uid="{33DBED40-3AE8-4C44-861D-1863CE025044}"/>
    <cellStyle name="Currency 4 2 5 2 2 2 2" xfId="30843" xr:uid="{883563B9-AF8B-4872-A207-9A25B2B164BE}"/>
    <cellStyle name="Currency 4 2 5 2 3" xfId="23374" xr:uid="{043B26EB-F4A5-45D7-8163-B3F881D5C636}"/>
    <cellStyle name="Currency 4 2 5 2 4" xfId="30064" xr:uid="{2461003D-E32D-42BD-BB02-6DB484292D06}"/>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2 3" xfId="31092" xr:uid="{E7D19E49-7B60-44F2-B6FD-9392A2CF31AF}"/>
    <cellStyle name="Currency 4 2 5 5 2 4" xfId="30842" xr:uid="{784B0320-B780-4FBA-9D1B-039687A1453B}"/>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2 2" xfId="31176" xr:uid="{93D65879-61DA-41FA-BF5B-6144E174BADC}"/>
    <cellStyle name="Currency 4 2 6 2 2 2 3" xfId="30844" xr:uid="{9E43A73B-313A-47DA-AE4A-45B5A584F094}"/>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4 2" xfId="29769" xr:uid="{3E9B3AED-6894-4FB7-981B-D2BD8B1F19DF}"/>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4 2" xfId="29870" xr:uid="{65B5D0E8-B145-4E9B-89E2-C7AEE6F364BA}"/>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4 2" xfId="29969" xr:uid="{A6E3D5D1-B127-4385-8A3C-57C615A4EC53}"/>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3 3 2" xfId="29914" xr:uid="{B4D4653B-9700-4885-9B5D-00CF112D66D6}"/>
    <cellStyle name="Currency 4 3 2 2 3 4" xfId="30026" xr:uid="{BE5F880F-D1A7-43E6-9257-37876B1379C7}"/>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2 3" xfId="31051" xr:uid="{395ABA41-C54B-4D28-9E45-B54CD7F229E6}"/>
    <cellStyle name="Currency 4 3 2 2 5 2 4" xfId="30845" xr:uid="{34E27599-88F6-41D0-87AB-5DEC06A25F09}"/>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2 2" xfId="31235" xr:uid="{F67D50A3-C1A7-4415-BBD6-E83CA67CA0E1}"/>
    <cellStyle name="Currency 4 3 2 3 2 2 2 3" xfId="30847" xr:uid="{FCC25CCB-B954-4AC4-AED2-AF96C2ACAAD6}"/>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2 3" xfId="31093" xr:uid="{5F90A487-DD6C-4B22-8CD2-6F6807FDE49D}"/>
    <cellStyle name="Currency 4 3 2 3 4 2 4" xfId="30846" xr:uid="{88CE84D6-B319-4B38-9C82-3871BE944E4C}"/>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5 2" xfId="29692" xr:uid="{72B473B9-F902-428F-854C-CB54D507686F}"/>
    <cellStyle name="Currency 4 3 2 3 5 2 2" xfId="30989" xr:uid="{A7C94F98-A8FA-4C61-B245-EF8864580272}"/>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4 2" xfId="29968" xr:uid="{82E5840C-98F6-4266-BB3E-9495DB6AA215}"/>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4 2" xfId="29877" xr:uid="{A7BF50A6-9658-419F-8EF1-2A93352FCFF0}"/>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2 3" xfId="31148" xr:uid="{0C03AF1E-A399-4040-90B7-A6DB64E525B5}"/>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2 3" xfId="31052" xr:uid="{0BFC20F7-3A11-46FD-A2F7-E61DF009DCA7}"/>
    <cellStyle name="Currency 4 3 3 2 5 2 4" xfId="30849" xr:uid="{9DD54116-BB81-4751-8D21-DAB26CEE32EB}"/>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6 2" xfId="29729" xr:uid="{D3EB36FD-8CEE-4738-97ED-A99FD52FAEF4}"/>
    <cellStyle name="Currency 4 3 3 2 6 2 2" xfId="30990" xr:uid="{DE4878C6-2BEC-46D2-8EF8-E46B9720E401}"/>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2 3" xfId="31094" xr:uid="{292C4124-F0A2-4D10-B359-250B7466A5C3}"/>
    <cellStyle name="Currency 4 3 3 3 4 2 4" xfId="30850" xr:uid="{A251918D-5AFF-4910-8A3B-8CF0EE42D7C7}"/>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5 2" xfId="29708" xr:uid="{0A9E1880-5A33-4257-9F52-C4E2B68CBF61}"/>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4 2" xfId="29970" xr:uid="{7281F1A7-5F24-44A1-A148-B239A0D0B065}"/>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2 3" xfId="31021" xr:uid="{E791E615-2623-44F5-A62F-E2834F94C37C}"/>
    <cellStyle name="Currency 4 3 3 6 2 4" xfId="30848" xr:uid="{B37A22F8-B1F5-4E35-B076-D364916926AD}"/>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4 2" xfId="29971" xr:uid="{504B7EA9-2541-4886-B966-3E2F7E9D8798}"/>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3 3 2" xfId="29913" xr:uid="{52E0AAA9-AC47-4051-8A56-EA4E1FA813B4}"/>
    <cellStyle name="Currency 4 3 4 3 4" xfId="30025" xr:uid="{BDE30902-7BFB-4D12-BD65-976D37EB3886}"/>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2 3" xfId="31050" xr:uid="{FB39CD15-218C-4493-A9AF-8E1F9FF5135F}"/>
    <cellStyle name="Currency 4 3 4 5 2 4" xfId="30851" xr:uid="{E1B2DA33-F3FC-4394-A0AA-285A315E6745}"/>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2 2" xfId="31236" xr:uid="{543C203C-95B6-4864-94A6-8BD3E79DA64B}"/>
    <cellStyle name="Currency 4 3 5 2 2 2 3" xfId="30853" xr:uid="{0971C87F-E455-41E8-ABF8-2BC0027F690C}"/>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2 3" xfId="31095" xr:uid="{A8CD7337-3682-4CEA-AF65-6EE0FD3A735D}"/>
    <cellStyle name="Currency 4 3 5 4 2 4" xfId="30852" xr:uid="{A9A8128F-3665-438B-8D34-4F62BF436405}"/>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5 2" xfId="29687" xr:uid="{8351C799-133B-4166-88AA-AFA491555915}"/>
    <cellStyle name="Currency 4 3 5 5 2 2" xfId="30991" xr:uid="{8AE52235-88AA-4879-8CF8-35F89D2E8477}"/>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2 2" xfId="31167" xr:uid="{282841D4-51CD-48A0-8C75-7AB767A6AA5C}"/>
    <cellStyle name="Currency 4 3 6 2 2 2 3" xfId="30854" xr:uid="{6C61F38E-E05A-4904-B280-18DC8E4926BF}"/>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4 2" xfId="29928" xr:uid="{61D729A3-778D-4A96-BFF7-41C4C5FAF594}"/>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4 2" xfId="29865" xr:uid="{ED283249-7832-40BF-813D-7A87C76D57BB}"/>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2 2 2" xfId="31125" xr:uid="{D7F480B7-CB4C-485D-96A0-E1B2EBD6C500}"/>
    <cellStyle name="Currency 4 3 8 2 2 3" xfId="30855" xr:uid="{DC34D8E2-CC8E-42A4-BA04-DCD8DE3CEB56}"/>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4 2" xfId="29973" xr:uid="{D1DCE2EF-CF6D-4E8A-B51C-2B950AC4303B}"/>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3 3 2" xfId="29916" xr:uid="{4DEBB916-963E-4C15-96CA-2D790B655BDA}"/>
    <cellStyle name="Currency 4 4 2 2 3 4" xfId="30027" xr:uid="{C5F67086-089E-473F-A519-DBC59DD5DC2B}"/>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2 3" xfId="31053" xr:uid="{67C2670F-6277-4849-9F51-8CFAF8E73D83}"/>
    <cellStyle name="Currency 4 4 2 2 5 2 4" xfId="30856" xr:uid="{971BAED6-D407-4FD7-A43D-F427F1A24A97}"/>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2 2" xfId="31237" xr:uid="{E94BF9FB-9A35-482A-8B21-EE0A99A9AEF2}"/>
    <cellStyle name="Currency 4 4 2 3 2 2 2 3" xfId="30858" xr:uid="{84D2B151-C397-47FE-9C49-48B74BB9F4A9}"/>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2 3" xfId="31096" xr:uid="{DBDCC3BC-59A6-4FDF-8CB5-5162634392A0}"/>
    <cellStyle name="Currency 4 4 2 3 4 2 4" xfId="30857" xr:uid="{E266DC82-37B3-4A61-9149-D8B676B10235}"/>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5 2" xfId="29704" xr:uid="{3EFD9C23-21A4-42B7-958E-84631AA98301}"/>
    <cellStyle name="Currency 4 4 2 3 5 2 2" xfId="30992" xr:uid="{8BD50B0A-F77B-4D5C-9272-98C9DD72C43D}"/>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4 2" xfId="29972" xr:uid="{B94433C2-4C03-4B4D-94A5-E917D4637908}"/>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4 2" xfId="29887" xr:uid="{1E337AB5-CDC0-4D6B-AC88-B5A57522C2AF}"/>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4 2" xfId="29974" xr:uid="{C447A071-5548-47AC-88AC-3044929A90F6}"/>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2 5" xfId="30453" xr:uid="{3220311B-FB69-4A21-9EA6-BA827237813C}"/>
    <cellStyle name="Currency 4 4 3 3 3" xfId="3585" xr:uid="{00000000-0005-0000-0000-000094030000}"/>
    <cellStyle name="Currency 4 4 3 3 4" xfId="5693" xr:uid="{193A20EF-0047-4A6C-B664-DEFD302C7B8D}"/>
    <cellStyle name="Currency 4 4 3 3 4 2" xfId="29915" xr:uid="{42A8928A-AD1B-4DB0-86BB-E8BF6D29469A}"/>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2 5" xfId="31022" xr:uid="{C772FF49-A530-4A0E-B7EF-F2DE775CB904}"/>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2 2" xfId="29796" xr:uid="{F7B71C15-7722-459E-8BE7-FADD50187F71}"/>
    <cellStyle name="Currency 4 4 4 2 2 2 2" xfId="30860" xr:uid="{9D9B1BB6-7F98-4579-9936-669B30E05F76}"/>
    <cellStyle name="Currency 4 4 4 2 3" xfId="23159" xr:uid="{84ACC6A3-99BA-4642-A269-125562AF4504}"/>
    <cellStyle name="Currency 4 4 4 2 4" xfId="30065" xr:uid="{1B217033-AB76-4D61-9FDE-F4F6F11BB015}"/>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2 3" xfId="31097" xr:uid="{922E07EA-F204-451A-9C0B-BC8E8926C35D}"/>
    <cellStyle name="Currency 4 4 4 5 2 4" xfId="30859" xr:uid="{301E1222-4E62-42A9-A362-C26BC40FFCB3}"/>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2 2" xfId="31178" xr:uid="{E6ECC9DB-DC28-467B-B7F1-CDE8E720F8D3}"/>
    <cellStyle name="Currency 4 4 5 2 2 2 3" xfId="30861" xr:uid="{8A1F00C7-AFCE-4683-94ED-A78DC54E07F5}"/>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4 2" xfId="29850" xr:uid="{53673545-98E4-4DAE-8363-8BC88BF5941E}"/>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4 2" xfId="29861" xr:uid="{349FD21A-67D9-40B3-8E31-F2333293EFC2}"/>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2 2" xfId="29815" xr:uid="{54AEC88B-7641-4033-8E17-654214DB9AAB}"/>
    <cellStyle name="Currency 4 5 2 2 2 2 2 2" xfId="30863" xr:uid="{7381C2EE-3CA1-46AD-B6E8-34B86631DCC2}"/>
    <cellStyle name="Currency 4 5 2 2 2 3" xfId="25550" xr:uid="{28F1393C-3413-4434-818B-1BEA030FD1C4}"/>
    <cellStyle name="Currency 4 5 2 2 2 4" xfId="30066" xr:uid="{0B5255B4-B7A2-4EE0-89D0-EB53C585A7A2}"/>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2 2" xfId="31206" xr:uid="{D619C706-0816-463B-AC58-19A8A3D29D53}"/>
    <cellStyle name="Currency 4 5 2 2 5 2 3" xfId="30862" xr:uid="{B367D80E-8DFE-4B0E-B803-BCECA40AD35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2 5" xfId="30454" xr:uid="{355E64D1-2E56-48F9-84A3-D2E0274B7114}"/>
    <cellStyle name="Currency 4 5 2 3 3" xfId="3676" xr:uid="{00000000-0005-0000-0000-0000A3030000}"/>
    <cellStyle name="Currency 4 5 2 3 4" xfId="5696" xr:uid="{0CD193E0-BEC1-4BF2-9788-987F9986CB96}"/>
    <cellStyle name="Currency 4 5 2 3 4 2" xfId="29760" xr:uid="{99F86FCC-1A9F-4D57-BA3E-48351CE66BC9}"/>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2 3" xfId="31108" xr:uid="{49C92F80-9083-4A60-A898-B9E99DF67213}"/>
    <cellStyle name="Currency 4 5 2 4 2 2 4" xfId="30864" xr:uid="{6CEECFC6-3451-4ABE-A9DF-E8C6F4B15275}"/>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4 3 2" xfId="29917" xr:uid="{5BBE9C94-0D99-4B58-8FC7-D89D9325D11D}"/>
    <cellStyle name="Currency 4 5 2 4 4" xfId="30028" xr:uid="{9967B865-BEDC-4A63-801B-5525C2EDC36C}"/>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2 2" xfId="29818" xr:uid="{4B3D4FBF-846C-4EAB-8330-290E50CB5918}"/>
    <cellStyle name="Currency 4 5 3 2 2 2 2" xfId="30866" xr:uid="{56E3ECBD-CC6C-4809-A0CF-27A26DF84B37}"/>
    <cellStyle name="Currency 4 5 3 2 3" xfId="25620" xr:uid="{CE950C91-DA13-4A1B-A20A-059D6EE2D92A}"/>
    <cellStyle name="Currency 4 5 3 2 3 2" xfId="26037" xr:uid="{BE3BCC2F-6352-4B40-AC21-B009231F1344}"/>
    <cellStyle name="Currency 4 5 3 2 4" xfId="30067" xr:uid="{B604ADA6-9D95-4C24-AA2C-55BB6B9DA913}"/>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2 3" xfId="31098" xr:uid="{33326015-762D-4E88-83D4-A64BE6A0CC24}"/>
    <cellStyle name="Currency 4 5 3 5 2 4" xfId="30865" xr:uid="{F643D74F-7AFF-4B03-A864-927FA527D96F}"/>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2 2" xfId="29802" xr:uid="{C804928D-1D33-4538-9314-49B044D66F42}"/>
    <cellStyle name="Currency 4 5 4 2 2 2 2" xfId="30868" xr:uid="{B0C9A63D-7494-4D52-8251-421A392B421C}"/>
    <cellStyle name="Currency 4 5 4 2 3" xfId="24067" xr:uid="{0D856946-7117-49EA-AC01-0064A38C42CE}"/>
    <cellStyle name="Currency 4 5 4 2 4" xfId="30044" xr:uid="{EEFDFB76-2D08-40FB-A6B7-3476F3E82C64}"/>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5 2 2" xfId="31119" xr:uid="{599ACB9C-A937-47CA-9D0F-C4AB326FB162}"/>
    <cellStyle name="Currency 4 5 4 5 2 3" xfId="30867" xr:uid="{E8603F16-F09A-4E09-9D28-44B44FEF8439}"/>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2 5" xfId="30455" xr:uid="{D1D92241-B440-4161-9AD3-507B6B28F8E2}"/>
    <cellStyle name="Currency 4 5 5 3" xfId="3687" xr:uid="{00000000-0005-0000-0000-0000AE030000}"/>
    <cellStyle name="Currency 4 5 5 4" xfId="5697" xr:uid="{87D1524C-BFE7-422B-B989-9D522BADBCA1}"/>
    <cellStyle name="Currency 4 5 5 4 2" xfId="29851" xr:uid="{866D774B-6445-4880-8BA7-0099CB8DF3AA}"/>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6 4 2" xfId="29873" xr:uid="{AB0F7101-5019-4E1F-BD3B-6E1E7DC5302C}"/>
    <cellStyle name="Currency 4 5 6 5" xfId="30003" xr:uid="{8A598608-F3B4-41BB-B471-9AEA4AC2105B}"/>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2 2" xfId="29801" xr:uid="{909C59C1-8B84-41E5-BC5D-A742D25F0966}"/>
    <cellStyle name="Currency 4 6 2 2 2 2 2 2" xfId="30870" xr:uid="{33A67EFD-F51B-4EDD-ACDC-7AA56856132E}"/>
    <cellStyle name="Currency 4 6 2 2 2 3" xfId="25071" xr:uid="{E0EA9661-5210-4CF1-B311-A122A5430DBF}"/>
    <cellStyle name="Currency 4 6 2 2 2 4" xfId="30068" xr:uid="{B544388C-494D-4615-984D-2FF79A0A057C}"/>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2 2" xfId="31208" xr:uid="{0C5E9D99-D942-47ED-AA42-8E46FBC624DE}"/>
    <cellStyle name="Currency 4 6 2 2 5 2 3" xfId="30869" xr:uid="{AFFC98E0-9F11-4EDB-A318-463DF76AA7AC}"/>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2 5" xfId="30456" xr:uid="{78266109-4A71-4784-91E5-B862DD85110C}"/>
    <cellStyle name="Currency 4 6 2 3 3" xfId="3636" xr:uid="{00000000-0005-0000-0000-0000B7030000}"/>
    <cellStyle name="Currency 4 6 2 3 4" xfId="5698" xr:uid="{B38A81BB-9A36-40AA-950D-281B6FFF8927}"/>
    <cellStyle name="Currency 4 6 2 3 4 2" xfId="29761" xr:uid="{67054A47-93D4-47AB-AD53-E56BF5421076}"/>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2 3" xfId="31000" xr:uid="{50D06B9C-4AB5-43C5-B1A6-6C448FBE4A75}"/>
    <cellStyle name="Currency 4 6 2 4 2 2 4" xfId="30871" xr:uid="{04687B75-08B5-48CB-8CF3-ADAA48B62C27}"/>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4 3 2" xfId="29918" xr:uid="{5A87EBC1-D111-497B-B547-E9E6BC33C8DF}"/>
    <cellStyle name="Currency 4 6 2 4 4" xfId="30029" xr:uid="{8DDC0C0A-0576-413A-A87E-09C0201918F9}"/>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2 2" xfId="29793" xr:uid="{5BD17850-E81F-4D87-8CFA-6F1B58B55BE2}"/>
    <cellStyle name="Currency 4 6 3 2 2 2 2" xfId="30873" xr:uid="{4106EB6B-C055-4934-8903-1EC3CEE1C66A}"/>
    <cellStyle name="Currency 4 6 3 2 3" xfId="23227" xr:uid="{2C26A46C-6DAC-4B8D-A2CE-FB3895391873}"/>
    <cellStyle name="Currency 4 6 3 2 3 2" xfId="27864" xr:uid="{10E1699B-2241-47D5-9787-3D9730D666CE}"/>
    <cellStyle name="Currency 4 6 3 2 4" xfId="30069" xr:uid="{C6C642F4-8913-48F4-A9F0-7CC515AFA269}"/>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2 3" xfId="31099" xr:uid="{61AF2E4D-FDA5-40C5-9E4A-57B74CB50473}"/>
    <cellStyle name="Currency 4 6 3 5 2 4" xfId="30872" xr:uid="{03009555-2AD8-4DBA-836C-59EF688A36D7}"/>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2 2" xfId="29805" xr:uid="{50A05FD2-552A-489D-921C-33EF4CB07C26}"/>
    <cellStyle name="Currency 4 6 4 2 2 2 2" xfId="30875" xr:uid="{20DD1A3A-4C66-426C-8AF0-5DD8ECADACD2}"/>
    <cellStyle name="Currency 4 6 4 2 3" xfId="22734" xr:uid="{49722CC7-D743-4F52-82C1-3F54B76E2373}"/>
    <cellStyle name="Currency 4 6 4 2 4" xfId="30045" xr:uid="{103C0001-4553-4204-B33E-FA357C6EA3AE}"/>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5 2 2" xfId="31120" xr:uid="{9BFE5A8D-C545-4F3A-8596-DCD99BE51191}"/>
    <cellStyle name="Currency 4 6 4 5 2 3" xfId="30874" xr:uid="{A064A3F5-5B54-4892-9309-AD84AB3D99CF}"/>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2 5" xfId="30457" xr:uid="{E18A8C60-CC08-4E1E-A0CA-FB0ED894DFBA}"/>
    <cellStyle name="Currency 4 6 5 3" xfId="2085" xr:uid="{00000000-0005-0000-0000-0000C2030000}"/>
    <cellStyle name="Currency 4 6 5 4" xfId="5699" xr:uid="{7B617730-E9B4-416A-9358-07A6A410E9D6}"/>
    <cellStyle name="Currency 4 6 5 4 2" xfId="29852" xr:uid="{E0193312-E9E5-449A-AE34-3BA53CF5D6B0}"/>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6 4 2" xfId="29884" xr:uid="{99FEDB83-0EE7-41D5-884E-FFFD18F1BF1A}"/>
    <cellStyle name="Currency 4 6 6 5" xfId="30007" xr:uid="{1460142F-DF54-4A6F-A3ED-28B82CD6A1AD}"/>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2 2 2" xfId="31139" xr:uid="{2D7C246A-68B7-4CFD-A4B1-20F461BF2A36}"/>
    <cellStyle name="Currency 4 7 2 2 2 2 2 3" xfId="30876" xr:uid="{58998F0B-85AE-486C-A382-95439DE4F342}"/>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4 2" xfId="29770" xr:uid="{0C7B32D4-BB29-4F76-8B8A-FD0BCD18A388}"/>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2 2" xfId="30877" xr:uid="{46A40648-E8C7-46BB-B02E-964BBBAC44C8}"/>
    <cellStyle name="Currency 4 7 2 3 2 3" xfId="30559" xr:uid="{7FB00D90-5EFF-407A-A2EE-BCB114692E06}"/>
    <cellStyle name="Currency 4 7 2 3 3" xfId="24175" xr:uid="{26544DD9-D091-4B2C-811F-DB5F89FFB9E2}"/>
    <cellStyle name="Currency 4 7 2 3 4" xfId="30046" xr:uid="{03F34DAA-9662-4CDA-B389-E9B2513FC7EF}"/>
    <cellStyle name="Currency 4 7 2 3 5" xfId="29666" xr:uid="{B1A5471A-E9DF-4A58-98F4-687E63BF72A9}"/>
    <cellStyle name="Currency 4 7 2 4" xfId="1944" xr:uid="{00000000-0005-0000-0000-0000C9030000}"/>
    <cellStyle name="Currency 4 7 2 4 2" xfId="27767" xr:uid="{35AA840F-E0D9-4801-A904-7666944D530D}"/>
    <cellStyle name="Currency 4 7 2 4 2 2" xfId="30878" xr:uid="{1515B294-8235-40E8-A6B4-154D4660E385}"/>
    <cellStyle name="Currency 4 7 2 4 2 3" xfId="30594" xr:uid="{1E8B89AC-8DA1-43FC-A4C2-8D0D6782A5B1}"/>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5 5" xfId="30616" xr:uid="{21AA2613-708A-4885-9EF8-F8F95C75AC44}"/>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2 2" xfId="30880" xr:uid="{0702549B-AD85-4AE4-A433-868C879C86F7}"/>
    <cellStyle name="Currency 4 7 3 2 2 3" xfId="30607" xr:uid="{A38BBF4E-F180-48DE-B4A0-4A2613B2FFB9}"/>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2 2" xfId="31181" xr:uid="{60D792DD-C0A3-4059-B1B7-EE8D93B21A3E}"/>
    <cellStyle name="Currency 4 7 3 5 2 3" xfId="30879" xr:uid="{965771F9-B135-4B0F-888D-B2C2DB99A4E6}"/>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2 2 2" xfId="31129" xr:uid="{5CB58FDC-842F-4366-B972-CDDC1BFA162B}"/>
    <cellStyle name="Currency 4 7 4 2 2 2 3" xfId="30881" xr:uid="{89EB998A-6F45-4617-8268-95C9947F0B85}"/>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4 4 2" xfId="29740" xr:uid="{424C1383-0C0A-4A87-94FC-0B530D5B9FC1}"/>
    <cellStyle name="Currency 4 7 4 5" xfId="29853" xr:uid="{83D46F38-F5C3-4492-BE02-3C9E29784F87}"/>
    <cellStyle name="Currency 4 7 4 6" xfId="29995" xr:uid="{D5B75D03-C87F-4FB3-9F1A-AC55BC0986B3}"/>
    <cellStyle name="Currency 4 7 5" xfId="1951" xr:uid="{00000000-0005-0000-0000-0000CF030000}"/>
    <cellStyle name="Currency 4 7 5 2" xfId="25268" xr:uid="{CDE00D5B-E828-41FA-A68A-9B3CE7066B15}"/>
    <cellStyle name="Currency 4 7 5 2 2" xfId="29733" xr:uid="{6772595D-F27B-4705-AC0E-A786A7A8AE55}"/>
    <cellStyle name="Currency 4 7 5 2 2 2" xfId="30882" xr:uid="{1E6F16AA-3248-4BCF-B673-DB6874B6D555}"/>
    <cellStyle name="Currency 4 7 5 3" xfId="25600" xr:uid="{6CD831BA-6D09-4C68-9F08-905171E640CA}"/>
    <cellStyle name="Currency 4 7 5 4" xfId="30030" xr:uid="{540ADC2A-6053-4F65-B211-C07661CCB067}"/>
    <cellStyle name="Currency 4 7 6" xfId="1943" xr:uid="{00000000-0005-0000-0000-0000D0030000}"/>
    <cellStyle name="Currency 4 7 6 2" xfId="26143" xr:uid="{D0C1945C-72AA-4573-AA8D-1633DBEA2CAD}"/>
    <cellStyle name="Currency 4 7 6 2 2" xfId="30883" xr:uid="{BD05442E-4299-43AF-92D8-BA01610430CE}"/>
    <cellStyle name="Currency 4 7 6 2 3" xfId="30593" xr:uid="{D3EEBA4A-4BA4-4D6E-A7B4-E64301858765}"/>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2 2 2" xfId="31140" xr:uid="{AAC7DD63-F3B0-4EA7-A2AB-A56CAF05FE90}"/>
    <cellStyle name="Currency 4 8 2 2 2 2 2 3" xfId="30884" xr:uid="{27A2AC4E-6837-47B5-B15A-55F5344721D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4 2" xfId="29771" xr:uid="{2A63CC11-416D-448A-B04D-B1999AFE4288}"/>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2 2" xfId="30885" xr:uid="{757A3CB7-1C55-4D56-B945-482D3CE86FCE}"/>
    <cellStyle name="Currency 4 8 2 3 2 3" xfId="30560" xr:uid="{1C10DF34-CC59-4FAB-BE80-EACF5A93CA72}"/>
    <cellStyle name="Currency 4 8 2 3 3" xfId="23120" xr:uid="{1602DC18-E900-4AE9-A316-7D2565CB3207}"/>
    <cellStyle name="Currency 4 8 2 3 4" xfId="30047" xr:uid="{1CDABCE1-0483-422E-A6D0-DA2E0546B955}"/>
    <cellStyle name="Currency 4 8 2 3 5" xfId="29667" xr:uid="{791DC7EE-5FE3-4AE5-8D27-7C884F499AE2}"/>
    <cellStyle name="Currency 4 8 2 4" xfId="1953" xr:uid="{00000000-0005-0000-0000-0000D5030000}"/>
    <cellStyle name="Currency 4 8 2 4 2" xfId="28681" xr:uid="{83965D3F-0DFF-4118-9460-A46F81EC8DEC}"/>
    <cellStyle name="Currency 4 8 2 4 2 2" xfId="30886" xr:uid="{6A9CCD15-757E-42F7-A126-7DE3F6BF7048}"/>
    <cellStyle name="Currency 4 8 2 4 2 3" xfId="30596" xr:uid="{A308E91F-CE51-4207-A946-3A96D42EA8B7}"/>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5 5" xfId="30639" xr:uid="{145C9633-4B64-48AF-8723-20B8C3906735}"/>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2 2" xfId="30888" xr:uid="{6B43E411-504A-48A0-881D-A4CB093416FC}"/>
    <cellStyle name="Currency 4 8 3 2 2 3" xfId="30608" xr:uid="{E9C158B3-78D8-4AF3-8BD1-0F4A0B4EB020}"/>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2 2" xfId="31194" xr:uid="{1FA06368-9692-4F87-BA84-A8F7113127B3}"/>
    <cellStyle name="Currency 4 8 3 5 2 3" xfId="30887" xr:uid="{74CDC86A-7890-43A0-9099-81F98F0722EF}"/>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2 2 2" xfId="31130" xr:uid="{1050FCCF-014F-4A61-8409-ABEAF81E4B6C}"/>
    <cellStyle name="Currency 4 8 4 2 2 2 3" xfId="30889" xr:uid="{FC86CB32-E70B-4812-90F6-F48A30AB6E2C}"/>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4 4 2" xfId="29741" xr:uid="{95BBA192-E16E-479F-A9AC-4984C46E7EF3}"/>
    <cellStyle name="Currency 4 8 4 5" xfId="29854" xr:uid="{C8D3D891-209E-4B26-9316-25A831B4C4AB}"/>
    <cellStyle name="Currency 4 8 4 6" xfId="29996" xr:uid="{86931842-3154-47E1-A149-1B03081C7CA9}"/>
    <cellStyle name="Currency 4 8 5" xfId="1960" xr:uid="{00000000-0005-0000-0000-0000DB030000}"/>
    <cellStyle name="Currency 4 8 5 2" xfId="25623" xr:uid="{FDE13DD4-4BFE-4241-AF39-D2C68C9AD7B0}"/>
    <cellStyle name="Currency 4 8 5 2 2" xfId="29814" xr:uid="{51867E3E-322C-45C2-AAB5-A9260D89EAA5}"/>
    <cellStyle name="Currency 4 8 5 2 2 2" xfId="30890" xr:uid="{1A883A60-46C3-43A6-A992-715105DD7CC1}"/>
    <cellStyle name="Currency 4 8 5 3" xfId="23099" xr:uid="{7A60B91C-EC8E-45C0-8A86-C875998593D9}"/>
    <cellStyle name="Currency 4 8 5 4" xfId="30031" xr:uid="{A621AE50-9826-4A13-9FC9-FFD777B68BD3}"/>
    <cellStyle name="Currency 4 8 6" xfId="1952" xr:uid="{00000000-0005-0000-0000-0000DC030000}"/>
    <cellStyle name="Currency 4 8 6 2" xfId="25843" xr:uid="{F485F629-3DA4-44A2-B8A8-546D8AA4877F}"/>
    <cellStyle name="Currency 4 8 6 2 2" xfId="30891" xr:uid="{529C92E7-70BA-45B3-AD7F-442288B598B1}"/>
    <cellStyle name="Currency 4 8 6 2 3" xfId="30595" xr:uid="{C285BB10-709D-4317-88CD-0FA126CCFB66}"/>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2 2 2" xfId="31145" xr:uid="{ED8C307C-F610-47C6-A831-49895CEE396D}"/>
    <cellStyle name="Currency 4 9 2 2 2 2 3" xfId="30892" xr:uid="{33621EAE-9D95-48E9-891A-0F259B49272F}"/>
    <cellStyle name="Currency 4 9 2 2 3" xfId="11019" xr:uid="{D7DEB894-76C8-4B7B-B912-EBD1C82FE3F2}"/>
    <cellStyle name="Currency 4 9 2 2 3 2" xfId="21399" xr:uid="{8065ECFA-8095-493D-9111-5F5913647C23}"/>
    <cellStyle name="Currency 4 9 2 2 4" xfId="25612" xr:uid="{A7FF5CE1-F4BB-4703-8B1C-0C380512F35C}"/>
    <cellStyle name="Currency 4 9 2 2 4 2" xfId="30076" xr:uid="{A4FDCC8D-1AF2-4A28-BC45-E5AB8BDBB980}"/>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4 2" xfId="29783" xr:uid="{F000CD1D-B1BA-49CE-A26C-7AEFE89CA9A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2 5" xfId="30458" xr:uid="{E82066D7-0909-4523-8345-4B323B12606B}"/>
    <cellStyle name="Currency 4 9 3 3" xfId="3656" xr:uid="{00000000-0005-0000-0000-0000DF030000}"/>
    <cellStyle name="Currency 4 9 3 4" xfId="5703" xr:uid="{572965EA-1F6C-4640-9DDC-DE1E721E4148}"/>
    <cellStyle name="Currency 4 9 3 4 2" xfId="29758" xr:uid="{B6BCDE65-9BFA-44F5-9903-F31404CCA55C}"/>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2 3" xfId="31054" xr:uid="{65379D5D-A019-44C2-A4F5-8978204D96E1}"/>
    <cellStyle name="Currency 5 2 2 2 5 2 4" xfId="30893" xr:uid="{742D8526-B98A-43F7-82DB-E1B0DFFD6C96}"/>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6 2" xfId="29730" xr:uid="{65C9FCB2-3DEC-4426-9C59-F87A66AA0CC0}"/>
    <cellStyle name="Currency 5 2 2 2 6 2 2" xfId="30993" xr:uid="{AFC39984-8795-40B8-B32F-0117AF697C54}"/>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2 2" xfId="31238" xr:uid="{87F82027-79CD-47F8-AA9B-02A445559384}"/>
    <cellStyle name="Currency 5 2 2 3 2 2 2 3" xfId="30895" xr:uid="{17A3B4CC-F29C-453C-BBA9-895349B92972}"/>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2 3" xfId="31100" xr:uid="{448935C6-ECC2-4E7F-9166-42A235C27226}"/>
    <cellStyle name="Currency 5 2 2 3 4 2 4" xfId="30894" xr:uid="{C5657449-ECBB-4564-A545-23B9D035DF66}"/>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5 2" xfId="29712" xr:uid="{DD288719-AB35-4C89-88F1-540C0355360C}"/>
    <cellStyle name="Currency 5 2 2 3 5 2 2" xfId="30994" xr:uid="{2203EE67-0F45-4FCA-8501-AF4CCD1B0C73}"/>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4 2" xfId="29975" xr:uid="{1A47C2B6-3535-4DAD-8D31-63333AA84210}"/>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2 2" xfId="31201" xr:uid="{E9A01D91-80DD-41A2-BDF4-F2C3BA223E61}"/>
    <cellStyle name="Currency 5 2 2 5 2 2 3" xfId="30896" xr:uid="{4927734C-1128-4F35-ADA5-EBE5F5527F8D}"/>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4 2" xfId="29976" xr:uid="{EA9668FA-7D48-4451-A463-CEDC38FAAA6D}"/>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2 5" xfId="30459" xr:uid="{DAB7CACA-8941-4CE4-B122-9A8774B9A021}"/>
    <cellStyle name="Currency 5 2 3 3 3" xfId="3579" xr:uid="{00000000-0005-0000-0000-0000E9030000}"/>
    <cellStyle name="Currency 5 2 3 3 4" xfId="5709" xr:uid="{59616245-D824-46F1-81B0-F7CE84542057}"/>
    <cellStyle name="Currency 5 2 3 3 4 2" xfId="29919" xr:uid="{9D672207-4D78-471A-8306-1D5902F0DCD8}"/>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2 5" xfId="31024" xr:uid="{0D38C156-3687-44A0-89ED-AC90BFF6346D}"/>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2 2" xfId="31239" xr:uid="{73676227-5E83-4702-8972-5E4E8CEB392D}"/>
    <cellStyle name="Currency 5 2 4 2 2 2 3" xfId="30898" xr:uid="{13AFE293-B1E9-4C3C-B65C-D9B74021402C}"/>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2 3" xfId="31101" xr:uid="{04F8AB4D-3583-413E-A867-E9E1E954177D}"/>
    <cellStyle name="Currency 5 2 4 4 2 4" xfId="30897" xr:uid="{033065B8-3DEE-4E7E-9008-7D6E15491596}"/>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5 2" xfId="29694" xr:uid="{5AD77B6F-1F47-49A8-8F2D-FBDD0BA971A3}"/>
    <cellStyle name="Currency 5 2 4 5 2 2" xfId="30995" xr:uid="{61B4BDAA-FE5F-4AB7-9E5D-32E54EF4F78A}"/>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2 2" xfId="31212" xr:uid="{BF6DB955-8871-4EAF-9EB8-C68B85D30551}"/>
    <cellStyle name="Currency 5 2 5 2 2 2 3" xfId="30899" xr:uid="{C2C9D297-6FFA-48E8-8FCF-9BB4213F41C3}"/>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4 2" xfId="29929" xr:uid="{7102F65A-C7BE-4D84-A759-F42C9E8516B6}"/>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4 2" xfId="29879" xr:uid="{C483D0FC-BB86-4D28-A080-8736F3CBDE28}"/>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2 2" xfId="31175" xr:uid="{0ABF76C8-146E-4EA9-9EF4-12330D97B2F4}"/>
    <cellStyle name="Currency 5 2 7 2 2 3" xfId="30900" xr:uid="{B13E3068-9BEB-46ED-BF85-C4985B631957}"/>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2 3" xfId="31151" xr:uid="{50F8AEFD-436B-4734-8134-882238514C1B}"/>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5 2" xfId="30077" xr:uid="{F958E69A-68BF-4BA9-81F7-14578EED27A9}"/>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2 3" xfId="31055" xr:uid="{033E1420-9C77-473B-804F-C41CBED77E74}"/>
    <cellStyle name="Currency 5 3 2 5 2 4" xfId="30901" xr:uid="{13CA0AD7-30C4-4001-B64F-03E7560C4A03}"/>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6 2" xfId="29731" xr:uid="{7E661BEA-FF8D-4BD4-AFEB-927EC4D8CCA8}"/>
    <cellStyle name="Currency 5 3 2 6 2 2" xfId="30996" xr:uid="{6539BE70-08E3-4AA4-B58E-F300449EC90E}"/>
    <cellStyle name="Currency 5 3 2 7" xfId="22910" xr:uid="{2A10CFEC-0929-4835-ABE0-3A392EEEC7A6}"/>
    <cellStyle name="Currency 5 3 2 8" xfId="13120" xr:uid="{47A9C792-CC8F-4DF3-B7EE-6BD5C7B06878}"/>
    <cellStyle name="Currency 5 3 2 9" xfId="29997" xr:uid="{2C104A3A-A926-488C-8CAB-843E476B7B22}"/>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2 2" xfId="31240" xr:uid="{3C0EFCA0-5665-4D69-876A-58B83D160D6D}"/>
    <cellStyle name="Currency 5 3 3 2 2 2 3" xfId="30903" xr:uid="{DFA99822-3024-4E51-8F42-35A278ABE4E4}"/>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2 3" xfId="31102" xr:uid="{785265B5-1F83-4815-9163-77914337B262}"/>
    <cellStyle name="Currency 5 3 3 4 2 4" xfId="30902" xr:uid="{7FC14047-A419-4FF0-AC80-82C714D7AF82}"/>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5 2" xfId="29698" xr:uid="{A379AF37-E0F1-412B-A298-3E3C42206E20}"/>
    <cellStyle name="Currency 5 3 3 5 2 2" xfId="30997" xr:uid="{1F76261D-623D-47D8-8A94-50739780B2FC}"/>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4 2" xfId="29977" xr:uid="{D1112619-8F7B-4CEF-915B-708D2443B095}"/>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2 2" xfId="31187" xr:uid="{C9C22307-3BA8-47BE-87A8-DE51ADDD98DB}"/>
    <cellStyle name="Currency 5 3 5 2 2 3" xfId="30904" xr:uid="{D3CCDC70-5088-44B7-86FC-33B08181C61A}"/>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4 2" xfId="29784" xr:uid="{19716B96-BD5D-41F7-9047-88F0E9D8F84C}"/>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2 5" xfId="30460" xr:uid="{C4BF89D7-9F8D-4225-9959-7ECED6738608}"/>
    <cellStyle name="Currency 5 4 3 3" xfId="2076" xr:uid="{00000000-0005-0000-0000-0000F4030000}"/>
    <cellStyle name="Currency 5 4 3 4" xfId="5716" xr:uid="{C626BE1A-2589-41B4-9BF0-6DAE18296A2F}"/>
    <cellStyle name="Currency 5 4 3 4 2" xfId="29762" xr:uid="{0D89A086-9FE6-4E3D-B526-1494DED2FF2F}"/>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2 5" xfId="31023" xr:uid="{FA1B9D74-2E46-4D44-8B9F-96DCD9E4367B}"/>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2 2" xfId="29792" xr:uid="{1F4A1241-11FA-4754-B428-B23B31049367}"/>
    <cellStyle name="Currency 5 5 2 2 2 2" xfId="30906" xr:uid="{80A3C272-8E3F-47B7-88D9-24B437AF7685}"/>
    <cellStyle name="Currency 5 5 2 3" xfId="23372" xr:uid="{B1715BAC-BC59-417D-8714-CAE2DF61EF57}"/>
    <cellStyle name="Currency 5 5 2 4" xfId="30070" xr:uid="{71DD050B-1240-4EA7-9026-B2947CE56546}"/>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2 3" xfId="31103" xr:uid="{B937916B-8AE6-4502-9C61-03713E9CBD21}"/>
    <cellStyle name="Currency 5 5 5 2 4" xfId="30905" xr:uid="{4ACA4BB3-F1EB-41B8-9D97-8BA7228130D4}"/>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2 2" xfId="31203" xr:uid="{ABAD1DC5-D818-4810-B437-4255C3E9C2B6}"/>
    <cellStyle name="Currency 5 6 2 2 2 3" xfId="30907" xr:uid="{8826BB34-1D56-4F2D-8AA5-9443D9B05EC7}"/>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4 2" xfId="29772" xr:uid="{05354970-BE85-4C7B-82A1-A927A75CB5E7}"/>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4 2" xfId="29867" xr:uid="{78EF0E7C-CE30-48B2-8566-392947B9B818}"/>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2 3" xfId="31160" xr:uid="{7174CBCE-36C5-49A4-8A6A-16D407A6799D}"/>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5 2" xfId="30090" xr:uid="{0BC24850-1976-4B8D-9771-DD8AE4D32C8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2 3" xfId="31056" xr:uid="{5A5FF8E9-866E-408A-B46E-C2931AFFF820}"/>
    <cellStyle name="Currency 6 2 5 2 4" xfId="30909" xr:uid="{BE2DD6EC-46BA-44B9-B70A-5F3A211DC23A}"/>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6 2" xfId="29732" xr:uid="{CA4427FA-A10B-4481-823D-5EF31B041201}"/>
    <cellStyle name="Currency 6 2 6 2 2" xfId="30998" xr:uid="{EF69C268-86AE-4EDB-AC7E-3233C401BC61}"/>
    <cellStyle name="Currency 6 2 7" xfId="24758" xr:uid="{E9123834-46AB-4CF8-ABC6-146C5D9A9E59}"/>
    <cellStyle name="Currency 6 2 8" xfId="13121" xr:uid="{AF98AD0D-47DC-446A-B679-F04EDFEFA06F}"/>
    <cellStyle name="Currency 6 2 9" xfId="29998" xr:uid="{9296D3E2-4786-402C-9F10-BE45CC94E49E}"/>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2 3" xfId="31104" xr:uid="{7343AD9B-9F62-4FE0-BEFA-F619984343F2}"/>
    <cellStyle name="Currency 6 3 4 2 4" xfId="30910" xr:uid="{B5D80BAF-81AD-475A-AFB2-441CB8F3FF0E}"/>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5 2" xfId="29716" xr:uid="{00913BD0-ABC3-4764-9C14-4A1079851A3F}"/>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4 2" xfId="29978" xr:uid="{AF218B08-8952-477D-9428-2F58BAAF89A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2 3" xfId="31005" xr:uid="{975FE8FC-D74B-4BAB-BB02-E6313F0E9F56}"/>
    <cellStyle name="Currency 6 7 2 4" xfId="30908" xr:uid="{8B99E9DC-DF10-4D98-B2A7-FC4E44B23349}"/>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2 3" xfId="31155" xr:uid="{A4B65126-91AD-4731-B18E-C941117B3CBF}"/>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2 6 2" xfId="30084" xr:uid="{A2DDCFAE-5DAF-42B0-8BC1-D233D324714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2 5" xfId="31047" xr:uid="{FF6DB03D-F4BC-4037-887B-3140CF3B8F7C}"/>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8 2" xfId="29985" xr:uid="{38CCC4F8-3A05-4E8F-A88E-F9A4A5382814}"/>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8 4" xfId="30930" xr:uid="{D45966F1-6C24-42C2-8D71-F9FB2965BA9E}"/>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1 7" xfId="31254" xr:uid="{28E00C5A-101C-4D57-87F3-FFA1BE1BED88}"/>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4 2" xfId="29763" xr:uid="{7DD32FFB-9842-4328-84E5-E9D8D2B0F68E}"/>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3 4" xfId="30032" xr:uid="{A3EAF4AB-5115-481D-A447-9586BF9ECF1A}"/>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5 4" xfId="29986" xr:uid="{4C44E769-B72D-47F8-BFD8-967FDABB778E}"/>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5 2 2" xfId="30108" xr:uid="{F7E39ECD-4D10-4D07-8F21-75FAF9DEBFA7}"/>
    <cellStyle name="Normal 17 5 3" xfId="30383" xr:uid="{B45CE350-A162-4B94-B9BF-8DDA18EE9D32}"/>
    <cellStyle name="Normal 17 5 4" xfId="30370" xr:uid="{8603D28E-B236-4EC6-AE4B-CCA2E34ECDF2}"/>
    <cellStyle name="Normal 17 5 4 2" xfId="31709" xr:uid="{8378316B-0AEB-4628-8314-F5A160EE652A}"/>
    <cellStyle name="Normal 17 6" xfId="29639" xr:uid="{2615603F-F587-465C-9DB1-DFE5AAD13470}"/>
    <cellStyle name="Normal 17 6 2" xfId="30107" xr:uid="{1CE297B0-511C-45BD-82B6-9F5EFC6F4E9E}"/>
    <cellStyle name="Normal 17 7" xfId="30353" xr:uid="{B6AE06BD-E46D-4EF1-88E1-B52B46EEF606}"/>
    <cellStyle name="Normal 17 7 2" xfId="31693" xr:uid="{715E5696-15DC-46D7-B1F6-6B19405350CB}"/>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2 4" xfId="31001" xr:uid="{F18E5E9C-D8D8-4F69-9CEA-1EB84E6CB813}"/>
    <cellStyle name="Normal 2 18 2 5" xfId="30916" xr:uid="{C8A5B2B3-A9B4-4CC3-9248-93D24488B8AF}"/>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19 7 2" xfId="30106" xr:uid="{C4AE6AE8-64C8-4402-93EB-4E613E643CC2}"/>
    <cellStyle name="Normal 2 19 8" xfId="31112" xr:uid="{AD9EAF03-CE2E-4033-B917-F2FC89D9335A}"/>
    <cellStyle name="Normal 2 19 8 2" xfId="31695" xr:uid="{E7154EF1-2601-4A7C-8056-AA513484E4A7}"/>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25" xfId="30101" xr:uid="{5AB8A7DA-FFAA-4EB5-9950-87FFA7645D23}"/>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23" xfId="30099" xr:uid="{C20B993B-01C2-4C51-8F98-6A9CBB8E2F4D}"/>
    <cellStyle name="Normal 23 2" xfId="30396" xr:uid="{287CA121-5416-4078-9572-C7B4DE184957}"/>
    <cellStyle name="Normal 23 3" xfId="31722" xr:uid="{A2338FA5-8524-4237-8FAD-9DB425B51562}"/>
    <cellStyle name="Normal 24" xfId="31723" xr:uid="{BE37FBE3-E7E0-4E3B-859E-DDA037DFFD0D}"/>
    <cellStyle name="Normal 25" xfId="30098" xr:uid="{07506169-A6FD-44A0-8C52-1A1EF451F172}"/>
    <cellStyle name="Normal 26" xfId="30103" xr:uid="{7027CCDA-B9FD-43DE-A40A-182DF76F28F4}"/>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2 4 3 3" xfId="30236" xr:uid="{B775CA85-A94A-4FA2-B016-4DD4E6773E9E}"/>
    <cellStyle name="Normal 3 2 2 4 3 3 2" xfId="31379" xr:uid="{FE22CF11-4570-4966-8D0D-C6F52D65F8E8}"/>
    <cellStyle name="Normal 3 2 2 4 3 4" xfId="31576" xr:uid="{D3F1F72C-C507-475E-BFC1-88BFEC9AABA6}"/>
    <cellStyle name="Normal 3 2 2 5" xfId="31263"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3 3 3" xfId="30237" xr:uid="{B4011CD2-DE1E-4B51-8A66-B3C8C7A5D421}"/>
    <cellStyle name="Normal 3 2 3 3 2 3 2 3 3 3 2" xfId="31380" xr:uid="{BE93AEFA-7DA3-4658-9FC8-146A8E24F6DB}"/>
    <cellStyle name="Normal 3 2 3 3 2 3 2 3 3 4" xfId="31577" xr:uid="{9B4EC05B-CF70-4662-9DB5-17BD8DAB0B95}"/>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4 2" xfId="31292" xr:uid="{EB8BC9D9-A033-4C6E-8AEF-B73E94BB5D44}"/>
    <cellStyle name="Normal 3 2 3 3 2 3 5" xfId="2094" xr:uid="{00000000-0005-0000-0000-000008020000}"/>
    <cellStyle name="Normal 3 2 3 3 2 3 5 2" xfId="4649" xr:uid="{F5C0EA0D-9822-4FF4-BD48-55FE3EF7782D}"/>
    <cellStyle name="Normal 3 2 3 3 2 3 5 3" xfId="30175" xr:uid="{EFD41364-146C-4C8A-A23B-7D13531E8C1D}"/>
    <cellStyle name="Normal 3 2 3 3 2 3 5 3 2" xfId="31319" xr:uid="{B91B5B5F-A506-42B7-A20E-383BCA9FFAF5}"/>
    <cellStyle name="Normal 3 2 3 3 2 3 5 4" xfId="31515" xr:uid="{6D671EEF-9106-4A0F-AE0E-B3AC82C22655}"/>
    <cellStyle name="Normal 3 2 3 3 2 3 6" xfId="3957" xr:uid="{0E1DF840-3114-4679-8527-B4509133BFD3}"/>
    <cellStyle name="Normal 3 2 3 3 2 3 6 2" xfId="4703" xr:uid="{EBED180B-3325-462A-919B-62911980F3E3}"/>
    <cellStyle name="Normal 3 2 3 3 2 3 6 3" xfId="30297" xr:uid="{E136CEC1-43EF-4959-B635-DE56F5F46204}"/>
    <cellStyle name="Normal 3 2 3 3 2 3 6 3 2" xfId="31440" xr:uid="{56DB6537-5079-42DC-8C0E-B9EB0AF26203}"/>
    <cellStyle name="Normal 3 2 3 3 2 3 6 4" xfId="31637" xr:uid="{D8E5B5D1-0B28-44DE-9618-995E05721A23}"/>
    <cellStyle name="Normal 3 2 3 3 2 3 7" xfId="30118" xr:uid="{3A8EA0EB-6553-4DE0-BA6D-E554B6EEBC52}"/>
    <cellStyle name="Normal 3 2 3 3 2 3 7 2" xfId="30479" xr:uid="{12261BA5-6EBE-49C8-858C-4433B97E2B8F}"/>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4 3 3 3" xfId="30384" xr:uid="{BAC9BCB8-EF57-4DA4-B9C1-3F2B8C7FC657}"/>
    <cellStyle name="Normal 3 2 3 3 2 4 3 3 4" xfId="30371" xr:uid="{34267B84-BB81-4C12-8C46-473BBA220C20}"/>
    <cellStyle name="Normal 3 2 3 3 2 4 3 3 4 2" xfId="31710" xr:uid="{592A1166-586C-44C0-A573-38C22F19E4A2}"/>
    <cellStyle name="Normal 3 2 3 3 2 4 3 4" xfId="30354" xr:uid="{93657840-58F4-4379-9A8A-0046F497FB51}"/>
    <cellStyle name="Normal 3 2 3 3 2 4 3 4 2" xfId="31696" xr:uid="{A40DE0E8-AD45-4E9B-94C0-51490D3093FE}"/>
    <cellStyle name="Normal 3 2 3 3 2 5" xfId="2093" xr:uid="{00000000-0005-0000-0000-000006020000}"/>
    <cellStyle name="Normal 3 2 3 3 2 5 2" xfId="4666" xr:uid="{1B4AA995-6D1E-409F-BFE5-CBE6CD7AB94F}"/>
    <cellStyle name="Normal 3 2 3 3 2 5 3" xfId="30174" xr:uid="{5165A243-F4B8-4207-B6E2-4C6179B2331B}"/>
    <cellStyle name="Normal 3 2 3 3 2 5 3 2" xfId="31318" xr:uid="{FE81CBED-C272-45C6-9FD4-ED32FBB04F14}"/>
    <cellStyle name="Normal 3 2 3 3 2 5 4" xfId="31514" xr:uid="{00EFE9D6-E228-47B1-B203-283A8667D08C}"/>
    <cellStyle name="Normal 3 2 3 3 2 6" xfId="3956" xr:uid="{F8E8F1E1-BBD4-4256-B483-D824BDAE78F4}"/>
    <cellStyle name="Normal 3 2 3 3 2 6 2" xfId="4764" xr:uid="{9F42B403-8D69-4B35-A1B8-4F04141A4544}"/>
    <cellStyle name="Normal 3 2 3 3 2 6 3" xfId="30296" xr:uid="{C496E6E4-1282-47C2-B1C7-9961AE8A150D}"/>
    <cellStyle name="Normal 3 2 3 3 2 6 3 2" xfId="31439" xr:uid="{5A0EDD58-F48D-4E4E-BD06-54CD1EEB56F7}"/>
    <cellStyle name="Normal 3 2 3 3 2 6 4" xfId="31636" xr:uid="{C5452A9F-2C0C-47BC-AC38-CC8ACD830D2A}"/>
    <cellStyle name="Normal 3 2 3 3 2 7" xfId="30117" xr:uid="{019B4B8F-7996-40B8-8487-A11E7446390C}"/>
    <cellStyle name="Normal 3 2 3 3 2 7 2" xfId="30478"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2 2" xfId="30086" xr:uid="{89E53FE7-94C9-4D91-BBC4-6F94CBF85A44}"/>
    <cellStyle name="Normal 3 2 3 3 4 2 2 2 3" xfId="3713" xr:uid="{00000000-0005-0000-0000-00007A040000}"/>
    <cellStyle name="Normal 3 2 3 3 4 2 2 2 3 2" xfId="4775" xr:uid="{3EE6A992-6E14-412B-A546-1161B9E0D3AE}"/>
    <cellStyle name="Normal 3 2 3 3 4 2 2 2 3 3" xfId="30238" xr:uid="{86BCA4BE-8FF9-4E7A-B9DD-185C56EFBE75}"/>
    <cellStyle name="Normal 3 2 3 3 4 2 2 2 3 3 2" xfId="31381" xr:uid="{1A51DAD1-F532-4907-8058-33633595C8CE}"/>
    <cellStyle name="Normal 3 2 3 3 4 2 2 2 3 4" xfId="31578" xr:uid="{E311BA82-333E-46A3-AD01-6013A34DAC67}"/>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4 3" xfId="30177" xr:uid="{DE26479C-16AF-4053-ADA2-2366C14A6988}"/>
    <cellStyle name="Normal 3 2 3 3 4 2 3 4 3 2" xfId="31321" xr:uid="{98ADDAB9-7E5D-4B1A-B857-1BF8F72E74B4}"/>
    <cellStyle name="Normal 3 2 3 3 4 2 3 4 4" xfId="31517" xr:uid="{C975A579-45FB-4F57-850C-66AA6B19B7DF}"/>
    <cellStyle name="Normal 3 2 3 3 4 2 3 5" xfId="25609" xr:uid="{AE0E7AAC-A35C-4739-83F7-24B2349D3A43}"/>
    <cellStyle name="Normal 3 2 3 3 4 2 3 6" xfId="30536" xr:uid="{5DF49D80-F591-4B6B-AC8D-0AA109DB5F47}"/>
    <cellStyle name="Normal 3 2 3 3 4 2 4" xfId="23282" xr:uid="{607B55E2-785A-4475-A5AF-715CB366B607}"/>
    <cellStyle name="Normal 3 2 3 3 4 3" xfId="868" xr:uid="{00000000-0005-0000-0000-000013050000}"/>
    <cellStyle name="Normal 3 2 3 3 4 4" xfId="2920" xr:uid="{00000000-0005-0000-0000-00001D050000}"/>
    <cellStyle name="Normal 3 2 3 3 4 4 2" xfId="31296" xr:uid="{324C98B1-8E30-4CDB-8616-21FD670B2E3A}"/>
    <cellStyle name="Normal 3 2 3 3 4 5" xfId="2095" xr:uid="{00000000-0005-0000-0000-00000B020000}"/>
    <cellStyle name="Normal 3 2 3 3 4 5 2" xfId="3808" xr:uid="{88D4B6F8-D038-4FA2-9B5E-8BA2B2639DFB}"/>
    <cellStyle name="Normal 3 2 3 3 4 5 3" xfId="30176" xr:uid="{CB02CBFB-77EE-4C98-92E6-6936F3E8C9D8}"/>
    <cellStyle name="Normal 3 2 3 3 4 5 3 2" xfId="31320" xr:uid="{F2C34778-01E7-4E78-BC6F-88ABEE2BEE7D}"/>
    <cellStyle name="Normal 3 2 3 3 4 5 4" xfId="31516" xr:uid="{A79C0C5A-7EDD-4B02-A14A-86F26A0520E9}"/>
    <cellStyle name="Normal 3 2 3 3 4 6" xfId="3958" xr:uid="{5C36214B-B9A0-42AD-97C5-679BC9758736}"/>
    <cellStyle name="Normal 3 2 3 3 4 6 2" xfId="4776" xr:uid="{C6EA1D90-BF83-4CD0-B22B-769466A8D247}"/>
    <cellStyle name="Normal 3 2 3 3 4 6 3" xfId="30298" xr:uid="{9F6F5CBA-D16F-48D0-91E5-EA178C3A599A}"/>
    <cellStyle name="Normal 3 2 3 3 4 6 3 2" xfId="31441" xr:uid="{A0375E49-2C8F-471E-911A-A63C71DA3145}"/>
    <cellStyle name="Normal 3 2 3 3 4 6 4" xfId="31638" xr:uid="{849E470A-FB03-4831-8FE0-135351CE5670}"/>
    <cellStyle name="Normal 3 2 3 3 4 7" xfId="30119" xr:uid="{21708935-4338-4B04-A5B4-2B12A5C766F5}"/>
    <cellStyle name="Normal 3 2 3 3 4 7 2" xfId="30480" xr:uid="{F378E57F-2EEC-4F55-AB97-A5FA15FB5A75}"/>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3 4" xfId="30239" xr:uid="{57A3C330-EEF1-4F13-A663-4A6AAFC7B558}"/>
    <cellStyle name="Normal 3 2 3 3 5 3 4 2" xfId="31382" xr:uid="{BFC026E1-24FA-40A5-A536-7FBCD1AA6124}"/>
    <cellStyle name="Normal 3 2 3 3 5 3 5" xfId="31579" xr:uid="{78178B15-934C-461A-998B-6869636634B9}"/>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3 3 3" xfId="30240" xr:uid="{09A3577F-9760-4766-9C2F-D9019747DF4A}"/>
    <cellStyle name="Normal 3 2 3 4 3 2 3 3 3 2" xfId="31383" xr:uid="{A4473E79-1F75-4888-8BBE-EA2C63CD76A1}"/>
    <cellStyle name="Normal 3 2 3 4 3 2 3 3 4" xfId="31580" xr:uid="{4CCDC4C7-EF66-4862-AB6F-4192F6078FC6}"/>
    <cellStyle name="Normal 3 2 3 4 3 2 4" xfId="25825" xr:uid="{1A6B0C1D-1919-427D-8E6B-3883E899BAEA}"/>
    <cellStyle name="Normal 3 2 3 4 3 3" xfId="877" xr:uid="{00000000-0005-0000-0000-00001D050000}"/>
    <cellStyle name="Normal 3 2 3 4 3 4" xfId="2921" xr:uid="{00000000-0005-0000-0000-000023050000}"/>
    <cellStyle name="Normal 3 2 3 4 3 4 2" xfId="31285" xr:uid="{8B70590F-73CC-44E1-B466-2B324B3DBBCB}"/>
    <cellStyle name="Normal 3 2 3 4 3 5" xfId="2098" xr:uid="{00000000-0005-0000-0000-000012020000}"/>
    <cellStyle name="Normal 3 2 3 4 3 5 2" xfId="4671" xr:uid="{C7488697-347C-4027-9144-3C9AC3B4D98F}"/>
    <cellStyle name="Normal 3 2 3 4 3 5 3" xfId="30179" xr:uid="{72FD9D08-8B3A-4237-9D8B-137B965D383B}"/>
    <cellStyle name="Normal 3 2 3 4 3 5 3 2" xfId="31323" xr:uid="{45EA9506-8E31-4B6C-9642-21F6D94811EA}"/>
    <cellStyle name="Normal 3 2 3 4 3 5 4" xfId="31519" xr:uid="{57B4B3E7-6D59-438C-A24A-74EBC3100FE4}"/>
    <cellStyle name="Normal 3 2 3 4 3 6" xfId="3960" xr:uid="{D1FAA155-8172-43EB-ACF9-9A7AA25E3D6E}"/>
    <cellStyle name="Normal 3 2 3 4 3 6 2" xfId="4784" xr:uid="{8A9EA233-ABD3-42E4-B860-F2A4E0132FC1}"/>
    <cellStyle name="Normal 3 2 3 4 3 6 3" xfId="30300" xr:uid="{81B67AB2-71E6-4678-8CF3-9987E9088F9B}"/>
    <cellStyle name="Normal 3 2 3 4 3 6 3 2" xfId="31443" xr:uid="{A98CF9BE-AAE6-4825-8E47-7EAA17C2BBF3}"/>
    <cellStyle name="Normal 3 2 3 4 3 6 4" xfId="31640" xr:uid="{AAEDCB10-67E7-4420-AA2F-0DDA1928FE65}"/>
    <cellStyle name="Normal 3 2 3 4 3 7" xfId="30121" xr:uid="{B13A17FC-0920-42D9-BFD0-704A408A0A4C}"/>
    <cellStyle name="Normal 3 2 3 4 3 7 2" xfId="30482" xr:uid="{10C38449-8AAA-4472-A41E-21A90DBA3EF1}"/>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4 3 3" xfId="30241" xr:uid="{4F7F6943-EDBD-49B8-92F4-C7F6E5EFC9D8}"/>
    <cellStyle name="Normal 3 2 3 4 4 3 3 2" xfId="31384" xr:uid="{7D216875-FD6D-42D1-B93A-66F40255D01A}"/>
    <cellStyle name="Normal 3 2 3 4 4 3 4" xfId="31581" xr:uid="{E9786FEF-20D7-44D2-9C67-93A7FB8E137B}"/>
    <cellStyle name="Normal 3 2 3 4 5" xfId="2097" xr:uid="{00000000-0005-0000-0000-000010020000}"/>
    <cellStyle name="Normal 3 2 3 4 5 2" xfId="3778" xr:uid="{8B0DC8D1-7DE9-4171-A63D-3B65DE7CC539}"/>
    <cellStyle name="Normal 3 2 3 4 5 3" xfId="30178" xr:uid="{92251D01-4C43-436B-89CC-A84B9DD25DD4}"/>
    <cellStyle name="Normal 3 2 3 4 5 3 2" xfId="31322" xr:uid="{FCE2C500-F43A-4375-A00C-E81F083CEF3F}"/>
    <cellStyle name="Normal 3 2 3 4 5 4" xfId="31518" xr:uid="{EB794679-BCC2-4055-AC27-37AACFDD1FB4}"/>
    <cellStyle name="Normal 3 2 3 4 6" xfId="3959" xr:uid="{C6836599-ECCD-4EBB-AA38-ABF0279C67FA}"/>
    <cellStyle name="Normal 3 2 3 4 6 2" xfId="4749" xr:uid="{E32033F8-C2D4-4D9A-8197-D59BB0805FFB}"/>
    <cellStyle name="Normal 3 2 3 4 6 3" xfId="30299" xr:uid="{D8F87D88-0F19-481C-A1CC-3146338754DB}"/>
    <cellStyle name="Normal 3 2 3 4 6 3 2" xfId="31442" xr:uid="{B4A69638-323B-49E7-90F5-90FE0D97664A}"/>
    <cellStyle name="Normal 3 2 3 4 6 4" xfId="31639" xr:uid="{7FD9D19C-1E53-40EA-BF81-22379F781951}"/>
    <cellStyle name="Normal 3 2 3 4 7" xfId="30120" xr:uid="{2902EA16-525C-4490-96D7-08F0557F0425}"/>
    <cellStyle name="Normal 3 2 3 4 7 2" xfId="30481" xr:uid="{DF6E23B2-6945-41B0-8306-2F702DBA91A9}"/>
    <cellStyle name="Normal 3 2 3 5" xfId="2066" xr:uid="{00000000-0005-0000-0000-000003020000}"/>
    <cellStyle name="Normal 3 2 3 5 2" xfId="4738" xr:uid="{1DEEA62F-24B4-4396-B677-5B3167946642}"/>
    <cellStyle name="Normal 3 2 3 5 3" xfId="30166" xr:uid="{75BDF039-D1D0-4720-91AF-54BBB162394D}"/>
    <cellStyle name="Normal 3 2 3 5 3 2" xfId="30483" xr:uid="{7C8CED2E-CFB8-4B18-9B98-486CBBF1CEE6}"/>
    <cellStyle name="Normal 3 2 3 5 4" xfId="31506" xr:uid="{D2C494B6-B581-4571-B629-4078CCA1DF19}"/>
    <cellStyle name="Normal 3 2 3 6" xfId="30112" xr:uid="{2DA27080-57C7-488E-9E66-228C66F3BB6F}"/>
    <cellStyle name="Normal 3 2 3 6 2" xfId="30471"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3 3 3" xfId="30242" xr:uid="{FB3B0704-45A1-4B1D-8FF2-DBF25C1101E3}"/>
    <cellStyle name="Normal 3 2 4 3 2 3 3 3 2" xfId="31385" xr:uid="{C389EE42-3048-406A-ACE1-5B5798D31786}"/>
    <cellStyle name="Normal 3 2 4 3 2 3 3 4" xfId="31582" xr:uid="{E69F89CA-AEBA-4937-8B6F-1B0F7B1F1450}"/>
    <cellStyle name="Normal 3 2 4 3 2 4" xfId="23427" xr:uid="{F5F16304-98F9-4382-9EBD-05DA6A2307A4}"/>
    <cellStyle name="Normal 3 2 4 3 3" xfId="885" xr:uid="{00000000-0005-0000-0000-000027050000}"/>
    <cellStyle name="Normal 3 2 4 3 4" xfId="2923" xr:uid="{00000000-0005-0000-0000-00002A050000}"/>
    <cellStyle name="Normal 3 2 4 3 4 2" xfId="31287" xr:uid="{C5493F1B-7833-429B-A3F9-F86186048626}"/>
    <cellStyle name="Normal 3 2 4 3 5" xfId="2100" xr:uid="{00000000-0005-0000-0000-000016020000}"/>
    <cellStyle name="Normal 3 2 4 3 5 2" xfId="4686" xr:uid="{06BFEBE3-1397-400F-9E69-D60195609A34}"/>
    <cellStyle name="Normal 3 2 4 3 5 3" xfId="30181" xr:uid="{CAF84CE8-A6AE-4653-8439-E2C2CC100971}"/>
    <cellStyle name="Normal 3 2 4 3 5 3 2" xfId="31325" xr:uid="{CD2BA927-620B-4490-8DBC-65DFEFB5E7E2}"/>
    <cellStyle name="Normal 3 2 4 3 5 4" xfId="31521" xr:uid="{F7EE645A-A73D-47E9-8833-528052C962F3}"/>
    <cellStyle name="Normal 3 2 4 3 6" xfId="3963" xr:uid="{C9BE7447-0E91-41CB-9714-02F1C566D84A}"/>
    <cellStyle name="Normal 3 2 4 3 6 2" xfId="4788" xr:uid="{0C195683-FC3A-4228-8CFA-81C976438B43}"/>
    <cellStyle name="Normal 3 2 4 3 6 3" xfId="30302" xr:uid="{5B46428E-4B5D-4956-93B7-0F396B73A2B2}"/>
    <cellStyle name="Normal 3 2 4 3 6 3 2" xfId="31445" xr:uid="{5A6B4B77-3513-4B99-8042-BE10B0FA72A0}"/>
    <cellStyle name="Normal 3 2 4 3 6 4" xfId="31642" xr:uid="{B3547189-4D1A-4E73-AD27-78C5227CE173}"/>
    <cellStyle name="Normal 3 2 4 3 7" xfId="30123" xr:uid="{2FC8C8CB-77C8-4CE3-9500-8BBF0E8D3D67}"/>
    <cellStyle name="Normal 3 2 4 3 7 2" xfId="30485" xr:uid="{FF9CD143-3DC5-4E78-9669-CDD5E69991DD}"/>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2 3 3" xfId="30385" xr:uid="{EAB09D60-EC65-4583-A401-605E05C9795F}"/>
    <cellStyle name="Normal 3 2 4 4 2 3 4" xfId="30372" xr:uid="{EC861FD9-BC0C-408C-9531-DE32A58E2953}"/>
    <cellStyle name="Normal 3 2 4 4 2 3 4 2" xfId="31711" xr:uid="{3FB41312-390E-4923-8C3C-F8147726A4F3}"/>
    <cellStyle name="Normal 3 2 4 4 2 4" xfId="30355" xr:uid="{C34059E2-DD63-4FD3-8EEB-54B190A38F45}"/>
    <cellStyle name="Normal 3 2 4 4 2 4 2" xfId="31697" xr:uid="{6DCD7FB8-B5FD-4C77-BBC6-EAED650E4CF3}"/>
    <cellStyle name="Normal 3 2 4 4 3" xfId="24728" xr:uid="{154F7FD8-B3F3-4487-878D-5A0175DAC264}"/>
    <cellStyle name="Normal 3 2 4 5" xfId="2099" xr:uid="{00000000-0005-0000-0000-000014020000}"/>
    <cellStyle name="Normal 3 2 4 5 2" xfId="4645" xr:uid="{3EC2113D-E49B-4038-9F23-778F9B5DB2AD}"/>
    <cellStyle name="Normal 3 2 4 5 3" xfId="30180" xr:uid="{8EA82334-E7EE-4E69-990C-4DEAF38099AA}"/>
    <cellStyle name="Normal 3 2 4 5 3 2" xfId="31324" xr:uid="{E9CBBCA5-54AD-468F-B466-AB0737888486}"/>
    <cellStyle name="Normal 3 2 4 5 4" xfId="31520" xr:uid="{B5FE814E-E042-40D9-B41A-A129B9C70AF7}"/>
    <cellStyle name="Normal 3 2 4 6" xfId="3962" xr:uid="{7B02E248-334A-4390-803D-03A9529B2562}"/>
    <cellStyle name="Normal 3 2 4 6 2" xfId="4817" xr:uid="{2DE6B781-6A0F-4C4A-A762-5BA32CF9F8AB}"/>
    <cellStyle name="Normal 3 2 4 6 3" xfId="30301" xr:uid="{DD7F06BC-48FB-45F1-B5D9-2F7DC116529F}"/>
    <cellStyle name="Normal 3 2 4 6 3 2" xfId="31444" xr:uid="{F10D9DC9-263D-4EE8-996D-1DD37EFF76EA}"/>
    <cellStyle name="Normal 3 2 4 6 4" xfId="31641" xr:uid="{BCC20E6B-1DD8-47F1-B716-180F52FE094F}"/>
    <cellStyle name="Normal 3 2 4 7" xfId="30122" xr:uid="{2CF31ED3-BF8A-4420-A35A-63A9374EE9CB}"/>
    <cellStyle name="Normal 3 2 4 7 2" xfId="30484" xr:uid="{E8D1DD0B-859F-4702-9615-4F14D8E78C95}"/>
    <cellStyle name="Normal 3 2 5" xfId="29571" xr:uid="{750150B5-C7CA-4EA6-BA0D-6C0AEF29E2A9}"/>
    <cellStyle name="Normal 3 2 5 2" xfId="29630" xr:uid="{FC40ABBD-3EDE-4371-9FF9-A208F204AC39}"/>
    <cellStyle name="Normal 3 2 5 2 2" xfId="31250" xr:uid="{F12AF8C4-3DE1-4158-AA8E-7806F3A8EF51}"/>
    <cellStyle name="Normal 3 2 5 2 3" xfId="30467" xr:uid="{A19572E5-C2FE-4995-B8C9-236F90541CCE}"/>
    <cellStyle name="Normal 3 2 5 3" xfId="29600" xr:uid="{4BE0FB2A-CFA3-46C2-A6F3-5BD4CCDE876F}"/>
    <cellStyle name="Normal 3 2 5 3 2" xfId="29644" xr:uid="{012C5423-63EC-45C8-AB0D-9143CDABBBAF}"/>
    <cellStyle name="Normal 3 2 5 3 3" xfId="30386" xr:uid="{61D53CD0-CA5E-4F77-91D4-46F773F8DF85}"/>
    <cellStyle name="Normal 3 2 5 3 4" xfId="30373" xr:uid="{901B8119-F76A-44E0-936C-BA78095F8F22}"/>
    <cellStyle name="Normal 3 2 5 3 4 2" xfId="31712" xr:uid="{48E12EBD-4D36-46FA-BCC1-A806C8B17EDF}"/>
    <cellStyle name="Normal 3 2 5 4" xfId="29634" xr:uid="{B70E0C93-0F24-4A65-9A4C-6AA94B1973D9}"/>
    <cellStyle name="Normal 3 2 5 5" xfId="30356" xr:uid="{8D54E739-13BE-4332-8917-3C2D88CE836D}"/>
    <cellStyle name="Normal 3 2 5 5 2" xfId="31244" xr:uid="{93394BE0-19B6-4E50-8418-A98C9A434D03}"/>
    <cellStyle name="Normal 3 2 5 5 3" xfId="31698" xr:uid="{59429AA2-65FA-427B-BCCC-AF076B796573}"/>
    <cellStyle name="Normal 3 2 6" xfId="30109" xr:uid="{E75C1CB2-D09F-4E20-9707-91B0AD896C89}"/>
    <cellStyle name="Normal 3 2 6 2" xfId="31495" xr:uid="{75618FDA-0DC1-449E-A37B-B4C7EE151DBA}"/>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2 5" xfId="30033" xr:uid="{69245435-96EF-48AD-A85F-F3C086021E6B}"/>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3 3 3" xfId="30243" xr:uid="{CA1835E3-D7CA-494D-AA80-1B1149D5AFB8}"/>
    <cellStyle name="Normal 5 2 2 3 3 2 3 2 3 3 3 2" xfId="31386" xr:uid="{887E578E-D69D-402D-8C71-0EB314923E1C}"/>
    <cellStyle name="Normal 5 2 2 3 3 2 3 2 3 3 4" xfId="31583" xr:uid="{92D8B8E4-BB12-424E-9790-D21F8131DC73}"/>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4 2" xfId="31297" xr:uid="{78CA0B19-A34B-4E31-AA24-2A14D9E7C4D2}"/>
    <cellStyle name="Normal 5 2 2 3 3 2 3 5" xfId="2102" xr:uid="{00000000-0005-0000-0000-000062020000}"/>
    <cellStyle name="Normal 5 2 2 3 3 2 3 5 2" xfId="4646" xr:uid="{DCF2241D-14ED-485A-9D65-B2AB943923E7}"/>
    <cellStyle name="Normal 5 2 2 3 3 2 3 5 3" xfId="30183" xr:uid="{A412684C-6109-4521-B609-EE02EEB536F2}"/>
    <cellStyle name="Normal 5 2 2 3 3 2 3 5 3 2" xfId="31327" xr:uid="{B0044842-2681-4637-80B7-F8CD98CD6A4C}"/>
    <cellStyle name="Normal 5 2 2 3 3 2 3 5 4" xfId="31523" xr:uid="{F88276D7-3241-416D-82B9-264DD5195C56}"/>
    <cellStyle name="Normal 5 2 2 3 3 2 3 6" xfId="4001" xr:uid="{F1B4F0B9-FD33-4680-A501-B9D0765C51F9}"/>
    <cellStyle name="Normal 5 2 2 3 3 2 3 6 2" xfId="4696" xr:uid="{87C651C8-4B39-4467-81FB-F4E1577DF4A5}"/>
    <cellStyle name="Normal 5 2 2 3 3 2 3 6 3" xfId="30304" xr:uid="{20D658DA-AA9C-4B8A-88DB-4A53FA3E1566}"/>
    <cellStyle name="Normal 5 2 2 3 3 2 3 6 3 2" xfId="31447" xr:uid="{8335C654-6A5B-43B0-9BF5-99B5E4D6EAF0}"/>
    <cellStyle name="Normal 5 2 2 3 3 2 3 6 4" xfId="31644" xr:uid="{648E6EA8-0CB8-4625-96BD-1713085C6150}"/>
    <cellStyle name="Normal 5 2 2 3 3 2 3 7" xfId="30125" xr:uid="{DAC80EA3-45F7-49F1-A349-239CC3856162}"/>
    <cellStyle name="Normal 5 2 2 3 3 2 3 7 2" xfId="30487" xr:uid="{207BB286-D44A-4530-97B5-78C32E75393D}"/>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4 3 3 3" xfId="30387" xr:uid="{869F3D5D-AE97-4CC5-B41A-A19DC4D969BE}"/>
    <cellStyle name="Normal 5 2 2 3 3 2 4 3 3 4" xfId="30374" xr:uid="{5CC7FCC2-30E8-4DE4-8C04-E4F3FF779ED6}"/>
    <cellStyle name="Normal 5 2 2 3 3 2 4 3 3 4 2" xfId="31713" xr:uid="{97349D98-A108-4282-8CFA-A793557F04C8}"/>
    <cellStyle name="Normal 5 2 2 3 3 2 4 3 4" xfId="30357" xr:uid="{1C60EA9A-684E-4679-89C8-749CEAB253C5}"/>
    <cellStyle name="Normal 5 2 2 3 3 2 4 3 4 2" xfId="31699" xr:uid="{AD204089-4C71-4050-991D-38E2B324F7EB}"/>
    <cellStyle name="Normal 5 2 2 3 3 2 5" xfId="2101" xr:uid="{00000000-0005-0000-0000-000060020000}"/>
    <cellStyle name="Normal 5 2 2 3 3 2 5 2" xfId="4665" xr:uid="{456E6ACB-B92B-4E09-90D7-9887AC9A6356}"/>
    <cellStyle name="Normal 5 2 2 3 3 2 5 3" xfId="30182" xr:uid="{949196C8-26F0-48F8-A360-5C93471FB753}"/>
    <cellStyle name="Normal 5 2 2 3 3 2 5 3 2" xfId="31326" xr:uid="{1776B697-3D7A-44A6-8CF4-26DCA157D5FD}"/>
    <cellStyle name="Normal 5 2 2 3 3 2 5 4" xfId="31522" xr:uid="{BEF860A1-5D07-4575-A886-606466C1C1D9}"/>
    <cellStyle name="Normal 5 2 2 3 3 2 6" xfId="4000" xr:uid="{A738EDEF-3EA0-4135-885D-6506E619A596}"/>
    <cellStyle name="Normal 5 2 2 3 3 2 6 2" xfId="4815" xr:uid="{54779593-FE24-451B-9985-E9D706451F82}"/>
    <cellStyle name="Normal 5 2 2 3 3 2 6 3" xfId="30303" xr:uid="{6891DA91-5722-4BAC-8C6B-FDD9DC564F07}"/>
    <cellStyle name="Normal 5 2 2 3 3 2 6 3 2" xfId="31446" xr:uid="{6A366D88-F890-46E2-BB04-E1D17258EF3B}"/>
    <cellStyle name="Normal 5 2 2 3 3 2 6 4" xfId="31643" xr:uid="{06A84B95-836D-4AEB-8DAA-809DFA91FB68}"/>
    <cellStyle name="Normal 5 2 2 3 3 2 7" xfId="30124" xr:uid="{16F6B502-50DE-40DF-90B1-0876CC1A1C94}"/>
    <cellStyle name="Normal 5 2 2 3 3 2 7 2" xfId="30486"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2 2" xfId="30091" xr:uid="{2B878A51-CD5F-4DE5-B930-3F48D284360B}"/>
    <cellStyle name="Normal 5 2 2 3 3 4 2 2 2 3" xfId="3719" xr:uid="{00000000-0005-0000-0000-000047050000}"/>
    <cellStyle name="Normal 5 2 2 3 3 4 2 2 2 3 2" xfId="4816" xr:uid="{A9DAC7E2-553D-4565-B80F-940B97A51BE8}"/>
    <cellStyle name="Normal 5 2 2 3 3 4 2 2 2 3 3" xfId="30244" xr:uid="{BA581B0B-DADD-427E-9227-F1A4995BB8C9}"/>
    <cellStyle name="Normal 5 2 2 3 3 4 2 2 2 3 3 2" xfId="31387" xr:uid="{D3E5510B-31A3-4A73-B547-9B3F2D2B326B}"/>
    <cellStyle name="Normal 5 2 2 3 3 4 2 2 2 3 4" xfId="31584" xr:uid="{21BABE29-A0ED-45DF-9708-DEE6E0C6E1A6}"/>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4 3" xfId="30185" xr:uid="{9A0870E9-F2F2-44FB-8B46-C48A4968FEEF}"/>
    <cellStyle name="Normal 5 2 2 3 3 4 2 3 4 3 2" xfId="31329" xr:uid="{CF04E88C-F7B3-4D7A-9717-FD9ACBD6475E}"/>
    <cellStyle name="Normal 5 2 2 3 3 4 2 3 4 4" xfId="31525" xr:uid="{A111558E-E85F-4251-9D3B-B86A6E2852FF}"/>
    <cellStyle name="Normal 5 2 2 3 3 4 2 3 5" xfId="25793" xr:uid="{BE81E2B3-54B5-44DA-A7B7-DF27FBF44B0E}"/>
    <cellStyle name="Normal 5 2 2 3 3 4 2 3 6" xfId="30537" xr:uid="{6AF04956-A4AA-40F2-9013-C6A327256590}"/>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4 2" xfId="31291" xr:uid="{DEB5B321-0F2A-4419-A5CA-930B6F07E2F7}"/>
    <cellStyle name="Normal 5 2 2 3 3 4 5" xfId="2103" xr:uid="{00000000-0005-0000-0000-000065020000}"/>
    <cellStyle name="Normal 5 2 2 3 3 4 5 2" xfId="3791" xr:uid="{BC5A38D1-BFF3-476A-8A69-EA1EE0617EC6}"/>
    <cellStyle name="Normal 5 2 2 3 3 4 5 3" xfId="30184" xr:uid="{5C24DA68-97CD-49FE-802F-E259FD9B70A3}"/>
    <cellStyle name="Normal 5 2 2 3 3 4 5 3 2" xfId="31328" xr:uid="{79426398-3EAD-4E7A-9356-7A768B6FCB74}"/>
    <cellStyle name="Normal 5 2 2 3 3 4 5 4" xfId="31524" xr:uid="{3AC3627F-72DF-4B18-B008-B92A5C21CB5D}"/>
    <cellStyle name="Normal 5 2 2 3 3 4 6" xfId="4002" xr:uid="{D8FD9E04-9092-4C4B-A910-C73C5CD42691}"/>
    <cellStyle name="Normal 5 2 2 3 3 4 6 2" xfId="4695" xr:uid="{E279391E-A262-4102-8448-E71B06C35C79}"/>
    <cellStyle name="Normal 5 2 2 3 3 4 6 3" xfId="30305" xr:uid="{A30F632E-33C2-4D26-936D-ECDA03E22F6E}"/>
    <cellStyle name="Normal 5 2 2 3 3 4 6 3 2" xfId="31448" xr:uid="{164E3A5C-7416-44FC-8177-DC798DF6E6A0}"/>
    <cellStyle name="Normal 5 2 2 3 3 4 6 4" xfId="31645" xr:uid="{B9006B00-B933-4FB1-A35A-D7221D1C0512}"/>
    <cellStyle name="Normal 5 2 2 3 3 4 7" xfId="30126" xr:uid="{703E38E7-8BA4-47CE-A103-8E02D7643E7A}"/>
    <cellStyle name="Normal 5 2 2 3 3 4 7 2" xfId="30488" xr:uid="{2C6C969A-844E-4616-8573-0FAFBA4D69CF}"/>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3 4" xfId="30245" xr:uid="{10F24001-7CC0-44EC-B648-411E63A266B9}"/>
    <cellStyle name="Normal 5 2 2 3 3 5 3 4 2" xfId="31388" xr:uid="{B9C0C66D-8676-4A44-BA99-B9C8122368E0}"/>
    <cellStyle name="Normal 5 2 2 3 3 5 3 5" xfId="31585" xr:uid="{747A6EBE-5AA8-4D25-B6CA-2B8E86458B98}"/>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3 3 3" xfId="30246" xr:uid="{0B60F80B-7368-4D89-BA1E-AC6E4192ADD4}"/>
    <cellStyle name="Normal 5 2 2 3 4 3 2 3 3 3 2" xfId="31389" xr:uid="{6980F92F-2E8D-4F9E-B82F-A0952100F3DD}"/>
    <cellStyle name="Normal 5 2 2 3 4 3 2 3 3 4" xfId="31586" xr:uid="{7B6E9149-EDD8-47F2-8D5F-A2FC9635B763}"/>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4 2" xfId="31275" xr:uid="{48413553-C1B7-4B8D-A3C6-C8BF89975138}"/>
    <cellStyle name="Normal 5 2 2 3 4 3 5" xfId="2106" xr:uid="{00000000-0005-0000-0000-00006C020000}"/>
    <cellStyle name="Normal 5 2 2 3 4 3 5 2" xfId="4053" xr:uid="{49B8B7A8-4856-40A4-A58F-9BFE37881BD3}"/>
    <cellStyle name="Normal 5 2 2 3 4 3 5 3" xfId="30187" xr:uid="{A70DBE0C-D5CA-4EAB-A3CA-07F95394E9AE}"/>
    <cellStyle name="Normal 5 2 2 3 4 3 5 3 2" xfId="31331" xr:uid="{490372D4-432A-4B6E-B243-E866D76B8184}"/>
    <cellStyle name="Normal 5 2 2 3 4 3 5 4" xfId="31527" xr:uid="{90AC1405-FE79-424A-BC37-FF05E9503406}"/>
    <cellStyle name="Normal 5 2 2 3 4 3 6" xfId="4004" xr:uid="{2E9BA179-24FF-4822-9D6C-F2734EFD2CB0}"/>
    <cellStyle name="Normal 5 2 2 3 4 3 6 2" xfId="4805" xr:uid="{2387F2B7-3B47-4789-BF4E-B979001A8FAA}"/>
    <cellStyle name="Normal 5 2 2 3 4 3 6 3" xfId="30307" xr:uid="{5726D493-8CED-4265-A434-DFD8EB311CD3}"/>
    <cellStyle name="Normal 5 2 2 3 4 3 6 3 2" xfId="31450" xr:uid="{FB181689-6E48-4E44-96B3-385555CE579C}"/>
    <cellStyle name="Normal 5 2 2 3 4 3 6 4" xfId="31647" xr:uid="{0067E494-22D7-4B3A-984D-B426336F4E2D}"/>
    <cellStyle name="Normal 5 2 2 3 4 3 7" xfId="30128" xr:uid="{902DB47F-C143-433C-8E02-ECCFBB8FA346}"/>
    <cellStyle name="Normal 5 2 2 3 4 3 7 2" xfId="30490" xr:uid="{56017849-602A-438E-96E0-4DE9B6F02764}"/>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4 3 3" xfId="30247" xr:uid="{EE5ADEA2-84D4-4505-87AE-A6C270C3F801}"/>
    <cellStyle name="Normal 5 2 2 3 4 4 3 3 2" xfId="31390" xr:uid="{DE289E50-B422-42E4-BB23-771C03B0FE6E}"/>
    <cellStyle name="Normal 5 2 2 3 4 4 3 4" xfId="31587" xr:uid="{8C678CD5-606D-4C9C-A7A2-159D864DB7F7}"/>
    <cellStyle name="Normal 5 2 2 3 4 5" xfId="2105" xr:uid="{00000000-0005-0000-0000-00006A020000}"/>
    <cellStyle name="Normal 5 2 2 3 4 5 2" xfId="4659" xr:uid="{67E9FDA9-5A2B-445D-B40D-93E8A98A8238}"/>
    <cellStyle name="Normal 5 2 2 3 4 5 3" xfId="30186" xr:uid="{4CB0E304-139B-42D7-9A87-E169EFE7D601}"/>
    <cellStyle name="Normal 5 2 2 3 4 5 3 2" xfId="31330" xr:uid="{0F5135EB-14E6-42DE-B2B0-75C666FB0A17}"/>
    <cellStyle name="Normal 5 2 2 3 4 5 4" xfId="31526" xr:uid="{E4FC8698-639F-4C7B-A547-7219F1D50986}"/>
    <cellStyle name="Normal 5 2 2 3 4 6" xfId="4003" xr:uid="{483D2F10-7048-47B5-8EC8-C27C7ED5C5D2}"/>
    <cellStyle name="Normal 5 2 2 3 4 6 2" xfId="4722" xr:uid="{9099B238-0B4B-4E4D-B266-C731E14F65F2}"/>
    <cellStyle name="Normal 5 2 2 3 4 6 3" xfId="30306" xr:uid="{CE79C3A2-8FAA-47C3-A986-94ABFF393284}"/>
    <cellStyle name="Normal 5 2 2 3 4 6 3 2" xfId="31449" xr:uid="{6D797409-02BE-47A8-973D-58729081A7B3}"/>
    <cellStyle name="Normal 5 2 2 3 4 6 4" xfId="31646" xr:uid="{F8C769A2-8633-48D8-9C86-DFE6F04F67C4}"/>
    <cellStyle name="Normal 5 2 2 3 4 7" xfId="30127" xr:uid="{920D9317-59AD-4444-9F3B-B0AB3DA1419C}"/>
    <cellStyle name="Normal 5 2 2 3 4 7 2" xfId="30489" xr:uid="{2D2D5388-0491-48DD-9BA0-7F231209010E}"/>
    <cellStyle name="Normal 5 2 2 3 5" xfId="2067" xr:uid="{00000000-0005-0000-0000-00005D020000}"/>
    <cellStyle name="Normal 5 2 2 3 5 2" xfId="4745" xr:uid="{D9BCE5B0-F41F-41F6-A6AC-41E5B78235A9}"/>
    <cellStyle name="Normal 5 2 2 3 5 3" xfId="30167" xr:uid="{F6DDC9EB-CD6C-4D04-8F67-4FD996169366}"/>
    <cellStyle name="Normal 5 2 2 3 5 3 2" xfId="30491" xr:uid="{063E2B6E-8838-4EF2-91BA-1A4AB6C209F2}"/>
    <cellStyle name="Normal 5 2 2 3 5 4" xfId="31507" xr:uid="{4C9C7E84-AA75-41E2-BFB1-21A740FAD8B6}"/>
    <cellStyle name="Normal 5 2 2 3 6" xfId="30104" xr:uid="{93BD7124-346B-4FA7-9E75-822A18739E86}"/>
    <cellStyle name="Normal 5 2 2 3 6 2" xfId="30472"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3 3 3" xfId="30248" xr:uid="{A9BCBA25-83A3-4A30-9CD3-15C108FB8C79}"/>
    <cellStyle name="Normal 5 2 2 4 3 2 3 3 3 2" xfId="31391" xr:uid="{05EB7F35-34C6-4A04-A0F4-C81EF4E61930}"/>
    <cellStyle name="Normal 5 2 2 4 3 2 3 3 4" xfId="31588" xr:uid="{75B07DF1-2E2E-4D26-A331-293EB1A84567}"/>
    <cellStyle name="Normal 5 2 2 4 3 2 4" xfId="24571" xr:uid="{CA10D6C3-1290-4ABF-AABF-26E17988ED1A}"/>
    <cellStyle name="Normal 5 2 2 4 3 3" xfId="1085" xr:uid="{00000000-0005-0000-0000-0000F5050000}"/>
    <cellStyle name="Normal 5 2 2 4 3 4" xfId="2952" xr:uid="{00000000-0005-0000-0000-0000E8060000}"/>
    <cellStyle name="Normal 5 2 2 4 3 4 2" xfId="31278" xr:uid="{5827531A-151D-490E-B9CC-5F64E61F31DF}"/>
    <cellStyle name="Normal 5 2 2 4 3 5" xfId="2108" xr:uid="{00000000-0005-0000-0000-000070020000}"/>
    <cellStyle name="Normal 5 2 2 4 3 5 2" xfId="4630" xr:uid="{CB491582-F2CB-4E36-BE6E-EFC681D7156D}"/>
    <cellStyle name="Normal 5 2 2 4 3 5 3" xfId="30189" xr:uid="{3AAE0EAE-E8B5-495C-B313-D9EF9D9CAB64}"/>
    <cellStyle name="Normal 5 2 2 4 3 5 3 2" xfId="31333" xr:uid="{0267AC5B-64C6-4486-ADCE-246F465FDD47}"/>
    <cellStyle name="Normal 5 2 2 4 3 5 4" xfId="31529" xr:uid="{9CB041FA-68C5-4343-A51A-DA27C8958F9D}"/>
    <cellStyle name="Normal 5 2 2 4 3 6" xfId="4006" xr:uid="{D558FD0F-23C1-46DD-B9F0-9F8795729785}"/>
    <cellStyle name="Normal 5 2 2 4 3 6 2" xfId="4714" xr:uid="{B120F520-B966-4AD5-8EBE-409F270073F9}"/>
    <cellStyle name="Normal 5 2 2 4 3 6 3" xfId="30309" xr:uid="{699D5CA2-FACA-4377-99AD-77942E973491}"/>
    <cellStyle name="Normal 5 2 2 4 3 6 3 2" xfId="31452" xr:uid="{5F533371-818D-4244-ABD4-7A17DD389363}"/>
    <cellStyle name="Normal 5 2 2 4 3 6 4" xfId="31649" xr:uid="{EB53F69C-BF68-4DCA-85B3-F9FB5F32E27C}"/>
    <cellStyle name="Normal 5 2 2 4 3 7" xfId="30130" xr:uid="{BDE27110-9B13-48B7-8653-B497F720F538}"/>
    <cellStyle name="Normal 5 2 2 4 3 7 2" xfId="30493" xr:uid="{FD9D9EF5-F197-45A3-BC3A-5650DE888412}"/>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4 3 3" xfId="30249" xr:uid="{33C48EDD-9586-4230-8BA4-66265587F273}"/>
    <cellStyle name="Normal 5 2 2 4 4 3 3 2" xfId="31392" xr:uid="{922174FC-994D-4960-94F6-152FE500B889}"/>
    <cellStyle name="Normal 5 2 2 4 4 3 4" xfId="31589" xr:uid="{E291B842-5ED4-4126-8BEA-A2175FDD78C9}"/>
    <cellStyle name="Normal 5 2 2 4 5" xfId="2107" xr:uid="{00000000-0005-0000-0000-00006E020000}"/>
    <cellStyle name="Normal 5 2 2 4 5 2" xfId="4679" xr:uid="{1C1F360D-C6E5-496D-8E0B-7C61EF688A4B}"/>
    <cellStyle name="Normal 5 2 2 4 5 3" xfId="30188" xr:uid="{2FA02E78-E05B-4D87-8A46-DB8A8ADCC86C}"/>
    <cellStyle name="Normal 5 2 2 4 5 3 2" xfId="31332" xr:uid="{FBB927C5-8BB1-4180-BA69-EEF312036142}"/>
    <cellStyle name="Normal 5 2 2 4 5 4" xfId="31528" xr:uid="{8FFD126D-2DEA-4100-A5CD-7641C553E7A8}"/>
    <cellStyle name="Normal 5 2 2 4 6" xfId="4005" xr:uid="{487C8B09-2829-42FC-9B86-25DB3AB10663}"/>
    <cellStyle name="Normal 5 2 2 4 6 2" xfId="4778" xr:uid="{C7B64242-53F0-4D37-B483-14A3329CCC0F}"/>
    <cellStyle name="Normal 5 2 2 4 6 3" xfId="30308" xr:uid="{A106EA70-5CF5-4F4F-839A-1F540D6AFC82}"/>
    <cellStyle name="Normal 5 2 2 4 6 3 2" xfId="31451" xr:uid="{E6C509AA-8B5E-4123-B775-483D5B730539}"/>
    <cellStyle name="Normal 5 2 2 4 6 4" xfId="31648" xr:uid="{8920FE63-A71F-4725-A7D7-BA468668BA0F}"/>
    <cellStyle name="Normal 5 2 2 4 7" xfId="30129" xr:uid="{2236E3FF-3A86-4CD1-98F1-1886F111A065}"/>
    <cellStyle name="Normal 5 2 2 4 7 2" xfId="30492" xr:uid="{45FC10F0-4741-45B2-BDBE-913619A599F3}"/>
    <cellStyle name="Normal 5 2 2 5" xfId="29602" xr:uid="{51A7D0CB-4AEF-4815-897D-E9DF6C04761B}"/>
    <cellStyle name="Normal 5 2 2 5 2" xfId="29633" xr:uid="{4D46F027-DFAF-43F3-8432-E8ADA4FEF75B}"/>
    <cellStyle name="Normal 5 2 2 5 3" xfId="30358" xr:uid="{B88E4284-E474-4823-9891-BF93F08DC332}"/>
    <cellStyle name="Normal 5 2 2 5 3 2" xfId="30494" xr:uid="{31576F81-3AEC-4A0F-9C51-2A5DB1814C7E}"/>
    <cellStyle name="Normal 5 2 2 6" xfId="31499"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3 3 3" xfId="30250" xr:uid="{8E939996-71BD-47CE-9BF4-4ED640E9C488}"/>
    <cellStyle name="Normal 5 2 4 3 2 3 2 3 3 3 2" xfId="31393" xr:uid="{E5FDB7D8-82CC-42F9-B24A-1AB0B72AE30F}"/>
    <cellStyle name="Normal 5 2 4 3 2 3 2 3 3 4" xfId="31590" xr:uid="{169BD90C-78A7-48C8-8B4D-B8A3362C27BE}"/>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4 2" xfId="31279" xr:uid="{51508AF3-39AA-43A7-A514-BBE022261B7A}"/>
    <cellStyle name="Normal 5 2 4 3 2 3 5" xfId="2110" xr:uid="{00000000-0005-0000-0000-000079020000}"/>
    <cellStyle name="Normal 5 2 4 3 2 3 5 2" xfId="4629" xr:uid="{D9BC3CB2-5DA1-450C-BCAA-C84E226AB1E6}"/>
    <cellStyle name="Normal 5 2 4 3 2 3 5 3" xfId="30191" xr:uid="{2FCB911F-22F5-4527-8AEA-8BB8AA3518F0}"/>
    <cellStyle name="Normal 5 2 4 3 2 3 5 3 2" xfId="31335" xr:uid="{C304E2DA-C317-4027-B01C-219F31AF267C}"/>
    <cellStyle name="Normal 5 2 4 3 2 3 5 4" xfId="31531" xr:uid="{0DF2BB2A-E61A-4C92-BAFA-3A88549AEB66}"/>
    <cellStyle name="Normal 5 2 4 3 2 3 6" xfId="4008" xr:uid="{993A1062-C514-464B-A529-806C1AF30B6A}"/>
    <cellStyle name="Normal 5 2 4 3 2 3 6 2" xfId="4694" xr:uid="{C18C23D0-B407-4C1A-B972-7E83A621B743}"/>
    <cellStyle name="Normal 5 2 4 3 2 3 6 3" xfId="30311" xr:uid="{487F42B9-1B4B-44C3-988E-42342B8A86DF}"/>
    <cellStyle name="Normal 5 2 4 3 2 3 6 3 2" xfId="31454" xr:uid="{27CFB7E5-D04B-4E2D-9DC7-CDEAC6CF78C9}"/>
    <cellStyle name="Normal 5 2 4 3 2 3 6 4" xfId="31651" xr:uid="{4D303C41-AC8E-454A-A937-02A3DD263DCF}"/>
    <cellStyle name="Normal 5 2 4 3 2 3 7" xfId="30132" xr:uid="{83341974-E50B-44D0-9696-9A6A4FF79FC7}"/>
    <cellStyle name="Normal 5 2 4 3 2 3 7 2" xfId="30496" xr:uid="{62A7FCD7-3DD3-460C-A526-2E072EA83AC6}"/>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4 3 3 3" xfId="30388" xr:uid="{1139EB9C-6328-4471-8AA4-7F81A5EA54F4}"/>
    <cellStyle name="Normal 5 2 4 3 2 4 3 3 4" xfId="30375" xr:uid="{E276286F-A8BD-43EF-B465-B006F70E65A1}"/>
    <cellStyle name="Normal 5 2 4 3 2 4 3 3 4 2" xfId="31714" xr:uid="{71AE4F98-CC52-4A8A-914B-1B3A2FF29A1C}"/>
    <cellStyle name="Normal 5 2 4 3 2 4 3 4" xfId="30359" xr:uid="{BB7BBCD9-B969-4973-A8B6-6CB722F841E4}"/>
    <cellStyle name="Normal 5 2 4 3 2 4 3 4 2" xfId="31700" xr:uid="{F60ECDD6-7D39-47D2-80B0-FE4508F286D8}"/>
    <cellStyle name="Normal 5 2 4 3 2 5" xfId="2109" xr:uid="{00000000-0005-0000-0000-000077020000}"/>
    <cellStyle name="Normal 5 2 4 3 2 5 2" xfId="4634" xr:uid="{CE0C5B6A-2719-4A04-925F-57872C2DEC2B}"/>
    <cellStyle name="Normal 5 2 4 3 2 5 3" xfId="30190" xr:uid="{6A370297-6A41-4E24-B999-B6EBAA07B436}"/>
    <cellStyle name="Normal 5 2 4 3 2 5 3 2" xfId="31334" xr:uid="{966323EF-1FDA-4294-B815-716BB4BA52AC}"/>
    <cellStyle name="Normal 5 2 4 3 2 5 4" xfId="31530" xr:uid="{08096505-C56A-4159-AECA-7DFEAECA569B}"/>
    <cellStyle name="Normal 5 2 4 3 2 6" xfId="4007" xr:uid="{21BCC244-DE2D-4E05-B4CA-800C7ACB717D}"/>
    <cellStyle name="Normal 5 2 4 3 2 6 2" xfId="4809" xr:uid="{FE4BE598-DEBE-491E-8102-65FC12E0DC06}"/>
    <cellStyle name="Normal 5 2 4 3 2 6 3" xfId="30310" xr:uid="{F505CACC-2E7E-4908-B592-B7E4ACA029E0}"/>
    <cellStyle name="Normal 5 2 4 3 2 6 3 2" xfId="31453" xr:uid="{39A1DB0C-5820-4471-897E-0EF9158064D9}"/>
    <cellStyle name="Normal 5 2 4 3 2 6 4" xfId="31650" xr:uid="{5F240F98-984C-4E11-894B-FD68B60B2DC6}"/>
    <cellStyle name="Normal 5 2 4 3 2 7" xfId="30131" xr:uid="{C81275DE-CA30-40D7-AD33-FAB62E0FACED}"/>
    <cellStyle name="Normal 5 2 4 3 2 7 2" xfId="30495"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2 2" xfId="30092" xr:uid="{00FBE9D4-901D-40C4-AE9A-A01535727F0E}"/>
    <cellStyle name="Normal 5 2 4 3 4 2 2 2 3" xfId="3726" xr:uid="{00000000-0005-0000-0000-000077050000}"/>
    <cellStyle name="Normal 5 2 4 3 4 2 2 2 3 2" xfId="4700" xr:uid="{D86AE0E5-80AB-45CC-BB51-27009840DF19}"/>
    <cellStyle name="Normal 5 2 4 3 4 2 2 2 3 3" xfId="30251" xr:uid="{A5913D0B-F3AB-4685-B461-6789188CB0C7}"/>
    <cellStyle name="Normal 5 2 4 3 4 2 2 2 3 3 2" xfId="31394" xr:uid="{607078C3-D295-4A84-8F6C-C1F600B3DD7A}"/>
    <cellStyle name="Normal 5 2 4 3 4 2 2 2 3 4" xfId="31591" xr:uid="{A5395D31-9BC9-49DA-9AD2-437533C755D4}"/>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4 3" xfId="30193" xr:uid="{CFC6C10D-19C1-4175-B722-F9F6FF830FDB}"/>
    <cellStyle name="Normal 5 2 4 3 4 2 3 4 3 2" xfId="31337" xr:uid="{DE48491A-8E71-4D53-BF3A-74F36656ED66}"/>
    <cellStyle name="Normal 5 2 4 3 4 2 3 4 4" xfId="31533" xr:uid="{28552DF3-DBCC-498D-A367-6FA965B21C26}"/>
    <cellStyle name="Normal 5 2 4 3 4 2 3 5" xfId="25282" xr:uid="{C7B4FAF3-1BA0-45BB-BA6F-44260C736B84}"/>
    <cellStyle name="Normal 5 2 4 3 4 2 3 6" xfId="30538" xr:uid="{63E07DC7-F18F-4505-A38A-112CFA74FEBB}"/>
    <cellStyle name="Normal 5 2 4 3 4 2 4" xfId="23058" xr:uid="{C7716834-6B7F-4C7C-AB0F-D110ACFBAC7A}"/>
    <cellStyle name="Normal 5 2 4 3 4 3" xfId="1111" xr:uid="{00000000-0005-0000-0000-000012060000}"/>
    <cellStyle name="Normal 5 2 4 3 4 4" xfId="2955" xr:uid="{00000000-0005-0000-0000-0000FD060000}"/>
    <cellStyle name="Normal 5 2 4 3 4 4 2" xfId="31284" xr:uid="{853362D5-299F-4808-978A-B0AF91C9FCCD}"/>
    <cellStyle name="Normal 5 2 4 3 4 5" xfId="2111" xr:uid="{00000000-0005-0000-0000-00007C020000}"/>
    <cellStyle name="Normal 5 2 4 3 4 5 2" xfId="4640" xr:uid="{9499810A-4B41-448D-89FA-46D00AE72935}"/>
    <cellStyle name="Normal 5 2 4 3 4 5 3" xfId="30192" xr:uid="{13D06800-6809-4CE8-A6F4-CD71FDE8EAC6}"/>
    <cellStyle name="Normal 5 2 4 3 4 5 3 2" xfId="31336" xr:uid="{F5FBEC01-0219-4E30-92D7-6771A93AA2AE}"/>
    <cellStyle name="Normal 5 2 4 3 4 5 4" xfId="31532" xr:uid="{FACAD6D8-BE20-4E78-A39A-9835E1A36A9E}"/>
    <cellStyle name="Normal 5 2 4 3 4 6" xfId="4009" xr:uid="{F6561F36-B5FA-449D-8623-6523BDF6513B}"/>
    <cellStyle name="Normal 5 2 4 3 4 6 2" xfId="4822" xr:uid="{2C1739FD-A387-4815-9D44-5238B913A269}"/>
    <cellStyle name="Normal 5 2 4 3 4 6 3" xfId="30312" xr:uid="{E1453DD1-D0D4-41B1-96A4-D543CB7B3645}"/>
    <cellStyle name="Normal 5 2 4 3 4 6 3 2" xfId="31455" xr:uid="{58F3D4EC-46BD-4B36-8C1D-A3BFAD097151}"/>
    <cellStyle name="Normal 5 2 4 3 4 6 4" xfId="31652" xr:uid="{740B3970-8CB7-4886-90DB-201FFA1F7212}"/>
    <cellStyle name="Normal 5 2 4 3 4 7" xfId="30133" xr:uid="{0FF9C2E0-D12A-4ABC-95BB-3755B3F83C84}"/>
    <cellStyle name="Normal 5 2 4 3 4 7 2" xfId="30497" xr:uid="{FC91A448-0B30-4A6D-BA82-B1E29BB27650}"/>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3 4" xfId="30252" xr:uid="{E82F2118-577E-4536-B0CB-18761AB513DD}"/>
    <cellStyle name="Normal 5 2 4 3 5 3 4 2" xfId="31395" xr:uid="{AB0E8E94-3AAB-4649-AC96-B3051481793B}"/>
    <cellStyle name="Normal 5 2 4 3 5 3 5" xfId="31592" xr:uid="{A3F63B78-3266-4C42-90CB-09F9D2C3C287}"/>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3 3 3" xfId="30253" xr:uid="{3371D826-E6D0-4F85-B3CB-12EC5DC11E04}"/>
    <cellStyle name="Normal 5 2 4 4 3 2 3 3 3 2" xfId="31396" xr:uid="{9F866689-093F-47B5-BB7A-A67F81465E01}"/>
    <cellStyle name="Normal 5 2 4 4 3 2 3 3 4" xfId="31593" xr:uid="{DF05E4B7-CFDF-423C-9FBA-EF6B9FF57097}"/>
    <cellStyle name="Normal 5 2 4 4 3 2 4" xfId="24799" xr:uid="{868BB01E-4989-41C7-8624-51DC12DB0459}"/>
    <cellStyle name="Normal 5 2 4 4 3 3" xfId="1120" xr:uid="{00000000-0005-0000-0000-00001C060000}"/>
    <cellStyle name="Normal 5 2 4 4 3 4" xfId="2956" xr:uid="{00000000-0005-0000-0000-000003070000}"/>
    <cellStyle name="Normal 5 2 4 4 3 4 2" xfId="31274" xr:uid="{FA2917AE-C3BA-4BE1-A1E6-01DBDC065E54}"/>
    <cellStyle name="Normal 5 2 4 4 3 5" xfId="2114" xr:uid="{00000000-0005-0000-0000-000083020000}"/>
    <cellStyle name="Normal 5 2 4 4 3 5 2" xfId="3783" xr:uid="{D037D556-2DF5-490C-8D04-4D0D0B902C7F}"/>
    <cellStyle name="Normal 5 2 4 4 3 5 3" xfId="30195" xr:uid="{ADC3C70D-ACE5-4A69-B04D-15C35B0C6A21}"/>
    <cellStyle name="Normal 5 2 4 4 3 5 3 2" xfId="31339" xr:uid="{3649E89F-2542-4741-8FC6-5FCC29A22267}"/>
    <cellStyle name="Normal 5 2 4 4 3 5 4" xfId="31535" xr:uid="{8641E7A6-2611-4D56-836F-9152DD7762A5}"/>
    <cellStyle name="Normal 5 2 4 4 3 6" xfId="4011" xr:uid="{48584F99-0955-4DD2-8F83-B7B1E99DDE13}"/>
    <cellStyle name="Normal 5 2 4 4 3 6 2" xfId="4710" xr:uid="{05F490C6-261E-4F3C-99BE-89B9730F2236}"/>
    <cellStyle name="Normal 5 2 4 4 3 6 3" xfId="30314" xr:uid="{56E9FF0F-F58B-4D2E-A832-37CBBFB3815E}"/>
    <cellStyle name="Normal 5 2 4 4 3 6 3 2" xfId="31457" xr:uid="{A5973D2C-5654-4EBD-BEEE-E7F4FF14014D}"/>
    <cellStyle name="Normal 5 2 4 4 3 6 4" xfId="31654" xr:uid="{784DD7EA-AE1F-40B9-95A6-82033FC6AD60}"/>
    <cellStyle name="Normal 5 2 4 4 3 7" xfId="30135" xr:uid="{043D8D7C-0FB5-4B99-8C37-48CD2D0D46E8}"/>
    <cellStyle name="Normal 5 2 4 4 3 7 2" xfId="30499" xr:uid="{530030F0-59D0-4660-8567-AD5B7CB24B9B}"/>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4 3 3" xfId="30254" xr:uid="{E704B8BC-41EA-4454-AEA2-EF033FDE6340}"/>
    <cellStyle name="Normal 5 2 4 4 4 3 3 2" xfId="31397" xr:uid="{16EDD962-7E8E-4EA1-8369-937E3100EBBC}"/>
    <cellStyle name="Normal 5 2 4 4 4 3 4" xfId="31594" xr:uid="{EC278FCC-DA37-4F41-BA29-08FBF8957A8D}"/>
    <cellStyle name="Normal 5 2 4 4 5" xfId="1123" xr:uid="{00000000-0005-0000-0000-00001F060000}"/>
    <cellStyle name="Normal 5 2 4 4 5 2" xfId="4685" xr:uid="{00564EB2-1CAC-4E4B-B4B3-F5A40DFD44F8}"/>
    <cellStyle name="Normal 5 2 4 4 5 2 2" xfId="4826" xr:uid="{83E1FB17-2E9A-4803-B6F4-091CC3A05E18}"/>
    <cellStyle name="Normal 5 2 4 4 5 2 3" xfId="30352" xr:uid="{6DA91CAE-6F39-4002-B1F0-4B89033CE666}"/>
    <cellStyle name="Normal 5 2 4 4 5 2 3 2" xfId="31492" xr:uid="{383E5E58-7C91-413E-8FD2-3A67B7B19328}"/>
    <cellStyle name="Normal 5 2 4 4 5 2 4" xfId="31692" xr:uid="{20B02469-8862-47FA-AED8-8278520D8ED1}"/>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6 3" xfId="30194" xr:uid="{C315FB79-57F9-4A65-8EAE-6F681E6F5074}"/>
    <cellStyle name="Normal 5 2 4 4 6 3 2" xfId="31338" xr:uid="{BDB4D344-5AF5-4D2B-8B4E-5754C69F2E50}"/>
    <cellStyle name="Normal 5 2 4 4 6 4" xfId="31534" xr:uid="{B5BD0CD0-E8AF-4AEB-A2ED-0582CF3CA95A}"/>
    <cellStyle name="Normal 5 2 4 4 7" xfId="4010" xr:uid="{AD80C160-AEC5-4928-B410-574B477C1DBC}"/>
    <cellStyle name="Normal 5 2 4 4 7 2" xfId="4787" xr:uid="{F6E3D3A6-20C3-4DDD-A8D0-C82F8B32B771}"/>
    <cellStyle name="Normal 5 2 4 4 7 3" xfId="30313" xr:uid="{2CBF5DFB-D0DB-46CD-865F-1F5D4869B49D}"/>
    <cellStyle name="Normal 5 2 4 4 7 3 2" xfId="31456" xr:uid="{28056046-37C5-4210-A45E-87C91033B72C}"/>
    <cellStyle name="Normal 5 2 4 4 7 4" xfId="31653" xr:uid="{4A0F218C-119A-4271-A509-C12DF0B83723}"/>
    <cellStyle name="Normal 5 2 4 4 8" xfId="30134" xr:uid="{2E70D3D9-38AE-4F46-AE0C-D4B00782AB6B}"/>
    <cellStyle name="Normal 5 2 4 4 8 2" xfId="30498" xr:uid="{FF04236F-3AE0-4DDD-A3DA-183F84BE2F5D}"/>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5 3 3" xfId="30255" xr:uid="{6575DB17-95F3-4C95-905B-3ABC9211C442}"/>
    <cellStyle name="Normal 5 2 4 5 3 3 2" xfId="31398" xr:uid="{DE834904-B2BD-403C-9730-C8010FF03FF0}"/>
    <cellStyle name="Normal 5 2 4 5 3 4" xfId="31595" xr:uid="{F648D83E-0FF1-4AAA-9876-4826AC71E7EB}"/>
    <cellStyle name="Normal 5 2 4 5 4" xfId="30461" xr:uid="{15BA9B86-0397-4682-A1E5-049E65187509}"/>
    <cellStyle name="Normal 5 2 4 5 5" xfId="30500" xr:uid="{0311EE71-B5C4-4A8B-9CB9-F51438F5F7D7}"/>
    <cellStyle name="Normal 5 2 4 6" xfId="2068" xr:uid="{00000000-0005-0000-0000-000074020000}"/>
    <cellStyle name="Normal 5 2 4 6 2" xfId="4761" xr:uid="{35A1BC4F-2451-4737-BD49-D3AC91FFB2BF}"/>
    <cellStyle name="Normal 5 2 4 6 3" xfId="30168" xr:uid="{A6018F4F-C528-4905-BDB0-BF5E3AC61E88}"/>
    <cellStyle name="Normal 5 2 4 6 3 2" xfId="31316" xr:uid="{83AC687E-87C2-48AA-9A5B-F5AA4831B64D}"/>
    <cellStyle name="Normal 5 2 4 6 4" xfId="31508" xr:uid="{0746594F-F8C7-4596-9514-82C67CEA6E76}"/>
    <cellStyle name="Normal 5 2 4 7" xfId="30113" xr:uid="{342BA205-8867-43D9-9B72-B399D3F5B164}"/>
    <cellStyle name="Normal 5 2 4 7 2" xfId="30473"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3 3 3" xfId="30256" xr:uid="{B80B6B77-F421-43D1-972F-1A065BDBB1AC}"/>
    <cellStyle name="Normal 5 2 6 3 2 3 3 3 2" xfId="31399" xr:uid="{6EB86A97-DCE1-4A16-9432-1F99543E9238}"/>
    <cellStyle name="Normal 5 2 6 3 2 3 3 4" xfId="31596" xr:uid="{B6C515EE-3083-4209-8122-BC69D0B770D5}"/>
    <cellStyle name="Normal 5 2 6 3 2 4" xfId="23097" xr:uid="{84EBBAC2-5BAF-4007-9F20-78E3A440C6FD}"/>
    <cellStyle name="Normal 5 2 6 3 3" xfId="1133" xr:uid="{00000000-0005-0000-0000-00002A060000}"/>
    <cellStyle name="Normal 5 2 6 3 4" xfId="2958" xr:uid="{00000000-0005-0000-0000-00000B070000}"/>
    <cellStyle name="Normal 5 2 6 3 4 2" xfId="31281" xr:uid="{0E491AE0-2453-47A6-807A-49B64C0F5E81}"/>
    <cellStyle name="Normal 5 2 6 3 5" xfId="2116" xr:uid="{00000000-0005-0000-0000-000088020000}"/>
    <cellStyle name="Normal 5 2 6 3 5 2" xfId="4643" xr:uid="{55F936E5-2268-4048-890B-2E7F45921A47}"/>
    <cellStyle name="Normal 5 2 6 3 5 3" xfId="30197" xr:uid="{A8DA4185-04D3-45D0-99D2-1ED1AAD9939F}"/>
    <cellStyle name="Normal 5 2 6 3 5 3 2" xfId="31341" xr:uid="{CA9214E1-83A5-4F08-8718-28FA7D00E0BF}"/>
    <cellStyle name="Normal 5 2 6 3 5 4" xfId="31537" xr:uid="{9226D559-0753-4299-B3BF-2E415381B2FD}"/>
    <cellStyle name="Normal 5 2 6 3 6" xfId="4013" xr:uid="{28ED6A24-2FD5-4CA1-A14B-0556FD75683B}"/>
    <cellStyle name="Normal 5 2 6 3 6 2" xfId="4702" xr:uid="{B1BE088F-0CAA-4678-941E-5E508D832414}"/>
    <cellStyle name="Normal 5 2 6 3 6 3" xfId="30316" xr:uid="{3495266E-E1CD-4625-9ADF-210DC6DA8762}"/>
    <cellStyle name="Normal 5 2 6 3 6 3 2" xfId="31459" xr:uid="{88902C99-11AB-43A0-AE1B-DC07654E0B23}"/>
    <cellStyle name="Normal 5 2 6 3 6 4" xfId="31656" xr:uid="{566768B4-29FC-49F4-B34F-DAB710351185}"/>
    <cellStyle name="Normal 5 2 6 3 7" xfId="30137" xr:uid="{42B1072C-8B2A-4FA2-81EC-269C4E84A3A5}"/>
    <cellStyle name="Normal 5 2 6 3 7 2" xfId="30502" xr:uid="{54FBF52F-2716-45C2-84B6-D21E6196F530}"/>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2 3 3" xfId="30389" xr:uid="{F9B0019A-EB20-4842-B28E-89F54920EB78}"/>
    <cellStyle name="Normal 5 2 6 4 2 3 4" xfId="30376" xr:uid="{5FD3BC8F-F873-4B95-A007-369961038735}"/>
    <cellStyle name="Normal 5 2 6 4 2 3 4 2" xfId="31715" xr:uid="{C9092062-1AFC-4823-96DF-C19A312C94F8}"/>
    <cellStyle name="Normal 5 2 6 4 2 4" xfId="30360" xr:uid="{704420A6-BB13-4C4A-98E2-F5E54ACD7C79}"/>
    <cellStyle name="Normal 5 2 6 4 2 4 2" xfId="31701" xr:uid="{BFDDA610-75E9-4FB0-AECA-C28A0E3EE21C}"/>
    <cellStyle name="Normal 5 2 6 4 3" xfId="25736" xr:uid="{4B868893-5D9C-42B3-BD3C-3EDE8A95AE5E}"/>
    <cellStyle name="Normal 5 2 6 5" xfId="2115" xr:uid="{00000000-0005-0000-0000-000086020000}"/>
    <cellStyle name="Normal 5 2 6 5 2" xfId="3961" xr:uid="{FFE7DF02-3E33-41D1-A9B4-B30866C5927C}"/>
    <cellStyle name="Normal 5 2 6 5 3" xfId="30196" xr:uid="{E9C91989-B50D-4FEA-A02E-215D82A86398}"/>
    <cellStyle name="Normal 5 2 6 5 3 2" xfId="31340" xr:uid="{A1057280-B42D-4151-91E2-1101E0CD1D18}"/>
    <cellStyle name="Normal 5 2 6 5 4" xfId="31536" xr:uid="{E4FEB8EC-79F4-4159-9C42-EA456D479CB2}"/>
    <cellStyle name="Normal 5 2 6 6" xfId="4012" xr:uid="{C0B50273-D7A8-4911-83A8-B33EA77B3B8D}"/>
    <cellStyle name="Normal 5 2 6 6 2" xfId="4768" xr:uid="{B2AFAC66-1BE6-4CD0-9FFF-950CE52A8934}"/>
    <cellStyle name="Normal 5 2 6 6 3" xfId="30315" xr:uid="{766558CD-EAD6-40AD-BA68-9A404E0FB833}"/>
    <cellStyle name="Normal 5 2 6 6 3 2" xfId="31458" xr:uid="{09F532D0-1510-46DA-9DD7-4C6D46EEAB85}"/>
    <cellStyle name="Normal 5 2 6 6 4" xfId="31655" xr:uid="{CDD3E2C2-BDCA-4455-AFE6-F094AEF3D047}"/>
    <cellStyle name="Normal 5 2 6 7" xfId="30136" xr:uid="{E209EADA-9019-48FA-A3B0-FD7DD812FC2D}"/>
    <cellStyle name="Normal 5 2 6 7 2" xfId="30501" xr:uid="{806443B8-0098-40D3-A0A9-566A12CC2022}"/>
    <cellStyle name="Normal 5 2 7" xfId="1134" xr:uid="{00000000-0005-0000-0000-00002B060000}"/>
    <cellStyle name="Normal 5 2 7 2" xfId="1135" xr:uid="{00000000-0005-0000-0000-00002C060000}"/>
    <cellStyle name="Normal 5 2 7 2 2" xfId="30568" xr:uid="{EFFE7416-A60C-4E91-9C16-93A8F1582E4A}"/>
    <cellStyle name="Normal 5 2 7 2 2 2" xfId="30911" xr:uid="{B189041D-921E-4278-AAEF-960878300956}"/>
    <cellStyle name="Normal 5 2 7 3" xfId="1136" xr:uid="{00000000-0005-0000-0000-00002D060000}"/>
    <cellStyle name="Normal 5 2 7 3 2" xfId="31303" xr:uid="{34BD8BB5-E918-46B8-B0DF-8A393CE8E137}"/>
    <cellStyle name="Normal 5 2 7 4" xfId="3732" xr:uid="{00000000-0005-0000-0000-000095050000}"/>
    <cellStyle name="Normal 5 2 7 4 2" xfId="4773" xr:uid="{5E06A59F-611A-44B3-A971-E98276EE6A1C}"/>
    <cellStyle name="Normal 5 2 7 4 3" xfId="30257" xr:uid="{0B3F8B24-1002-4B57-966D-2232D44A5100}"/>
    <cellStyle name="Normal 5 2 7 4 3 2" xfId="31400" xr:uid="{AF1E7F16-F380-4E11-96CC-725B4E0771E5}"/>
    <cellStyle name="Normal 5 2 7 4 4" xfId="31597" xr:uid="{3DFA295E-7844-49B0-8B82-BE58EA95FF05}"/>
    <cellStyle name="Normal 5 2 7 5" xfId="29605" xr:uid="{0A6BA937-6FA9-46C5-B401-7A4E2A3B41BE}"/>
    <cellStyle name="Normal 5 2 7 5 2" xfId="29636" xr:uid="{35914BEE-4FA7-4AE4-8E19-11A63582B5DB}"/>
    <cellStyle name="Normal 5 2 7 5 3" xfId="30361" xr:uid="{7D9FA1DC-0177-4EB4-91BF-12DA7B230617}"/>
    <cellStyle name="Normal 5 2 7 5 3 2" xfId="31249" xr:uid="{596C7602-7F83-46A5-B111-7EE427D394BC}"/>
    <cellStyle name="Normal 5 2 7 5 4" xfId="30462" xr:uid="{EE1BBC0C-DEC6-48E2-9E76-8915452D4F3C}"/>
    <cellStyle name="Normal 5 2 7 6" xfId="30466" xr:uid="{B67CE484-5AAE-4B38-A64C-FCA93C257D22}"/>
    <cellStyle name="Normal 5 2 7 7" xfId="30503" xr:uid="{F7491843-7F9F-43C5-8AC2-233B453AC06B}"/>
    <cellStyle name="Normal 5 2 8" xfId="31264" xr:uid="{3941616B-0E99-4AFF-91D2-813ADB9BBB4A}"/>
    <cellStyle name="Normal 5 2 9" xfId="31498"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3 3 3" xfId="30258" xr:uid="{53839113-09EB-44FD-9EEB-21FE5DD300D4}"/>
    <cellStyle name="Normal 5 3 3 2 3 2 3 3 3 2" xfId="31401" xr:uid="{43EB51E9-16CE-41A9-A7B7-D8DAA664D14C}"/>
    <cellStyle name="Normal 5 3 3 2 3 2 3 3 4" xfId="31598" xr:uid="{B617D199-4CED-4730-8A7F-1F5E3EB22FE3}"/>
    <cellStyle name="Normal 5 3 3 2 3 2 4" xfId="25763" xr:uid="{228DCD5C-5DC3-4868-97DD-445981D2F756}"/>
    <cellStyle name="Normal 5 3 3 2 3 3" xfId="1146" xr:uid="{00000000-0005-0000-0000-000038060000}"/>
    <cellStyle name="Normal 5 3 3 2 3 4" xfId="2959" xr:uid="{00000000-0005-0000-0000-000015070000}"/>
    <cellStyle name="Normal 5 3 3 2 3 4 2" xfId="31280" xr:uid="{10A152D0-5DF9-4181-A6B6-C858B6F9085A}"/>
    <cellStyle name="Normal 5 3 3 2 3 5" xfId="2118" xr:uid="{00000000-0005-0000-0000-00008F020000}"/>
    <cellStyle name="Normal 5 3 3 2 3 5 2" xfId="4667" xr:uid="{9506A050-893F-44B9-8047-501E583497C1}"/>
    <cellStyle name="Normal 5 3 3 2 3 5 3" xfId="30199" xr:uid="{8D8A1CE9-FEE7-4142-8793-E6203B687F03}"/>
    <cellStyle name="Normal 5 3 3 2 3 5 3 2" xfId="31343" xr:uid="{D7925A58-8098-4AE1-98BB-5CA947DA6131}"/>
    <cellStyle name="Normal 5 3 3 2 3 5 4" xfId="31539" xr:uid="{CCFCB723-F6AD-462F-92D2-0C0CFB839584}"/>
    <cellStyle name="Normal 5 3 3 2 3 6" xfId="4015" xr:uid="{31A0DB43-85D3-4869-AD70-E01D62E64B6B}"/>
    <cellStyle name="Normal 5 3 3 2 3 6 2" xfId="4746" xr:uid="{6436B6BC-B08C-4B15-8C97-B396796FEFE9}"/>
    <cellStyle name="Normal 5 3 3 2 3 6 3" xfId="30318" xr:uid="{EB6FEB56-F905-4D2F-8C85-EEBBA0E88454}"/>
    <cellStyle name="Normal 5 3 3 2 3 6 3 2" xfId="31461" xr:uid="{80FFA81D-979C-43E1-8A33-E20BC8074AB0}"/>
    <cellStyle name="Normal 5 3 3 2 3 6 4" xfId="31658" xr:uid="{9DC2141B-F0B4-4E56-8BF2-20FADB2BC459}"/>
    <cellStyle name="Normal 5 3 3 2 3 7" xfId="30139" xr:uid="{CEEC2368-E04C-4884-B7E9-1C0EF9192CCC}"/>
    <cellStyle name="Normal 5 3 3 2 3 7 2" xfId="30505"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4 4 3" xfId="30259" xr:uid="{CEDC34C4-7C4F-42F8-A728-9E1B2B72E5DF}"/>
    <cellStyle name="Normal 5 3 3 2 4 4 3 2" xfId="31402" xr:uid="{04E1DCED-0041-4798-B5EF-C75E7638C8D7}"/>
    <cellStyle name="Normal 5 3 3 2 4 4 4" xfId="31599" xr:uid="{8CEB4D3F-87E4-4675-A00E-13A23237EE90}"/>
    <cellStyle name="Normal 5 3 3 2 5" xfId="2117" xr:uid="{00000000-0005-0000-0000-00008D020000}"/>
    <cellStyle name="Normal 5 3 3 2 5 2" xfId="4642" xr:uid="{6378A6EC-FE82-4A4D-B72E-F6F245354E18}"/>
    <cellStyle name="Normal 5 3 3 2 5 3" xfId="30198" xr:uid="{0981AB84-2DA6-4145-8664-7123FC7576F6}"/>
    <cellStyle name="Normal 5 3 3 2 5 3 2" xfId="31342" xr:uid="{EB2B9519-500F-4130-8E51-DAC57147922E}"/>
    <cellStyle name="Normal 5 3 3 2 5 4" xfId="31538" xr:uid="{0371D498-EC60-404F-B603-BA455C09888E}"/>
    <cellStyle name="Normal 5 3 3 2 6" xfId="4014" xr:uid="{336F4594-40A6-452F-A442-AD096348AEFF}"/>
    <cellStyle name="Normal 5 3 3 2 6 2" xfId="4753" xr:uid="{9079EEE4-247F-4C6E-9514-EE91EF9D4BBA}"/>
    <cellStyle name="Normal 5 3 3 2 6 3" xfId="30317" xr:uid="{B0057DC8-8D51-4F0B-8203-572F5C4F51C8}"/>
    <cellStyle name="Normal 5 3 3 2 6 3 2" xfId="31460" xr:uid="{64DB68D6-4682-48F1-BA8A-90265E89A3AD}"/>
    <cellStyle name="Normal 5 3 3 2 6 4" xfId="31657" xr:uid="{472E5388-6075-4B31-97C3-77FAE2C3A31D}"/>
    <cellStyle name="Normal 5 3 3 2 7" xfId="30138" xr:uid="{D531B8A8-AA54-477A-BB5E-9C4205A9F66B}"/>
    <cellStyle name="Normal 5 3 3 2 7 2" xfId="30504" xr:uid="{F0BFF427-E566-43AB-88DF-26A10FC54877}"/>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3 3 3" xfId="30260" xr:uid="{408ABDB9-2147-48DA-BFA3-76DF31BA6EC1}"/>
    <cellStyle name="Normal 5 3 3 3 3 3 2" xfId="31403" xr:uid="{A65CE80A-A839-4049-ADFD-AAF8F6EE6D79}"/>
    <cellStyle name="Normal 5 3 3 3 3 4" xfId="31600"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2 2" xfId="30083" xr:uid="{E69CF877-FED2-44A6-9C89-2AAF3ED69E2C}"/>
    <cellStyle name="Normal 5 3 3 4 2 2 2 3" xfId="3736" xr:uid="{00000000-0005-0000-0000-0000A9050000}"/>
    <cellStyle name="Normal 5 3 3 4 2 2 2 3 2" xfId="4718" xr:uid="{445C2ED0-AA7A-4C15-99E2-A6CE07F7E750}"/>
    <cellStyle name="Normal 5 3 3 4 2 2 2 3 3" xfId="30261" xr:uid="{4500CED2-90B4-4C83-84D6-D51298D69CD2}"/>
    <cellStyle name="Normal 5 3 3 4 2 2 2 3 3 2" xfId="31404" xr:uid="{E891891A-4822-421D-B2CD-A770A72BB211}"/>
    <cellStyle name="Normal 5 3 3 4 2 2 2 3 4" xfId="31601" xr:uid="{1B9D8C01-B3C8-4875-9346-DF245DF8B53F}"/>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4 3" xfId="30201" xr:uid="{FC394264-21C2-443A-85AC-A09B6102770E}"/>
    <cellStyle name="Normal 5 3 3 4 2 3 4 3 2" xfId="31345" xr:uid="{B397F56A-E127-4FEB-B511-42354C6ED55C}"/>
    <cellStyle name="Normal 5 3 3 4 2 3 4 4" xfId="31541" xr:uid="{807C005B-BCFB-47D1-823C-E799B44488B6}"/>
    <cellStyle name="Normal 5 3 3 4 2 3 5" xfId="24944" xr:uid="{9F045087-C642-46A8-91FD-AAF692F573EC}"/>
    <cellStyle name="Normal 5 3 3 4 2 3 6" xfId="30539" xr:uid="{4F060E07-9DDD-4899-B86B-3CC298685E95}"/>
    <cellStyle name="Normal 5 3 3 4 2 4" xfId="24108" xr:uid="{948204CC-FE7E-44DB-B145-20BC57C9DDCF}"/>
    <cellStyle name="Normal 5 3 3 4 3" xfId="1159" xr:uid="{00000000-0005-0000-0000-000047060000}"/>
    <cellStyle name="Normal 5 3 3 4 4" xfId="2960" xr:uid="{00000000-0005-0000-0000-00001E070000}"/>
    <cellStyle name="Normal 5 3 3 4 4 2" xfId="31293" xr:uid="{F161427D-9EB4-4451-9A6A-06D7E603F9F7}"/>
    <cellStyle name="Normal 5 3 3 4 5" xfId="2119" xr:uid="{00000000-0005-0000-0000-000092020000}"/>
    <cellStyle name="Normal 5 3 3 4 5 2" xfId="4670" xr:uid="{C1D65F0E-85F0-4012-A373-B75FD3E1BAA3}"/>
    <cellStyle name="Normal 5 3 3 4 5 3" xfId="30200" xr:uid="{BA5F1E7E-EAF0-4465-897E-F4668DC5C4A0}"/>
    <cellStyle name="Normal 5 3 3 4 5 3 2" xfId="31344" xr:uid="{ABFF19D9-FA8A-40A6-A15A-35E0040E4045}"/>
    <cellStyle name="Normal 5 3 3 4 5 4" xfId="31540" xr:uid="{50683AFB-0840-4025-A64C-4D13E7846670}"/>
    <cellStyle name="Normal 5 3 3 4 6" xfId="4016" xr:uid="{D2756F3F-6B90-4F0D-A058-F63FBCF3FF7E}"/>
    <cellStyle name="Normal 5 3 3 4 6 2" xfId="4783" xr:uid="{6E3C98E3-D3AA-4BD6-A38C-7B56FF88A673}"/>
    <cellStyle name="Normal 5 3 3 4 6 3" xfId="30319" xr:uid="{A1494EBF-E472-4D23-9E90-66371198EBEC}"/>
    <cellStyle name="Normal 5 3 3 4 6 3 2" xfId="31462" xr:uid="{5598B1F7-1EC4-47B1-BDD3-05CD60976B56}"/>
    <cellStyle name="Normal 5 3 3 4 6 4" xfId="31659" xr:uid="{02121827-5E2D-4E5E-A409-436155C20907}"/>
    <cellStyle name="Normal 5 3 3 4 7" xfId="30140" xr:uid="{347E797A-C3DA-48FE-923F-48D6C2483068}"/>
    <cellStyle name="Normal 5 3 3 4 7 2" xfId="30506" xr:uid="{2B8EC82B-053E-4181-83D9-DD6F2D19A0F7}"/>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3 4" xfId="30262" xr:uid="{2013BC4F-1489-4ABC-B72A-BF4F1AE08F66}"/>
    <cellStyle name="Normal 5 3 3 5 3 4 2" xfId="31405" xr:uid="{DFB6642C-C241-44DB-BD6A-3B774736CE12}"/>
    <cellStyle name="Normal 5 3 3 5 3 5" xfId="31602" xr:uid="{03BEB35F-10DC-466C-B4F6-64DC8F5CFD34}"/>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3 6 3 3" xfId="30263" xr:uid="{D9421690-CFB8-4A7F-8514-10825D246B89}"/>
    <cellStyle name="Normal 5 3 3 6 3 3 2" xfId="31406" xr:uid="{3C2573D1-AC8F-4143-A4EB-DB65B7B44633}"/>
    <cellStyle name="Normal 5 3 3 6 3 4" xfId="31603"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3 3 3" xfId="30264" xr:uid="{BF899BB0-E15F-4E51-901D-CDD6A013BF10}"/>
    <cellStyle name="Normal 5 3 4 3 2 3 3 3 2" xfId="31407" xr:uid="{C4B75909-CC22-4C7F-BDF8-B7847156ED0A}"/>
    <cellStyle name="Normal 5 3 4 3 2 3 3 4" xfId="31604" xr:uid="{D1B3BD06-D116-43C5-A228-6E03144C7F35}"/>
    <cellStyle name="Normal 5 3 4 3 2 4" xfId="24655" xr:uid="{5F063B03-3FE5-47FE-9028-D7BB1C893E88}"/>
    <cellStyle name="Normal 5 3 4 3 3" xfId="1169" xr:uid="{00000000-0005-0000-0000-000053060000}"/>
    <cellStyle name="Normal 5 3 4 3 4" xfId="2961" xr:uid="{00000000-0005-0000-0000-000024070000}"/>
    <cellStyle name="Normal 5 3 4 3 4 2" xfId="31288" xr:uid="{DCD0F34B-C807-48EF-AD43-4F507781571A}"/>
    <cellStyle name="Normal 5 3 4 3 5" xfId="2122" xr:uid="{00000000-0005-0000-0000-000099020000}"/>
    <cellStyle name="Normal 5 3 4 3 5 2" xfId="3818" xr:uid="{9369DBB9-DD67-4338-8EB8-DA10B04D3AFA}"/>
    <cellStyle name="Normal 5 3 4 3 5 3" xfId="30203" xr:uid="{93B0F0FE-EEB4-4F30-BC7B-21D74A10E953}"/>
    <cellStyle name="Normal 5 3 4 3 5 3 2" xfId="31347" xr:uid="{C1C74FE2-D0BD-48ED-92BA-3137D666D3B8}"/>
    <cellStyle name="Normal 5 3 4 3 5 4" xfId="31543" xr:uid="{E2D064AD-4A27-4CEF-A265-0794D4FEB3DD}"/>
    <cellStyle name="Normal 5 3 4 3 6" xfId="4018" xr:uid="{1613ADCD-F7DC-4D24-BE2E-0512CCDB9F7E}"/>
    <cellStyle name="Normal 5 3 4 3 6 2" xfId="4698" xr:uid="{DE044A17-1F25-42F0-A6B5-42ABCA6D7CD9}"/>
    <cellStyle name="Normal 5 3 4 3 6 3" xfId="30321" xr:uid="{AD79B433-505B-4DDB-81D4-604D12CD1CB9}"/>
    <cellStyle name="Normal 5 3 4 3 6 3 2" xfId="31464" xr:uid="{1800BDA3-11C3-40C5-978D-FA7BA615088A}"/>
    <cellStyle name="Normal 5 3 4 3 6 4" xfId="31661" xr:uid="{26F0A201-B426-425F-9086-BCB13F3DABE8}"/>
    <cellStyle name="Normal 5 3 4 3 7" xfId="30142" xr:uid="{8464588B-FBC9-4AEB-8137-4B7B64E1AFE0}"/>
    <cellStyle name="Normal 5 3 4 3 7 2" xfId="30508" xr:uid="{0455E1FF-3A8B-40C3-BF3A-C60A750C7BEF}"/>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4 3 3" xfId="30265" xr:uid="{A5471799-C0C9-4589-A46E-238EA1C8E213}"/>
    <cellStyle name="Normal 5 3 4 4 3 3 2" xfId="31408" xr:uid="{AF8662C3-806E-4CF6-8668-C63E00A0A729}"/>
    <cellStyle name="Normal 5 3 4 4 3 4" xfId="31605" xr:uid="{9B29F8B9-D0B4-45B0-BBC8-179A09C7733D}"/>
    <cellStyle name="Normal 5 3 4 5" xfId="2121" xr:uid="{00000000-0005-0000-0000-000097020000}"/>
    <cellStyle name="Normal 5 3 4 5 2" xfId="4652" xr:uid="{AE4239F0-8210-40A2-B60A-C02B564418C5}"/>
    <cellStyle name="Normal 5 3 4 5 3" xfId="30202" xr:uid="{C013D1DD-471B-403F-9025-A8E80966F87F}"/>
    <cellStyle name="Normal 5 3 4 5 3 2" xfId="31346" xr:uid="{1C4CE880-E9D0-4A50-950B-816A84BF1515}"/>
    <cellStyle name="Normal 5 3 4 5 4" xfId="31542" xr:uid="{3131D79D-CA78-43D8-8AFB-AF83F6987B75}"/>
    <cellStyle name="Normal 5 3 4 6" xfId="4017" xr:uid="{CB599806-7C8A-45F6-9C5C-00B11E4887E0}"/>
    <cellStyle name="Normal 5 3 4 6 2" xfId="4689" xr:uid="{C33C1D9E-89E1-44FF-859F-F450C4814C70}"/>
    <cellStyle name="Normal 5 3 4 6 3" xfId="30320" xr:uid="{AF3B5E87-0871-4E2F-8B2C-CF43843C27F0}"/>
    <cellStyle name="Normal 5 3 4 6 3 2" xfId="31463" xr:uid="{1899F4E4-4289-40CD-8114-19BEC7B0B04B}"/>
    <cellStyle name="Normal 5 3 4 6 4" xfId="31660" xr:uid="{67082448-0D89-4D8D-8399-AD957CCFD59C}"/>
    <cellStyle name="Normal 5 3 4 7" xfId="30141" xr:uid="{C5086DE0-3D25-4310-955C-9881B5375DBB}"/>
    <cellStyle name="Normal 5 3 4 7 2" xfId="30507" xr:uid="{0691E9B7-B979-49A9-82BB-8C389DE41776}"/>
    <cellStyle name="Normal 5 3 5" xfId="2069" xr:uid="{00000000-0005-0000-0000-00008A020000}"/>
    <cellStyle name="Normal 5 3 5 2" xfId="4724" xr:uid="{FB219402-4458-4731-8217-11E2AB428DAD}"/>
    <cellStyle name="Normal 5 3 5 3" xfId="30169" xr:uid="{22C0B9B5-A215-40E0-90E4-E9BF49B6C962}"/>
    <cellStyle name="Normal 5 3 5 3 2" xfId="30509" xr:uid="{2A3E056B-8875-48CA-B07B-074ED168B004}"/>
    <cellStyle name="Normal 5 3 5 4" xfId="31509" xr:uid="{19BA7BD3-B108-41EE-8AED-7AF73153AA44}"/>
    <cellStyle name="Normal 5 3 6" xfId="30114" xr:uid="{FF7EC34F-1D03-426F-944C-8DDEC9BD14BD}"/>
    <cellStyle name="Normal 5 3 6 2" xfId="30474"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4 3 3 3" xfId="30266" xr:uid="{077BAFD6-31C2-403C-B6C9-D7A0B0C4E389}"/>
    <cellStyle name="Normal 5 4 3 3 3 2" xfId="31409" xr:uid="{92C0E6B0-540E-4500-9E66-230FB68E0A0F}"/>
    <cellStyle name="Normal 5 4 3 3 4" xfId="31606"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3 3 3" xfId="30267" xr:uid="{59D125B9-F39A-46E1-A17C-98D62824EB27}"/>
    <cellStyle name="Normal 5 5 10 2 3 3 3 2" xfId="31410" xr:uid="{E71ACD12-B317-427B-BB6C-C76E5FC66E22}"/>
    <cellStyle name="Normal 5 5 10 2 3 3 4" xfId="31607" xr:uid="{28520A92-387B-4256-98CB-37A8D127A231}"/>
    <cellStyle name="Normal 5 5 10 2 4" xfId="25773" xr:uid="{C3D50B18-259C-4014-9BCC-0D850B8A97C8}"/>
    <cellStyle name="Normal 5 5 10 3" xfId="1180" xr:uid="{00000000-0005-0000-0000-000060060000}"/>
    <cellStyle name="Normal 5 5 10 4" xfId="2962" xr:uid="{00000000-0005-0000-0000-00002C070000}"/>
    <cellStyle name="Normal 5 5 10 4 2" xfId="31298" xr:uid="{5A6D113D-41BD-4B2B-84F1-322D480A3CB5}"/>
    <cellStyle name="Normal 5 5 10 5" xfId="2124" xr:uid="{00000000-0005-0000-0000-00009E020000}"/>
    <cellStyle name="Normal 5 5 10 5 2" xfId="3790" xr:uid="{3E02F4FD-1C4C-4539-A2B7-19465E26278C}"/>
    <cellStyle name="Normal 5 5 10 5 3" xfId="30205" xr:uid="{CD6EF2D4-0244-497A-A1A2-5CB7CEACAD08}"/>
    <cellStyle name="Normal 5 5 10 5 3 2" xfId="31349" xr:uid="{F4393F33-33B7-414E-8C16-1CC9B8AEEB67}"/>
    <cellStyle name="Normal 5 5 10 5 4" xfId="31545" xr:uid="{C11D04CC-F052-44CD-9EC7-277082F56C47}"/>
    <cellStyle name="Normal 5 5 10 6" xfId="4020" xr:uid="{337F88F3-5843-4A8A-A4B2-DC8C7B59A64B}"/>
    <cellStyle name="Normal 5 5 10 6 2" xfId="4806" xr:uid="{9AEE980B-AC49-472C-ABA8-56F2FAA76E03}"/>
    <cellStyle name="Normal 5 5 10 6 3" xfId="30323" xr:uid="{0EA3F919-8FF0-462B-A82C-815D3F9A6A5F}"/>
    <cellStyle name="Normal 5 5 10 6 3 2" xfId="31466" xr:uid="{7CB46D50-7B99-484C-ABB1-4B35FE53302E}"/>
    <cellStyle name="Normal 5 5 10 6 4" xfId="31663" xr:uid="{E4914706-502A-4324-8E26-B98952712100}"/>
    <cellStyle name="Normal 5 5 10 7" xfId="30144" xr:uid="{9EC4A54E-D459-477E-95C3-D8EED714DA54}"/>
    <cellStyle name="Normal 5 5 10 7 2" xfId="30510" xr:uid="{642D08F6-4146-4DCF-BE9E-E70107F064A1}"/>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2 3" xfId="31494" xr:uid="{8C768011-0350-4625-9C22-6E5BAC343524}"/>
    <cellStyle name="Normal 5 5 12 2 2 4" xfId="31304" xr:uid="{4E92DD05-9DE3-47E0-9C33-4A23B380A4BC}"/>
    <cellStyle name="Normal 5 5 12 2 3" xfId="27500" xr:uid="{C60B8A07-C87E-417E-81F5-A75D4AE0518D}"/>
    <cellStyle name="Normal 5 5 12 2 4" xfId="27364" xr:uid="{FCABEA70-D790-4657-BF9A-CD1687570BD1}"/>
    <cellStyle name="Normal 5 5 12 2 5" xfId="31253" xr:uid="{29DBD238-5483-4789-AB60-4DC6E160D543}"/>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3 3" xfId="30295" xr:uid="{0809AC62-F3B7-493F-BB49-1E9941AC2340}"/>
    <cellStyle name="Normal 5 5 12 3 3 3 2" xfId="31438" xr:uid="{7019EB67-3295-429D-8D0F-44B17EE0D105}"/>
    <cellStyle name="Normal 5 5 12 3 3 4" xfId="31635" xr:uid="{7ED5B869-69B2-431F-9CC3-F41F5D450414}"/>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3 3" xfId="30268" xr:uid="{0A57DE32-6FA3-493D-BCD5-EF945C4BCD4C}"/>
    <cellStyle name="Normal 5 5 12 4 3 3 2" xfId="31411" xr:uid="{8D615E02-7AB1-47B9-B5C0-EFCC16FE5595}"/>
    <cellStyle name="Normal 5 5 12 4 3 4" xfId="31608" xr:uid="{333049E4-D2E4-478B-A9A7-397D8F1AD60F}"/>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6 4" xfId="30397" xr:uid="{A373ECD6-01CF-4482-A92D-8D307049E070}"/>
    <cellStyle name="Normal 5 5 12 7" xfId="2134" xr:uid="{00000000-0005-0000-0000-0000A1020000}"/>
    <cellStyle name="Normal 5 5 12 7 2" xfId="4820" xr:uid="{933CD350-3DDB-4FFC-B65F-DBC9B5AC6FAA}"/>
    <cellStyle name="Normal 5 5 12 7 3" xfId="30215" xr:uid="{827A0F38-C1A0-4EEE-9A2A-D5F26A0F3BC4}"/>
    <cellStyle name="Normal 5 5 12 7 3 2" xfId="31359" xr:uid="{12077E98-D42B-4C46-B42E-477CDA1BC168}"/>
    <cellStyle name="Normal 5 5 12 7 4" xfId="31555" xr:uid="{ED0A659F-49C6-47AD-A8E9-D609C6FE0B98}"/>
    <cellStyle name="Normal 5 5 12 8" xfId="4040" xr:uid="{339DDFF4-B60C-4AB4-A281-8CA03C0100FF}"/>
    <cellStyle name="Normal 5 5 12 8 2" xfId="4818" xr:uid="{7550A7D3-C1EF-43A3-A121-A8E9FC3C1D0F}"/>
    <cellStyle name="Normal 5 5 12 8 3" xfId="30332" xr:uid="{D7DBAFC5-F908-4480-B7AC-0D36D243E461}"/>
    <cellStyle name="Normal 5 5 12 8 3 2" xfId="30468" xr:uid="{008082A2-179F-4EAE-9BED-194B26EA3013}"/>
    <cellStyle name="Normal 5 5 12 8 4" xfId="31672" xr:uid="{958C0CF7-489D-4DFD-AFD0-0923A7F799E9}"/>
    <cellStyle name="Normal 5 5 12 9" xfId="25796" xr:uid="{E3CEE472-2575-4086-9B70-8587E190341C}"/>
    <cellStyle name="Normal 5 5 12 9 2" xfId="26401" xr:uid="{EE6D3784-0C10-40B4-B5A5-246641421871}"/>
    <cellStyle name="Normal 5 5 12 9 3" xfId="31166" xr:uid="{1A4271D5-26B0-4441-8D15-E29ECA5F4D9D}"/>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3 8" xfId="31252" xr:uid="{74A630F6-B0B0-425A-B58E-98533DCF93A3}"/>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3 4" xfId="30269" xr:uid="{D54B79A8-5499-4F5C-A60A-015D6BE65FD9}"/>
    <cellStyle name="Normal 5 5 14 3 4 2" xfId="31412" xr:uid="{575483AF-AA95-4D48-B584-5A9993226AA8}"/>
    <cellStyle name="Normal 5 5 14 3 5" xfId="31609" xr:uid="{14E7F71F-AA9C-4825-9092-BF0C8A1EFF2F}"/>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7 4" xfId="30204" xr:uid="{36B20FD2-E384-4E2C-943F-B6158FB818DE}"/>
    <cellStyle name="Normal 5 5 17 4 2" xfId="31348" xr:uid="{5F08F1D5-89EB-4C5D-BB57-1B880E6EB770}"/>
    <cellStyle name="Normal 5 5 17 5" xfId="31544" xr:uid="{3B55F720-3305-4D8B-B69F-321B180500C4}"/>
    <cellStyle name="Normal 5 5 18" xfId="4019" xr:uid="{F3938208-EDFC-4F17-ABB5-42A544677995}"/>
    <cellStyle name="Normal 5 5 18 2" xfId="4811" xr:uid="{F76BFFF7-F65C-4C10-94AE-340164E71EC1}"/>
    <cellStyle name="Normal 5 5 18 3" xfId="30322" xr:uid="{3F8752F1-9A5A-4A0A-9B43-2AF1C30DFDF6}"/>
    <cellStyle name="Normal 5 5 18 3 2" xfId="31465" xr:uid="{0CEB44F4-8608-49C7-AFD9-B308A93AF5D4}"/>
    <cellStyle name="Normal 5 5 18 4" xfId="31662" xr:uid="{67F64D7D-87AA-4672-BBA5-A417E15A374F}"/>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3 6" xfId="29680" xr:uid="{97CDD6DB-E3BD-4C8B-B733-D86227385425}"/>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4 2" xfId="29746" xr:uid="{292C7506-2051-4783-9A25-16674A0F4704}"/>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21" xfId="29835" xr:uid="{B3E1E0EF-7306-41CF-9823-2647A17B861C}"/>
    <cellStyle name="Normal 5 5 21 2" xfId="31503" xr:uid="{4413B3F3-F116-425E-B3FC-2126AAE6FA06}"/>
    <cellStyle name="Normal 5 5 22" xfId="29980" xr:uid="{D67E6B79-0BB9-41EF-9496-F362FC77F6A8}"/>
    <cellStyle name="Normal 5 5 23" xfId="30143" xr:uid="{E141DD7A-B371-4E36-AC36-3D3BBD6F49D4}"/>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4 2" xfId="29785" xr:uid="{89E00D79-3211-4205-9817-0EE04526993D}"/>
    <cellStyle name="Normal 5 5 3 3 2 2 5" xfId="24695" xr:uid="{E22B5C30-2C6B-4970-B1C3-452F3FFF52A1}"/>
    <cellStyle name="Normal 5 5 3 3 2 2 6" xfId="13980" xr:uid="{C3649F74-66E1-4FD0-90AD-33DFA58BD1ED}"/>
    <cellStyle name="Normal 5 5 3 3 2 3" xfId="3409" xr:uid="{00000000-0005-0000-0000-00005B070000}"/>
    <cellStyle name="Normal 5 5 3 3 2 3 2" xfId="30087" xr:uid="{8D83AA04-EFB8-4DBE-9F2D-CA04908BDD15}"/>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2 2" xfId="29832" xr:uid="{269F8BD8-3951-442C-8C12-5034B99EF9C4}"/>
    <cellStyle name="Normal 5 5 3 3 2 5 3" xfId="22724" xr:uid="{5EC33E70-0B4D-40F0-A6E8-EF4A4475260D}"/>
    <cellStyle name="Normal 5 5 3 3 2 5 3 2" xfId="30093" xr:uid="{B5B6AB49-98AB-441B-87F7-DD685D6798A1}"/>
    <cellStyle name="Normal 5 5 3 3 2 5 4" xfId="23447" xr:uid="{8571319B-7759-4A87-B13E-0C7FEACCE3F9}"/>
    <cellStyle name="Normal 5 5 3 3 2 5 5" xfId="30270" xr:uid="{B88538FC-C621-4360-9D4C-DD3260457648}"/>
    <cellStyle name="Normal 5 5 3 3 2 5 5 2" xfId="31413" xr:uid="{7481AEF4-D030-4595-AF6D-9244C28EA76D}"/>
    <cellStyle name="Normal 5 5 3 3 2 5 6" xfId="31610" xr:uid="{2D73DF79-C0A1-492B-ABB8-D5521DD43C2A}"/>
    <cellStyle name="Normal 5 5 3 3 2 6" xfId="23174" xr:uid="{585B73B8-12BC-44A6-82F7-7D9C4E64E545}"/>
    <cellStyle name="Normal 5 5 3 3 2 6 2" xfId="31149" xr:uid="{D3D0E1A9-FBCA-47EC-9550-3A4C6C30E266}"/>
    <cellStyle name="Normal 5 5 3 3 2 6 3" xfId="30912" xr:uid="{B08B4DCA-5980-4F0C-A577-2BB26932546B}"/>
    <cellStyle name="Normal 5 5 3 3 2 7" xfId="13277" xr:uid="{60854C4E-F5E6-4B50-AA94-02CF9A79D755}"/>
    <cellStyle name="Normal 5 5 3 3 2 8" xfId="30925" xr:uid="{29076549-2AA4-4007-80EA-D67AC2CC5802}"/>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2 4" xfId="29823" xr:uid="{3881B992-1BB7-464F-91BE-BB29A3566EF8}"/>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2 2" xfId="29817" xr:uid="{02A86CA0-3F43-44CF-957F-95BA6D4BDC0E}"/>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2 3" xfId="31105" xr:uid="{41CBFC74-9674-4514-AAE2-CB0510DF1FAF}"/>
    <cellStyle name="Normal 5 5 3 3 3 4 2 4" xfId="30913" xr:uid="{DE041240-1130-4FBE-A496-AF3E183AB993}"/>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5 2" xfId="29709" xr:uid="{C6AC9FE6-8F2F-4D98-B1CC-2EFCAC323B18}"/>
    <cellStyle name="Normal 5 5 3 3 3 5 2 2" xfId="30952" xr:uid="{5D2ADC69-5EDF-4AC9-8941-E830CD16909C}"/>
    <cellStyle name="Normal 5 5 3 3 3 6" xfId="23226" xr:uid="{07D2B74A-B30D-4BBA-A7E5-EB342AD9A434}"/>
    <cellStyle name="Normal 5 5 3 3 3 6 2" xfId="29673" xr:uid="{B112CBD1-63B3-4F58-B2F2-76F0EA1536DD}"/>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2 5" xfId="30569" xr:uid="{E8720E36-9B22-4DBC-BB87-8F396A474EBD}"/>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6 3" xfId="30206" xr:uid="{19E5DBC6-87B5-46F1-B5E0-B67573138C40}"/>
    <cellStyle name="Normal 5 5 3 3 6 3 2" xfId="31350" xr:uid="{C475E952-4287-47E3-B046-F9817D97F62D}"/>
    <cellStyle name="Normal 5 5 3 3 6 4" xfId="31546" xr:uid="{F0BED102-3B27-4E13-8163-0F2933607E19}"/>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3 2" xfId="31173" xr:uid="{E1CFC7F0-7C6D-40F3-9AAC-AEE06C15BE18}"/>
    <cellStyle name="Normal 5 5 3 3 7 4" xfId="26362" xr:uid="{2BB7C9BC-9F92-46B9-A4E8-54E7EDCFB1FE}"/>
    <cellStyle name="Normal 5 5 3 3 7 5" xfId="30324" xr:uid="{13091C6E-267B-42E9-9EC6-63A637EF4C77}"/>
    <cellStyle name="Normal 5 5 3 3 7 5 2" xfId="31467" xr:uid="{8241D67A-0B65-441D-B87C-12FCD55689C9}"/>
    <cellStyle name="Normal 5 5 3 3 7 6" xfId="31664" xr:uid="{6C15C19A-00AD-4054-8903-F5817FB38421}"/>
    <cellStyle name="Normal 5 5 3 3 8" xfId="29681" xr:uid="{0A86F2A0-5592-44C0-A478-BDA05FBB524E}"/>
    <cellStyle name="Normal 5 5 3 3 8 2" xfId="30540" xr:uid="{CD43F895-0D8D-40A6-9F78-B0640AD53663}"/>
    <cellStyle name="Normal 5 5 3 3 9" xfId="29669" xr:uid="{04524AD8-987D-44B0-8EAE-33D3F77F3D00}"/>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5 6 3" xfId="30362" xr:uid="{94F71B0E-9972-43D2-A698-4F5F8EC6B35B}"/>
    <cellStyle name="Normal 5 6 3 2" xfId="30511" xr:uid="{9F3E153B-B09B-471D-A946-A10EBA1534EE}"/>
    <cellStyle name="Normal 5 6 4" xfId="31702" xr:uid="{41B7F247-B74F-4329-A0A1-682D6C24C354}"/>
    <cellStyle name="Normal 5 7" xfId="30110" xr:uid="{B86EA2F7-3D8C-4453-9463-4535C564224A}"/>
    <cellStyle name="Normal 5 7 2" xfId="31496"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2 3 3" xfId="30271" xr:uid="{64E7B98A-5618-4F94-BBB0-CE729F04F1ED}"/>
    <cellStyle name="Normal 6 2 4 2 3 3 2" xfId="31414" xr:uid="{F1A26C63-AE42-4F04-8891-03B490C2D338}"/>
    <cellStyle name="Normal 6 2 4 2 3 4" xfId="31611" xr:uid="{E337A21F-9B74-4399-88F3-B6426EE26747}"/>
    <cellStyle name="Normal 6 2 4 3" xfId="1241" xr:uid="{00000000-0005-0000-0000-00009F060000}"/>
    <cellStyle name="Normal 6 2 4 3 2" xfId="31305" xr:uid="{928413FA-20ED-46F2-9E40-B8E246A45F39}"/>
    <cellStyle name="Normal 6 2 4 4" xfId="29855" xr:uid="{AA4C1F12-DEA9-457E-AEF5-0DB4A6E59CD3}"/>
    <cellStyle name="Normal 6 2 5" xfId="1242" xr:uid="{00000000-0005-0000-0000-0000A0060000}"/>
    <cellStyle name="Normal 6 2 6" xfId="31265"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3 3 3" xfId="30272" xr:uid="{D89606A7-7F62-4BEF-BBAC-371DD44B78A1}"/>
    <cellStyle name="Normal 6 3 3 3 2 3 2 3 3 3 2" xfId="31415" xr:uid="{0B73902A-7494-489D-AE53-A905FA779E9C}"/>
    <cellStyle name="Normal 6 3 3 3 2 3 2 3 3 4" xfId="31612" xr:uid="{F3422B09-C712-4715-9E74-E2360D1499BA}"/>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4 2" xfId="31282" xr:uid="{8609F323-400D-4035-9BBF-4A50ABE08EC3}"/>
    <cellStyle name="Normal 6 3 3 3 2 3 5" xfId="2127" xr:uid="{00000000-0005-0000-0000-0000BE020000}"/>
    <cellStyle name="Normal 6 3 3 3 2 3 5 2" xfId="4680" xr:uid="{D6398DC9-E5C9-496E-A2A7-CD5014D2DFA6}"/>
    <cellStyle name="Normal 6 3 3 3 2 3 5 3" xfId="30208" xr:uid="{356E9707-CCEF-4F7C-BF32-0303F4791FE4}"/>
    <cellStyle name="Normal 6 3 3 3 2 3 5 3 2" xfId="31352" xr:uid="{CC12E4D3-F8EB-4CF6-AB97-4D8B2B3693C7}"/>
    <cellStyle name="Normal 6 3 3 3 2 3 5 4" xfId="31548" xr:uid="{87A857A3-2AA9-43F2-8657-50394276CAF6}"/>
    <cellStyle name="Normal 6 3 3 3 2 3 6" xfId="4034" xr:uid="{C3B2AF05-98DC-463A-BA12-C74208D497DD}"/>
    <cellStyle name="Normal 6 3 3 3 2 3 6 2" xfId="4812" xr:uid="{F613BC84-EDE5-4885-8459-F27AF0BB6E85}"/>
    <cellStyle name="Normal 6 3 3 3 2 3 6 3" xfId="30326" xr:uid="{FE425496-F8E2-4D8D-BACC-24E101135861}"/>
    <cellStyle name="Normal 6 3 3 3 2 3 6 3 2" xfId="31469" xr:uid="{E634AE3F-E674-4AA0-825F-3A0FBFBCA056}"/>
    <cellStyle name="Normal 6 3 3 3 2 3 6 4" xfId="31666" xr:uid="{C88B7139-BB51-44C6-81F9-0169CA295B19}"/>
    <cellStyle name="Normal 6 3 3 3 2 3 7" xfId="30146" xr:uid="{DC11676B-B130-4A24-B13D-A1AF24211213}"/>
    <cellStyle name="Normal 6 3 3 3 2 3 7 2" xfId="30513" xr:uid="{2A90FA8B-F176-40AB-B942-C645A0B2AC10}"/>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4 3 3 3" xfId="30390" xr:uid="{68412F80-5B7F-4324-AB06-AB62463D18A8}"/>
    <cellStyle name="Normal 6 3 3 3 2 4 3 3 4" xfId="30377" xr:uid="{F1CFB043-722D-4FF7-8349-A408EBFE1248}"/>
    <cellStyle name="Normal 6 3 3 3 2 4 3 3 4 2" xfId="31716" xr:uid="{E1047207-F524-459C-9D5A-B00766BB0693}"/>
    <cellStyle name="Normal 6 3 3 3 2 4 3 4" xfId="30363" xr:uid="{3A82768C-6B5D-4D32-86C4-08DE35B49E64}"/>
    <cellStyle name="Normal 6 3 3 3 2 4 3 4 2" xfId="31703" xr:uid="{7FCFC7B6-2244-4C07-99E2-5744C78CE1C6}"/>
    <cellStyle name="Normal 6 3 3 3 2 5" xfId="2126" xr:uid="{00000000-0005-0000-0000-0000BC020000}"/>
    <cellStyle name="Normal 6 3 3 3 2 5 2" xfId="4637" xr:uid="{6DCD8049-BC85-477D-8DF4-71B624F9476D}"/>
    <cellStyle name="Normal 6 3 3 3 2 5 3" xfId="30207" xr:uid="{37F318ED-ADB1-4A63-94B9-7AD18DADE9C4}"/>
    <cellStyle name="Normal 6 3 3 3 2 5 3 2" xfId="31351" xr:uid="{63937397-5761-4327-97C3-F1A1F4AC80AD}"/>
    <cellStyle name="Normal 6 3 3 3 2 5 4" xfId="31547" xr:uid="{CD9790C9-4E7C-4C12-8572-B6779880FCFF}"/>
    <cellStyle name="Normal 6 3 3 3 2 6" xfId="4033" xr:uid="{2F86E8C3-CFCF-4CC5-896B-92C102F9D7BD}"/>
    <cellStyle name="Normal 6 3 3 3 2 6 2" xfId="4725" xr:uid="{3DE8FA29-3805-45F1-AFC0-AABB851E3B0A}"/>
    <cellStyle name="Normal 6 3 3 3 2 6 3" xfId="30325" xr:uid="{0ECF71C3-B132-42F9-91D6-FA49DFB6CC23}"/>
    <cellStyle name="Normal 6 3 3 3 2 6 3 2" xfId="31468" xr:uid="{64226B14-8E2D-4A6B-B1EA-CFD0A01681C0}"/>
    <cellStyle name="Normal 6 3 3 3 2 6 4" xfId="31665" xr:uid="{DBA5C1A5-A154-4B8F-A90E-5CFDC92DCCDC}"/>
    <cellStyle name="Normal 6 3 3 3 2 7" xfId="30145" xr:uid="{80BE168A-ACEA-40EE-BC12-1FF256FF1F93}"/>
    <cellStyle name="Normal 6 3 3 3 2 7 2" xfId="30512"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2 2" xfId="30085" xr:uid="{AC20A973-25C7-4EEA-B8FC-5F924C46B0FC}"/>
    <cellStyle name="Normal 6 3 3 3 4 2 2 2 3" xfId="3748" xr:uid="{00000000-0005-0000-0000-000016060000}"/>
    <cellStyle name="Normal 6 3 3 3 4 2 2 2 3 2" xfId="4777" xr:uid="{AAE7B9DD-D69F-4E10-BB8B-20D4AC9962F5}"/>
    <cellStyle name="Normal 6 3 3 3 4 2 2 2 3 3" xfId="30273" xr:uid="{C37F18FF-54D7-4AE5-9692-111929E55625}"/>
    <cellStyle name="Normal 6 3 3 3 4 2 2 2 3 3 2" xfId="31416" xr:uid="{249FE48C-C7E7-4065-967D-49544C157FBD}"/>
    <cellStyle name="Normal 6 3 3 3 4 2 2 2 3 4" xfId="31613" xr:uid="{189EC8A1-D2C2-42E5-A270-697BF07C7A33}"/>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4 3" xfId="30210" xr:uid="{A160096C-0CB9-4F26-AE17-C47BB86B37E8}"/>
    <cellStyle name="Normal 6 3 3 3 4 2 3 4 3 2" xfId="31354" xr:uid="{C3EE6054-A4E1-4094-825A-1C1BF8659EA8}"/>
    <cellStyle name="Normal 6 3 3 3 4 2 3 4 4" xfId="31550" xr:uid="{9102B438-FA41-4457-A61B-AE31F663F9E7}"/>
    <cellStyle name="Normal 6 3 3 3 4 2 3 5" xfId="25802" xr:uid="{593CE574-319A-4AC6-9B5C-702D762FB4CA}"/>
    <cellStyle name="Normal 6 3 3 3 4 2 3 6" xfId="30541" xr:uid="{5EBC0163-4363-4F13-A5DD-AE3FCBD0410B}"/>
    <cellStyle name="Normal 6 3 3 3 4 2 4" xfId="25640" xr:uid="{EABC3D6A-712F-4FB3-BEB7-DF746EAFE1AE}"/>
    <cellStyle name="Normal 6 3 3 3 4 3" xfId="1264" xr:uid="{00000000-0005-0000-0000-0000B9060000}"/>
    <cellStyle name="Normal 6 3 3 3 4 4" xfId="2972" xr:uid="{00000000-0005-0000-0000-00009F070000}"/>
    <cellStyle name="Normal 6 3 3 3 4 4 2" xfId="31294" xr:uid="{186211C7-282C-42A3-AABA-91AA76594D8B}"/>
    <cellStyle name="Normal 6 3 3 3 4 5" xfId="2128" xr:uid="{00000000-0005-0000-0000-0000C1020000}"/>
    <cellStyle name="Normal 6 3 3 3 4 5 2" xfId="4672" xr:uid="{3CF7EC19-F0E2-4711-B08D-946163A456F8}"/>
    <cellStyle name="Normal 6 3 3 3 4 5 3" xfId="30209" xr:uid="{04383268-857B-47C7-9699-654DD5736F7C}"/>
    <cellStyle name="Normal 6 3 3 3 4 5 3 2" xfId="31353" xr:uid="{8F87091D-845B-4E2D-9607-3B2C3F78CB20}"/>
    <cellStyle name="Normal 6 3 3 3 4 5 4" xfId="31549" xr:uid="{F438C024-05C0-4B0E-BC65-1729E3C29826}"/>
    <cellStyle name="Normal 6 3 3 3 4 6" xfId="4035" xr:uid="{4F2918E3-7CCF-44F2-8B12-399DCD69E664}"/>
    <cellStyle name="Normal 6 3 3 3 4 6 2" xfId="4704" xr:uid="{66B78E9E-F4AB-4BA4-9562-EF211951A15F}"/>
    <cellStyle name="Normal 6 3 3 3 4 6 3" xfId="30327" xr:uid="{95C354DC-76FB-4CBE-9FB3-F1E8EDAD6C87}"/>
    <cellStyle name="Normal 6 3 3 3 4 6 3 2" xfId="31470" xr:uid="{B4430622-35CF-4C2E-B9B8-E001BD4035B7}"/>
    <cellStyle name="Normal 6 3 3 3 4 6 4" xfId="31667" xr:uid="{76813517-A76E-44EB-B0B6-46D7F2837E3A}"/>
    <cellStyle name="Normal 6 3 3 3 4 7" xfId="30147" xr:uid="{C2411ACB-20F6-4EE0-8B84-B62097023916}"/>
    <cellStyle name="Normal 6 3 3 3 4 7 2" xfId="30514" xr:uid="{BAFE7101-FEEB-42B9-BA1E-81777797EAA5}"/>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3 4" xfId="30274" xr:uid="{B96C46A8-B0B0-4A78-8D66-296041A1E571}"/>
    <cellStyle name="Normal 6 3 3 3 5 3 4 2" xfId="31417" xr:uid="{4EF581FF-DB98-4273-BAC1-15F20033B499}"/>
    <cellStyle name="Normal 6 3 3 3 5 3 5" xfId="31614" xr:uid="{304492C9-34A5-491B-90A2-9FC308872402}"/>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3 3 3" xfId="30275" xr:uid="{91ACDD3A-0E04-489A-B8EF-6EF1F1AE6AAE}"/>
    <cellStyle name="Normal 6 3 3 4 3 2 3 3 3 2" xfId="31418" xr:uid="{9ED99E49-38F8-4258-8C5C-4E6CCF898051}"/>
    <cellStyle name="Normal 6 3 3 4 3 2 3 3 4" xfId="31615" xr:uid="{86DC850B-5ABA-4168-A12B-52BB2D92300C}"/>
    <cellStyle name="Normal 6 3 3 4 3 2 4" xfId="25725" xr:uid="{458F7302-1896-4444-8A91-7EEE77D9B42E}"/>
    <cellStyle name="Normal 6 3 3 4 3 3" xfId="1273" xr:uid="{00000000-0005-0000-0000-0000C3060000}"/>
    <cellStyle name="Normal 6 3 3 4 3 4" xfId="2973" xr:uid="{00000000-0005-0000-0000-0000A5070000}"/>
    <cellStyle name="Normal 6 3 3 4 3 4 2" xfId="31301" xr:uid="{9A618AA1-F692-4092-9D65-77B750975D70}"/>
    <cellStyle name="Normal 6 3 3 4 3 5" xfId="2131" xr:uid="{00000000-0005-0000-0000-0000C8020000}"/>
    <cellStyle name="Normal 6 3 3 4 3 5 2" xfId="3855" xr:uid="{14ADEC9D-23D5-4755-9DD0-8765D24571A4}"/>
    <cellStyle name="Normal 6 3 3 4 3 5 3" xfId="30212" xr:uid="{8435FB26-6920-4CAD-AA91-3600F415560A}"/>
    <cellStyle name="Normal 6 3 3 4 3 5 3 2" xfId="31356" xr:uid="{35DA6502-A4A2-4046-B3CE-4037C2DBBE69}"/>
    <cellStyle name="Normal 6 3 3 4 3 5 4" xfId="31552" xr:uid="{072920CB-D524-41F0-B9ED-C02DFA5CF3AC}"/>
    <cellStyle name="Normal 6 3 3 4 3 6" xfId="4037" xr:uid="{C66D090D-F948-4628-9A4B-3556EC8A8993}"/>
    <cellStyle name="Normal 6 3 3 4 3 6 2" xfId="4740" xr:uid="{6CDE8700-2BC6-4C40-AD11-A661C27D6699}"/>
    <cellStyle name="Normal 6 3 3 4 3 6 3" xfId="30329" xr:uid="{A9169C37-2F33-4AC5-9D16-6468DBFE55C7}"/>
    <cellStyle name="Normal 6 3 3 4 3 6 3 2" xfId="31472" xr:uid="{C08347BC-2FE4-4A4C-88AE-047B4F1111EB}"/>
    <cellStyle name="Normal 6 3 3 4 3 6 4" xfId="31669" xr:uid="{25C9AC63-04F8-44DF-BE45-828C1A0EFA15}"/>
    <cellStyle name="Normal 6 3 3 4 3 7" xfId="30149" xr:uid="{5DD134DE-7771-4AC1-A6C7-CAB182204804}"/>
    <cellStyle name="Normal 6 3 3 4 3 7 2" xfId="30516" xr:uid="{F5396644-8DAF-4937-A4F1-2401EBC3517A}"/>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4 3 3" xfId="30276" xr:uid="{7F3E6705-4643-4EF6-886B-EF89E8C009A2}"/>
    <cellStyle name="Normal 6 3 3 4 4 3 3 2" xfId="31419" xr:uid="{519FAA7A-C692-4C62-A964-CCC9D5705A0C}"/>
    <cellStyle name="Normal 6 3 3 4 4 3 4" xfId="31616" xr:uid="{C2001405-3A9E-407C-A41F-4E4E1ECCA430}"/>
    <cellStyle name="Normal 6 3 3 4 5" xfId="2130" xr:uid="{00000000-0005-0000-0000-0000C6020000}"/>
    <cellStyle name="Normal 6 3 3 4 5 2" xfId="3776" xr:uid="{E7CE2CBA-ABE9-40BC-B051-DB9C5FB798E6}"/>
    <cellStyle name="Normal 6 3 3 4 5 3" xfId="30211" xr:uid="{89A8051D-31C3-40B3-9711-90934B61F108}"/>
    <cellStyle name="Normal 6 3 3 4 5 3 2" xfId="31355" xr:uid="{85BF3F84-4BD4-4F22-BAF8-1486D86B8D5C}"/>
    <cellStyle name="Normal 6 3 3 4 5 4" xfId="31551" xr:uid="{A28A8BEB-C65E-4662-A83C-828FBC0BB7C6}"/>
    <cellStyle name="Normal 6 3 3 4 6" xfId="4036" xr:uid="{45BFAD04-BCD7-4CAC-953D-0DBD444CB6D4}"/>
    <cellStyle name="Normal 6 3 3 4 6 2" xfId="4726" xr:uid="{E376E65A-2E16-478D-B2B0-FCA698161DA4}"/>
    <cellStyle name="Normal 6 3 3 4 6 3" xfId="30328" xr:uid="{7B491ED7-6C6A-4219-B6F7-978B126F66AF}"/>
    <cellStyle name="Normal 6 3 3 4 6 3 2" xfId="31471" xr:uid="{7C5376D0-737F-432C-B2D8-A4762CC89502}"/>
    <cellStyle name="Normal 6 3 3 4 6 4" xfId="31668" xr:uid="{5D3A6406-FADF-46CF-957E-3CA6899F60ED}"/>
    <cellStyle name="Normal 6 3 3 4 7" xfId="30148" xr:uid="{838F89EF-1D7F-4065-8D4C-3A4DAF9BF3DA}"/>
    <cellStyle name="Normal 6 3 3 4 7 2" xfId="30515" xr:uid="{05F24ADF-AA50-4531-B604-5CFE29E6FEC6}"/>
    <cellStyle name="Normal 6 3 3 5" xfId="2070" xr:uid="{00000000-0005-0000-0000-0000B9020000}"/>
    <cellStyle name="Normal 6 3 3 5 2" xfId="4799" xr:uid="{907E5E47-F6B2-4DC4-A325-33901AAEA066}"/>
    <cellStyle name="Normal 6 3 3 5 3" xfId="30170" xr:uid="{35A6137A-9A79-4FA9-A0E4-BC9B9671A559}"/>
    <cellStyle name="Normal 6 3 3 5 3 2" xfId="30517" xr:uid="{DABD6C2B-49F9-41EE-B9EE-279CE22049EF}"/>
    <cellStyle name="Normal 6 3 3 5 4" xfId="31510" xr:uid="{FE5EE180-0A6C-4451-850A-0F128D00BDF6}"/>
    <cellStyle name="Normal 6 3 3 6" xfId="30102" xr:uid="{39D311B1-3F99-4637-B6B6-3945F5B433CC}"/>
    <cellStyle name="Normal 6 3 3 6 2" xfId="30475"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3 3 3" xfId="30277" xr:uid="{E5F840FE-5104-4857-8DCE-96279A827F92}"/>
    <cellStyle name="Normal 6 3 4 3 2 3 3 3 2" xfId="31420" xr:uid="{4198C9AA-B1FD-49F4-9439-E7F43D107413}"/>
    <cellStyle name="Normal 6 3 4 3 2 3 3 4" xfId="31617" xr:uid="{909DD0D0-1364-42A4-A034-3430836BB697}"/>
    <cellStyle name="Normal 6 3 4 3 2 4" xfId="24959" xr:uid="{0DA149DA-ADAC-4AFA-94DC-BF3AC20BD344}"/>
    <cellStyle name="Normal 6 3 4 3 3" xfId="1281" xr:uid="{00000000-0005-0000-0000-0000CD060000}"/>
    <cellStyle name="Normal 6 3 4 3 4" xfId="2975" xr:uid="{00000000-0005-0000-0000-0000AC070000}"/>
    <cellStyle name="Normal 6 3 4 3 4 2" xfId="31289" xr:uid="{BE8648E5-FB61-43AA-BB56-FE67109396AA}"/>
    <cellStyle name="Normal 6 3 4 3 5" xfId="2133" xr:uid="{00000000-0005-0000-0000-0000CC020000}"/>
    <cellStyle name="Normal 6 3 4 3 5 2" xfId="4641" xr:uid="{B14B5BE6-0AD9-4024-B6A3-83DB74FA6323}"/>
    <cellStyle name="Normal 6 3 4 3 5 3" xfId="30214" xr:uid="{E0D683BA-EFB6-4E11-8ABF-098065B0A36F}"/>
    <cellStyle name="Normal 6 3 4 3 5 3 2" xfId="31358" xr:uid="{9C8FE98E-1D8F-4973-8A1E-AB187A709B52}"/>
    <cellStyle name="Normal 6 3 4 3 5 4" xfId="31554" xr:uid="{83DF3942-78DD-4E7E-8FC5-59A81BE0190A}"/>
    <cellStyle name="Normal 6 3 4 3 6" xfId="4039" xr:uid="{85017E11-7866-4279-9063-BD1F44AA9952}"/>
    <cellStyle name="Normal 6 3 4 3 6 2" xfId="4785" xr:uid="{121F7278-5066-479E-804E-839EF523D6AF}"/>
    <cellStyle name="Normal 6 3 4 3 6 3" xfId="30331" xr:uid="{10D4AA31-3BD6-458F-BF46-08A025222983}"/>
    <cellStyle name="Normal 6 3 4 3 6 3 2" xfId="31474" xr:uid="{45E35B95-8A5B-4E1D-9384-E5D7227BFA78}"/>
    <cellStyle name="Normal 6 3 4 3 6 4" xfId="31671" xr:uid="{5ABCB488-C596-4F4D-A1BD-D5E366D7C9F2}"/>
    <cellStyle name="Normal 6 3 4 3 7" xfId="30151" xr:uid="{7EB70341-ADA0-4143-B80B-2417C60D5EFB}"/>
    <cellStyle name="Normal 6 3 4 3 7 2" xfId="30519" xr:uid="{35C90F93-35F2-4DF2-AF1A-E04B1075095B}"/>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2 3 3" xfId="30391" xr:uid="{5C1B9AE5-B079-4BE9-940F-38DB98168A0F}"/>
    <cellStyle name="Normal 6 3 4 4 2 3 4" xfId="30378" xr:uid="{0C630832-C427-48AC-B7B7-CDBA068EF46E}"/>
    <cellStyle name="Normal 6 3 4 4 2 3 4 2" xfId="31717" xr:uid="{59210765-A088-4B60-B438-476422DF6627}"/>
    <cellStyle name="Normal 6 3 4 4 2 4" xfId="30364" xr:uid="{ED8C1BC9-242E-4E34-A350-F2FCEF2ABD52}"/>
    <cellStyle name="Normal 6 3 4 4 2 4 2" xfId="31704" xr:uid="{1508FF5D-6EE9-4924-B426-3723E8CF7E8F}"/>
    <cellStyle name="Normal 6 3 4 4 3" xfId="24976" xr:uid="{B81CA4B1-D0EC-4903-82C2-3729418C66EC}"/>
    <cellStyle name="Normal 6 3 4 5" xfId="2132" xr:uid="{00000000-0005-0000-0000-0000CA020000}"/>
    <cellStyle name="Normal 6 3 4 5 2" xfId="4626" xr:uid="{385DF0D6-58F0-450D-88C9-C3CEB76D1408}"/>
    <cellStyle name="Normal 6 3 4 5 3" xfId="30213" xr:uid="{90312F7B-2D6D-405C-8052-43F9AAADE25C}"/>
    <cellStyle name="Normal 6 3 4 5 3 2" xfId="31357" xr:uid="{E7349462-429D-4D08-82F3-1A2EB2E58B37}"/>
    <cellStyle name="Normal 6 3 4 5 4" xfId="31553" xr:uid="{1042ECBD-2BB7-4E90-905B-07F8507D3AB7}"/>
    <cellStyle name="Normal 6 3 4 6" xfId="4038" xr:uid="{8D1101F3-0C22-4BE8-AF14-06E549D8B1C0}"/>
    <cellStyle name="Normal 6 3 4 6 2" xfId="4708" xr:uid="{309113B5-9206-44C4-9B50-F0859B4F4AC0}"/>
    <cellStyle name="Normal 6 3 4 6 3" xfId="30330" xr:uid="{75C41231-A56E-451C-A0E6-06EE355C936A}"/>
    <cellStyle name="Normal 6 3 4 6 3 2" xfId="31473" xr:uid="{E83C45BE-E56B-493C-B749-8DBB698D4281}"/>
    <cellStyle name="Normal 6 3 4 6 4" xfId="31670" xr:uid="{BED4E2F1-8BFE-49E7-94A6-F6C20E56EE89}"/>
    <cellStyle name="Normal 6 3 4 7" xfId="30150" xr:uid="{230E3327-1DCE-4021-B3F8-983D1A5A137A}"/>
    <cellStyle name="Normal 6 3 4 7 2" xfId="30518" xr:uid="{E88A4B4D-5E2F-4EF4-8F91-154A61DEACCE}"/>
    <cellStyle name="Normal 6 3 5" xfId="29609" xr:uid="{631E655F-7844-43BA-9955-2AD29CB8158C}"/>
    <cellStyle name="Normal 6 3 5 2" xfId="29637" xr:uid="{B4AFCDD8-862C-4144-A948-C80FD9D9C627}"/>
    <cellStyle name="Normal 6 3 5 3" xfId="30365" xr:uid="{BB71A935-D937-468C-AA47-D9536B9840FB}"/>
    <cellStyle name="Normal 6 3 5 3 2" xfId="30520" xr:uid="{EB168DF3-E7E9-4582-9E18-6217A4D688DD}"/>
    <cellStyle name="Normal 6 3 6" xfId="31500" xr:uid="{DD156CEF-7EAB-43B9-BB83-25E20C183EA0}"/>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3 3 3" xfId="30278" xr:uid="{E39C729E-3986-412E-9582-DDBDB6F5B372}"/>
    <cellStyle name="Normal 6 5 3 2 3 2 3 3 3 2" xfId="31421" xr:uid="{3CA02C8E-1377-438F-8ACF-277F8C8DB7A0}"/>
    <cellStyle name="Normal 6 5 3 2 3 2 3 3 4" xfId="31618" xr:uid="{0A1895AA-EE88-42AC-B89A-BCDB4B9319D4}"/>
    <cellStyle name="Normal 6 5 3 2 3 2 4" xfId="22682" xr:uid="{9FD8EF5C-1DF1-4ABC-86B0-BC0A24BC7DB0}"/>
    <cellStyle name="Normal 6 5 3 2 3 3" xfId="1292" xr:uid="{00000000-0005-0000-0000-0000D9060000}"/>
    <cellStyle name="Normal 6 5 3 2 3 4" xfId="2977" xr:uid="{00000000-0005-0000-0000-0000B7070000}"/>
    <cellStyle name="Normal 6 5 3 2 3 4 2" xfId="31277" xr:uid="{AC78F16B-C398-421C-B6DA-60754B2F6068}"/>
    <cellStyle name="Normal 6 5 3 2 3 5" xfId="2136" xr:uid="{00000000-0005-0000-0000-0000D4020000}"/>
    <cellStyle name="Normal 6 5 3 2 3 5 2" xfId="4648" xr:uid="{6EE5CD5D-2630-46DB-98C1-E0A91C088B26}"/>
    <cellStyle name="Normal 6 5 3 2 3 5 3" xfId="30217" xr:uid="{ADF6D548-1F3A-459F-A750-74CD99FDEE9A}"/>
    <cellStyle name="Normal 6 5 3 2 3 5 3 2" xfId="31361" xr:uid="{B71D2F94-18B1-4748-AC7B-9E99EEE3BBE2}"/>
    <cellStyle name="Normal 6 5 3 2 3 5 4" xfId="31557" xr:uid="{F49B284C-4158-45C7-A289-51B9D8DE13A3}"/>
    <cellStyle name="Normal 6 5 3 2 3 6" xfId="4042" xr:uid="{8B315A9F-8391-474D-B4C0-405EE4404F8E}"/>
    <cellStyle name="Normal 6 5 3 2 3 6 2" xfId="4713" xr:uid="{B2D6BDD1-5721-402C-A1EB-DE58BA876C84}"/>
    <cellStyle name="Normal 6 5 3 2 3 6 3" xfId="30334" xr:uid="{BB68FD68-7256-47F7-953D-2BBE26864CDA}"/>
    <cellStyle name="Normal 6 5 3 2 3 6 3 2" xfId="31476" xr:uid="{8C01FEE2-79B9-4A0F-A784-4FD92A5B6B0B}"/>
    <cellStyle name="Normal 6 5 3 2 3 6 4" xfId="31674" xr:uid="{EBE5DAA1-C59B-46EC-A8F2-1CE773456805}"/>
    <cellStyle name="Normal 6 5 3 2 3 7" xfId="30153" xr:uid="{49112585-27FD-43F2-BF44-AC831E47158C}"/>
    <cellStyle name="Normal 6 5 3 2 3 7 2" xfId="30522" xr:uid="{97E9803D-6432-444E-A890-68A0602A16F1}"/>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4 3 3 3" xfId="30392" xr:uid="{3896CCD4-4803-40CF-8441-650569527929}"/>
    <cellStyle name="Normal 6 5 3 2 4 3 3 4" xfId="30379" xr:uid="{CBA19119-5BB4-4E00-A950-1BDA2D9F3805}"/>
    <cellStyle name="Normal 6 5 3 2 4 3 3 4 2" xfId="31718" xr:uid="{8630AAF4-9A72-44FF-B5C2-D15011E2D118}"/>
    <cellStyle name="Normal 6 5 3 2 4 3 4" xfId="30366" xr:uid="{ECE487CF-3F45-4A59-B530-7A43F95E48BF}"/>
    <cellStyle name="Normal 6 5 3 2 4 3 4 2" xfId="31705" xr:uid="{08509A36-70E6-4EBD-A46D-BFCD7652D951}"/>
    <cellStyle name="Normal 6 5 3 2 5" xfId="2135" xr:uid="{00000000-0005-0000-0000-0000D2020000}"/>
    <cellStyle name="Normal 6 5 3 2 5 2" xfId="4684" xr:uid="{985E2EB5-9E1E-43AC-B0AB-0DDE28EC2B5C}"/>
    <cellStyle name="Normal 6 5 3 2 5 3" xfId="30216" xr:uid="{D46CE359-6D20-457D-B96B-F51C055BD562}"/>
    <cellStyle name="Normal 6 5 3 2 5 3 2" xfId="31360" xr:uid="{988CB04C-674F-41D1-A07E-95491E04BE7D}"/>
    <cellStyle name="Normal 6 5 3 2 5 4" xfId="31556" xr:uid="{D1D84B56-D950-4446-AE9F-C32773F7F07D}"/>
    <cellStyle name="Normal 6 5 3 2 6" xfId="4041" xr:uid="{8635F82C-04F7-4EC6-B923-CFC4350C7830}"/>
    <cellStyle name="Normal 6 5 3 2 6 2" xfId="4721" xr:uid="{5D5E7BFF-9D34-4E6B-9329-AD7DE75B6822}"/>
    <cellStyle name="Normal 6 5 3 2 6 3" xfId="30333" xr:uid="{32DCCDDE-5942-4CE1-9E1F-32A881D5BAD7}"/>
    <cellStyle name="Normal 6 5 3 2 6 3 2" xfId="31475" xr:uid="{5FA83714-5914-4708-8333-1CC83A3DDB0D}"/>
    <cellStyle name="Normal 6 5 3 2 6 4" xfId="31673" xr:uid="{E9FE8281-905A-4173-80C7-82183386EABC}"/>
    <cellStyle name="Normal 6 5 3 2 7" xfId="30152" xr:uid="{940D94C0-6359-4490-BCCE-8FEBED747550}"/>
    <cellStyle name="Normal 6 5 3 2 7 2" xfId="30521"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2 2" xfId="30071" xr:uid="{CE4D3F89-E104-4E7C-94DC-8DEA8C31FCE9}"/>
    <cellStyle name="Normal 6 5 3 4 2 2 2 3" xfId="3754" xr:uid="{00000000-0005-0000-0000-000041060000}"/>
    <cellStyle name="Normal 6 5 3 4 2 2 2 3 2" xfId="4751" xr:uid="{26BAC224-8031-4231-90D3-310CC68CB6C0}"/>
    <cellStyle name="Normal 6 5 3 4 2 2 2 3 3" xfId="30279" xr:uid="{D5CEC65A-2ADC-4D45-B3B7-ADDDF3F54B9C}"/>
    <cellStyle name="Normal 6 5 3 4 2 2 2 3 3 2" xfId="31422" xr:uid="{F627CE79-B180-42C5-A491-6351F4C67CBE}"/>
    <cellStyle name="Normal 6 5 3 4 2 2 2 3 4" xfId="31619" xr:uid="{BB2108BE-1192-4E13-B6B9-9D2AB265B6C3}"/>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4 3" xfId="30219" xr:uid="{315EE6F0-4A4B-4614-90D5-5242C6E49BBC}"/>
    <cellStyle name="Normal 6 5 3 4 2 3 4 3 2" xfId="31363" xr:uid="{946949EA-0176-4BCD-B99E-F7D135D21458}"/>
    <cellStyle name="Normal 6 5 3 4 2 3 4 4" xfId="31559" xr:uid="{F5FB7FA9-7FF9-4592-9A76-78A07223589D}"/>
    <cellStyle name="Normal 6 5 3 4 2 3 5" xfId="25819" xr:uid="{146A0A89-FA15-4673-83D1-1BD48BA23B4F}"/>
    <cellStyle name="Normal 6 5 3 4 2 3 6" xfId="30542" xr:uid="{1E4E56E2-FCF3-4C9E-A5C1-C675C3F1A005}"/>
    <cellStyle name="Normal 6 5 3 4 2 4" xfId="24939" xr:uid="{FD27707B-D4A4-422F-BC64-0031AA3E4D05}"/>
    <cellStyle name="Normal 6 5 3 4 3" xfId="1302" xr:uid="{00000000-0005-0000-0000-0000E5060000}"/>
    <cellStyle name="Normal 6 5 3 4 4" xfId="2978" xr:uid="{00000000-0005-0000-0000-0000C0070000}"/>
    <cellStyle name="Normal 6 5 3 4 4 2" xfId="31295" xr:uid="{AB74C274-9F21-4F33-97DC-03C78C47142A}"/>
    <cellStyle name="Normal 6 5 3 4 5" xfId="2137" xr:uid="{00000000-0005-0000-0000-0000D7020000}"/>
    <cellStyle name="Normal 6 5 3 4 5 2" xfId="4668" xr:uid="{D2333BB9-76BA-48B1-B619-1F9C6401FD25}"/>
    <cellStyle name="Normal 6 5 3 4 5 3" xfId="30218" xr:uid="{62554BF8-65F6-4FEE-9102-1517F5320031}"/>
    <cellStyle name="Normal 6 5 3 4 5 3 2" xfId="31362" xr:uid="{8411E2B0-CE72-4FAF-B1B5-E2FDF3AB6116}"/>
    <cellStyle name="Normal 6 5 3 4 5 4" xfId="31558" xr:uid="{613255CF-C246-4231-95AD-15A9EA1A28E1}"/>
    <cellStyle name="Normal 6 5 3 4 6" xfId="4043" xr:uid="{13FADCA8-36DC-469D-8F55-211BB24FA64B}"/>
    <cellStyle name="Normal 6 5 3 4 6 2" xfId="4755" xr:uid="{ABAADEE5-6BDD-4DDF-988F-045E065F16C3}"/>
    <cellStyle name="Normal 6 5 3 4 6 3" xfId="30335" xr:uid="{C370706B-D050-44A6-8DBC-4B79D80786ED}"/>
    <cellStyle name="Normal 6 5 3 4 6 3 2" xfId="31477" xr:uid="{A2072E34-E841-4339-9FD5-C6D6C717F7C6}"/>
    <cellStyle name="Normal 6 5 3 4 6 4" xfId="31675" xr:uid="{A7B8BC6B-0D84-401C-BCE1-1C3CE034DBAA}"/>
    <cellStyle name="Normal 6 5 3 4 7" xfId="30154" xr:uid="{B6B1B1A2-B731-440F-A283-79585C0A73B2}"/>
    <cellStyle name="Normal 6 5 3 4 7 2" xfId="30523" xr:uid="{8E1F6B5E-F917-4E06-A35E-B3F4B762C63D}"/>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3 4" xfId="30280" xr:uid="{0F482ABE-F9DD-4AE1-B958-7F9AACCE1E1C}"/>
    <cellStyle name="Normal 6 5 3 5 3 4 2" xfId="31423" xr:uid="{8090AB6F-2CAE-48D4-BCB0-D8D0AD244004}"/>
    <cellStyle name="Normal 6 5 3 5 3 5" xfId="31620" xr:uid="{F37F9835-CED0-41DF-BE2E-CCAD9E7DE39B}"/>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3 3 3" xfId="30281" xr:uid="{44E45A56-0938-496E-848A-9D883B75B8E6}"/>
    <cellStyle name="Normal 6 5 4 3 2 3 3 3 2" xfId="31424" xr:uid="{104720AE-072D-43E6-A876-8E12BB329AC9}"/>
    <cellStyle name="Normal 6 5 4 3 2 3 3 4" xfId="31621" xr:uid="{C63255E8-1A1C-4DD5-BCD8-566984E31045}"/>
    <cellStyle name="Normal 6 5 4 3 2 4" xfId="24664" xr:uid="{C8FD317F-C620-40B3-9E84-C86134062E28}"/>
    <cellStyle name="Normal 6 5 4 3 3" xfId="1311" xr:uid="{00000000-0005-0000-0000-0000EF060000}"/>
    <cellStyle name="Normal 6 5 4 3 4" xfId="2979" xr:uid="{00000000-0005-0000-0000-0000C6070000}"/>
    <cellStyle name="Normal 6 5 4 3 4 2" xfId="31300" xr:uid="{1D63F91C-4880-4AD8-ACE6-3490B3C191AF}"/>
    <cellStyle name="Normal 6 5 4 3 5" xfId="2140" xr:uid="{00000000-0005-0000-0000-0000DE020000}"/>
    <cellStyle name="Normal 6 5 4 3 5 2" xfId="3772" xr:uid="{0DAEABF9-E059-45BB-9EA3-DB8CCF44184B}"/>
    <cellStyle name="Normal 6 5 4 3 5 3" xfId="30221" xr:uid="{45838C83-4A43-4932-BDCE-C8F337A6FF93}"/>
    <cellStyle name="Normal 6 5 4 3 5 3 2" xfId="31365" xr:uid="{1681B1FF-BD73-48EA-B617-B273CD937AF6}"/>
    <cellStyle name="Normal 6 5 4 3 5 4" xfId="31561" xr:uid="{D408C2DC-B73E-44AF-B237-D74B8744DB20}"/>
    <cellStyle name="Normal 6 5 4 3 6" xfId="4045" xr:uid="{3B6C1D61-E8B0-4D32-BD74-479DABBA050E}"/>
    <cellStyle name="Normal 6 5 4 3 6 2" xfId="4743" xr:uid="{AB0FA666-59CA-452D-8185-BFDD339259A5}"/>
    <cellStyle name="Normal 6 5 4 3 6 3" xfId="30337" xr:uid="{A0F6DACF-5765-4B5B-B0D5-474B058864BF}"/>
    <cellStyle name="Normal 6 5 4 3 6 3 2" xfId="31479" xr:uid="{399043F7-6F4A-4A3E-9634-085F7EF1332F}"/>
    <cellStyle name="Normal 6 5 4 3 6 4" xfId="31677" xr:uid="{0C618089-00EB-4E10-B4F7-F237E3E30D1F}"/>
    <cellStyle name="Normal 6 5 4 3 7" xfId="30156" xr:uid="{E689BF94-8089-4EDB-8A90-EC9DD05FAEB6}"/>
    <cellStyle name="Normal 6 5 4 3 7 2" xfId="30525" xr:uid="{EFBA4820-C840-4148-BF88-6BDF2F0347D9}"/>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4 3 3" xfId="30282" xr:uid="{0B00FD0E-6729-4916-9762-F885F79C9AA2}"/>
    <cellStyle name="Normal 6 5 4 4 3 3 2" xfId="31425" xr:uid="{06166BF6-49AB-4FD9-B6C9-466EFABFB73C}"/>
    <cellStyle name="Normal 6 5 4 4 3 4" xfId="31622" xr:uid="{F51A84E7-859C-4016-A24B-CC6BB58A5781}"/>
    <cellStyle name="Normal 6 5 4 5" xfId="2139" xr:uid="{00000000-0005-0000-0000-0000DC020000}"/>
    <cellStyle name="Normal 6 5 4 5 2" xfId="4628" xr:uid="{F656D414-B9FB-4E57-A874-02EABF4164A9}"/>
    <cellStyle name="Normal 6 5 4 5 3" xfId="30220" xr:uid="{CC65D777-7FA0-471D-A07E-954A4411B4C7}"/>
    <cellStyle name="Normal 6 5 4 5 3 2" xfId="31364" xr:uid="{73E9ABE8-24A6-412C-9014-B32C406F5254}"/>
    <cellStyle name="Normal 6 5 4 5 4" xfId="31560" xr:uid="{6EB7D5EF-0E62-4B3E-BC7A-4EBD9D7356D9}"/>
    <cellStyle name="Normal 6 5 4 6" xfId="4044" xr:uid="{275714B7-5104-4FAB-9E0E-B1CADB04BD20}"/>
    <cellStyle name="Normal 6 5 4 6 2" xfId="4758" xr:uid="{66B4AC42-B19A-46C7-BB60-AA3BF5A56B35}"/>
    <cellStyle name="Normal 6 5 4 6 3" xfId="30336" xr:uid="{0B89003E-3F94-4F85-8781-8734CDF2F216}"/>
    <cellStyle name="Normal 6 5 4 6 3 2" xfId="31478" xr:uid="{28AE4F89-814E-43D6-B004-239043802B5A}"/>
    <cellStyle name="Normal 6 5 4 6 4" xfId="31676" xr:uid="{C9E8D383-49F9-4B00-9D73-DB9D2C0D47B7}"/>
    <cellStyle name="Normal 6 5 4 7" xfId="30155" xr:uid="{2552D7E3-E9B3-4241-AB50-FAF890DD8E42}"/>
    <cellStyle name="Normal 6 5 4 7 2" xfId="30524" xr:uid="{4C0D5AE6-EFC9-4BFA-B323-123CB782B2A7}"/>
    <cellStyle name="Normal 6 5 5" xfId="2071" xr:uid="{00000000-0005-0000-0000-0000CF020000}"/>
    <cellStyle name="Normal 6 5 5 2" xfId="4762" xr:uid="{58B42343-3889-4193-AB92-064DC779A64F}"/>
    <cellStyle name="Normal 6 5 5 3" xfId="30171" xr:uid="{1B9038EE-4F4C-4744-8861-25102551DC54}"/>
    <cellStyle name="Normal 6 5 5 3 2" xfId="30526" xr:uid="{438B0090-C4E0-4040-B6B8-2ED195399BE5}"/>
    <cellStyle name="Normal 6 5 5 4" xfId="31511" xr:uid="{22A88986-2C4B-4B97-B1CE-8329EB5EAAF9}"/>
    <cellStyle name="Normal 6 5 6" xfId="30115" xr:uid="{8D7A58C9-2680-41F9-B10A-5FB6EB00FD95}"/>
    <cellStyle name="Normal 6 5 6 2" xfId="30476" xr:uid="{6AC3E222-93E2-4ED5-A04F-8AD2183A95F8}"/>
    <cellStyle name="Normal 6 6" xfId="1313" xr:uid="{00000000-0005-0000-0000-0000F2060000}"/>
    <cellStyle name="Normal 6 6 10" xfId="30157" xr:uid="{52A1F13F-0078-432B-BBAA-5F6768E9F38E}"/>
    <cellStyle name="Normal 6 6 10 2" xfId="31504"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3 4 4" xfId="30223" xr:uid="{1E0F7A3C-2BD1-4F71-A059-2E52E4FFE1B1}"/>
    <cellStyle name="Normal 6 6 3 3 4 4 2" xfId="31367" xr:uid="{0CD2B232-A623-46D5-BE56-9B0330ABDEE6}"/>
    <cellStyle name="Normal 6 6 3 3 4 5" xfId="31563" xr:uid="{644EB2C4-45E6-4172-BD45-78B17057F6A4}"/>
    <cellStyle name="Normal 6 6 3 3 5" xfId="30463" xr:uid="{904D57A7-5920-484C-BF65-E06F982671D6}"/>
    <cellStyle name="Normal 6 6 3 3 6" xfId="30543" xr:uid="{45581F97-261A-4B5F-B6BF-52BB811941F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3 4 3 3" xfId="30283" xr:uid="{43EAA275-4ABE-462B-9447-B627D0C084F1}"/>
    <cellStyle name="Normal 6 6 3 4 3 3 2" xfId="31426" xr:uid="{93AAD6B1-80BF-4EEF-8D5D-CD727227AB72}"/>
    <cellStyle name="Normal 6 6 3 4 3 4" xfId="31623"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3 3 3" xfId="30284" xr:uid="{A757C1CC-289F-47DA-B927-DF3F89752397}"/>
    <cellStyle name="Normal 6 6 4 2 3 3 3 2" xfId="31427" xr:uid="{E50733EF-7DA7-4CC6-8EE1-0A08A8F17A48}"/>
    <cellStyle name="Normal 6 6 4 2 3 3 4" xfId="31624" xr:uid="{116C31C3-ADCC-4EDA-827C-4B657CD536F0}"/>
    <cellStyle name="Normal 6 6 4 2 4" xfId="24612" xr:uid="{0E019910-37DE-43E1-BDD5-941731A48A83}"/>
    <cellStyle name="Normal 6 6 4 3" xfId="1326" xr:uid="{00000000-0005-0000-0000-000000070000}"/>
    <cellStyle name="Normal 6 6 4 4" xfId="2980" xr:uid="{00000000-0005-0000-0000-0000D1070000}"/>
    <cellStyle name="Normal 6 6 4 4 2" xfId="31286" xr:uid="{19635C23-0322-4BD8-97B1-5DC1FA748C5B}"/>
    <cellStyle name="Normal 6 6 4 5" xfId="2143" xr:uid="{00000000-0005-0000-0000-0000E6020000}"/>
    <cellStyle name="Normal 6 6 4 5 2" xfId="4636" xr:uid="{BD1045AF-7E49-48EA-AF41-B1E7071CB221}"/>
    <cellStyle name="Normal 6 6 4 5 3" xfId="30224" xr:uid="{6D024BB1-BCE9-45B1-B4E9-3324C92FA7CE}"/>
    <cellStyle name="Normal 6 6 4 5 3 2" xfId="31368" xr:uid="{A3F6340C-D451-475A-A982-207B891A2261}"/>
    <cellStyle name="Normal 6 6 4 5 4" xfId="31564" xr:uid="{E815B1D5-FDA4-48C8-A684-C03B7EE3E407}"/>
    <cellStyle name="Normal 6 6 4 6" xfId="4047" xr:uid="{7E3C1600-D01B-4C17-A3C8-5A48EC2345CF}"/>
    <cellStyle name="Normal 6 6 4 6 2" xfId="4715" xr:uid="{68449821-113B-44E2-90F0-E71E4937E5CF}"/>
    <cellStyle name="Normal 6 6 4 6 3" xfId="30339" xr:uid="{4FEA25DB-3C81-4F82-B8DE-5FCA09BE2E0B}"/>
    <cellStyle name="Normal 6 6 4 6 3 2" xfId="31481" xr:uid="{1305EA02-9F5C-4ACE-9E7C-1E5681505D17}"/>
    <cellStyle name="Normal 6 6 4 6 4" xfId="31679" xr:uid="{6C3874CC-609C-48F8-B7E4-A3BC65EC6DA6}"/>
    <cellStyle name="Normal 6 6 4 7" xfId="30158" xr:uid="{5E7B4808-922D-4165-8936-0598A0A6DAFF}"/>
    <cellStyle name="Normal 6 6 4 7 2" xfId="30527"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2 3" xfId="30350" xr:uid="{3218E97D-CD8C-4646-865A-D9FE354D3366}"/>
    <cellStyle name="Normal 6 6 6 3 2 3 2" xfId="31490" xr:uid="{3CAE3964-BC01-4657-A282-A605E568255D}"/>
    <cellStyle name="Normal 6 6 6 3 2 4" xfId="31690" xr:uid="{678B2E18-3999-4540-B1B8-C66D5ECF9D30}"/>
    <cellStyle name="Normal 6 6 6 3 3" xfId="25364" xr:uid="{25F2D5BA-2D6F-4E91-8FBB-4B9D252657D9}"/>
    <cellStyle name="Normal 6 6 6 4" xfId="2153" xr:uid="{00000000-0005-0000-0000-0000E9020000}"/>
    <cellStyle name="Normal 6 6 6 4 2" xfId="4691" xr:uid="{114F1330-7415-461B-B792-61BE07D55AC7}"/>
    <cellStyle name="Normal 6 6 6 4 3" xfId="30234" xr:uid="{F58AE918-38CD-4E0E-A2D9-09149BED6B00}"/>
    <cellStyle name="Normal 6 6 6 4 3 2" xfId="31378" xr:uid="{4B856CE8-FBE5-40B9-9BC7-A62E57FFCD5D}"/>
    <cellStyle name="Normal 6 6 6 4 4" xfId="31574" xr:uid="{4C1B4E78-3692-4AD9-812B-F104F8C9273E}"/>
    <cellStyle name="Normal 6 6 6 5" xfId="4096" xr:uid="{E42903F7-CF43-4BB8-AC03-F1EB46C1FC19}"/>
    <cellStyle name="Normal 6 6 6 5 2" xfId="4767" xr:uid="{2CC1BF88-5B5D-4701-8916-7B15CC9D2D01}"/>
    <cellStyle name="Normal 6 6 6 5 3" xfId="30348" xr:uid="{98CCC825-4A1A-42E6-B1AA-0E2C69D86523}"/>
    <cellStyle name="Normal 6 6 6 5 3 2" xfId="30469" xr:uid="{4FBD431D-8DEA-4803-A24A-7EA12E3C3A28}"/>
    <cellStyle name="Normal 6 6 6 5 4" xfId="31688" xr:uid="{C49B3C7B-D919-4712-AAA7-9D97D397881B}"/>
    <cellStyle name="Normal 6 6 6 6" xfId="25714" xr:uid="{CE44424C-FDE2-4274-9AAC-2B2782EEB566}"/>
    <cellStyle name="Normal 6 6 6 6 2" xfId="26403" xr:uid="{DEBDC983-AB32-4C69-A2AF-B29A4C97979C}"/>
    <cellStyle name="Normal 6 6 6 6 3" xfId="31163" xr:uid="{BD47C53A-D048-4DE0-B9CB-CDDE1C18DAB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7 3 3" xfId="30285" xr:uid="{2C0FF210-3F32-4667-BC76-A197BDA7207F}"/>
    <cellStyle name="Normal 6 6 7 3 3 2" xfId="31428" xr:uid="{AD38E9A4-55DA-497D-9BB3-C9C7088878B7}"/>
    <cellStyle name="Normal 6 6 7 3 4" xfId="31625" xr:uid="{42646DD9-025F-4705-9E62-4F3B5975772E}"/>
    <cellStyle name="Normal 6 6 8" xfId="2141" xr:uid="{00000000-0005-0000-0000-0000E0020000}"/>
    <cellStyle name="Normal 6 6 8 2" xfId="4774" xr:uid="{C961BEA7-4CED-4BA6-BDFD-A714A0F418E5}"/>
    <cellStyle name="Normal 6 6 8 3" xfId="30222" xr:uid="{37158C93-C128-47BC-9E38-D6AD1178AECA}"/>
    <cellStyle name="Normal 6 6 8 3 2" xfId="31366" xr:uid="{872114F9-D194-46EE-A5D9-EE1B0BAD18D4}"/>
    <cellStyle name="Normal 6 6 8 4" xfId="31562" xr:uid="{3F39477A-ED45-441A-A75D-B419A820AC75}"/>
    <cellStyle name="Normal 6 6 9" xfId="4046" xr:uid="{A50BAD3F-B140-4A20-83B4-791B93C5BDD0}"/>
    <cellStyle name="Normal 6 6 9 2" xfId="4823" xr:uid="{7CDE7D59-F383-4AF9-8CAA-D8B18AFC360A}"/>
    <cellStyle name="Normal 6 6 9 3" xfId="30338" xr:uid="{3A6A9E50-0BA5-4941-9213-B78E13DA814B}"/>
    <cellStyle name="Normal 6 6 9 3 2" xfId="31480" xr:uid="{6013DB08-71B5-4C90-970E-D19F82C70232}"/>
    <cellStyle name="Normal 6 6 9 4" xfId="31678" xr:uid="{53DDC73E-BA27-4E23-88D4-7A4DBD3D816F}"/>
    <cellStyle name="Normal 6 7" xfId="29575" xr:uid="{949E648E-1627-4304-B1D4-9DF911CA9729}"/>
    <cellStyle name="Normal 6 7 2" xfId="29632" xr:uid="{0E90CD01-BDD5-4813-BF65-92255AD7581D}"/>
    <cellStyle name="Normal 6 7 2 2" xfId="31251" xr:uid="{93E5B342-B8B5-4605-BBB7-D65BB0DA361E}"/>
    <cellStyle name="Normal 6 7 2 3" xfId="30419" xr:uid="{12179D78-6B54-4E06-83B0-9939D6079D0B}"/>
    <cellStyle name="Normal 6 7 3" xfId="29611" xr:uid="{7AF28517-C91E-49FA-99C2-5F623D4C0532}"/>
    <cellStyle name="Normal 6 7 3 2" xfId="29651" xr:uid="{53DFD4C6-C645-4A38-ACB5-6A77D465B439}"/>
    <cellStyle name="Normal 6 7 3 3" xfId="30393" xr:uid="{A5E5D95B-DDD1-4A2C-BD44-CABFE47ABDB3}"/>
    <cellStyle name="Normal 6 7 3 4" xfId="30380" xr:uid="{5155BC23-F086-4F1A-906F-131E56510975}"/>
    <cellStyle name="Normal 6 7 3 4 2" xfId="31719" xr:uid="{2BC8B870-CC42-4F6F-B727-0ADF1FB26729}"/>
    <cellStyle name="Normal 6 7 4" xfId="29640" xr:uid="{BF5B92AD-058E-4424-9669-B083BD07B8A2}"/>
    <cellStyle name="Normal 6 7 5" xfId="30367" xr:uid="{F68FEA24-123A-403F-96BE-EBB35A98CD3A}"/>
    <cellStyle name="Normal 6 7 5 2" xfId="31245" xr:uid="{E6CAD0FF-2279-4F48-A47B-5AABE6331490}"/>
    <cellStyle name="Normal 6 7 5 3" xfId="31706" xr:uid="{5A1A3DA2-D180-456E-AB85-E966B8A9EF63}"/>
    <cellStyle name="Normal 6 8" xfId="31497" xr:uid="{87BFBF72-39C8-449B-BCD7-58E40C532503}"/>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2 4" xfId="31106" xr:uid="{30963E68-DF7F-441E-B851-E7A8DAB34A08}"/>
    <cellStyle name="Normal 7 14 2 2 5" xfId="30421" xr:uid="{B8C63CF5-2E3D-473B-81DF-62C1DAE53521}"/>
    <cellStyle name="Normal 7 14 2 3" xfId="12176" xr:uid="{14EEB91B-D8F9-4F06-B344-22845EF1E6AA}"/>
    <cellStyle name="Normal 7 14 2 3 2" xfId="22556" xr:uid="{3B072E4D-49A0-409B-9BD9-9B2AAEACA31C}"/>
    <cellStyle name="Normal 7 14 2 4" xfId="24584" xr:uid="{5942702B-591C-4132-A5C1-66F61F49F937}"/>
    <cellStyle name="Normal 7 14 2 4 2" xfId="31154" xr:uid="{DFD19340-27A1-4EB4-9771-AFF3F37C5F8F}"/>
    <cellStyle name="Normal 7 14 2 4 3" xfId="30528" xr:uid="{097927A9-822F-4CE1-ABAF-BC40902279A8}"/>
    <cellStyle name="Normal 7 14 2 5" xfId="16890" xr:uid="{683ACCB9-7C62-4B63-B4F1-090AB6DAC786}"/>
    <cellStyle name="Normal 7 14 2 6" xfId="30416" xr:uid="{CAAFDBF3-936A-463B-A3A3-49A746E7DF3C}"/>
    <cellStyle name="Normal 7 14 3" xfId="5400" xr:uid="{FAC9975F-8F2F-4E63-A9C3-9F3C1010A589}"/>
    <cellStyle name="Normal 7 14 3 2" xfId="25774" xr:uid="{8D397C2B-E913-4504-B12F-1B0EE6347D16}"/>
    <cellStyle name="Normal 7 14 3 2 2" xfId="30609" xr:uid="{8CB35ADA-85AD-456B-A4A2-9E7935D7A153}"/>
    <cellStyle name="Normal 7 14 3 2 3" xfId="30628" xr:uid="{844DF4E4-5553-4C45-8863-EB680F88D5AA}"/>
    <cellStyle name="Normal 7 14 3 2 4" xfId="30934" xr:uid="{01A695C0-06D1-4038-BF9D-2C5EAC4E3B89}"/>
    <cellStyle name="Normal 7 14 3 3" xfId="27633" xr:uid="{07857877-B5B2-4CEB-A569-43A78CB1FF4C}"/>
    <cellStyle name="Normal 7 14 3 3 2" xfId="30637" xr:uid="{B264691C-E730-4EB5-8788-D14FC0F420C6}"/>
    <cellStyle name="Normal 7 14 3 3 3" xfId="30947" xr:uid="{6CD0E69B-2973-47A6-BAED-35F716DDA0C5}"/>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6 3" xfId="30394" xr:uid="{FA523EAF-70B8-4AB1-B244-F2E2D64AD147}"/>
    <cellStyle name="Normal 7 14 3 6 4" xfId="30381" xr:uid="{D9D852A3-6220-47B4-992C-3A8987A5120D}"/>
    <cellStyle name="Normal 7 14 3 6 4 2" xfId="31720" xr:uid="{E0D828CE-13E3-40E8-9A67-00BAC0712D97}"/>
    <cellStyle name="Normal 7 14 3 7" xfId="29635" xr:uid="{34C97F94-45C7-4B15-9ED5-2C3B425DF668}"/>
    <cellStyle name="Normal 7 14 3 8" xfId="30368" xr:uid="{41672123-6C8D-4359-9C8E-48BF387564A2}"/>
    <cellStyle name="Normal 7 14 3 8 2" xfId="31707" xr:uid="{E814CD8D-8D5B-49AD-88A8-8E69D7486D14}"/>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4 5" xfId="30999" xr:uid="{2F8BC7AC-73B7-4F15-821E-FB071EE57409}"/>
    <cellStyle name="Normal 7 14 4 6" xfId="30420" xr:uid="{385EB25C-5F27-41F3-A609-38B7663A6BFD}"/>
    <cellStyle name="Normal 7 14 5" xfId="9983" xr:uid="{8235CE7C-372C-4318-A599-8E62C285DA7B}"/>
    <cellStyle name="Normal 7 14 5 2" xfId="29451" xr:uid="{AEDE9949-7169-4514-AE0E-4A891C24561E}"/>
    <cellStyle name="Normal 7 14 5 3" xfId="20363" xr:uid="{9449C78C-D33B-459C-BBF9-694343407FAB}"/>
    <cellStyle name="Normal 7 14 5 4" xfId="30939" xr:uid="{E0BCDBFB-8F60-42E5-B625-B2599670E8F5}"/>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2 4" xfId="30935" xr:uid="{33745800-52FB-4055-8019-A260A36BC408}"/>
    <cellStyle name="Normal 7 15 3" xfId="7557" xr:uid="{F1E98D2C-5E23-44D7-A17A-E7E508629C08}"/>
    <cellStyle name="Normal 7 15 3 2" xfId="17937" xr:uid="{AE558860-C380-4D33-B8F4-BAFABF7E14FC}"/>
    <cellStyle name="Normal 7 15 3 3" xfId="30948" xr:uid="{0DCC9790-3146-4601-AB3F-28C8BDFFB878}"/>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2 3" xfId="30950" xr:uid="{A45B824F-5108-4980-B469-78E9818C36B4}"/>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20 2" xfId="29834" xr:uid="{06A9DF73-34B1-440D-84B3-8A48C8702549}"/>
    <cellStyle name="Normal 7 20 2 2" xfId="31246" xr:uid="{209E63D4-6E49-46E2-AC41-4E8AA5C77F37}"/>
    <cellStyle name="Normal 7 21" xfId="29979" xr:uid="{9CE9C7A0-056C-44AD-A33D-E7968E3C6153}"/>
    <cellStyle name="Normal 7 21 2" xfId="31501" xr:uid="{FFA9F5D8-7DC6-4F24-B4CD-E82A02F1D2A8}"/>
    <cellStyle name="Normal 7 22" xfId="30111"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3 3 3" xfId="30286" xr:uid="{CC748A5D-0BEB-4944-8F3D-97F8CF0BB353}"/>
    <cellStyle name="Normal 7 3 3 2 3 2 3 3 3 2" xfId="31429" xr:uid="{6DA37E3D-007F-49C2-A12C-7354CDCD0FDC}"/>
    <cellStyle name="Normal 7 3 3 2 3 2 3 3 4" xfId="31626" xr:uid="{A591BBBB-0D4A-46D3-A04A-7C0B2D602A7C}"/>
    <cellStyle name="Normal 7 3 3 2 3 2 4" xfId="24308" xr:uid="{4F4781A6-ECE1-4C9E-AC58-6E5C10C0A2BA}"/>
    <cellStyle name="Normal 7 3 3 2 3 3" xfId="1362" xr:uid="{00000000-0005-0000-0000-000025070000}"/>
    <cellStyle name="Normal 7 3 3 2 3 4" xfId="2983" xr:uid="{00000000-0005-0000-0000-0000FA070000}"/>
    <cellStyle name="Normal 7 3 3 2 3 4 2" xfId="31276" xr:uid="{FE80F6DF-4597-4CFB-BBD3-5BE6A13FC5D1}"/>
    <cellStyle name="Normal 7 3 3 2 3 5" xfId="2145" xr:uid="{00000000-0005-0000-0000-0000F7020000}"/>
    <cellStyle name="Normal 7 3 3 2 3 5 2" xfId="4635" xr:uid="{4276D1A2-DC93-4587-8A35-0E2B48A1053D}"/>
    <cellStyle name="Normal 7 3 3 2 3 5 3" xfId="30226" xr:uid="{26797C4E-8D1E-4032-A1BF-A4CEED6C0C3E}"/>
    <cellStyle name="Normal 7 3 3 2 3 5 3 2" xfId="31370" xr:uid="{AE22E742-9D01-4013-99C2-F097DBB0C902}"/>
    <cellStyle name="Normal 7 3 3 2 3 5 4" xfId="31566" xr:uid="{44215A84-68FA-41D8-95CF-672B06952FBE}"/>
    <cellStyle name="Normal 7 3 3 2 3 6" xfId="4055" xr:uid="{B827FBD5-2E2E-4EC7-8D41-DDFF87CC148D}"/>
    <cellStyle name="Normal 7 3 3 2 3 6 2" xfId="4800" xr:uid="{41E9EAB1-F610-481E-9DBF-172EE15DBDDE}"/>
    <cellStyle name="Normal 7 3 3 2 3 6 3" xfId="30341" xr:uid="{1870D514-1782-4A72-924A-46F157C54A64}"/>
    <cellStyle name="Normal 7 3 3 2 3 6 3 2" xfId="31483" xr:uid="{10473CFF-088B-46C0-9F1B-6A43DFDE6F83}"/>
    <cellStyle name="Normal 7 3 3 2 3 6 4" xfId="31681" xr:uid="{A0C69ABB-68AB-49B8-8AA7-23CBE1147DF3}"/>
    <cellStyle name="Normal 7 3 3 2 3 7" xfId="30160" xr:uid="{780A71C4-DEF8-4E6E-ACC0-3655804A98B1}"/>
    <cellStyle name="Normal 7 3 3 2 3 7 2" xfId="30530" xr:uid="{0EEE45BB-0632-4849-9B3D-03E60AC02070}"/>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4 3 3 3" xfId="30395" xr:uid="{298B7D3F-FBD5-4460-93A9-F54645816E7E}"/>
    <cellStyle name="Normal 7 3 3 2 4 3 3 4" xfId="30382" xr:uid="{EB6E69B1-D944-4719-98E3-285669324B35}"/>
    <cellStyle name="Normal 7 3 3 2 4 3 3 4 2" xfId="31721" xr:uid="{C95F887A-0DE3-4885-9933-DFDC3C26B10C}"/>
    <cellStyle name="Normal 7 3 3 2 4 3 4" xfId="30369" xr:uid="{51F68BB7-1CBC-471B-8C45-133EBC2770D2}"/>
    <cellStyle name="Normal 7 3 3 2 4 3 4 2" xfId="31708" xr:uid="{9A461396-9683-439E-A844-9F185B081F12}"/>
    <cellStyle name="Normal 7 3 3 2 5" xfId="2144" xr:uid="{00000000-0005-0000-0000-0000F5020000}"/>
    <cellStyle name="Normal 7 3 3 2 5 2" xfId="4663" xr:uid="{8519FF03-5F6D-4EB4-B933-25C9AA886D70}"/>
    <cellStyle name="Normal 7 3 3 2 5 3" xfId="30225" xr:uid="{3961AF33-EFDD-4226-A841-E3976186FFD4}"/>
    <cellStyle name="Normal 7 3 3 2 5 3 2" xfId="31369" xr:uid="{16EBF1E3-7968-444B-8C3D-D7DC786844C8}"/>
    <cellStyle name="Normal 7 3 3 2 5 4" xfId="31565" xr:uid="{214AA77A-3A32-4BAE-847A-D697B49E96EA}"/>
    <cellStyle name="Normal 7 3 3 2 6" xfId="4054" xr:uid="{0F69AA1D-AABD-4773-8E71-6D7F88104E7D}"/>
    <cellStyle name="Normal 7 3 3 2 6 2" xfId="4706" xr:uid="{FBE10302-99A6-4D2B-BB8D-B20AC5081845}"/>
    <cellStyle name="Normal 7 3 3 2 6 3" xfId="30340" xr:uid="{A37C4874-8220-4154-9C48-359C73DA2E56}"/>
    <cellStyle name="Normal 7 3 3 2 6 3 2" xfId="31482" xr:uid="{1468B4C2-4CC6-4853-886D-572963C37F80}"/>
    <cellStyle name="Normal 7 3 3 2 6 4" xfId="31680" xr:uid="{70321CC2-308C-492B-9C17-C00F1D0D05E8}"/>
    <cellStyle name="Normal 7 3 3 2 7" xfId="30159" xr:uid="{FA8D9B86-1118-4618-BB6D-43B775B037D2}"/>
    <cellStyle name="Normal 7 3 3 2 7 2" xfId="30529"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2 2" xfId="30080" xr:uid="{3537F8E7-8F63-4952-A614-60ED7C47A13A}"/>
    <cellStyle name="Normal 7 3 3 4 2 2 2 3" xfId="3762" xr:uid="{00000000-0005-0000-0000-00008B060000}"/>
    <cellStyle name="Normal 7 3 3 4 2 2 2 3 2" xfId="4690" xr:uid="{FFDAA0C2-4A8B-4197-B6CC-922603129983}"/>
    <cellStyle name="Normal 7 3 3 4 2 2 2 3 3" xfId="30287" xr:uid="{A5F56370-D827-4B99-ABC8-6275F53DD26A}"/>
    <cellStyle name="Normal 7 3 3 4 2 2 2 3 3 2" xfId="31430" xr:uid="{1B7941D8-E613-4CAB-A60E-F55CDB998239}"/>
    <cellStyle name="Normal 7 3 3 4 2 2 2 3 4" xfId="31627" xr:uid="{07B95D85-B905-48E7-BD19-0355BFAB2114}"/>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4 3" xfId="30228" xr:uid="{F67EB70F-E06D-4EBB-9414-4F6A0ABDCA9A}"/>
    <cellStyle name="Normal 7 3 3 4 2 3 4 3 2" xfId="31372" xr:uid="{150FAA65-DC89-4157-9322-130B051ADE2F}"/>
    <cellStyle name="Normal 7 3 3 4 2 3 4 4" xfId="31568" xr:uid="{BC1256C2-D523-4DD4-AA26-053BFC807901}"/>
    <cellStyle name="Normal 7 3 3 4 2 3 5" xfId="24402" xr:uid="{AE0E1D6A-38CA-406E-AE73-788945631526}"/>
    <cellStyle name="Normal 7 3 3 4 2 3 6" xfId="30544" xr:uid="{AC01CEC4-5B95-4E42-8FF7-121F69B77E99}"/>
    <cellStyle name="Normal 7 3 3 4 2 4" xfId="23708" xr:uid="{E6762BC0-4988-4223-B09E-CC35F0BD73AE}"/>
    <cellStyle name="Normal 7 3 3 4 3" xfId="1372" xr:uid="{00000000-0005-0000-0000-000031070000}"/>
    <cellStyle name="Normal 7 3 3 4 4" xfId="2984" xr:uid="{00000000-0005-0000-0000-000003080000}"/>
    <cellStyle name="Normal 7 3 3 4 4 2" xfId="31290" xr:uid="{9F4A7FD4-2CC3-4D75-A163-54E002A5B431}"/>
    <cellStyle name="Normal 7 3 3 4 5" xfId="2146" xr:uid="{00000000-0005-0000-0000-0000FA020000}"/>
    <cellStyle name="Normal 7 3 3 4 5 2" xfId="4023" xr:uid="{6D2F6D47-4728-4B49-AE2E-D503982C4500}"/>
    <cellStyle name="Normal 7 3 3 4 5 3" xfId="30227" xr:uid="{B4C65A3C-9A2A-47E6-ACA6-EABEB7F3EC73}"/>
    <cellStyle name="Normal 7 3 3 4 5 3 2" xfId="31371" xr:uid="{16A1F998-BDD9-48F0-A1CA-3C3865A23834}"/>
    <cellStyle name="Normal 7 3 3 4 5 4" xfId="31567" xr:uid="{C81BDD7A-E442-49FA-9146-5D12360A9450}"/>
    <cellStyle name="Normal 7 3 3 4 6" xfId="4056" xr:uid="{3D663429-9E72-4EFF-8B04-88C376DF2815}"/>
    <cellStyle name="Normal 7 3 3 4 6 2" xfId="4796" xr:uid="{AEA4314F-DE64-4934-8CDE-F04585260C3B}"/>
    <cellStyle name="Normal 7 3 3 4 6 3" xfId="30342" xr:uid="{6116923A-F62C-4F9F-A326-D07A8FD4381A}"/>
    <cellStyle name="Normal 7 3 3 4 6 3 2" xfId="31484" xr:uid="{CDC4F293-C87D-4A0F-B788-8B9E787F9DF4}"/>
    <cellStyle name="Normal 7 3 3 4 6 4" xfId="31682" xr:uid="{85689CFE-9FF2-4DE3-9BD0-535F40259C97}"/>
    <cellStyle name="Normal 7 3 3 4 7" xfId="30161" xr:uid="{52394549-E29E-4278-9C6A-6C4AFCC85D43}"/>
    <cellStyle name="Normal 7 3 3 4 7 2" xfId="30531" xr:uid="{79991904-AF5C-4236-8DCF-6C2BEDC43AA3}"/>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3 4" xfId="30288" xr:uid="{7DB1975E-D21E-4CBF-9637-4AE3E6D74C12}"/>
    <cellStyle name="Normal 7 3 3 5 3 4 2" xfId="31431" xr:uid="{99ECBF59-1354-4783-BEAE-B7E19B25B945}"/>
    <cellStyle name="Normal 7 3 3 5 3 5" xfId="31628" xr:uid="{7D588285-A419-4667-B536-46B1B8B1ACDD}"/>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3 3 3" xfId="30289" xr:uid="{30109096-014C-4DA2-92E3-E5015E0ECB5D}"/>
    <cellStyle name="Normal 7 3 4 3 2 3 3 3 2" xfId="31432" xr:uid="{EAB0C2EA-DC67-4172-92E3-7F9D56EB00AD}"/>
    <cellStyle name="Normal 7 3 4 3 2 3 3 4" xfId="31629" xr:uid="{9BD9345E-9D68-4A3B-B175-A464CEC94D75}"/>
    <cellStyle name="Normal 7 3 4 3 2 4" xfId="25414" xr:uid="{F055F10B-64A1-40D8-B460-1A174561E6AE}"/>
    <cellStyle name="Normal 7 3 4 3 3" xfId="1381" xr:uid="{00000000-0005-0000-0000-00003B070000}"/>
    <cellStyle name="Normal 7 3 4 3 4" xfId="2985" xr:uid="{00000000-0005-0000-0000-000009080000}"/>
    <cellStyle name="Normal 7 3 4 3 4 2" xfId="31299" xr:uid="{51B7DBEA-ED31-4954-9F86-83029453074D}"/>
    <cellStyle name="Normal 7 3 4 3 5" xfId="2149" xr:uid="{00000000-0005-0000-0000-000001030000}"/>
    <cellStyle name="Normal 7 3 4 3 5 2" xfId="4669" xr:uid="{E82F8251-A2EF-493C-99EC-798453FDB072}"/>
    <cellStyle name="Normal 7 3 4 3 5 3" xfId="30230" xr:uid="{A6924A06-14A6-48AE-A85A-4DABC1CC13E5}"/>
    <cellStyle name="Normal 7 3 4 3 5 3 2" xfId="31374" xr:uid="{C8D4E907-8DE5-4032-99CD-497732C57A8C}"/>
    <cellStyle name="Normal 7 3 4 3 5 4" xfId="31570" xr:uid="{2AED3941-1FFB-4F03-B67E-AF20682A3540}"/>
    <cellStyle name="Normal 7 3 4 3 6" xfId="4058" xr:uid="{19AF6C94-1102-41EB-A615-06CFDA2F78F6}"/>
    <cellStyle name="Normal 7 3 4 3 6 2" xfId="4819" xr:uid="{0CC34133-4C51-4581-8706-421D8E52AF25}"/>
    <cellStyle name="Normal 7 3 4 3 6 3" xfId="30344" xr:uid="{F2BB3124-6AE4-40BC-B519-5A61E185E003}"/>
    <cellStyle name="Normal 7 3 4 3 6 3 2" xfId="31486" xr:uid="{6FDB91E1-41FC-4670-9B2F-D9DC69D295B1}"/>
    <cellStyle name="Normal 7 3 4 3 6 4" xfId="31684" xr:uid="{94F26B9A-DF18-4DFF-9BB3-356E8653AEE6}"/>
    <cellStyle name="Normal 7 3 4 3 7" xfId="30163" xr:uid="{8FB8729F-E256-4613-98CA-4EC4024F1636}"/>
    <cellStyle name="Normal 7 3 4 3 7 2" xfId="30533" xr:uid="{D8F8BCBD-9FA9-4694-BE0E-FA68B6A82F77}"/>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4 3 3" xfId="30290" xr:uid="{33067305-5030-4C44-A096-EB1A04AB9E17}"/>
    <cellStyle name="Normal 7 3 4 4 3 3 2" xfId="31433" xr:uid="{5464B581-FC1F-4F05-88EE-62C6E6E88CAA}"/>
    <cellStyle name="Normal 7 3 4 4 3 4" xfId="31630" xr:uid="{0A8F1EDA-FA33-459B-B2F0-524CCFD0733E}"/>
    <cellStyle name="Normal 7 3 4 5" xfId="2148" xr:uid="{00000000-0005-0000-0000-0000FF020000}"/>
    <cellStyle name="Normal 7 3 4 5 2" xfId="4676" xr:uid="{62B191F5-1F42-4E10-9F64-94BCDEA70967}"/>
    <cellStyle name="Normal 7 3 4 5 3" xfId="30229" xr:uid="{754916DA-38F4-4DB4-AC60-276D3B784FE8}"/>
    <cellStyle name="Normal 7 3 4 5 3 2" xfId="31373" xr:uid="{044A87F7-8EA1-490E-9C8D-11D6D6BAE37E}"/>
    <cellStyle name="Normal 7 3 4 5 4" xfId="31569" xr:uid="{5DA86EC8-8286-4878-8542-77217A13FFA4}"/>
    <cellStyle name="Normal 7 3 4 6" xfId="4057" xr:uid="{FA0FC87F-FC4E-4E3F-98FE-B3C6B8313692}"/>
    <cellStyle name="Normal 7 3 4 6 2" xfId="4766" xr:uid="{56DF81AD-9939-4BBA-9856-A8B717C867ED}"/>
    <cellStyle name="Normal 7 3 4 6 3" xfId="30343" xr:uid="{B20B5A7A-FDC4-4249-8466-A745C0238C84}"/>
    <cellStyle name="Normal 7 3 4 6 3 2" xfId="31485" xr:uid="{A0200AC4-E0FC-4EF7-BE2C-B088557646B3}"/>
    <cellStyle name="Normal 7 3 4 6 4" xfId="31683" xr:uid="{3694F6B6-85D0-4B9D-A3E8-21FFBEDC8837}"/>
    <cellStyle name="Normal 7 3 4 7" xfId="30162" xr:uid="{547D83AB-00BA-499B-81A0-779EECACE4D6}"/>
    <cellStyle name="Normal 7 3 4 7 2" xfId="30532" xr:uid="{C34CEC2F-9910-42A5-A6D6-E9823FE39A10}"/>
    <cellStyle name="Normal 7 3 5" xfId="2072" xr:uid="{00000000-0005-0000-0000-0000F2020000}"/>
    <cellStyle name="Normal 7 3 5 2" xfId="4780" xr:uid="{2BC8EFBC-06F5-4C7E-B0DC-F1B8E24A78E5}"/>
    <cellStyle name="Normal 7 3 5 3" xfId="30172" xr:uid="{DECA1B29-BBE5-4B43-B1E4-970DDF40EAFE}"/>
    <cellStyle name="Normal 7 3 5 3 2" xfId="30534" xr:uid="{1E65DB43-42EC-4ED4-993E-326E053D0E1B}"/>
    <cellStyle name="Normal 7 3 5 4" xfId="31512" xr:uid="{62585BCE-F536-46B9-8EFD-7DDBD82F7D6A}"/>
    <cellStyle name="Normal 7 3 6" xfId="29580" xr:uid="{F508C06F-0760-4DB3-8A82-A860AE1FCD26}"/>
    <cellStyle name="Normal 7 3 6 2" xfId="31247" xr:uid="{35461E4B-121A-4F8F-8CB4-021E38307A97}"/>
    <cellStyle name="Normal 7 3 6 3" xfId="30477" xr:uid="{EA0BC44F-1276-48AD-906F-6873BECD3DA1}"/>
    <cellStyle name="Normal 7 3 7" xfId="30116" xr:uid="{AA681422-51CE-46B6-A8B2-24AE11AA003A}"/>
    <cellStyle name="Normal 7 3 7 2" xfId="31502" xr:uid="{57282A1B-C9B2-4738-A048-DE5BEE2B6052}"/>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3 3 3" xfId="30291" xr:uid="{CB1BD4F2-F63B-4AC6-A611-52768EB82BEB}"/>
    <cellStyle name="Normal 7 6 10 2 3 3 3 2" xfId="31434" xr:uid="{39266993-B013-4166-A920-C26B0A484995}"/>
    <cellStyle name="Normal 7 6 10 2 3 3 4" xfId="31631" xr:uid="{E1F93840-EE29-493B-A5F9-44A29EBD528D}"/>
    <cellStyle name="Normal 7 6 10 2 4" xfId="25604" xr:uid="{1F88F4F4-8E7E-4A10-9831-AB18C3F05F2C}"/>
    <cellStyle name="Normal 7 6 10 3" xfId="1466" xr:uid="{00000000-0005-0000-0000-000092070000}"/>
    <cellStyle name="Normal 7 6 10 4" xfId="2998" xr:uid="{00000000-0005-0000-0000-0000DB080000}"/>
    <cellStyle name="Normal 7 6 10 4 2" xfId="31283" xr:uid="{69027C77-DB7A-41A6-AD44-B417C9A1F73E}"/>
    <cellStyle name="Normal 7 6 10 5" xfId="2151" xr:uid="{00000000-0005-0000-0000-000024030000}"/>
    <cellStyle name="Normal 7 6 10 5 2" xfId="4681" xr:uid="{64225ED7-B81F-4829-937E-4C8F86992647}"/>
    <cellStyle name="Normal 7 6 10 5 3" xfId="30232" xr:uid="{E8A66BD3-D076-4AC4-9CB9-C69A4F84E392}"/>
    <cellStyle name="Normal 7 6 10 5 3 2" xfId="31376" xr:uid="{D1DAB6D5-9CCE-40FC-902D-9DEE317FF735}"/>
    <cellStyle name="Normal 7 6 10 5 4" xfId="31572" xr:uid="{11601000-5713-4821-958F-68BE4ED60597}"/>
    <cellStyle name="Normal 7 6 10 6" xfId="4079" xr:uid="{5A04D94C-6FA8-4354-90B5-CFB60835C8E6}"/>
    <cellStyle name="Normal 7 6 10 6 2" xfId="4824" xr:uid="{0FEEC669-8F27-4B5E-8A98-CFDB8125CE32}"/>
    <cellStyle name="Normal 7 6 10 6 3" xfId="30346" xr:uid="{F9587E97-63EE-407D-AB4F-67E8F50E4485}"/>
    <cellStyle name="Normal 7 6 10 6 3 2" xfId="31488" xr:uid="{1B8E676E-0AA8-4F0A-8F3B-F346F6626895}"/>
    <cellStyle name="Normal 7 6 10 6 4" xfId="31686" xr:uid="{8B0FF327-4B58-4E9D-B7E2-13B7E118E2F7}"/>
    <cellStyle name="Normal 7 6 10 7" xfId="30165" xr:uid="{12C3815A-038F-484F-AD47-98D3CF0EAE5F}"/>
    <cellStyle name="Normal 7 6 10 7 2" xfId="30535" xr:uid="{0238211A-81EA-4FE4-8F6A-61EEA3D894FA}"/>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2 3" xfId="30351" xr:uid="{32EA88A3-08AC-49A9-88D9-78D4B3CF965A}"/>
    <cellStyle name="Normal 7 6 12 3 2 3 2" xfId="31491" xr:uid="{4E36D0A4-F1F3-4DA5-BD91-14C17BE12718}"/>
    <cellStyle name="Normal 7 6 12 3 2 4" xfId="31691" xr:uid="{4EB2BB40-362C-4EB4-A380-9BF8050F35EC}"/>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5 3" xfId="30235" xr:uid="{83457AE9-53E7-4626-824E-8BAF1E027614}"/>
    <cellStyle name="Normal 7 6 12 5 3 2" xfId="30408" xr:uid="{BBED2A49-C521-4234-9A68-3423CCBF2CC3}"/>
    <cellStyle name="Normal 7 6 12 5 4" xfId="31575" xr:uid="{F51BCC98-4641-44BA-970F-92381F3BC744}"/>
    <cellStyle name="Normal 7 6 12 6" xfId="4107" xr:uid="{30A2C7AC-688D-49BA-80A4-9263C9BFA06B}"/>
    <cellStyle name="Normal 7 6 12 6 2" xfId="4760" xr:uid="{A9321574-1AD7-4B70-B5D3-A6DF307B9A1E}"/>
    <cellStyle name="Normal 7 6 12 6 3" xfId="30349" xr:uid="{92066A0A-D760-4CC8-B1AD-E90895EDD322}"/>
    <cellStyle name="Normal 7 6 12 6 3 2" xfId="30470" xr:uid="{F372F407-C5C1-421C-B0DA-539207397CF2}"/>
    <cellStyle name="Normal 7 6 12 6 4" xfId="31689" xr:uid="{AF9DAF71-AEF0-46C2-AF8D-5CD1CE61D7A8}"/>
    <cellStyle name="Normal 7 6 12 7" xfId="25333" xr:uid="{F7D8B81A-047F-48C6-A186-A40F67FBBC1A}"/>
    <cellStyle name="Normal 7 6 12 7 2" xfId="26410" xr:uid="{92E5298E-5151-4BC5-8530-0F8A55FB4F6C}"/>
    <cellStyle name="Normal 7 6 12 7 3" xfId="31158" xr:uid="{2374E897-A2DD-4365-809D-E07045FA949F}"/>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3 4" xfId="30292" xr:uid="{FAC2BF2A-86D0-46D4-9C19-960A9118AE4A}"/>
    <cellStyle name="Normal 7 6 14 3 4 2" xfId="31435" xr:uid="{1A077638-1BB3-4622-90A7-D76601927321}"/>
    <cellStyle name="Normal 7 6 14 3 5" xfId="31632" xr:uid="{F015D07E-7A10-4562-9261-1F62D0680FB5}"/>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7 4" xfId="30231" xr:uid="{22805842-D57A-4294-947D-0526512732D1}"/>
    <cellStyle name="Normal 7 6 17 4 2" xfId="31375" xr:uid="{3A52D4CE-12B1-451F-B61D-7FA7D4D520E5}"/>
    <cellStyle name="Normal 7 6 17 5" xfId="31571" xr:uid="{F2A4B6CE-C68B-42CC-9C27-3F458A1293BD}"/>
    <cellStyle name="Normal 7 6 18" xfId="4078" xr:uid="{0FEC4EED-31A4-4E9D-A539-4F81C2FE41D8}"/>
    <cellStyle name="Normal 7 6 18 2" xfId="4693" xr:uid="{BF19DB26-08D9-499A-A4F6-1D49D2A37102}"/>
    <cellStyle name="Normal 7 6 18 3" xfId="30345" xr:uid="{097B12CA-5FBD-4FCE-AC04-16616058D705}"/>
    <cellStyle name="Normal 7 6 18 3 2" xfId="31487" xr:uid="{FF36C13B-12D4-45EE-9BDA-D2A65682F0F4}"/>
    <cellStyle name="Normal 7 6 18 4" xfId="31685" xr:uid="{84FA38DB-E8D3-4A3F-894E-B6DF80BE9978}"/>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10" xfId="29982" xr:uid="{04EAF5DC-CECD-4DF5-8341-46D11520E3B2}"/>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4 3" xfId="29856" xr:uid="{F5A0251C-89B3-4ED2-B453-D31D90B62909}"/>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2 7 2" xfId="29683" xr:uid="{9C6F49DB-D23B-4106-9F39-763D45CC4D93}"/>
    <cellStyle name="Normal 7 6 2 2 2 7 2 2" xfId="31156" xr:uid="{319D062E-984D-495E-A6B1-EDF1A68F4600}"/>
    <cellStyle name="Normal 7 6 2 2 2 8" xfId="29671" xr:uid="{A6916481-21A3-435F-B144-A91FBB42ED2B}"/>
    <cellStyle name="Normal 7 6 2 2 2 9" xfId="29837" xr:uid="{9D9C830E-9D27-4D5D-A596-7040B62EB861}"/>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4 2" xfId="29747" xr:uid="{5D856566-71DC-4B60-BA54-4AAFB41ABC56}"/>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21" xfId="29836" xr:uid="{14591012-5BF2-4661-84EF-D3C202A421F1}"/>
    <cellStyle name="Normal 7 6 21 2" xfId="31505" xr:uid="{AE07DE1B-668E-4B16-88FD-3A9EC54BD8AE}"/>
    <cellStyle name="Normal 7 6 22" xfId="29981" xr:uid="{9BCCC15C-78C9-486F-A701-1A52E6003D5D}"/>
    <cellStyle name="Normal 7 6 23" xfId="30164" xr:uid="{49D357EA-AD67-4E3B-A3C0-C67DEDCA22C2}"/>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4 2" xfId="29786" xr:uid="{AEE5E8D0-64E0-4EF2-B258-9A2F3F526AE1}"/>
    <cellStyle name="Normal 7 6 3 3 2 2 5" xfId="24559" xr:uid="{B922943A-682E-4BDA-97D1-4B15684C58BE}"/>
    <cellStyle name="Normal 7 6 3 3 2 2 6" xfId="14086" xr:uid="{962D000C-A1AC-4453-ACAB-73642BEFA1C9}"/>
    <cellStyle name="Normal 7 6 3 3 2 3" xfId="3493" xr:uid="{00000000-0005-0000-0000-000006090000}"/>
    <cellStyle name="Normal 7 6 3 3 2 3 2" xfId="30074" xr:uid="{32C9490F-223B-4F54-991F-4B3A7967E779}"/>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2 2" xfId="29806" xr:uid="{5B30EC69-E692-4A67-825D-515A3CD295B3}"/>
    <cellStyle name="Normal 7 6 3 3 2 5 3" xfId="23112" xr:uid="{8B9C337C-9F1F-4B71-B33C-4BBF8768F2B4}"/>
    <cellStyle name="Normal 7 6 3 3 2 5 3 2" xfId="30094" xr:uid="{704ABBA2-7391-4C03-A229-8C5BE6596277}"/>
    <cellStyle name="Normal 7 6 3 3 2 5 4" xfId="25624" xr:uid="{08F19465-FA20-4EFC-BDBA-F333EA0FE99C}"/>
    <cellStyle name="Normal 7 6 3 3 2 5 5" xfId="30293" xr:uid="{B0B0FC5E-A681-4C7A-9402-587E6D246449}"/>
    <cellStyle name="Normal 7 6 3 3 2 5 5 2" xfId="31436" xr:uid="{0C479F8B-31BC-4A83-A9FF-C393F1C53DF5}"/>
    <cellStyle name="Normal 7 6 3 3 2 5 6" xfId="31633" xr:uid="{30D63F68-2665-4D62-BFD1-4D3B105583A0}"/>
    <cellStyle name="Normal 7 6 3 3 2 6" xfId="23049" xr:uid="{6A1329E9-4F61-4AE7-A038-DC47D92FCBA5}"/>
    <cellStyle name="Normal 7 6 3 3 2 6 2" xfId="31146" xr:uid="{34B83ACE-44A3-4940-AFE5-B4EF022905B3}"/>
    <cellStyle name="Normal 7 6 3 3 2 6 3" xfId="30914" xr:uid="{6E2A21CD-035E-489F-A7DE-293D595960DB}"/>
    <cellStyle name="Normal 7 6 3 3 2 7" xfId="13327" xr:uid="{F64208F4-0E3F-4CEE-8256-88031B63933C}"/>
    <cellStyle name="Normal 7 6 3 3 2 8" xfId="30926" xr:uid="{9FCF0968-A979-4539-AD90-D2D9D79CDAFE}"/>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2 4" xfId="29816" xr:uid="{A6D295F5-EE7B-4174-AF97-372C2354F921}"/>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2 2" xfId="29819" xr:uid="{780A20BF-D728-490A-A368-FF54E81B0461}"/>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2 3" xfId="31107" xr:uid="{8CB3474E-5571-49FA-AE72-8D5E115219A0}"/>
    <cellStyle name="Normal 7 6 3 3 3 4 2 4" xfId="30915" xr:uid="{DE5E27BB-B822-402D-923F-F9EA10B0EB4E}"/>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5 2" xfId="29710" xr:uid="{04BD60D3-49F8-449A-9143-0C78D84BF8AD}"/>
    <cellStyle name="Normal 7 6 3 3 3 5 2 2" xfId="30953" xr:uid="{B3D80988-D845-47B0-B2DE-F9006412263D}"/>
    <cellStyle name="Normal 7 6 3 3 3 6" xfId="22964" xr:uid="{A39247FC-957C-4179-8B1D-E102D3CFAC6C}"/>
    <cellStyle name="Normal 7 6 3 3 3 6 2" xfId="29674" xr:uid="{CA9E9E34-311D-47F7-9DA7-90D58AC2FE83}"/>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2 5" xfId="30570" xr:uid="{84B7872D-76F9-4A5E-9DB5-AB13DBD0B9B6}"/>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6 3" xfId="30233" xr:uid="{6645CF52-C51C-46A3-B69A-670BFF6D043C}"/>
    <cellStyle name="Normal 7 6 3 3 6 3 2" xfId="31377" xr:uid="{9C0664F1-2BC2-4486-BD5C-A88F2827CD6E}"/>
    <cellStyle name="Normal 7 6 3 3 6 4" xfId="31573" xr:uid="{B935607C-FA16-46A0-8678-73DBE2437CBD}"/>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3 2" xfId="31185" xr:uid="{6E7833E5-778C-465E-8DE0-065A447A6E20}"/>
    <cellStyle name="Normal 7 6 3 3 7 4" xfId="27627" xr:uid="{D690042B-48A8-4B37-88B6-2BF49BC9445A}"/>
    <cellStyle name="Normal 7 6 3 3 7 5" xfId="30347" xr:uid="{9CC4D4A5-A59A-485D-9725-F0B5952F9150}"/>
    <cellStyle name="Normal 7 6 3 3 7 5 2" xfId="31489" xr:uid="{7896352E-95E3-41EA-B176-36FF0CEE565A}"/>
    <cellStyle name="Normal 7 6 3 3 7 6" xfId="31687" xr:uid="{D11F685F-83BD-4E7B-A8DA-FFB6C0997B38}"/>
    <cellStyle name="Normal 7 6 3 3 8" xfId="29682" xr:uid="{DDD031FA-DD35-4F20-99A5-AA11D3C98D44}"/>
    <cellStyle name="Normal 7 6 3 3 8 2" xfId="30545" xr:uid="{DE3B6B93-E2A5-480B-9010-B39AA1DCB833}"/>
    <cellStyle name="Normal 7 6 3 3 9" xfId="29670" xr:uid="{5A811436-6D74-48D3-AB9A-EE7538A6A6FC}"/>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6 9 2" xfId="30417" xr:uid="{AB45C2D4-D1A5-4191-A2B5-6B3B04A57500}"/>
    <cellStyle name="Normal 7 6 9 3" xfId="30418" xr:uid="{878EED05-4C5D-4667-BCA2-DAD249232A25}"/>
    <cellStyle name="Normal 7 6 9 3 2" xfId="30571" xr:uid="{1BBA716F-322A-443F-9F1C-34B4B91E48F1}"/>
    <cellStyle name="Normal 7 6 9 3 2 2" xfId="30610" xr:uid="{4BD1B694-F951-4017-95A9-FF534FEB7058}"/>
    <cellStyle name="Normal 7 6 9 3 2 3" xfId="30629" xr:uid="{D926D891-B7C7-4693-8B9F-A282844D3DAF}"/>
    <cellStyle name="Normal 7 6 9 3 2 4" xfId="30936" xr:uid="{D974361E-AECE-4B32-BC25-92B53BFBEF24}"/>
    <cellStyle name="Normal 7 6 9 3 3" xfId="30597" xr:uid="{1CB22FE2-C93E-4B7A-9F83-F05BC42F8988}"/>
    <cellStyle name="Normal 7 6 9 3 3 2" xfId="30638" xr:uid="{0E85BEEA-8502-4FB9-9D7B-9B39FC6894C4}"/>
    <cellStyle name="Normal 7 6 9 3 3 3" xfId="30949" xr:uid="{10A0B2B1-C014-460B-B97B-1F8715293478}"/>
    <cellStyle name="Normal 7 6 9 3 4" xfId="30626" xr:uid="{D5B2EEA1-BA41-4ECF-8645-DC7FCB362E6F}"/>
    <cellStyle name="Normal 7 6 9 3 5" xfId="30924" xr:uid="{59272B79-6782-498A-A565-B27F383EE7E8}"/>
    <cellStyle name="Normal 7 6 9 4" xfId="30574" xr:uid="{AF443EFD-BF75-488F-8C96-3A07A286175C}"/>
    <cellStyle name="Normal 7 6 9 4 2" xfId="30613" xr:uid="{93E0A71D-1FCA-4C1A-8893-2D82F9B7C858}"/>
    <cellStyle name="Normal 7 6 9 4 3" xfId="30632" xr:uid="{32F1BC2F-10D3-4E71-AD07-986C280704B2}"/>
    <cellStyle name="Normal 7 6 9 4 4" xfId="30940" xr:uid="{D4C2894F-E69E-46C0-825F-9DFEC6921BF8}"/>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7 2" xfId="30088" xr:uid="{2F6732B9-22B1-4277-B1A7-B0F33EDFCAEE}"/>
    <cellStyle name="Normal 9 4 7 2 2" xfId="30954" xr:uid="{A8188D3E-D4CD-4378-91D8-1EB48A3EF6B0}"/>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3 2" xfId="31302" xr:uid="{09740B15-9ABE-40E6-8871-06691DDF618A}"/>
    <cellStyle name="Note 4 2 4" xfId="3769" xr:uid="{00000000-0005-0000-0000-0000E60E0000}"/>
    <cellStyle name="Note 4 2 4 2" xfId="4802" xr:uid="{E4762291-6E3E-40C0-B2A3-FBA7791D5340}"/>
    <cellStyle name="Note 4 2 4 3" xfId="30294" xr:uid="{F6CC97B8-D329-47AB-B30B-38088FA4AA4F}"/>
    <cellStyle name="Note 4 2 4 3 2" xfId="31437" xr:uid="{8DF259B6-D8D6-4B9D-B39D-3D52A6097811}"/>
    <cellStyle name="Note 4 2 4 4" xfId="31634" xr:uid="{E29E150E-84A6-4520-A31C-C74B5C1F5214}"/>
    <cellStyle name="Note 4 3" xfId="1545" xr:uid="{00000000-0005-0000-0000-0000E2070000}"/>
    <cellStyle name="Note 4 3 2" xfId="30097" xr:uid="{9537CA53-C3FD-4E87-AC66-BA3C054C1009}"/>
    <cellStyle name="Note 4 4" xfId="2073" xr:uid="{00000000-0005-0000-0000-000049030000}"/>
    <cellStyle name="Note 4 4 2" xfId="4791" xr:uid="{EAC7EE03-6B36-4A5D-889D-B815EC9F9048}"/>
    <cellStyle name="Note 4 4 3" xfId="30173" xr:uid="{F6441C75-DAA1-4486-B072-CAFC56088476}"/>
    <cellStyle name="Note 4 4 3 2" xfId="31317" xr:uid="{A51A4A51-59A9-4DA4-BAC6-6B498B98295B}"/>
    <cellStyle name="Note 4 4 4" xfId="31513" xr:uid="{46BB7552-C9F7-4992-BB91-1408BCB3217B}"/>
    <cellStyle name="Note 4 5" xfId="29583" xr:uid="{24FEBD0B-5ABA-49D8-AC25-4DA966B23BF8}"/>
    <cellStyle name="Note 4 5 2" xfId="31248" xr:uid="{179223E0-4C3A-4691-A628-3421C1D9764F}"/>
    <cellStyle name="Note 4 5 3" xfId="30548" xr:uid="{6CEC5488-D223-4DCD-BE4A-44A97B40BB66}"/>
    <cellStyle name="Note 5" xfId="12255" xr:uid="{E1364BB4-A0A2-46F5-BB38-05901CCE3206}"/>
    <cellStyle name="Note 5 2" xfId="22634" xr:uid="{E297CF68-B359-40C9-8CC6-73BC50F6502C}"/>
    <cellStyle name="Note 6" xfId="30917" xr:uid="{568266BE-1B4B-4D3A-B271-E6A359140DD3}"/>
    <cellStyle name="Note 6 2" xfId="30951" xr:uid="{BC9386E2-C514-49C7-8749-71E76C1309B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3" xfId="29585" xr:uid="{8FB87725-886D-4A62-BBA8-4FA9FB880D61}"/>
    <cellStyle name="Percent 3" xfId="1550" xr:uid="{00000000-0005-0000-0000-0000E7070000}"/>
    <cellStyle name="Percent 3 2" xfId="2034" xr:uid="{00000000-0005-0000-0000-0000E8070000}"/>
    <cellStyle name="Percent 3 2 2" xfId="24401" xr:uid="{D0B85497-BCB7-44B3-90B9-F34C3207B46F}"/>
    <cellStyle name="Percent 3 2 2 2" xfId="29826" xr:uid="{75C23271-7EC3-43D0-8BA4-69F636E29421}"/>
    <cellStyle name="Percent 3 2 3" xfId="24242" xr:uid="{2ACE85BF-3B3C-4EA3-8A82-C46C5C94E5DC}"/>
    <cellStyle name="Percent 3 3" xfId="2035" xr:uid="{00000000-0005-0000-0000-0000E9070000}"/>
    <cellStyle name="Percent 3 3 2" xfId="31314" xr:uid="{BBC1F203-4A2A-48B7-9BD9-1716E25CC9AC}"/>
    <cellStyle name="Percent 3 3 3" xfId="31266" xr:uid="{8085B9E8-E0F4-4AC1-ADD7-5A40211A939D}"/>
    <cellStyle name="Percent 3 4" xfId="2033" xr:uid="{00000000-0005-0000-0000-0000EA070000}"/>
    <cellStyle name="Percent 3 5" xfId="30405" xr:uid="{0945A6B3-A411-4FFC-8192-180DB5988AA0}"/>
    <cellStyle name="Percent 3 5 2" xfId="30464" xr:uid="{63EB7186-FCEB-4D7E-9110-B36DEB064572}"/>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2 4 2" xfId="29999" xr:uid="{DBA75EBB-88DC-4000-A3DE-7A773AC8CB6F}"/>
    <cellStyle name="Percent 4 2 5" xfId="29655" xr:uid="{C102B639-DE72-4927-A796-0F496C3DDD1A}"/>
    <cellStyle name="Percent 4 3" xfId="2038" xr:uid="{00000000-0005-0000-0000-0000ED070000}"/>
    <cellStyle name="Percent 4 3 2" xfId="29736" xr:uid="{2BDC7087-3D0C-4FA8-ACBA-F106235DF4E2}"/>
    <cellStyle name="Percent 4 3 3" xfId="29668" xr:uid="{6A17D060-249E-4F71-900C-08F938E35D8F}"/>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Percent 7" xfId="30409" xr:uid="{BD67580D-48EC-4ABF-B2EE-570D90A532C8}"/>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2 2" xfId="29810" xr:uid="{D4E7F262-7E61-4687-B06C-E107D8296DF9}"/>
    <cellStyle name="Style 1 2 2 3" xfId="25778" xr:uid="{C9F19B91-F5E5-4CD7-BE8E-78C05D2BCD6F}"/>
    <cellStyle name="Style 1 2 3" xfId="2041" xr:uid="{00000000-0005-0000-0000-0000F3070000}"/>
    <cellStyle name="Style 1 2 3 2" xfId="31315" xr:uid="{5D03057C-9A71-4F1B-9674-72DE10B21C86}"/>
    <cellStyle name="Style 1 2 3 3" xfId="31269" xr:uid="{FAC42ECE-AC01-4F74-8A11-03C4263CADAB}"/>
    <cellStyle name="Style 1 2 4" xfId="2039" xr:uid="{00000000-0005-0000-0000-0000F4070000}"/>
    <cellStyle name="Style 1 2 5" xfId="30407" xr:uid="{2E6C0663-EF3E-4DBA-8EED-2A1EA035CBE7}"/>
    <cellStyle name="Style 1 2 5 2" xfId="30465" xr:uid="{F706DBF5-298E-4FDD-8401-13A891456247}"/>
    <cellStyle name="Style 1 3" xfId="1555" xr:uid="{00000000-0005-0000-0000-0000F5070000}"/>
    <cellStyle name="Style 1 4" xfId="2042" xr:uid="{00000000-0005-0000-0000-0000F6070000}"/>
    <cellStyle name="Style 1 4 2" xfId="24410" xr:uid="{ED030EBF-D663-412E-B3DF-AF45BED2AFE5}"/>
    <cellStyle name="Style 1 4 2 2" xfId="29831" xr:uid="{12EB135A-16A2-48C8-957C-56C95D4F0B94}"/>
    <cellStyle name="Style 1 4 3" xfId="25651" xr:uid="{8568525C-B3AA-4170-9749-B4F90608AC98}"/>
    <cellStyle name="Style 1 5" xfId="30406" xr:uid="{91B5FAB8-CE8E-4A1E-A86E-BA45CA647BF5}"/>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15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5" tint="0.79998168889431442"/>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5" formatCode=";;;"/>
    </dxf>
    <dxf>
      <numFmt numFmtId="185" formatCode=";;;"/>
    </dxf>
    <dxf>
      <numFmt numFmtId="185" formatCode=";;;"/>
    </dxf>
    <dxf>
      <numFmt numFmtId="185" formatCode=";;;"/>
    </dxf>
    <dxf>
      <numFmt numFmtId="185"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patternType="mediumGray">
          <bgColor theme="0" tint="-0.499984740745262"/>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patternType="mediumGray">
          <bgColor theme="0" tint="-0.34998626667073579"/>
        </patternFill>
      </fill>
    </dxf>
    <dxf>
      <fill>
        <patternFill patternType="mediumGray">
          <bgColor theme="0" tint="-0.34998626667073579"/>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patternType="mediumGray">
          <bgColor theme="0" tint="-0.34998626667073579"/>
        </patternFill>
      </fill>
    </dxf>
    <dxf>
      <fill>
        <patternFill>
          <bgColor rgb="FFFF5050"/>
        </patternFill>
      </fill>
    </dxf>
    <dxf>
      <fill>
        <patternFill>
          <bgColor rgb="FFFF5050"/>
        </patternFill>
      </fill>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numFmt numFmtId="185"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152"/>
      <tableStyleElement type="headerRow" dxfId="151"/>
      <tableStyleElement type="firstRowStripe" dxfId="150"/>
    </tableStyle>
  </tableStyles>
  <colors>
    <mruColors>
      <color rgb="FFCCFFFF"/>
      <color rgb="FFFFFFCC"/>
      <color rgb="FFCCFF66"/>
      <color rgb="FFFFCC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'PI series #'!$B$4</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#'!$B$6</c:f>
              <c:numCache>
                <c:formatCode>0.00%</c:formatCode>
                <c:ptCount val="1"/>
                <c:pt idx="0">
                  <c:v>#N/A</c:v>
                </c:pt>
              </c:numCache>
            </c:numRef>
          </c:val>
          <c:extLst>
            <c:ext xmlns:c16="http://schemas.microsoft.com/office/drawing/2014/chart" uri="{C3380CC4-5D6E-409C-BE32-E72D297353CC}">
              <c16:uniqueId val="{00000000-0FB8-451E-A31F-8106E5059BFB}"/>
            </c:ext>
          </c:extLst>
        </c:ser>
        <c:ser>
          <c:idx val="1"/>
          <c:order val="1"/>
          <c:tx>
            <c:strRef>
              <c:f>'PI series #'!$C$4</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#'!$C$6</c:f>
              <c:numCache>
                <c:formatCode>0.00%</c:formatCode>
                <c:ptCount val="1"/>
                <c:pt idx="0">
                  <c:v>#N/A</c:v>
                </c:pt>
              </c:numCache>
            </c:numRef>
          </c:val>
          <c:extLst>
            <c:ext xmlns:c16="http://schemas.microsoft.com/office/drawing/2014/chart" uri="{C3380CC4-5D6E-409C-BE32-E72D297353CC}">
              <c16:uniqueId val="{00000001-0FB8-451E-A31F-8106E5059BFB}"/>
            </c:ext>
          </c:extLst>
        </c:ser>
        <c:ser>
          <c:idx val="2"/>
          <c:order val="2"/>
          <c:tx>
            <c:strRef>
              <c:f>'PI series #'!$D$4</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#'!$D$6</c:f>
              <c:numCache>
                <c:formatCode>0.00%</c:formatCode>
                <c:ptCount val="1"/>
                <c:pt idx="0">
                  <c:v>0</c:v>
                </c:pt>
              </c:numCache>
            </c:numRef>
          </c:val>
          <c:extLst>
            <c:ext xmlns:c16="http://schemas.microsoft.com/office/drawing/2014/chart" uri="{C3380CC4-5D6E-409C-BE32-E72D297353CC}">
              <c16:uniqueId val="{00000002-0FB8-451E-A31F-8106E5059BFB}"/>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Ratio-Water and Sewer</a:t>
            </a:r>
          </a:p>
        </c:rich>
      </c:tx>
      <c:layout>
        <c:manualLayout>
          <c:xMode val="edge"/>
          <c:yMode val="edge"/>
          <c:x val="0.27314075943617855"/>
          <c:y val="8.0353678899756795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066776488305851E-2"/>
          <c:y val="0.2687675074815376"/>
          <c:w val="0.91147168803203105"/>
          <c:h val="0.59181995771713547"/>
        </c:manualLayout>
      </c:layout>
      <c:barChart>
        <c:barDir val="col"/>
        <c:grouping val="clustered"/>
        <c:varyColors val="0"/>
        <c:ser>
          <c:idx val="0"/>
          <c:order val="0"/>
          <c:tx>
            <c:strRef>
              <c:f>'PI series #'!$B$11</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#'!$B$12</c:f>
              <c:numCache>
                <c:formatCode>0.00</c:formatCode>
                <c:ptCount val="1"/>
                <c:pt idx="0">
                  <c:v>#N/A</c:v>
                </c:pt>
              </c:numCache>
            </c:numRef>
          </c:val>
          <c:extLst>
            <c:ext xmlns:c16="http://schemas.microsoft.com/office/drawing/2014/chart" uri="{C3380CC4-5D6E-409C-BE32-E72D297353CC}">
              <c16:uniqueId val="{00000000-EC99-4B84-819B-5FA53B597976}"/>
            </c:ext>
          </c:extLst>
        </c:ser>
        <c:ser>
          <c:idx val="1"/>
          <c:order val="1"/>
          <c:tx>
            <c:strRef>
              <c:f>'PI series #'!$C$11</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#'!$C$12</c:f>
              <c:numCache>
                <c:formatCode>0.00</c:formatCode>
                <c:ptCount val="1"/>
                <c:pt idx="0">
                  <c:v>#N/A</c:v>
                </c:pt>
              </c:numCache>
            </c:numRef>
          </c:val>
          <c:extLst>
            <c:ext xmlns:c16="http://schemas.microsoft.com/office/drawing/2014/chart" uri="{C3380CC4-5D6E-409C-BE32-E72D297353CC}">
              <c16:uniqueId val="{00000001-EC99-4B84-819B-5FA53B597976}"/>
            </c:ext>
          </c:extLst>
        </c:ser>
        <c:ser>
          <c:idx val="2"/>
          <c:order val="2"/>
          <c:tx>
            <c:strRef>
              <c:f>'PI series #'!$D$11</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#'!$D$12</c:f>
              <c:numCache>
                <c:formatCode>0.00</c:formatCode>
                <c:ptCount val="1"/>
                <c:pt idx="0">
                  <c:v>#N/A</c:v>
                </c:pt>
              </c:numCache>
            </c:numRef>
          </c:val>
          <c:extLst>
            <c:ext xmlns:c16="http://schemas.microsoft.com/office/drawing/2014/chart" uri="{C3380CC4-5D6E-409C-BE32-E72D297353CC}">
              <c16:uniqueId val="{00000002-EC99-4B84-819B-5FA53B597976}"/>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0.00"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layout>
        <c:manualLayout>
          <c:xMode val="edge"/>
          <c:yMode val="edge"/>
          <c:x val="0.37882602401356363"/>
          <c:y val="0.89314561268280834"/>
          <c:w val="0.24234779045462701"/>
          <c:h val="0.10142802940316899"/>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Ratio-Electric</a:t>
            </a:r>
          </a:p>
        </c:rich>
      </c:tx>
      <c:layout>
        <c:manualLayout>
          <c:xMode val="edge"/>
          <c:yMode val="edge"/>
          <c:x val="0.38390997231415752"/>
          <c:y val="8.5717737006803824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066776488305851E-2"/>
          <c:y val="0.2687675074815376"/>
          <c:w val="0.91147168803203105"/>
          <c:h val="0.59181995771713547"/>
        </c:manualLayout>
      </c:layout>
      <c:barChart>
        <c:barDir val="col"/>
        <c:grouping val="clustered"/>
        <c:varyColors val="0"/>
        <c:ser>
          <c:idx val="0"/>
          <c:order val="0"/>
          <c:tx>
            <c:strRef>
              <c:f>'PI series #'!$B$17</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#'!$B$18</c:f>
              <c:numCache>
                <c:formatCode>0.00</c:formatCode>
                <c:ptCount val="1"/>
                <c:pt idx="0">
                  <c:v>#N/A</c:v>
                </c:pt>
              </c:numCache>
            </c:numRef>
          </c:val>
          <c:extLst>
            <c:ext xmlns:c16="http://schemas.microsoft.com/office/drawing/2014/chart" uri="{C3380CC4-5D6E-409C-BE32-E72D297353CC}">
              <c16:uniqueId val="{00000000-A6EC-4DCA-A4FF-DAB01969D3CA}"/>
            </c:ext>
          </c:extLst>
        </c:ser>
        <c:ser>
          <c:idx val="1"/>
          <c:order val="1"/>
          <c:tx>
            <c:strRef>
              <c:f>'PI series #'!$C$17</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#'!$C$18</c:f>
              <c:numCache>
                <c:formatCode>0.00</c:formatCode>
                <c:ptCount val="1"/>
                <c:pt idx="0">
                  <c:v>#N/A</c:v>
                </c:pt>
              </c:numCache>
            </c:numRef>
          </c:val>
          <c:extLst>
            <c:ext xmlns:c16="http://schemas.microsoft.com/office/drawing/2014/chart" uri="{C3380CC4-5D6E-409C-BE32-E72D297353CC}">
              <c16:uniqueId val="{00000001-A6EC-4DCA-A4FF-DAB01969D3CA}"/>
            </c:ext>
          </c:extLst>
        </c:ser>
        <c:ser>
          <c:idx val="2"/>
          <c:order val="2"/>
          <c:tx>
            <c:strRef>
              <c:f>'PI series #'!$D$17</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#'!$D$18</c:f>
              <c:numCache>
                <c:formatCode>0.00</c:formatCode>
                <c:ptCount val="1"/>
                <c:pt idx="0">
                  <c:v>#N/A</c:v>
                </c:pt>
              </c:numCache>
            </c:numRef>
          </c:val>
          <c:extLst>
            <c:ext xmlns:c16="http://schemas.microsoft.com/office/drawing/2014/chart" uri="{C3380CC4-5D6E-409C-BE32-E72D297353CC}">
              <c16:uniqueId val="{00000002-A6EC-4DCA-A4FF-DAB01969D3CA}"/>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0.00"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'PI series #'!$B$4</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#'!$B$6</c:f>
              <c:numCache>
                <c:formatCode>0.00%</c:formatCode>
                <c:ptCount val="1"/>
                <c:pt idx="0">
                  <c:v>#N/A</c:v>
                </c:pt>
              </c:numCache>
            </c:numRef>
          </c:val>
          <c:extLst>
            <c:ext xmlns:c16="http://schemas.microsoft.com/office/drawing/2014/chart" uri="{C3380CC4-5D6E-409C-BE32-E72D297353CC}">
              <c16:uniqueId val="{00000000-D9E9-4F09-B4AB-5AEBE682FC95}"/>
            </c:ext>
          </c:extLst>
        </c:ser>
        <c:ser>
          <c:idx val="1"/>
          <c:order val="1"/>
          <c:tx>
            <c:strRef>
              <c:f>'PI series #'!$C$4</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#'!$C$6</c:f>
              <c:numCache>
                <c:formatCode>0.00%</c:formatCode>
                <c:ptCount val="1"/>
                <c:pt idx="0">
                  <c:v>#N/A</c:v>
                </c:pt>
              </c:numCache>
            </c:numRef>
          </c:val>
          <c:extLst>
            <c:ext xmlns:c16="http://schemas.microsoft.com/office/drawing/2014/chart" uri="{C3380CC4-5D6E-409C-BE32-E72D297353CC}">
              <c16:uniqueId val="{00000001-D9E9-4F09-B4AB-5AEBE682FC95}"/>
            </c:ext>
          </c:extLst>
        </c:ser>
        <c:ser>
          <c:idx val="2"/>
          <c:order val="2"/>
          <c:tx>
            <c:strRef>
              <c:f>'PI series #'!$D$4</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#'!$D$6</c:f>
              <c:numCache>
                <c:formatCode>0.00%</c:formatCode>
                <c:ptCount val="1"/>
                <c:pt idx="0">
                  <c:v>0</c:v>
                </c:pt>
              </c:numCache>
            </c:numRef>
          </c:val>
          <c:extLst>
            <c:ext xmlns:c16="http://schemas.microsoft.com/office/drawing/2014/chart" uri="{C3380CC4-5D6E-409C-BE32-E72D297353CC}">
              <c16:uniqueId val="{00000002-D9E9-4F09-B4AB-5AEBE682FC95}"/>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'PI series #'!$B$4</c:f>
              <c:strCache>
                <c:ptCount val="1"/>
                <c:pt idx="0">
                  <c:v>2019</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#'!$B$6</c:f>
              <c:numCache>
                <c:formatCode>0.00%</c:formatCode>
                <c:ptCount val="1"/>
                <c:pt idx="0">
                  <c:v>#N/A</c:v>
                </c:pt>
              </c:numCache>
            </c:numRef>
          </c:val>
          <c:extLst>
            <c:ext xmlns:c16="http://schemas.microsoft.com/office/drawing/2014/chart" uri="{C3380CC4-5D6E-409C-BE32-E72D297353CC}">
              <c16:uniqueId val="{00000000-DCD8-4BD2-BB91-ABDB6BD1EDAF}"/>
            </c:ext>
          </c:extLst>
        </c:ser>
        <c:ser>
          <c:idx val="1"/>
          <c:order val="1"/>
          <c:tx>
            <c:strRef>
              <c:f>'PI series #'!$C$4</c:f>
              <c:strCache>
                <c:ptCount val="1"/>
                <c:pt idx="0">
                  <c:v>2020</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#'!$C$6</c:f>
              <c:numCache>
                <c:formatCode>0.00%</c:formatCode>
                <c:ptCount val="1"/>
                <c:pt idx="0">
                  <c:v>#N/A</c:v>
                </c:pt>
              </c:numCache>
            </c:numRef>
          </c:val>
          <c:extLst>
            <c:ext xmlns:c16="http://schemas.microsoft.com/office/drawing/2014/chart" uri="{C3380CC4-5D6E-409C-BE32-E72D297353CC}">
              <c16:uniqueId val="{00000001-DCD8-4BD2-BB91-ABDB6BD1EDAF}"/>
            </c:ext>
          </c:extLst>
        </c:ser>
        <c:ser>
          <c:idx val="2"/>
          <c:order val="2"/>
          <c:tx>
            <c:strRef>
              <c:f>'PI series #'!$D$4</c:f>
              <c:strCache>
                <c:ptCount val="1"/>
                <c:pt idx="0">
                  <c:v>2021</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'PI series #'!$D$6</c:f>
              <c:numCache>
                <c:formatCode>0.00%</c:formatCode>
                <c:ptCount val="1"/>
                <c:pt idx="0">
                  <c:v>0</c:v>
                </c:pt>
              </c:numCache>
            </c:numRef>
          </c:val>
          <c:extLst>
            <c:ext xmlns:c16="http://schemas.microsoft.com/office/drawing/2014/chart" uri="{C3380CC4-5D6E-409C-BE32-E72D297353CC}">
              <c16:uniqueId val="{00000002-DCD8-4BD2-BB91-ABDB6BD1EDAF}"/>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xdr:col>
      <xdr:colOff>1952621</xdr:colOff>
      <xdr:row>46</xdr:row>
      <xdr:rowOff>266700</xdr:rowOff>
    </xdr:from>
    <xdr:to>
      <xdr:col>5</xdr:col>
      <xdr:colOff>3507101</xdr:colOff>
      <xdr:row>52</xdr:row>
      <xdr:rowOff>9525</xdr:rowOff>
    </xdr:to>
    <xdr:sp macro="" textlink="">
      <xdr:nvSpPr>
        <xdr:cNvPr id="2" name="Arrow: Right 1">
          <a:extLst>
            <a:ext uri="{FF2B5EF4-FFF2-40B4-BE49-F238E27FC236}">
              <a16:creationId xmlns:a16="http://schemas.microsoft.com/office/drawing/2014/main" id="{00000000-0008-0000-0200-000002000000}"/>
            </a:ext>
          </a:extLst>
        </xdr:cNvPr>
        <xdr:cNvSpPr/>
      </xdr:nvSpPr>
      <xdr:spPr>
        <a:xfrm>
          <a:off x="5848346" y="4791075"/>
          <a:ext cx="1554480" cy="137160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en-US" sz="950" b="1" i="1" baseline="0">
              <a:solidFill>
                <a:schemeClr val="tx1"/>
              </a:solidFill>
              <a:effectLst/>
              <a:latin typeface="+mn-lt"/>
              <a:ea typeface="+mn-ea"/>
              <a:cs typeface="+mn-cs"/>
            </a:rPr>
            <a:t>Q 955 &amp; 957 Exclude Federal and State compliance findings from this number</a:t>
          </a:r>
          <a:endParaRPr lang="en-US" sz="950" b="1" i="1">
            <a:solidFill>
              <a:schemeClr val="tx1"/>
            </a:solidFill>
            <a:effectLst/>
          </a:endParaRPr>
        </a:p>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353784</xdr:colOff>
      <xdr:row>8</xdr:row>
      <xdr:rowOff>176893</xdr:rowOff>
    </xdr:from>
    <xdr:to>
      <xdr:col>3</xdr:col>
      <xdr:colOff>1170214</xdr:colOff>
      <xdr:row>8</xdr:row>
      <xdr:rowOff>2286000</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340178</xdr:colOff>
      <xdr:row>13</xdr:row>
      <xdr:rowOff>68036</xdr:rowOff>
    </xdr:from>
    <xdr:to>
      <xdr:col>3</xdr:col>
      <xdr:colOff>1156608</xdr:colOff>
      <xdr:row>13</xdr:row>
      <xdr:rowOff>2408464</xdr:rowOff>
    </xdr:to>
    <xdr:graphicFrame macro="">
      <xdr:nvGraphicFramePr>
        <xdr:cNvPr id="3" name="Chart 1">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272144</xdr:colOff>
      <xdr:row>20</xdr:row>
      <xdr:rowOff>81643</xdr:rowOff>
    </xdr:from>
    <xdr:to>
      <xdr:col>3</xdr:col>
      <xdr:colOff>1088574</xdr:colOff>
      <xdr:row>20</xdr:row>
      <xdr:rowOff>2449286</xdr:rowOff>
    </xdr:to>
    <xdr:graphicFrame macro="">
      <xdr:nvGraphicFramePr>
        <xdr:cNvPr id="4" name="Chart 1">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0</xdr:col>
          <xdr:colOff>289560</xdr:colOff>
          <xdr:row>5</xdr:row>
          <xdr:rowOff>251460</xdr:rowOff>
        </xdr:from>
        <xdr:to>
          <xdr:col>5</xdr:col>
          <xdr:colOff>480060</xdr:colOff>
          <xdr:row>6</xdr:row>
          <xdr:rowOff>1203960</xdr:rowOff>
        </xdr:to>
        <xdr:sp macro="" textlink="">
          <xdr:nvSpPr>
            <xdr:cNvPr id="17409" name="Object 1" hidden="1">
              <a:extLst>
                <a:ext uri="{63B3BB69-23CF-44E3-9099-C40C66FF867C}">
                  <a14:compatExt spid="_x0000_s17409"/>
                </a:ext>
                <a:ext uri="{FF2B5EF4-FFF2-40B4-BE49-F238E27FC236}">
                  <a16:creationId xmlns:a16="http://schemas.microsoft.com/office/drawing/2014/main" id="{00000000-0008-0000-0400-0000014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0</xdr:col>
      <xdr:colOff>353784</xdr:colOff>
      <xdr:row>9</xdr:row>
      <xdr:rowOff>176893</xdr:rowOff>
    </xdr:from>
    <xdr:to>
      <xdr:col>3</xdr:col>
      <xdr:colOff>1170214</xdr:colOff>
      <xdr:row>9</xdr:row>
      <xdr:rowOff>2286000</xdr:rowOff>
    </xdr:to>
    <xdr:graphicFrame macro="">
      <xdr:nvGraphicFramePr>
        <xdr:cNvPr id="6" name="Chart 5">
          <a:extLst>
            <a:ext uri="{FF2B5EF4-FFF2-40B4-BE49-F238E27FC236}">
              <a16:creationId xmlns:a16="http://schemas.microsoft.com/office/drawing/2014/main" id="{00000000-0008-0000-04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353784</xdr:colOff>
      <xdr:row>10</xdr:row>
      <xdr:rowOff>176893</xdr:rowOff>
    </xdr:from>
    <xdr:to>
      <xdr:col>3</xdr:col>
      <xdr:colOff>1170214</xdr:colOff>
      <xdr:row>10</xdr:row>
      <xdr:rowOff>2286000</xdr:rowOff>
    </xdr:to>
    <xdr:graphicFrame macro="">
      <xdr:nvGraphicFramePr>
        <xdr:cNvPr id="7" name="Chart 6">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image" Target="../media/image1.emf"/><Relationship Id="rId4" Type="http://schemas.openxmlformats.org/officeDocument/2006/relationships/package" Target="../embeddings/Microsoft_Excel_Worksheet.xls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911DA-C403-46C9-8CF2-CA43982BBE97}">
  <sheetPr>
    <tabColor theme="4" tint="0.79998168889431442"/>
  </sheetPr>
  <dimension ref="B1:N58"/>
  <sheetViews>
    <sheetView tabSelected="1" zoomScaleNormal="100" workbookViewId="0">
      <selection activeCell="B2" sqref="B2"/>
    </sheetView>
  </sheetViews>
  <sheetFormatPr defaultColWidth="9.109375" defaultRowHeight="14.4" x14ac:dyDescent="0.3"/>
  <cols>
    <col min="1" max="1" width="1.6640625" style="267" customWidth="1"/>
    <col min="2" max="2" width="187.109375" style="267" customWidth="1"/>
    <col min="3" max="4" width="9.109375" style="267" hidden="1" customWidth="1"/>
    <col min="5" max="5" width="2.33203125" style="267" customWidth="1"/>
    <col min="6" max="6" width="8.109375" style="267" customWidth="1"/>
    <col min="7" max="16384" width="9.109375" style="267"/>
  </cols>
  <sheetData>
    <row r="1" spans="2:14" ht="9.6" customHeight="1" thickBot="1" x14ac:dyDescent="0.35">
      <c r="B1" s="174"/>
    </row>
    <row r="2" spans="2:14" ht="96.6" customHeight="1" thickBot="1" x14ac:dyDescent="0.35">
      <c r="B2" s="1242" t="s">
        <v>1805</v>
      </c>
    </row>
    <row r="3" spans="2:14" ht="58.2" customHeight="1" x14ac:dyDescent="0.3">
      <c r="B3" s="185" t="s">
        <v>1806</v>
      </c>
    </row>
    <row r="4" spans="2:14" ht="74.400000000000006" customHeight="1" x14ac:dyDescent="0.4">
      <c r="B4" s="185" t="s">
        <v>1807</v>
      </c>
      <c r="F4" s="1243"/>
      <c r="G4" s="1243"/>
      <c r="H4" s="1243"/>
      <c r="I4" s="1243"/>
      <c r="J4" s="1243"/>
      <c r="K4" s="1243"/>
      <c r="L4" s="1243"/>
      <c r="M4" s="1243"/>
      <c r="N4" s="1243"/>
    </row>
    <row r="5" spans="2:14" ht="49.2" customHeight="1" x14ac:dyDescent="0.3">
      <c r="B5" s="185" t="s">
        <v>1808</v>
      </c>
    </row>
    <row r="6" spans="2:14" ht="122.4" customHeight="1" x14ac:dyDescent="0.3">
      <c r="B6" s="175" t="s">
        <v>1809</v>
      </c>
    </row>
    <row r="7" spans="2:14" ht="25.95" customHeight="1" x14ac:dyDescent="0.3">
      <c r="B7" s="187" t="s">
        <v>872</v>
      </c>
    </row>
    <row r="8" spans="2:14" ht="51" customHeight="1" x14ac:dyDescent="0.3">
      <c r="B8" s="1244" t="s">
        <v>1810</v>
      </c>
    </row>
    <row r="9" spans="2:14" ht="53.4" customHeight="1" x14ac:dyDescent="0.3">
      <c r="B9" s="1244" t="s">
        <v>873</v>
      </c>
    </row>
    <row r="10" spans="2:14" s="1246" customFormat="1" ht="28.95" customHeight="1" x14ac:dyDescent="0.3">
      <c r="B10" s="1245" t="s">
        <v>874</v>
      </c>
    </row>
    <row r="11" spans="2:14" s="1246" customFormat="1" ht="51.6" customHeight="1" x14ac:dyDescent="0.3">
      <c r="B11" s="1247" t="s">
        <v>1811</v>
      </c>
    </row>
    <row r="12" spans="2:14" ht="47.4" customHeight="1" x14ac:dyDescent="0.3">
      <c r="B12" s="1247" t="s">
        <v>1812</v>
      </c>
    </row>
    <row r="13" spans="2:14" ht="32.4" customHeight="1" x14ac:dyDescent="0.3">
      <c r="B13" s="1248" t="s">
        <v>1813</v>
      </c>
    </row>
    <row r="14" spans="2:14" ht="25.95" customHeight="1" x14ac:dyDescent="0.3">
      <c r="B14" s="187" t="s">
        <v>875</v>
      </c>
    </row>
    <row r="15" spans="2:14" x14ac:dyDescent="0.3">
      <c r="B15" s="174"/>
    </row>
    <row r="16" spans="2:14" x14ac:dyDescent="0.3">
      <c r="B16" s="1249" t="s">
        <v>37</v>
      </c>
    </row>
    <row r="17" spans="2:2" ht="15.6" customHeight="1" x14ac:dyDescent="0.3">
      <c r="B17" s="1250" t="s">
        <v>1814</v>
      </c>
    </row>
    <row r="18" spans="2:2" x14ac:dyDescent="0.3">
      <c r="B18" s="1251"/>
    </row>
    <row r="19" spans="2:2" x14ac:dyDescent="0.3">
      <c r="B19" s="1249" t="s">
        <v>38</v>
      </c>
    </row>
    <row r="20" spans="2:2" ht="15.6" customHeight="1" x14ac:dyDescent="0.3">
      <c r="B20" s="1252" t="s">
        <v>675</v>
      </c>
    </row>
    <row r="21" spans="2:2" ht="13.2" customHeight="1" x14ac:dyDescent="0.3">
      <c r="B21" s="174"/>
    </row>
    <row r="22" spans="2:2" ht="25.95" customHeight="1" x14ac:dyDescent="0.3">
      <c r="B22" s="187" t="s">
        <v>876</v>
      </c>
    </row>
    <row r="23" spans="2:2" s="1246" customFormat="1" ht="66.599999999999994" customHeight="1" x14ac:dyDescent="0.3">
      <c r="B23" s="1244" t="s">
        <v>1815</v>
      </c>
    </row>
    <row r="24" spans="2:2" s="1246" customFormat="1" ht="84.6" customHeight="1" x14ac:dyDescent="0.3">
      <c r="B24" s="1244" t="s">
        <v>1816</v>
      </c>
    </row>
    <row r="25" spans="2:2" s="1246" customFormat="1" ht="87.6" customHeight="1" x14ac:dyDescent="0.3">
      <c r="B25" s="1244" t="s">
        <v>877</v>
      </c>
    </row>
    <row r="26" spans="2:2" ht="15" x14ac:dyDescent="0.3">
      <c r="B26" s="177" t="s">
        <v>1817</v>
      </c>
    </row>
    <row r="27" spans="2:2" ht="8.4" customHeight="1" x14ac:dyDescent="0.3">
      <c r="B27" s="176"/>
    </row>
    <row r="28" spans="2:2" ht="25.95" customHeight="1" x14ac:dyDescent="0.3">
      <c r="B28" s="187" t="s">
        <v>1818</v>
      </c>
    </row>
    <row r="29" spans="2:2" ht="17.399999999999999" customHeight="1" x14ac:dyDescent="0.3">
      <c r="B29" s="188" t="s">
        <v>1819</v>
      </c>
    </row>
    <row r="30" spans="2:2" ht="17.399999999999999" customHeight="1" x14ac:dyDescent="0.3">
      <c r="B30" s="188" t="s">
        <v>1820</v>
      </c>
    </row>
    <row r="31" spans="2:2" ht="22.95" customHeight="1" x14ac:dyDescent="0.3">
      <c r="B31" s="1253" t="s">
        <v>1821</v>
      </c>
    </row>
    <row r="32" spans="2:2" ht="20.399999999999999" customHeight="1" x14ac:dyDescent="0.3">
      <c r="B32" s="1253" t="s">
        <v>1822</v>
      </c>
    </row>
    <row r="33" spans="2:7" ht="21" customHeight="1" x14ac:dyDescent="0.3">
      <c r="B33" s="1254" t="s">
        <v>1823</v>
      </c>
    </row>
    <row r="34" spans="2:7" ht="25.95" customHeight="1" x14ac:dyDescent="0.3">
      <c r="B34" s="1255" t="s">
        <v>1824</v>
      </c>
    </row>
    <row r="35" spans="2:7" ht="49.2" customHeight="1" x14ac:dyDescent="0.3">
      <c r="B35" s="188" t="s">
        <v>1825</v>
      </c>
    </row>
    <row r="36" spans="2:7" ht="25.95" customHeight="1" x14ac:dyDescent="0.3">
      <c r="B36" s="188" t="s">
        <v>1826</v>
      </c>
    </row>
    <row r="37" spans="2:7" ht="12" customHeight="1" x14ac:dyDescent="0.3">
      <c r="B37" s="188"/>
    </row>
    <row r="38" spans="2:7" ht="25.95" customHeight="1" x14ac:dyDescent="0.3">
      <c r="B38" s="187" t="s">
        <v>1128</v>
      </c>
    </row>
    <row r="39" spans="2:7" x14ac:dyDescent="0.3">
      <c r="B39" s="186"/>
      <c r="G39" s="1256"/>
    </row>
    <row r="40" spans="2:7" ht="49.95" customHeight="1" x14ac:dyDescent="0.3">
      <c r="B40" s="1257" t="s">
        <v>1827</v>
      </c>
    </row>
    <row r="41" spans="2:7" ht="19.95" customHeight="1" x14ac:dyDescent="0.3">
      <c r="B41" s="1258" t="s">
        <v>1813</v>
      </c>
    </row>
    <row r="42" spans="2:7" ht="11.4" customHeight="1" x14ac:dyDescent="0.3">
      <c r="B42" s="189"/>
    </row>
    <row r="43" spans="2:7" ht="15" x14ac:dyDescent="0.3">
      <c r="B43" s="190"/>
    </row>
    <row r="44" spans="2:7" ht="7.2" customHeight="1" x14ac:dyDescent="0.3">
      <c r="B44" s="188"/>
    </row>
    <row r="45" spans="2:7" ht="25.95" customHeight="1" x14ac:dyDescent="0.3">
      <c r="B45" s="187" t="s">
        <v>1129</v>
      </c>
    </row>
    <row r="46" spans="2:7" ht="35.4" customHeight="1" x14ac:dyDescent="0.3">
      <c r="B46" s="1257" t="s">
        <v>1828</v>
      </c>
    </row>
    <row r="47" spans="2:7" ht="15" x14ac:dyDescent="0.3">
      <c r="B47" s="190"/>
    </row>
    <row r="58" ht="44.25" customHeight="1" x14ac:dyDescent="0.3"/>
  </sheetData>
  <sheetProtection formatCells="0" formatColumns="0" formatRows="0"/>
  <hyperlinks>
    <hyperlink ref="B17" r:id="rId1" xr:uid="{1548B882-079F-4CCB-8103-AE2AA1E23671}"/>
    <hyperlink ref="B20" r:id="rId2" xr:uid="{C2ED51AA-6D07-493C-87C1-DF08613F3C89}"/>
    <hyperlink ref="B41" r:id="rId3" xr:uid="{EB151B74-8FF1-4E92-9787-E487D1B26BAB}"/>
    <hyperlink ref="B13" r:id="rId4" xr:uid="{9CA164EA-8834-4FF6-808D-858760906CAB}"/>
  </hyperlinks>
  <pageMargins left="0.7" right="0.7" top="0.75" bottom="0.75" header="0.3" footer="0.3"/>
  <pageSetup orientation="landscape" r:id="rId5"/>
  <rowBreaks count="1" manualBreakCount="1">
    <brk id="37" min="1" max="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38B78-A2B6-4661-B34D-EE63136445DC}">
  <sheetPr codeName="Sheet11">
    <pageSetUpPr fitToPage="1"/>
  </sheetPr>
  <dimension ref="A1:CF418"/>
  <sheetViews>
    <sheetView topLeftCell="BT175" zoomScaleNormal="100" workbookViewId="0">
      <selection activeCell="E365" sqref="E365"/>
    </sheetView>
  </sheetViews>
  <sheetFormatPr defaultColWidth="9.109375" defaultRowHeight="14.4" x14ac:dyDescent="0.3"/>
  <cols>
    <col min="1" max="1" width="14" style="1146" customWidth="1"/>
    <col min="2" max="2" width="19.44140625" style="1159" customWidth="1"/>
    <col min="3" max="3" width="13.33203125" style="1146" customWidth="1"/>
    <col min="4" max="4" width="43.33203125" style="1146" customWidth="1"/>
    <col min="5" max="5" width="14.5546875" style="1146" bestFit="1" customWidth="1"/>
    <col min="6" max="6" width="15.6640625" style="1146" bestFit="1" customWidth="1"/>
    <col min="7" max="84" width="19" style="1146" customWidth="1"/>
    <col min="85" max="16384" width="9.109375" style="1146"/>
  </cols>
  <sheetData>
    <row r="1" spans="1:84" s="1148" customFormat="1" ht="28.8" x14ac:dyDescent="0.3">
      <c r="A1" s="1144" t="s">
        <v>1763</v>
      </c>
      <c r="B1" s="1145" t="s">
        <v>1764</v>
      </c>
      <c r="C1" s="1146" t="s">
        <v>567</v>
      </c>
      <c r="D1" s="1145"/>
      <c r="E1" s="1147" t="s">
        <v>567</v>
      </c>
      <c r="F1" s="1147" t="e">
        <v>#N/A</v>
      </c>
      <c r="G1" s="1147" t="s">
        <v>1622</v>
      </c>
      <c r="H1" s="1147" t="s">
        <v>1703</v>
      </c>
      <c r="I1" s="1147" t="s">
        <v>1704</v>
      </c>
      <c r="J1" s="1147" t="s">
        <v>1705</v>
      </c>
      <c r="K1" s="1147" t="s">
        <v>1706</v>
      </c>
      <c r="L1" s="1147" t="s">
        <v>974</v>
      </c>
      <c r="M1" s="1147" t="s">
        <v>1707</v>
      </c>
      <c r="N1" s="1147" t="s">
        <v>1708</v>
      </c>
      <c r="O1" s="1147" t="s">
        <v>1623</v>
      </c>
      <c r="P1" s="1147" t="s">
        <v>1709</v>
      </c>
      <c r="Q1" s="1147" t="s">
        <v>1710</v>
      </c>
      <c r="R1" s="1147" t="s">
        <v>1711</v>
      </c>
      <c r="S1" s="1147" t="s">
        <v>1712</v>
      </c>
      <c r="T1" s="1147" t="s">
        <v>975</v>
      </c>
      <c r="U1" s="1147" t="s">
        <v>1713</v>
      </c>
      <c r="V1" s="1147" t="s">
        <v>1714</v>
      </c>
      <c r="W1" s="1147" t="s">
        <v>1715</v>
      </c>
      <c r="X1" s="1147" t="s">
        <v>1716</v>
      </c>
      <c r="Y1" s="1147" t="s">
        <v>1717</v>
      </c>
      <c r="Z1" s="1147" t="s">
        <v>1718</v>
      </c>
      <c r="AA1" s="1147" t="s">
        <v>1719</v>
      </c>
      <c r="AB1" s="1147" t="s">
        <v>1720</v>
      </c>
      <c r="AC1" s="1147" t="s">
        <v>1624</v>
      </c>
      <c r="AD1" s="1147" t="s">
        <v>976</v>
      </c>
      <c r="AE1" s="1147" t="s">
        <v>1721</v>
      </c>
      <c r="AF1" s="1147" t="s">
        <v>1722</v>
      </c>
      <c r="AG1" s="1147" t="s">
        <v>1723</v>
      </c>
      <c r="AH1" s="1147" t="s">
        <v>1724</v>
      </c>
      <c r="AI1" s="1147" t="s">
        <v>1725</v>
      </c>
      <c r="AJ1" s="1147" t="s">
        <v>977</v>
      </c>
      <c r="AK1" s="1147" t="s">
        <v>1726</v>
      </c>
      <c r="AL1" s="1147" t="s">
        <v>1727</v>
      </c>
      <c r="AM1" s="1147" t="s">
        <v>1728</v>
      </c>
      <c r="AN1" s="1147" t="e">
        <v>#N/A</v>
      </c>
      <c r="AO1" s="1147" t="s">
        <v>1729</v>
      </c>
      <c r="AP1" s="1147" t="s">
        <v>979</v>
      </c>
      <c r="AQ1" s="1147" t="s">
        <v>980</v>
      </c>
      <c r="AR1" s="1147" t="s">
        <v>981</v>
      </c>
      <c r="AS1" s="1147" t="s">
        <v>1730</v>
      </c>
      <c r="AT1" s="1147" t="s">
        <v>1731</v>
      </c>
      <c r="AU1" s="1147" t="s">
        <v>1732</v>
      </c>
      <c r="AV1" s="1147" t="s">
        <v>983</v>
      </c>
      <c r="AW1" s="1147" t="s">
        <v>984</v>
      </c>
      <c r="AX1" s="1147" t="s">
        <v>1733</v>
      </c>
      <c r="AY1" s="1147" t="s">
        <v>1734</v>
      </c>
      <c r="AZ1" s="1147" t="s">
        <v>1735</v>
      </c>
      <c r="BA1" s="1147" t="s">
        <v>1736</v>
      </c>
      <c r="BB1" s="1147" t="s">
        <v>1737</v>
      </c>
      <c r="BC1" s="1147" t="s">
        <v>1738</v>
      </c>
      <c r="BD1" s="1147" t="s">
        <v>1739</v>
      </c>
      <c r="BE1" s="1147" t="s">
        <v>1740</v>
      </c>
      <c r="BF1" s="1147" t="s">
        <v>1741</v>
      </c>
      <c r="BG1" s="1147" t="s">
        <v>1742</v>
      </c>
      <c r="BH1" s="1147" t="s">
        <v>1743</v>
      </c>
      <c r="BI1" s="1147" t="s">
        <v>1744</v>
      </c>
      <c r="BJ1" s="1147" t="s">
        <v>1745</v>
      </c>
      <c r="BK1" s="1147" t="s">
        <v>1746</v>
      </c>
      <c r="BL1" s="1147" t="s">
        <v>1747</v>
      </c>
      <c r="BM1" s="1147" t="s">
        <v>1748</v>
      </c>
      <c r="BN1" s="1147" t="e">
        <v>#N/A</v>
      </c>
      <c r="BO1" s="1147" t="s">
        <v>988</v>
      </c>
      <c r="BP1" s="1147" t="s">
        <v>1749</v>
      </c>
      <c r="BQ1" s="1147" t="s">
        <v>1750</v>
      </c>
      <c r="BR1" s="1147" t="s">
        <v>1751</v>
      </c>
      <c r="BS1" s="1147" t="s">
        <v>1752</v>
      </c>
      <c r="BT1" s="1147" t="s">
        <v>1753</v>
      </c>
      <c r="BU1" s="1147" t="s">
        <v>1754</v>
      </c>
      <c r="BV1" s="1147" t="s">
        <v>1755</v>
      </c>
      <c r="BW1" s="1147" t="s">
        <v>1756</v>
      </c>
      <c r="BX1" s="1147" t="s">
        <v>1757</v>
      </c>
      <c r="BY1" s="1147" t="s">
        <v>1625</v>
      </c>
      <c r="BZ1" s="1147" t="s">
        <v>1758</v>
      </c>
      <c r="CA1" s="1147" t="s">
        <v>989</v>
      </c>
      <c r="CB1" s="1147" t="s">
        <v>990</v>
      </c>
      <c r="CC1" s="1148" t="s">
        <v>1759</v>
      </c>
      <c r="CD1" s="1148" t="s">
        <v>1760</v>
      </c>
      <c r="CE1" s="1148" t="s">
        <v>991</v>
      </c>
      <c r="CF1" s="1148" t="s">
        <v>992</v>
      </c>
    </row>
    <row r="2" spans="1:84" s="1148" customFormat="1" x14ac:dyDescent="0.3">
      <c r="A2" s="1149"/>
      <c r="B2" s="1150"/>
      <c r="C2" s="1150"/>
      <c r="D2" s="1150"/>
      <c r="E2" s="1151" t="s">
        <v>297</v>
      </c>
      <c r="F2" s="1151">
        <v>0</v>
      </c>
      <c r="G2" s="1151">
        <v>50255</v>
      </c>
      <c r="H2" s="1151">
        <v>50256</v>
      </c>
      <c r="I2" s="1151">
        <v>50558</v>
      </c>
      <c r="J2" s="1151">
        <v>50566</v>
      </c>
      <c r="K2" s="1151">
        <v>50562</v>
      </c>
      <c r="L2" s="1150">
        <v>50257</v>
      </c>
      <c r="M2" s="1152">
        <v>50555</v>
      </c>
      <c r="N2" s="1150">
        <v>50445</v>
      </c>
      <c r="O2" s="1152">
        <v>50452</v>
      </c>
      <c r="P2" s="1152">
        <v>50563</v>
      </c>
      <c r="Q2" s="1152">
        <v>50258</v>
      </c>
      <c r="R2" s="1152">
        <v>50523</v>
      </c>
      <c r="S2" s="1152">
        <v>50259</v>
      </c>
      <c r="T2" s="1152">
        <v>50260</v>
      </c>
      <c r="U2" s="1152">
        <v>50487</v>
      </c>
      <c r="V2" s="1152">
        <v>50261</v>
      </c>
      <c r="W2" s="1152">
        <v>50262</v>
      </c>
      <c r="X2" s="1152">
        <v>50263</v>
      </c>
      <c r="Y2" s="1152">
        <v>50264</v>
      </c>
      <c r="Z2" s="1152">
        <v>50265</v>
      </c>
      <c r="AA2" s="1152">
        <v>50266</v>
      </c>
      <c r="AB2" s="1152">
        <v>50267</v>
      </c>
      <c r="AC2" s="1152">
        <v>50268</v>
      </c>
      <c r="AD2" s="1152">
        <v>50269</v>
      </c>
      <c r="AE2" s="1152">
        <v>50270</v>
      </c>
      <c r="AF2" s="1152">
        <v>50271</v>
      </c>
      <c r="AG2" s="1152">
        <v>50272</v>
      </c>
      <c r="AH2" s="1152">
        <v>50273</v>
      </c>
      <c r="AI2" s="1152">
        <v>50274</v>
      </c>
      <c r="AJ2" s="1152">
        <v>50480</v>
      </c>
      <c r="AK2" s="1152">
        <v>50275</v>
      </c>
      <c r="AL2" s="1152">
        <v>50277</v>
      </c>
      <c r="AM2" s="1152">
        <v>50276</v>
      </c>
      <c r="AN2" s="1152">
        <v>0</v>
      </c>
      <c r="AO2" s="1152">
        <v>50279</v>
      </c>
      <c r="AP2" s="1152">
        <v>50280</v>
      </c>
      <c r="AQ2" s="1152">
        <v>50281</v>
      </c>
      <c r="AR2" s="1152">
        <v>50478</v>
      </c>
      <c r="AS2" s="1152">
        <v>50524</v>
      </c>
      <c r="AT2" s="1152">
        <v>50282</v>
      </c>
      <c r="AU2" s="1152">
        <v>50525</v>
      </c>
      <c r="AV2" s="1152">
        <v>50283</v>
      </c>
      <c r="AW2" s="1152">
        <v>50285</v>
      </c>
      <c r="AX2" s="1152">
        <v>50553</v>
      </c>
      <c r="AY2" s="1152">
        <v>50548</v>
      </c>
      <c r="AZ2" s="1152">
        <v>50284</v>
      </c>
      <c r="BA2" s="1152">
        <v>50286</v>
      </c>
      <c r="BB2" s="1152">
        <v>50287</v>
      </c>
      <c r="BC2" s="1152">
        <v>50288</v>
      </c>
      <c r="BD2" s="1152">
        <v>50290</v>
      </c>
      <c r="BE2" s="1152">
        <v>50564</v>
      </c>
      <c r="BF2" s="1152">
        <v>50289</v>
      </c>
      <c r="BG2" s="1152">
        <v>50291</v>
      </c>
      <c r="BH2" s="1152">
        <v>50292</v>
      </c>
      <c r="BI2" s="1152">
        <v>50293</v>
      </c>
      <c r="BJ2" s="1152">
        <v>50463</v>
      </c>
      <c r="BK2" s="1152">
        <v>50294</v>
      </c>
      <c r="BL2" s="1152">
        <v>50538</v>
      </c>
      <c r="BM2" s="1152">
        <v>50295</v>
      </c>
      <c r="BN2" s="1152">
        <v>0</v>
      </c>
      <c r="BO2" s="1152">
        <v>50297</v>
      </c>
      <c r="BP2" s="1152">
        <v>50449</v>
      </c>
      <c r="BQ2" s="1152">
        <v>50300</v>
      </c>
      <c r="BR2" s="1152">
        <v>50298</v>
      </c>
      <c r="BS2" s="1152">
        <v>50299</v>
      </c>
      <c r="BT2" s="1152">
        <v>50301</v>
      </c>
      <c r="BU2" s="1152">
        <v>50302</v>
      </c>
      <c r="BV2" s="1152">
        <v>50303</v>
      </c>
      <c r="BW2" s="1152">
        <v>50304</v>
      </c>
      <c r="BX2" s="1152">
        <v>50540</v>
      </c>
      <c r="BY2" s="1152">
        <v>50305</v>
      </c>
      <c r="BZ2" s="1152">
        <v>50306</v>
      </c>
      <c r="CA2" s="1152">
        <v>50479</v>
      </c>
      <c r="CB2" s="1152">
        <v>50307</v>
      </c>
      <c r="CC2" s="1148">
        <v>50308</v>
      </c>
      <c r="CD2" s="1148">
        <v>50309</v>
      </c>
      <c r="CE2" s="1148">
        <v>50310</v>
      </c>
      <c r="CF2" s="1148">
        <v>50311</v>
      </c>
    </row>
    <row r="3" spans="1:84" s="1148" customFormat="1" x14ac:dyDescent="0.3">
      <c r="A3" s="1153">
        <v>4</v>
      </c>
      <c r="B3" s="1154">
        <v>4</v>
      </c>
      <c r="C3" s="1228">
        <v>4</v>
      </c>
      <c r="D3" s="1146" t="s">
        <v>618</v>
      </c>
      <c r="E3" s="1155" t="s">
        <v>298</v>
      </c>
      <c r="F3" s="1156">
        <v>0</v>
      </c>
      <c r="G3" s="1156">
        <v>745</v>
      </c>
      <c r="H3" s="1156">
        <v>44025</v>
      </c>
      <c r="I3" s="1156">
        <v>41551</v>
      </c>
      <c r="J3" s="1156">
        <v>246106</v>
      </c>
      <c r="K3" s="1156">
        <v>30669</v>
      </c>
      <c r="L3" s="1157">
        <v>751</v>
      </c>
      <c r="M3" s="1157">
        <v>2247</v>
      </c>
      <c r="N3" s="1157">
        <v>5367</v>
      </c>
      <c r="O3" s="1157">
        <v>466200</v>
      </c>
      <c r="P3" s="1157">
        <v>6336</v>
      </c>
      <c r="Q3" s="1157">
        <v>63115</v>
      </c>
      <c r="R3" s="1157">
        <v>843</v>
      </c>
      <c r="S3" s="1157">
        <v>2794238</v>
      </c>
      <c r="T3" s="1157">
        <v>0</v>
      </c>
      <c r="U3" s="1157">
        <v>1261</v>
      </c>
      <c r="V3" s="1157">
        <v>5981770</v>
      </c>
      <c r="W3" s="1157">
        <v>605822</v>
      </c>
      <c r="X3" s="1157">
        <v>896985</v>
      </c>
      <c r="Y3" s="1157">
        <v>2402301</v>
      </c>
      <c r="Z3" s="1157">
        <v>13619</v>
      </c>
      <c r="AA3" s="1157">
        <v>803855</v>
      </c>
      <c r="AB3" s="1157">
        <v>50214</v>
      </c>
      <c r="AC3" s="1157">
        <v>610873</v>
      </c>
      <c r="AD3" s="1157">
        <v>136543</v>
      </c>
      <c r="AE3" s="1157">
        <v>74277</v>
      </c>
      <c r="AF3" s="1157">
        <v>36570</v>
      </c>
      <c r="AG3" s="1157">
        <v>46495</v>
      </c>
      <c r="AH3" s="1157">
        <v>663307</v>
      </c>
      <c r="AI3" s="1157">
        <v>304921</v>
      </c>
      <c r="AJ3" s="1157">
        <v>23140</v>
      </c>
      <c r="AK3" s="1157">
        <v>1392467</v>
      </c>
      <c r="AL3" s="1157">
        <v>132981</v>
      </c>
      <c r="AM3" s="1157">
        <v>72207</v>
      </c>
      <c r="AN3" s="1157">
        <v>0</v>
      </c>
      <c r="AO3" s="1157">
        <v>598394</v>
      </c>
      <c r="AP3" s="1157">
        <v>0</v>
      </c>
      <c r="AQ3" s="1157">
        <v>32114</v>
      </c>
      <c r="AR3" s="1157">
        <v>243</v>
      </c>
      <c r="AS3" s="1157">
        <v>60925</v>
      </c>
      <c r="AT3" s="1157">
        <v>276078</v>
      </c>
      <c r="AU3" s="1157">
        <v>8106</v>
      </c>
      <c r="AV3" s="1157">
        <v>237692</v>
      </c>
      <c r="AW3" s="1157">
        <v>0</v>
      </c>
      <c r="AX3" s="1157">
        <v>363901</v>
      </c>
      <c r="AY3" s="1157">
        <v>47736</v>
      </c>
      <c r="AZ3" s="1157">
        <v>36801</v>
      </c>
      <c r="BA3" s="1157">
        <v>309989</v>
      </c>
      <c r="BB3" s="1157">
        <v>24785</v>
      </c>
      <c r="BC3" s="1157">
        <v>53887</v>
      </c>
      <c r="BD3" s="1157">
        <v>0</v>
      </c>
      <c r="BE3" s="1157">
        <v>19444</v>
      </c>
      <c r="BF3" s="1157">
        <v>417096</v>
      </c>
      <c r="BG3" s="1157">
        <v>1434</v>
      </c>
      <c r="BH3" s="1157">
        <v>6768</v>
      </c>
      <c r="BI3" s="1157">
        <v>0</v>
      </c>
      <c r="BJ3" s="1157">
        <v>1184</v>
      </c>
      <c r="BK3" s="1157">
        <v>2509</v>
      </c>
      <c r="BL3" s="1157">
        <v>2183</v>
      </c>
      <c r="BM3" s="1157">
        <v>396463</v>
      </c>
      <c r="BN3" s="1157">
        <v>0</v>
      </c>
      <c r="BO3" s="1157">
        <v>64706</v>
      </c>
      <c r="BP3" s="1157">
        <v>178730</v>
      </c>
      <c r="BQ3" s="1157">
        <v>59537</v>
      </c>
      <c r="BR3" s="1157">
        <v>0</v>
      </c>
      <c r="BS3" s="1157">
        <v>1173159</v>
      </c>
      <c r="BT3" s="1157">
        <v>63372</v>
      </c>
      <c r="BU3" s="1157">
        <v>693281</v>
      </c>
      <c r="BV3" s="1157">
        <v>50675</v>
      </c>
      <c r="BW3" s="1157">
        <v>1660188</v>
      </c>
      <c r="BX3" s="1157">
        <v>66489</v>
      </c>
      <c r="BY3" s="1157">
        <v>0</v>
      </c>
      <c r="BZ3" s="1157">
        <v>34009</v>
      </c>
      <c r="CA3" s="1157">
        <v>2611</v>
      </c>
      <c r="CB3" s="1157">
        <v>16163</v>
      </c>
      <c r="CC3" s="1148">
        <v>6491</v>
      </c>
      <c r="CD3" s="1148">
        <v>73020</v>
      </c>
      <c r="CE3" s="1148">
        <v>0</v>
      </c>
      <c r="CF3" s="1148">
        <v>10954</v>
      </c>
    </row>
    <row r="4" spans="1:84" s="1148" customFormat="1" x14ac:dyDescent="0.3">
      <c r="A4" s="1153">
        <v>5</v>
      </c>
      <c r="B4" s="1154">
        <v>5</v>
      </c>
      <c r="C4" s="1228">
        <v>5</v>
      </c>
      <c r="D4" s="1146" t="s">
        <v>120</v>
      </c>
      <c r="E4" s="1155" t="s">
        <v>299</v>
      </c>
      <c r="F4" s="1156">
        <v>0</v>
      </c>
      <c r="G4" s="1156">
        <v>0</v>
      </c>
      <c r="H4" s="1156">
        <v>0</v>
      </c>
      <c r="I4" s="1156">
        <v>8121</v>
      </c>
      <c r="J4" s="1156">
        <v>0</v>
      </c>
      <c r="K4" s="1156">
        <v>3093</v>
      </c>
      <c r="L4" s="1157">
        <v>0</v>
      </c>
      <c r="M4" s="1157">
        <v>0</v>
      </c>
      <c r="N4" s="1157">
        <v>0</v>
      </c>
      <c r="O4" s="1157">
        <v>0</v>
      </c>
      <c r="P4" s="1157">
        <v>0</v>
      </c>
      <c r="Q4" s="1157">
        <v>0</v>
      </c>
      <c r="R4" s="1157">
        <v>0</v>
      </c>
      <c r="S4" s="1157">
        <v>10147</v>
      </c>
      <c r="T4" s="1157">
        <v>0</v>
      </c>
      <c r="U4" s="1157">
        <v>0</v>
      </c>
      <c r="V4" s="1157">
        <v>554501</v>
      </c>
      <c r="W4" s="1157">
        <v>672594</v>
      </c>
      <c r="X4" s="1157">
        <v>55</v>
      </c>
      <c r="Y4" s="1157">
        <v>8667</v>
      </c>
      <c r="Z4" s="1157">
        <v>0</v>
      </c>
      <c r="AA4" s="1157">
        <v>31065</v>
      </c>
      <c r="AB4" s="1157">
        <v>0</v>
      </c>
      <c r="AC4" s="1157">
        <v>0</v>
      </c>
      <c r="AD4" s="1157">
        <v>0</v>
      </c>
      <c r="AE4" s="1157">
        <v>0</v>
      </c>
      <c r="AF4" s="1157">
        <v>0</v>
      </c>
      <c r="AG4" s="1157">
        <v>10684</v>
      </c>
      <c r="AH4" s="1157">
        <v>2285</v>
      </c>
      <c r="AI4" s="1157">
        <v>13424</v>
      </c>
      <c r="AJ4" s="1157">
        <v>525214</v>
      </c>
      <c r="AK4" s="1157">
        <v>298295</v>
      </c>
      <c r="AL4" s="1157">
        <v>0</v>
      </c>
      <c r="AM4" s="1157">
        <v>0</v>
      </c>
      <c r="AN4" s="1157">
        <v>0</v>
      </c>
      <c r="AO4" s="1157">
        <v>323</v>
      </c>
      <c r="AP4" s="1157">
        <v>0</v>
      </c>
      <c r="AQ4" s="1157">
        <v>0</v>
      </c>
      <c r="AR4" s="1157">
        <v>0</v>
      </c>
      <c r="AS4" s="1157">
        <v>0</v>
      </c>
      <c r="AT4" s="1157">
        <v>13500000</v>
      </c>
      <c r="AU4" s="1157">
        <v>0</v>
      </c>
      <c r="AV4" s="1157">
        <v>0</v>
      </c>
      <c r="AW4" s="1157">
        <v>0</v>
      </c>
      <c r="AX4" s="1157">
        <v>21618</v>
      </c>
      <c r="AY4" s="1157">
        <v>0</v>
      </c>
      <c r="AZ4" s="1157">
        <v>0</v>
      </c>
      <c r="BA4" s="1157">
        <v>0</v>
      </c>
      <c r="BB4" s="1157">
        <v>0</v>
      </c>
      <c r="BC4" s="1157">
        <v>0</v>
      </c>
      <c r="BD4" s="1157">
        <v>0</v>
      </c>
      <c r="BE4" s="1157">
        <v>0</v>
      </c>
      <c r="BF4" s="1157">
        <v>0</v>
      </c>
      <c r="BG4" s="1157">
        <v>0</v>
      </c>
      <c r="BH4" s="1157">
        <v>0</v>
      </c>
      <c r="BI4" s="1157">
        <v>0</v>
      </c>
      <c r="BJ4" s="1157">
        <v>0</v>
      </c>
      <c r="BK4" s="1157">
        <v>0</v>
      </c>
      <c r="BL4" s="1157">
        <v>0</v>
      </c>
      <c r="BM4" s="1157">
        <v>0</v>
      </c>
      <c r="BN4" s="1157">
        <v>0</v>
      </c>
      <c r="BO4" s="1157">
        <v>0</v>
      </c>
      <c r="BP4" s="1157">
        <v>27253</v>
      </c>
      <c r="BQ4" s="1157">
        <v>0</v>
      </c>
      <c r="BR4" s="1157">
        <v>0</v>
      </c>
      <c r="BS4" s="1157">
        <v>0</v>
      </c>
      <c r="BT4" s="1157">
        <v>0</v>
      </c>
      <c r="BU4" s="1157">
        <v>0</v>
      </c>
      <c r="BV4" s="1157">
        <v>4</v>
      </c>
      <c r="BW4" s="1157">
        <v>466802</v>
      </c>
      <c r="BX4" s="1157">
        <v>0</v>
      </c>
      <c r="BY4" s="1157">
        <v>0</v>
      </c>
      <c r="BZ4" s="1157">
        <v>0</v>
      </c>
      <c r="CA4" s="1157">
        <v>9873</v>
      </c>
      <c r="CB4" s="1157">
        <v>335758</v>
      </c>
      <c r="CC4" s="1148">
        <v>408</v>
      </c>
      <c r="CD4" s="1148">
        <v>0</v>
      </c>
      <c r="CE4" s="1148">
        <v>0</v>
      </c>
      <c r="CF4" s="1148">
        <v>0</v>
      </c>
    </row>
    <row r="5" spans="1:84" s="1148" customFormat="1" x14ac:dyDescent="0.3">
      <c r="A5" s="1153">
        <v>6</v>
      </c>
      <c r="B5" s="1154">
        <v>6</v>
      </c>
      <c r="C5" s="1228">
        <v>6</v>
      </c>
      <c r="D5" s="1146" t="s">
        <v>265</v>
      </c>
      <c r="E5" s="1155" t="s">
        <v>300</v>
      </c>
      <c r="F5" s="1156">
        <v>0</v>
      </c>
      <c r="G5" s="1156">
        <v>0</v>
      </c>
      <c r="H5" s="1156">
        <v>0</v>
      </c>
      <c r="I5" s="1156">
        <v>0</v>
      </c>
      <c r="J5" s="1156">
        <v>0</v>
      </c>
      <c r="K5" s="1156">
        <v>0</v>
      </c>
      <c r="L5" s="1157">
        <v>0</v>
      </c>
      <c r="M5" s="1157">
        <v>0</v>
      </c>
      <c r="N5" s="1157">
        <v>0</v>
      </c>
      <c r="O5" s="1157">
        <v>21750</v>
      </c>
      <c r="P5" s="1157">
        <v>0</v>
      </c>
      <c r="Q5" s="1157">
        <v>0</v>
      </c>
      <c r="R5" s="1157">
        <v>0</v>
      </c>
      <c r="S5" s="1157">
        <v>2955813</v>
      </c>
      <c r="T5" s="1157">
        <v>0</v>
      </c>
      <c r="U5" s="1157">
        <v>0</v>
      </c>
      <c r="V5" s="1157">
        <v>1849458</v>
      </c>
      <c r="W5" s="1157">
        <v>0</v>
      </c>
      <c r="X5" s="1157">
        <v>352083</v>
      </c>
      <c r="Y5" s="1157">
        <v>2265794</v>
      </c>
      <c r="Z5" s="1157">
        <v>0</v>
      </c>
      <c r="AA5" s="1157">
        <v>745615</v>
      </c>
      <c r="AB5" s="1157">
        <v>0</v>
      </c>
      <c r="AC5" s="1157">
        <v>0</v>
      </c>
      <c r="AD5" s="1157">
        <v>0</v>
      </c>
      <c r="AE5" s="1157">
        <v>0</v>
      </c>
      <c r="AF5" s="1157">
        <v>0</v>
      </c>
      <c r="AG5" s="1157">
        <v>0</v>
      </c>
      <c r="AH5" s="1157">
        <v>1188722</v>
      </c>
      <c r="AI5" s="1157">
        <v>0</v>
      </c>
      <c r="AJ5" s="1157">
        <v>0</v>
      </c>
      <c r="AK5" s="1157">
        <v>466881</v>
      </c>
      <c r="AL5" s="1157">
        <v>6650</v>
      </c>
      <c r="AM5" s="1157">
        <v>0</v>
      </c>
      <c r="AN5" s="1157">
        <v>0</v>
      </c>
      <c r="AO5" s="1157">
        <v>463259</v>
      </c>
      <c r="AP5" s="1157">
        <v>0</v>
      </c>
      <c r="AQ5" s="1157">
        <v>0</v>
      </c>
      <c r="AR5" s="1157">
        <v>0</v>
      </c>
      <c r="AS5" s="1157">
        <v>0</v>
      </c>
      <c r="AT5" s="1157">
        <v>0</v>
      </c>
      <c r="AU5" s="1157">
        <v>0</v>
      </c>
      <c r="AV5" s="1157">
        <v>0</v>
      </c>
      <c r="AW5" s="1157">
        <v>0</v>
      </c>
      <c r="AX5" s="1157">
        <v>0</v>
      </c>
      <c r="AY5" s="1157">
        <v>0</v>
      </c>
      <c r="AZ5" s="1157">
        <v>0</v>
      </c>
      <c r="BA5" s="1157">
        <v>0</v>
      </c>
      <c r="BB5" s="1157">
        <v>0</v>
      </c>
      <c r="BC5" s="1157">
        <v>0</v>
      </c>
      <c r="BD5" s="1157">
        <v>0</v>
      </c>
      <c r="BE5" s="1157">
        <v>0</v>
      </c>
      <c r="BF5" s="1157">
        <v>0</v>
      </c>
      <c r="BG5" s="1157">
        <v>0</v>
      </c>
      <c r="BH5" s="1157">
        <v>0</v>
      </c>
      <c r="BI5" s="1157">
        <v>0</v>
      </c>
      <c r="BJ5" s="1157">
        <v>0</v>
      </c>
      <c r="BK5" s="1157">
        <v>0</v>
      </c>
      <c r="BL5" s="1157">
        <v>0</v>
      </c>
      <c r="BM5" s="1157">
        <v>0</v>
      </c>
      <c r="BN5" s="1157">
        <v>0</v>
      </c>
      <c r="BO5" s="1157">
        <v>0</v>
      </c>
      <c r="BP5" s="1157">
        <v>0</v>
      </c>
      <c r="BQ5" s="1157">
        <v>0</v>
      </c>
      <c r="BR5" s="1157">
        <v>0</v>
      </c>
      <c r="BS5" s="1157">
        <v>398483</v>
      </c>
      <c r="BT5" s="1157">
        <v>0</v>
      </c>
      <c r="BU5" s="1157">
        <v>0</v>
      </c>
      <c r="BV5" s="1157">
        <v>0</v>
      </c>
      <c r="BW5" s="1157">
        <v>0</v>
      </c>
      <c r="BX5" s="1157">
        <v>0</v>
      </c>
      <c r="BY5" s="1157">
        <v>0</v>
      </c>
      <c r="BZ5" s="1157">
        <v>0</v>
      </c>
      <c r="CA5" s="1157">
        <v>0</v>
      </c>
      <c r="CB5" s="1157">
        <v>0</v>
      </c>
      <c r="CC5" s="1148">
        <v>0</v>
      </c>
      <c r="CD5" s="1148">
        <v>0</v>
      </c>
      <c r="CE5" s="1148">
        <v>0</v>
      </c>
      <c r="CF5" s="1148">
        <v>0</v>
      </c>
    </row>
    <row r="6" spans="1:84" s="1148" customFormat="1" x14ac:dyDescent="0.3">
      <c r="A6" s="1153">
        <v>7</v>
      </c>
      <c r="B6" s="1154">
        <v>7</v>
      </c>
      <c r="C6" s="1228">
        <v>7</v>
      </c>
      <c r="D6" s="1146" t="s">
        <v>202</v>
      </c>
      <c r="E6" s="1155" t="s">
        <v>301</v>
      </c>
      <c r="F6" s="1156">
        <v>0</v>
      </c>
      <c r="G6" s="1156">
        <v>0</v>
      </c>
      <c r="H6" s="1156">
        <v>0</v>
      </c>
      <c r="I6" s="1156">
        <v>0</v>
      </c>
      <c r="J6" s="1156">
        <v>1018</v>
      </c>
      <c r="K6" s="1156">
        <v>0</v>
      </c>
      <c r="L6" s="1157">
        <v>0</v>
      </c>
      <c r="M6" s="1157">
        <v>0</v>
      </c>
      <c r="N6" s="1157">
        <v>0</v>
      </c>
      <c r="O6" s="1157">
        <v>0</v>
      </c>
      <c r="P6" s="1157">
        <v>0</v>
      </c>
      <c r="Q6" s="1157">
        <v>0</v>
      </c>
      <c r="R6" s="1157">
        <v>0</v>
      </c>
      <c r="S6" s="1157">
        <v>579111</v>
      </c>
      <c r="T6" s="1157">
        <v>0</v>
      </c>
      <c r="U6" s="1157">
        <v>8256</v>
      </c>
      <c r="V6" s="1157">
        <v>276191</v>
      </c>
      <c r="W6" s="1157">
        <v>15664</v>
      </c>
      <c r="X6" s="1157">
        <v>197617</v>
      </c>
      <c r="Y6" s="1157">
        <v>19216</v>
      </c>
      <c r="Z6" s="1157">
        <v>0</v>
      </c>
      <c r="AA6" s="1157">
        <v>6391</v>
      </c>
      <c r="AB6" s="1157">
        <v>3894</v>
      </c>
      <c r="AC6" s="1157">
        <v>53603</v>
      </c>
      <c r="AD6" s="1157">
        <v>15000</v>
      </c>
      <c r="AE6" s="1157">
        <v>0</v>
      </c>
      <c r="AF6" s="1157">
        <v>41533</v>
      </c>
      <c r="AG6" s="1157">
        <v>0</v>
      </c>
      <c r="AH6" s="1157">
        <v>72625</v>
      </c>
      <c r="AI6" s="1157">
        <v>5100</v>
      </c>
      <c r="AJ6" s="1157">
        <v>0</v>
      </c>
      <c r="AK6" s="1157">
        <v>1860476</v>
      </c>
      <c r="AL6" s="1157">
        <v>0</v>
      </c>
      <c r="AM6" s="1157">
        <v>5756</v>
      </c>
      <c r="AN6" s="1157">
        <v>0</v>
      </c>
      <c r="AO6" s="1157">
        <v>37356</v>
      </c>
      <c r="AP6" s="1157">
        <v>0</v>
      </c>
      <c r="AQ6" s="1157">
        <v>0</v>
      </c>
      <c r="AR6" s="1157">
        <v>0</v>
      </c>
      <c r="AS6" s="1157">
        <v>9147</v>
      </c>
      <c r="AT6" s="1157">
        <v>335212</v>
      </c>
      <c r="AU6" s="1157">
        <v>0</v>
      </c>
      <c r="AV6" s="1157">
        <v>0</v>
      </c>
      <c r="AW6" s="1157">
        <v>0</v>
      </c>
      <c r="AX6" s="1157">
        <v>64140</v>
      </c>
      <c r="AY6" s="1157">
        <v>0</v>
      </c>
      <c r="AZ6" s="1157">
        <v>0</v>
      </c>
      <c r="BA6" s="1157">
        <v>0</v>
      </c>
      <c r="BB6" s="1157">
        <v>0</v>
      </c>
      <c r="BC6" s="1157">
        <v>0</v>
      </c>
      <c r="BD6" s="1157">
        <v>0</v>
      </c>
      <c r="BE6" s="1157">
        <v>2927</v>
      </c>
      <c r="BF6" s="1157">
        <v>4097</v>
      </c>
      <c r="BG6" s="1157">
        <v>4171</v>
      </c>
      <c r="BH6" s="1157">
        <v>0</v>
      </c>
      <c r="BI6" s="1157">
        <v>0</v>
      </c>
      <c r="BJ6" s="1157">
        <v>0</v>
      </c>
      <c r="BK6" s="1157">
        <v>0</v>
      </c>
      <c r="BL6" s="1157">
        <v>0</v>
      </c>
      <c r="BM6" s="1157">
        <v>0</v>
      </c>
      <c r="BN6" s="1157">
        <v>0</v>
      </c>
      <c r="BO6" s="1157">
        <v>0</v>
      </c>
      <c r="BP6" s="1157">
        <v>54840</v>
      </c>
      <c r="BQ6" s="1157">
        <v>0</v>
      </c>
      <c r="BR6" s="1157">
        <v>0</v>
      </c>
      <c r="BS6" s="1157">
        <v>86700</v>
      </c>
      <c r="BT6" s="1157">
        <v>0</v>
      </c>
      <c r="BU6" s="1157">
        <v>6653</v>
      </c>
      <c r="BV6" s="1157">
        <v>0</v>
      </c>
      <c r="BW6" s="1157">
        <v>22912</v>
      </c>
      <c r="BX6" s="1157">
        <v>350</v>
      </c>
      <c r="BY6" s="1157">
        <v>0</v>
      </c>
      <c r="BZ6" s="1157">
        <v>0</v>
      </c>
      <c r="CA6" s="1157">
        <v>0</v>
      </c>
      <c r="CB6" s="1157">
        <v>0</v>
      </c>
      <c r="CC6" s="1148">
        <v>0</v>
      </c>
      <c r="CD6" s="1148">
        <v>27854</v>
      </c>
      <c r="CE6" s="1148">
        <v>0</v>
      </c>
      <c r="CF6" s="1148">
        <v>0</v>
      </c>
    </row>
    <row r="7" spans="1:84" s="1148" customFormat="1" x14ac:dyDescent="0.3">
      <c r="A7" s="1153">
        <v>9</v>
      </c>
      <c r="B7" s="1154">
        <v>9</v>
      </c>
      <c r="C7" s="1228">
        <v>9</v>
      </c>
      <c r="D7" s="1146" t="s">
        <v>204</v>
      </c>
      <c r="E7" s="1155" t="s">
        <v>302</v>
      </c>
      <c r="F7" s="1156">
        <v>0</v>
      </c>
      <c r="G7" s="1156">
        <v>167348</v>
      </c>
      <c r="H7" s="1156">
        <v>968673</v>
      </c>
      <c r="I7" s="1156">
        <v>4555249</v>
      </c>
      <c r="J7" s="1156">
        <v>5438856</v>
      </c>
      <c r="K7" s="1156">
        <v>4467958</v>
      </c>
      <c r="L7" s="1157">
        <v>115239</v>
      </c>
      <c r="M7" s="1157">
        <v>971105</v>
      </c>
      <c r="N7" s="1157">
        <v>1020924</v>
      </c>
      <c r="O7" s="1157">
        <v>9959136</v>
      </c>
      <c r="P7" s="1157">
        <v>714368</v>
      </c>
      <c r="Q7" s="1157">
        <v>7361743</v>
      </c>
      <c r="R7" s="1157">
        <v>305134</v>
      </c>
      <c r="S7" s="1157">
        <v>36014488</v>
      </c>
      <c r="T7" s="1157">
        <v>0</v>
      </c>
      <c r="U7" s="1157">
        <v>207509</v>
      </c>
      <c r="V7" s="1157">
        <v>64123506</v>
      </c>
      <c r="W7" s="1157">
        <v>8124865</v>
      </c>
      <c r="X7" s="1157">
        <v>22297329</v>
      </c>
      <c r="Y7" s="1157">
        <v>30807176</v>
      </c>
      <c r="Z7" s="1157">
        <v>299710</v>
      </c>
      <c r="AA7" s="1157">
        <v>13321985</v>
      </c>
      <c r="AB7" s="1157">
        <v>1591036</v>
      </c>
      <c r="AC7" s="1157">
        <v>14529175</v>
      </c>
      <c r="AD7" s="1157">
        <v>1584824</v>
      </c>
      <c r="AE7" s="1157">
        <v>1950555</v>
      </c>
      <c r="AF7" s="1157">
        <v>1560768</v>
      </c>
      <c r="AG7" s="1157">
        <v>3482582</v>
      </c>
      <c r="AH7" s="1157">
        <v>19968387</v>
      </c>
      <c r="AI7" s="1157">
        <v>5258607</v>
      </c>
      <c r="AJ7" s="1157">
        <v>876729</v>
      </c>
      <c r="AK7" s="1157">
        <v>21681255</v>
      </c>
      <c r="AL7" s="1157">
        <v>2817414</v>
      </c>
      <c r="AM7" s="1157">
        <v>804471</v>
      </c>
      <c r="AN7" s="1157">
        <v>0</v>
      </c>
      <c r="AO7" s="1157">
        <v>10752827</v>
      </c>
      <c r="AP7" s="1157">
        <v>0</v>
      </c>
      <c r="AQ7" s="1157">
        <v>366549</v>
      </c>
      <c r="AR7" s="1157">
        <v>89642</v>
      </c>
      <c r="AS7" s="1157">
        <v>3808534</v>
      </c>
      <c r="AT7" s="1157">
        <v>5859462</v>
      </c>
      <c r="AU7" s="1157">
        <v>636437</v>
      </c>
      <c r="AV7" s="1157">
        <v>1721936</v>
      </c>
      <c r="AW7" s="1157">
        <v>0</v>
      </c>
      <c r="AX7" s="1157">
        <v>16749248</v>
      </c>
      <c r="AY7" s="1157">
        <v>3760238</v>
      </c>
      <c r="AZ7" s="1157">
        <v>1760417</v>
      </c>
      <c r="BA7" s="1157">
        <v>20020053</v>
      </c>
      <c r="BB7" s="1157">
        <v>2181725</v>
      </c>
      <c r="BC7" s="1157">
        <v>1431333</v>
      </c>
      <c r="BD7" s="1157">
        <v>108917</v>
      </c>
      <c r="BE7" s="1157">
        <v>537280</v>
      </c>
      <c r="BF7" s="1157">
        <v>6461422</v>
      </c>
      <c r="BG7" s="1157">
        <v>549588</v>
      </c>
      <c r="BH7" s="1157">
        <v>792435</v>
      </c>
      <c r="BI7" s="1157">
        <v>255307</v>
      </c>
      <c r="BJ7" s="1157">
        <v>314338</v>
      </c>
      <c r="BK7" s="1157">
        <v>513156</v>
      </c>
      <c r="BL7" s="1157">
        <v>344978</v>
      </c>
      <c r="BM7" s="1157">
        <v>2159802</v>
      </c>
      <c r="BN7" s="1157">
        <v>0</v>
      </c>
      <c r="BO7" s="1157">
        <v>537938</v>
      </c>
      <c r="BP7" s="1157">
        <v>2686317</v>
      </c>
      <c r="BQ7" s="1157">
        <v>1093679</v>
      </c>
      <c r="BR7" s="1157">
        <v>2220468</v>
      </c>
      <c r="BS7" s="1157">
        <v>11229270</v>
      </c>
      <c r="BT7" s="1157">
        <v>564869</v>
      </c>
      <c r="BU7" s="1157">
        <v>21090903</v>
      </c>
      <c r="BV7" s="1157">
        <v>867219</v>
      </c>
      <c r="BW7" s="1157">
        <v>4265752</v>
      </c>
      <c r="BX7" s="1157">
        <v>1008414</v>
      </c>
      <c r="BY7" s="1157">
        <v>0</v>
      </c>
      <c r="BZ7" s="1157">
        <v>2091470</v>
      </c>
      <c r="CA7" s="1157">
        <v>334101</v>
      </c>
      <c r="CB7" s="1157">
        <v>510939</v>
      </c>
      <c r="CC7" s="1148">
        <v>198502</v>
      </c>
      <c r="CD7" s="1148">
        <v>461837</v>
      </c>
      <c r="CE7" s="1148">
        <v>0</v>
      </c>
      <c r="CF7" s="1148">
        <v>376012</v>
      </c>
    </row>
    <row r="8" spans="1:84" s="1148" customFormat="1" x14ac:dyDescent="0.3">
      <c r="A8" s="1153">
        <v>11</v>
      </c>
      <c r="B8" s="1154">
        <v>11</v>
      </c>
      <c r="C8" s="1228">
        <v>11</v>
      </c>
      <c r="D8" s="1146" t="s">
        <v>203</v>
      </c>
      <c r="E8" s="1155" t="s">
        <v>303</v>
      </c>
      <c r="F8" s="1156">
        <v>0</v>
      </c>
      <c r="G8" s="1156">
        <v>39765</v>
      </c>
      <c r="H8" s="1156">
        <v>128778</v>
      </c>
      <c r="I8" s="1156">
        <v>253255</v>
      </c>
      <c r="J8" s="1156">
        <v>0</v>
      </c>
      <c r="K8" s="1156">
        <v>0</v>
      </c>
      <c r="L8" s="1157">
        <v>0</v>
      </c>
      <c r="M8" s="1157">
        <v>0</v>
      </c>
      <c r="N8" s="1157">
        <v>4363</v>
      </c>
      <c r="O8" s="1157">
        <v>691642</v>
      </c>
      <c r="P8" s="1157">
        <v>101837</v>
      </c>
      <c r="Q8" s="1157">
        <v>790</v>
      </c>
      <c r="R8" s="1157">
        <v>0</v>
      </c>
      <c r="S8" s="1157">
        <v>2002649</v>
      </c>
      <c r="T8" s="1157">
        <v>0</v>
      </c>
      <c r="U8" s="1157">
        <v>0</v>
      </c>
      <c r="V8" s="1157">
        <v>930971</v>
      </c>
      <c r="W8" s="1157">
        <v>0</v>
      </c>
      <c r="X8" s="1157">
        <v>886855</v>
      </c>
      <c r="Y8" s="1157">
        <v>4199303</v>
      </c>
      <c r="Z8" s="1157">
        <v>139854</v>
      </c>
      <c r="AA8" s="1157">
        <v>575992</v>
      </c>
      <c r="AB8" s="1157">
        <v>74286</v>
      </c>
      <c r="AC8" s="1157">
        <v>1553084</v>
      </c>
      <c r="AD8" s="1157">
        <v>217342</v>
      </c>
      <c r="AE8" s="1157">
        <v>34377</v>
      </c>
      <c r="AF8" s="1157">
        <v>67262</v>
      </c>
      <c r="AG8" s="1157">
        <v>92231</v>
      </c>
      <c r="AH8" s="1157">
        <v>43913</v>
      </c>
      <c r="AI8" s="1157">
        <v>162028</v>
      </c>
      <c r="AJ8" s="1157">
        <v>41566</v>
      </c>
      <c r="AK8" s="1157">
        <v>323023</v>
      </c>
      <c r="AL8" s="1157">
        <v>161008</v>
      </c>
      <c r="AM8" s="1157">
        <v>3926</v>
      </c>
      <c r="AN8" s="1157">
        <v>0</v>
      </c>
      <c r="AO8" s="1157">
        <v>315362</v>
      </c>
      <c r="AP8" s="1157">
        <v>0</v>
      </c>
      <c r="AQ8" s="1157">
        <v>16261</v>
      </c>
      <c r="AR8" s="1157">
        <v>0</v>
      </c>
      <c r="AS8" s="1157">
        <v>16090</v>
      </c>
      <c r="AT8" s="1157">
        <v>21021</v>
      </c>
      <c r="AU8" s="1157">
        <v>72916</v>
      </c>
      <c r="AV8" s="1157">
        <v>257005</v>
      </c>
      <c r="AW8" s="1157">
        <v>0</v>
      </c>
      <c r="AX8" s="1157">
        <v>463663</v>
      </c>
      <c r="AY8" s="1157">
        <v>0</v>
      </c>
      <c r="AZ8" s="1157">
        <v>185084</v>
      </c>
      <c r="BA8" s="1157">
        <v>80971</v>
      </c>
      <c r="BB8" s="1157">
        <v>56708</v>
      </c>
      <c r="BC8" s="1157">
        <v>195799</v>
      </c>
      <c r="BD8" s="1157">
        <v>0</v>
      </c>
      <c r="BE8" s="1157">
        <v>0</v>
      </c>
      <c r="BF8" s="1157">
        <v>277270</v>
      </c>
      <c r="BG8" s="1157">
        <v>36401</v>
      </c>
      <c r="BH8" s="1157">
        <v>19611</v>
      </c>
      <c r="BI8" s="1157">
        <v>22973</v>
      </c>
      <c r="BJ8" s="1157">
        <v>0</v>
      </c>
      <c r="BK8" s="1157">
        <v>39646</v>
      </c>
      <c r="BL8" s="1157">
        <v>62458</v>
      </c>
      <c r="BM8" s="1157">
        <v>0</v>
      </c>
      <c r="BN8" s="1157">
        <v>0</v>
      </c>
      <c r="BO8" s="1157">
        <v>711</v>
      </c>
      <c r="BP8" s="1157">
        <v>81157</v>
      </c>
      <c r="BQ8" s="1157">
        <v>91985</v>
      </c>
      <c r="BR8" s="1157">
        <v>116630</v>
      </c>
      <c r="BS8" s="1157">
        <v>0</v>
      </c>
      <c r="BT8" s="1157">
        <v>184973</v>
      </c>
      <c r="BU8" s="1157">
        <v>384632</v>
      </c>
      <c r="BV8" s="1157">
        <v>53125</v>
      </c>
      <c r="BW8" s="1157">
        <v>31555</v>
      </c>
      <c r="BX8" s="1157">
        <v>0</v>
      </c>
      <c r="BY8" s="1157">
        <v>0</v>
      </c>
      <c r="BZ8" s="1157">
        <v>284378</v>
      </c>
      <c r="CA8" s="1157">
        <v>185856</v>
      </c>
      <c r="CB8" s="1157">
        <v>32121</v>
      </c>
      <c r="CC8" s="1148">
        <v>21479</v>
      </c>
      <c r="CD8" s="1148">
        <v>43242</v>
      </c>
      <c r="CE8" s="1148">
        <v>0</v>
      </c>
      <c r="CF8" s="1148">
        <v>19830</v>
      </c>
    </row>
    <row r="9" spans="1:84" s="1148" customFormat="1" x14ac:dyDescent="0.3">
      <c r="A9" s="1146">
        <v>12</v>
      </c>
      <c r="B9" s="1154"/>
      <c r="C9" s="1228">
        <v>12</v>
      </c>
      <c r="D9" s="1146" t="s">
        <v>619</v>
      </c>
      <c r="E9" s="1155" t="s">
        <v>304</v>
      </c>
      <c r="F9" s="1156">
        <v>0</v>
      </c>
      <c r="G9" s="1156">
        <v>0</v>
      </c>
      <c r="H9" s="1156">
        <v>0</v>
      </c>
      <c r="I9" s="1156">
        <v>0</v>
      </c>
      <c r="J9" s="1156">
        <v>0</v>
      </c>
      <c r="K9" s="1156">
        <v>0</v>
      </c>
      <c r="L9" s="1157">
        <v>0</v>
      </c>
      <c r="M9" s="1157">
        <v>0</v>
      </c>
      <c r="N9" s="1157">
        <v>0</v>
      </c>
      <c r="O9" s="1157">
        <v>0</v>
      </c>
      <c r="P9" s="1157">
        <v>0</v>
      </c>
      <c r="Q9" s="1157">
        <v>0</v>
      </c>
      <c r="R9" s="1157">
        <v>0</v>
      </c>
      <c r="S9" s="1157">
        <v>0</v>
      </c>
      <c r="T9" s="1157">
        <v>0</v>
      </c>
      <c r="U9" s="1157">
        <v>0</v>
      </c>
      <c r="V9" s="1157">
        <v>0</v>
      </c>
      <c r="W9" s="1157">
        <v>0</v>
      </c>
      <c r="X9" s="1157">
        <v>0</v>
      </c>
      <c r="Y9" s="1157">
        <v>0</v>
      </c>
      <c r="Z9" s="1157">
        <v>0</v>
      </c>
      <c r="AA9" s="1157">
        <v>0</v>
      </c>
      <c r="AB9" s="1157">
        <v>0</v>
      </c>
      <c r="AC9" s="1157">
        <v>0</v>
      </c>
      <c r="AD9" s="1157">
        <v>0</v>
      </c>
      <c r="AE9" s="1157">
        <v>0</v>
      </c>
      <c r="AF9" s="1157">
        <v>0</v>
      </c>
      <c r="AG9" s="1157">
        <v>0</v>
      </c>
      <c r="AH9" s="1157">
        <v>0</v>
      </c>
      <c r="AI9" s="1157">
        <v>0</v>
      </c>
      <c r="AJ9" s="1157">
        <v>0</v>
      </c>
      <c r="AK9" s="1157">
        <v>0</v>
      </c>
      <c r="AL9" s="1157">
        <v>0</v>
      </c>
      <c r="AM9" s="1157">
        <v>0</v>
      </c>
      <c r="AN9" s="1157">
        <v>0</v>
      </c>
      <c r="AO9" s="1157">
        <v>0</v>
      </c>
      <c r="AP9" s="1157">
        <v>0</v>
      </c>
      <c r="AQ9" s="1157">
        <v>0</v>
      </c>
      <c r="AR9" s="1157">
        <v>0</v>
      </c>
      <c r="AS9" s="1157">
        <v>0</v>
      </c>
      <c r="AT9" s="1157">
        <v>0</v>
      </c>
      <c r="AU9" s="1157">
        <v>0</v>
      </c>
      <c r="AV9" s="1157">
        <v>0</v>
      </c>
      <c r="AW9" s="1157">
        <v>0</v>
      </c>
      <c r="AX9" s="1157">
        <v>0</v>
      </c>
      <c r="AY9" s="1157">
        <v>0</v>
      </c>
      <c r="AZ9" s="1157">
        <v>0</v>
      </c>
      <c r="BA9" s="1157">
        <v>0</v>
      </c>
      <c r="BB9" s="1157">
        <v>0</v>
      </c>
      <c r="BC9" s="1157">
        <v>0</v>
      </c>
      <c r="BD9" s="1157">
        <v>0</v>
      </c>
      <c r="BE9" s="1157">
        <v>0</v>
      </c>
      <c r="BF9" s="1157">
        <v>0</v>
      </c>
      <c r="BG9" s="1157">
        <v>0</v>
      </c>
      <c r="BH9" s="1157">
        <v>0</v>
      </c>
      <c r="BI9" s="1157">
        <v>0</v>
      </c>
      <c r="BJ9" s="1157">
        <v>0</v>
      </c>
      <c r="BK9" s="1157">
        <v>0</v>
      </c>
      <c r="BL9" s="1157">
        <v>0</v>
      </c>
      <c r="BM9" s="1157">
        <v>0</v>
      </c>
      <c r="BN9" s="1157">
        <v>0</v>
      </c>
      <c r="BO9" s="1157">
        <v>0</v>
      </c>
      <c r="BP9" s="1157">
        <v>0</v>
      </c>
      <c r="BQ9" s="1157">
        <v>0</v>
      </c>
      <c r="BR9" s="1157">
        <v>0</v>
      </c>
      <c r="BS9" s="1157">
        <v>0</v>
      </c>
      <c r="BT9" s="1157">
        <v>0</v>
      </c>
      <c r="BU9" s="1157">
        <v>0</v>
      </c>
      <c r="BV9" s="1157">
        <v>0</v>
      </c>
      <c r="BW9" s="1157">
        <v>0</v>
      </c>
      <c r="BX9" s="1157">
        <v>0</v>
      </c>
      <c r="BY9" s="1157">
        <v>0</v>
      </c>
      <c r="BZ9" s="1157">
        <v>0</v>
      </c>
      <c r="CA9" s="1157">
        <v>0</v>
      </c>
      <c r="CB9" s="1157">
        <v>0</v>
      </c>
      <c r="CC9" s="1148">
        <v>0</v>
      </c>
      <c r="CD9" s="1148">
        <v>0</v>
      </c>
      <c r="CE9" s="1148">
        <v>0</v>
      </c>
      <c r="CF9" s="1148">
        <v>0</v>
      </c>
    </row>
    <row r="10" spans="1:84" s="1148" customFormat="1" x14ac:dyDescent="0.3">
      <c r="A10" s="1146">
        <v>13</v>
      </c>
      <c r="B10" s="1154"/>
      <c r="C10" s="1228">
        <v>13</v>
      </c>
      <c r="D10" s="1146" t="s">
        <v>620</v>
      </c>
      <c r="E10" s="1155" t="s">
        <v>305</v>
      </c>
      <c r="F10" s="1156">
        <v>0</v>
      </c>
      <c r="G10" s="1156">
        <v>0</v>
      </c>
      <c r="H10" s="1156">
        <v>0</v>
      </c>
      <c r="I10" s="1156">
        <v>0</v>
      </c>
      <c r="J10" s="1156">
        <v>0</v>
      </c>
      <c r="K10" s="1156">
        <v>0</v>
      </c>
      <c r="L10" s="1157">
        <v>0</v>
      </c>
      <c r="M10" s="1157">
        <v>0</v>
      </c>
      <c r="N10" s="1157">
        <v>0</v>
      </c>
      <c r="O10" s="1157">
        <v>0</v>
      </c>
      <c r="P10" s="1157">
        <v>0</v>
      </c>
      <c r="Q10" s="1157">
        <v>0</v>
      </c>
      <c r="R10" s="1157">
        <v>0</v>
      </c>
      <c r="S10" s="1157">
        <v>0</v>
      </c>
      <c r="T10" s="1157">
        <v>0</v>
      </c>
      <c r="U10" s="1157">
        <v>0</v>
      </c>
      <c r="V10" s="1157">
        <v>0</v>
      </c>
      <c r="W10" s="1157">
        <v>0</v>
      </c>
      <c r="X10" s="1157">
        <v>0</v>
      </c>
      <c r="Y10" s="1157">
        <v>0</v>
      </c>
      <c r="Z10" s="1157">
        <v>0</v>
      </c>
      <c r="AA10" s="1157">
        <v>0</v>
      </c>
      <c r="AB10" s="1157">
        <v>0</v>
      </c>
      <c r="AC10" s="1157">
        <v>0</v>
      </c>
      <c r="AD10" s="1157">
        <v>0</v>
      </c>
      <c r="AE10" s="1157">
        <v>0</v>
      </c>
      <c r="AF10" s="1157">
        <v>0</v>
      </c>
      <c r="AG10" s="1157">
        <v>0</v>
      </c>
      <c r="AH10" s="1157">
        <v>0</v>
      </c>
      <c r="AI10" s="1157">
        <v>0</v>
      </c>
      <c r="AJ10" s="1157">
        <v>0</v>
      </c>
      <c r="AK10" s="1157">
        <v>0</v>
      </c>
      <c r="AL10" s="1157">
        <v>0</v>
      </c>
      <c r="AM10" s="1157">
        <v>0</v>
      </c>
      <c r="AN10" s="1157">
        <v>0</v>
      </c>
      <c r="AO10" s="1157">
        <v>0</v>
      </c>
      <c r="AP10" s="1157">
        <v>0</v>
      </c>
      <c r="AQ10" s="1157">
        <v>0</v>
      </c>
      <c r="AR10" s="1157">
        <v>0</v>
      </c>
      <c r="AS10" s="1157">
        <v>0</v>
      </c>
      <c r="AT10" s="1157">
        <v>0</v>
      </c>
      <c r="AU10" s="1157">
        <v>0</v>
      </c>
      <c r="AV10" s="1157">
        <v>0</v>
      </c>
      <c r="AW10" s="1157">
        <v>0</v>
      </c>
      <c r="AX10" s="1157">
        <v>0</v>
      </c>
      <c r="AY10" s="1157">
        <v>0</v>
      </c>
      <c r="AZ10" s="1157">
        <v>0</v>
      </c>
      <c r="BA10" s="1157">
        <v>0</v>
      </c>
      <c r="BB10" s="1157">
        <v>0</v>
      </c>
      <c r="BC10" s="1157">
        <v>0</v>
      </c>
      <c r="BD10" s="1157">
        <v>0</v>
      </c>
      <c r="BE10" s="1157">
        <v>0</v>
      </c>
      <c r="BF10" s="1157">
        <v>0</v>
      </c>
      <c r="BG10" s="1157">
        <v>0</v>
      </c>
      <c r="BH10" s="1157">
        <v>0</v>
      </c>
      <c r="BI10" s="1157">
        <v>0</v>
      </c>
      <c r="BJ10" s="1157">
        <v>0</v>
      </c>
      <c r="BK10" s="1157">
        <v>0</v>
      </c>
      <c r="BL10" s="1157">
        <v>0</v>
      </c>
      <c r="BM10" s="1157">
        <v>0</v>
      </c>
      <c r="BN10" s="1157">
        <v>0</v>
      </c>
      <c r="BO10" s="1157">
        <v>0</v>
      </c>
      <c r="BP10" s="1157">
        <v>0</v>
      </c>
      <c r="BQ10" s="1157">
        <v>0</v>
      </c>
      <c r="BR10" s="1157">
        <v>0</v>
      </c>
      <c r="BS10" s="1157">
        <v>0</v>
      </c>
      <c r="BT10" s="1157">
        <v>0</v>
      </c>
      <c r="BU10" s="1157">
        <v>0</v>
      </c>
      <c r="BV10" s="1157">
        <v>0</v>
      </c>
      <c r="BW10" s="1157">
        <v>0</v>
      </c>
      <c r="BX10" s="1157">
        <v>0</v>
      </c>
      <c r="BY10" s="1157">
        <v>0</v>
      </c>
      <c r="BZ10" s="1157">
        <v>0</v>
      </c>
      <c r="CA10" s="1157">
        <v>0</v>
      </c>
      <c r="CB10" s="1157">
        <v>0</v>
      </c>
      <c r="CC10" s="1148">
        <v>0</v>
      </c>
      <c r="CD10" s="1148">
        <v>0</v>
      </c>
      <c r="CE10" s="1148">
        <v>0</v>
      </c>
      <c r="CF10" s="1148">
        <v>0</v>
      </c>
    </row>
    <row r="11" spans="1:84" s="1148" customFormat="1" x14ac:dyDescent="0.3">
      <c r="A11" s="1146">
        <v>14</v>
      </c>
      <c r="B11" s="1154"/>
      <c r="C11" s="1228">
        <v>14</v>
      </c>
      <c r="D11" s="1146" t="s">
        <v>306</v>
      </c>
      <c r="E11" s="1155" t="s">
        <v>307</v>
      </c>
      <c r="F11" s="1156">
        <v>0</v>
      </c>
      <c r="G11" s="1156">
        <v>0</v>
      </c>
      <c r="H11" s="1156">
        <v>0</v>
      </c>
      <c r="I11" s="1156">
        <v>0</v>
      </c>
      <c r="J11" s="1156">
        <v>0</v>
      </c>
      <c r="K11" s="1156">
        <v>0</v>
      </c>
      <c r="L11" s="1157">
        <v>0</v>
      </c>
      <c r="M11" s="1157">
        <v>0</v>
      </c>
      <c r="N11" s="1157">
        <v>0</v>
      </c>
      <c r="O11" s="1157">
        <v>0</v>
      </c>
      <c r="P11" s="1157">
        <v>0</v>
      </c>
      <c r="Q11" s="1157">
        <v>0</v>
      </c>
      <c r="R11" s="1157">
        <v>0</v>
      </c>
      <c r="S11" s="1157">
        <v>0</v>
      </c>
      <c r="T11" s="1157">
        <v>0</v>
      </c>
      <c r="U11" s="1157">
        <v>0</v>
      </c>
      <c r="V11" s="1157">
        <v>0</v>
      </c>
      <c r="W11" s="1157">
        <v>0</v>
      </c>
      <c r="X11" s="1157">
        <v>0</v>
      </c>
      <c r="Y11" s="1157">
        <v>0</v>
      </c>
      <c r="Z11" s="1157">
        <v>0</v>
      </c>
      <c r="AA11" s="1157">
        <v>0</v>
      </c>
      <c r="AB11" s="1157">
        <v>0</v>
      </c>
      <c r="AC11" s="1157">
        <v>0</v>
      </c>
      <c r="AD11" s="1157">
        <v>0</v>
      </c>
      <c r="AE11" s="1157">
        <v>0</v>
      </c>
      <c r="AF11" s="1157">
        <v>0</v>
      </c>
      <c r="AG11" s="1157">
        <v>0</v>
      </c>
      <c r="AH11" s="1157">
        <v>0</v>
      </c>
      <c r="AI11" s="1157">
        <v>0</v>
      </c>
      <c r="AJ11" s="1157">
        <v>0</v>
      </c>
      <c r="AK11" s="1157">
        <v>0</v>
      </c>
      <c r="AL11" s="1157">
        <v>0</v>
      </c>
      <c r="AM11" s="1157">
        <v>0</v>
      </c>
      <c r="AN11" s="1157">
        <v>0</v>
      </c>
      <c r="AO11" s="1157">
        <v>0</v>
      </c>
      <c r="AP11" s="1157">
        <v>0</v>
      </c>
      <c r="AQ11" s="1157">
        <v>0</v>
      </c>
      <c r="AR11" s="1157">
        <v>0</v>
      </c>
      <c r="AS11" s="1157">
        <v>0</v>
      </c>
      <c r="AT11" s="1157">
        <v>0</v>
      </c>
      <c r="AU11" s="1157">
        <v>0</v>
      </c>
      <c r="AV11" s="1157">
        <v>0</v>
      </c>
      <c r="AW11" s="1157">
        <v>0</v>
      </c>
      <c r="AX11" s="1157">
        <v>0</v>
      </c>
      <c r="AY11" s="1157">
        <v>0</v>
      </c>
      <c r="AZ11" s="1157">
        <v>0</v>
      </c>
      <c r="BA11" s="1157">
        <v>0</v>
      </c>
      <c r="BB11" s="1157">
        <v>0</v>
      </c>
      <c r="BC11" s="1157">
        <v>0</v>
      </c>
      <c r="BD11" s="1157">
        <v>0</v>
      </c>
      <c r="BE11" s="1157">
        <v>0</v>
      </c>
      <c r="BF11" s="1157">
        <v>0</v>
      </c>
      <c r="BG11" s="1157">
        <v>0</v>
      </c>
      <c r="BH11" s="1157">
        <v>0</v>
      </c>
      <c r="BI11" s="1157">
        <v>0</v>
      </c>
      <c r="BJ11" s="1157">
        <v>0</v>
      </c>
      <c r="BK11" s="1157">
        <v>0</v>
      </c>
      <c r="BL11" s="1157">
        <v>0</v>
      </c>
      <c r="BM11" s="1157">
        <v>0</v>
      </c>
      <c r="BN11" s="1157">
        <v>0</v>
      </c>
      <c r="BO11" s="1157">
        <v>0</v>
      </c>
      <c r="BP11" s="1157">
        <v>0</v>
      </c>
      <c r="BQ11" s="1157">
        <v>0</v>
      </c>
      <c r="BR11" s="1157">
        <v>0</v>
      </c>
      <c r="BS11" s="1157">
        <v>0</v>
      </c>
      <c r="BT11" s="1157">
        <v>0</v>
      </c>
      <c r="BU11" s="1157">
        <v>0</v>
      </c>
      <c r="BV11" s="1157">
        <v>0</v>
      </c>
      <c r="BW11" s="1157">
        <v>0</v>
      </c>
      <c r="BX11" s="1157">
        <v>0</v>
      </c>
      <c r="BY11" s="1157">
        <v>0</v>
      </c>
      <c r="BZ11" s="1157">
        <v>0</v>
      </c>
      <c r="CA11" s="1157">
        <v>0</v>
      </c>
      <c r="CB11" s="1157">
        <v>0</v>
      </c>
      <c r="CC11" s="1148">
        <v>0</v>
      </c>
      <c r="CD11" s="1148">
        <v>0</v>
      </c>
      <c r="CE11" s="1148">
        <v>0</v>
      </c>
      <c r="CF11" s="1148">
        <v>0</v>
      </c>
    </row>
    <row r="12" spans="1:84" s="1148" customFormat="1" x14ac:dyDescent="0.3">
      <c r="A12" s="1153">
        <v>16</v>
      </c>
      <c r="B12" s="1154">
        <v>16</v>
      </c>
      <c r="C12" s="1228">
        <v>16</v>
      </c>
      <c r="D12" s="1146" t="s">
        <v>206</v>
      </c>
      <c r="E12" s="1155" t="s">
        <v>308</v>
      </c>
      <c r="F12" s="1156">
        <v>0</v>
      </c>
      <c r="G12" s="1156">
        <v>71382</v>
      </c>
      <c r="H12" s="1156">
        <v>889032</v>
      </c>
      <c r="I12" s="1156">
        <v>2173926</v>
      </c>
      <c r="J12" s="1156">
        <v>1724289</v>
      </c>
      <c r="K12" s="1156">
        <v>4024227</v>
      </c>
      <c r="L12" s="1157">
        <v>73328</v>
      </c>
      <c r="M12" s="1157">
        <v>365152</v>
      </c>
      <c r="N12" s="1157">
        <v>262991</v>
      </c>
      <c r="O12" s="1157">
        <v>15478804</v>
      </c>
      <c r="P12" s="1157">
        <v>534322</v>
      </c>
      <c r="Q12" s="1157">
        <v>5763227</v>
      </c>
      <c r="R12" s="1157">
        <v>82781</v>
      </c>
      <c r="S12" s="1157">
        <v>42346258</v>
      </c>
      <c r="T12" s="1157">
        <v>0</v>
      </c>
      <c r="U12" s="1157">
        <v>32432</v>
      </c>
      <c r="V12" s="1157">
        <v>77101410</v>
      </c>
      <c r="W12" s="1157">
        <v>17021973</v>
      </c>
      <c r="X12" s="1157">
        <v>22652945</v>
      </c>
      <c r="Y12" s="1157">
        <v>34026343</v>
      </c>
      <c r="Z12" s="1157">
        <v>304218</v>
      </c>
      <c r="AA12" s="1157">
        <v>13763888</v>
      </c>
      <c r="AB12" s="1157">
        <v>1199441</v>
      </c>
      <c r="AC12" s="1157">
        <v>14626334</v>
      </c>
      <c r="AD12" s="1157">
        <v>4105482</v>
      </c>
      <c r="AE12" s="1157">
        <v>1930543</v>
      </c>
      <c r="AF12" s="1157">
        <v>2080969</v>
      </c>
      <c r="AG12" s="1157">
        <v>2307283</v>
      </c>
      <c r="AH12" s="1157">
        <v>26480698</v>
      </c>
      <c r="AI12" s="1157">
        <v>5819618</v>
      </c>
      <c r="AJ12" s="1157">
        <v>1445808</v>
      </c>
      <c r="AK12" s="1157">
        <v>30629291</v>
      </c>
      <c r="AL12" s="1157">
        <v>660772</v>
      </c>
      <c r="AM12" s="1157">
        <v>929900</v>
      </c>
      <c r="AN12" s="1157">
        <v>0</v>
      </c>
      <c r="AO12" s="1157">
        <v>14739793</v>
      </c>
      <c r="AP12" s="1157">
        <v>0</v>
      </c>
      <c r="AQ12" s="1157">
        <v>734654</v>
      </c>
      <c r="AR12" s="1157">
        <v>37278</v>
      </c>
      <c r="AS12" s="1157">
        <v>5276815</v>
      </c>
      <c r="AT12" s="1157">
        <v>7020736</v>
      </c>
      <c r="AU12" s="1157">
        <v>473996</v>
      </c>
      <c r="AV12" s="1157">
        <v>2297783</v>
      </c>
      <c r="AW12" s="1157">
        <v>0</v>
      </c>
      <c r="AX12" s="1157">
        <v>16609876</v>
      </c>
      <c r="AY12" s="1157">
        <v>1726564</v>
      </c>
      <c r="AZ12" s="1157">
        <v>1756564</v>
      </c>
      <c r="BA12" s="1157">
        <v>7301471</v>
      </c>
      <c r="BB12" s="1157">
        <v>1206358</v>
      </c>
      <c r="BC12" s="1157">
        <v>1723673</v>
      </c>
      <c r="BD12" s="1157">
        <v>30669</v>
      </c>
      <c r="BE12" s="1157">
        <v>260611</v>
      </c>
      <c r="BF12" s="1157">
        <v>9323489</v>
      </c>
      <c r="BG12" s="1157">
        <v>134286</v>
      </c>
      <c r="BH12" s="1157">
        <v>383156</v>
      </c>
      <c r="BI12" s="1157">
        <v>250121</v>
      </c>
      <c r="BJ12" s="1157">
        <v>93382</v>
      </c>
      <c r="BK12" s="1157">
        <v>233297</v>
      </c>
      <c r="BL12" s="1157">
        <v>169930</v>
      </c>
      <c r="BM12" s="1157">
        <v>3553514</v>
      </c>
      <c r="BN12" s="1157">
        <v>0</v>
      </c>
      <c r="BO12" s="1157">
        <v>1769450</v>
      </c>
      <c r="BP12" s="1157">
        <v>4119706</v>
      </c>
      <c r="BQ12" s="1157">
        <v>1247046</v>
      </c>
      <c r="BR12" s="1157">
        <v>1648885</v>
      </c>
      <c r="BS12" s="1157">
        <v>20928106</v>
      </c>
      <c r="BT12" s="1157">
        <v>883977</v>
      </c>
      <c r="BU12" s="1157">
        <v>14980218</v>
      </c>
      <c r="BV12" s="1157">
        <v>695142</v>
      </c>
      <c r="BW12" s="1157">
        <v>5776938</v>
      </c>
      <c r="BX12" s="1157">
        <v>583247</v>
      </c>
      <c r="BY12" s="1157">
        <v>0</v>
      </c>
      <c r="BZ12" s="1157">
        <v>962124</v>
      </c>
      <c r="CA12" s="1157">
        <v>63192</v>
      </c>
      <c r="CB12" s="1157">
        <v>261358</v>
      </c>
      <c r="CC12" s="1148">
        <v>135186</v>
      </c>
      <c r="CD12" s="1148">
        <v>1070733</v>
      </c>
      <c r="CE12" s="1148">
        <v>0</v>
      </c>
      <c r="CF12" s="1148">
        <v>54975</v>
      </c>
    </row>
    <row r="13" spans="1:84" s="1148" customFormat="1" x14ac:dyDescent="0.3">
      <c r="A13" s="1153">
        <v>17</v>
      </c>
      <c r="B13" s="1154">
        <v>17</v>
      </c>
      <c r="C13" s="1228">
        <v>17</v>
      </c>
      <c r="D13" s="1146" t="s">
        <v>209</v>
      </c>
      <c r="E13" s="1155" t="s">
        <v>309</v>
      </c>
      <c r="F13" s="1156">
        <v>0</v>
      </c>
      <c r="G13" s="1156">
        <v>0</v>
      </c>
      <c r="H13" s="1156">
        <v>0</v>
      </c>
      <c r="I13" s="1156">
        <v>0</v>
      </c>
      <c r="J13" s="1156">
        <v>0</v>
      </c>
      <c r="K13" s="1156">
        <v>0</v>
      </c>
      <c r="L13" s="1157">
        <v>0</v>
      </c>
      <c r="M13" s="1157">
        <v>0</v>
      </c>
      <c r="N13" s="1157">
        <v>0</v>
      </c>
      <c r="O13" s="1157">
        <v>0</v>
      </c>
      <c r="P13" s="1157">
        <v>0</v>
      </c>
      <c r="Q13" s="1157">
        <v>0</v>
      </c>
      <c r="R13" s="1157">
        <v>0</v>
      </c>
      <c r="S13" s="1157">
        <v>832842</v>
      </c>
      <c r="T13" s="1157">
        <v>0</v>
      </c>
      <c r="U13" s="1157">
        <v>0</v>
      </c>
      <c r="V13" s="1157">
        <v>0</v>
      </c>
      <c r="W13" s="1157">
        <v>9500</v>
      </c>
      <c r="X13" s="1157">
        <v>822452</v>
      </c>
      <c r="Y13" s="1157">
        <v>2400000</v>
      </c>
      <c r="Z13" s="1157">
        <v>0</v>
      </c>
      <c r="AA13" s="1157">
        <v>10000</v>
      </c>
      <c r="AB13" s="1157">
        <v>0</v>
      </c>
      <c r="AC13" s="1157">
        <v>0</v>
      </c>
      <c r="AD13" s="1157">
        <v>48300</v>
      </c>
      <c r="AE13" s="1157">
        <v>58531</v>
      </c>
      <c r="AF13" s="1157">
        <v>0</v>
      </c>
      <c r="AG13" s="1157">
        <v>99598</v>
      </c>
      <c r="AH13" s="1157">
        <v>0</v>
      </c>
      <c r="AI13" s="1157">
        <v>0</v>
      </c>
      <c r="AJ13" s="1157">
        <v>0</v>
      </c>
      <c r="AK13" s="1157">
        <v>2644000</v>
      </c>
      <c r="AL13" s="1157">
        <v>247500</v>
      </c>
      <c r="AM13" s="1157">
        <v>0</v>
      </c>
      <c r="AN13" s="1157">
        <v>0</v>
      </c>
      <c r="AO13" s="1157">
        <v>1259550</v>
      </c>
      <c r="AP13" s="1157">
        <v>0</v>
      </c>
      <c r="AQ13" s="1157">
        <v>0</v>
      </c>
      <c r="AR13" s="1157">
        <v>0</v>
      </c>
      <c r="AS13" s="1157">
        <v>0</v>
      </c>
      <c r="AT13" s="1157">
        <v>0</v>
      </c>
      <c r="AU13" s="1157">
        <v>0</v>
      </c>
      <c r="AV13" s="1157">
        <v>0</v>
      </c>
      <c r="AW13" s="1157">
        <v>0</v>
      </c>
      <c r="AX13" s="1157">
        <v>51</v>
      </c>
      <c r="AY13" s="1157">
        <v>0</v>
      </c>
      <c r="AZ13" s="1157">
        <v>0</v>
      </c>
      <c r="BA13" s="1157">
        <v>0</v>
      </c>
      <c r="BB13" s="1157">
        <v>0</v>
      </c>
      <c r="BC13" s="1157">
        <v>0</v>
      </c>
      <c r="BD13" s="1157">
        <v>0</v>
      </c>
      <c r="BE13" s="1157">
        <v>0</v>
      </c>
      <c r="BF13" s="1157">
        <v>225950</v>
      </c>
      <c r="BG13" s="1157">
        <v>0</v>
      </c>
      <c r="BH13" s="1157">
        <v>0</v>
      </c>
      <c r="BI13" s="1157">
        <v>0</v>
      </c>
      <c r="BJ13" s="1157">
        <v>0</v>
      </c>
      <c r="BK13" s="1157">
        <v>0</v>
      </c>
      <c r="BL13" s="1157">
        <v>0</v>
      </c>
      <c r="BM13" s="1157">
        <v>0</v>
      </c>
      <c r="BN13" s="1157">
        <v>0</v>
      </c>
      <c r="BO13" s="1157">
        <v>0</v>
      </c>
      <c r="BP13" s="1157">
        <v>0</v>
      </c>
      <c r="BQ13" s="1157">
        <v>0</v>
      </c>
      <c r="BR13" s="1157">
        <v>0</v>
      </c>
      <c r="BS13" s="1157">
        <v>0</v>
      </c>
      <c r="BT13" s="1157">
        <v>434211</v>
      </c>
      <c r="BU13" s="1157">
        <v>46428</v>
      </c>
      <c r="BV13" s="1157">
        <v>0</v>
      </c>
      <c r="BW13" s="1157">
        <v>47792</v>
      </c>
      <c r="BX13" s="1157">
        <v>0</v>
      </c>
      <c r="BY13" s="1157">
        <v>0</v>
      </c>
      <c r="BZ13" s="1157">
        <v>0</v>
      </c>
      <c r="CA13" s="1157">
        <v>0</v>
      </c>
      <c r="CB13" s="1157">
        <v>0</v>
      </c>
      <c r="CC13" s="1148">
        <v>0</v>
      </c>
      <c r="CD13" s="1148">
        <v>0</v>
      </c>
      <c r="CE13" s="1148">
        <v>0</v>
      </c>
      <c r="CF13" s="1148">
        <v>0</v>
      </c>
    </row>
    <row r="14" spans="1:84" s="1148" customFormat="1" x14ac:dyDescent="0.3">
      <c r="A14" s="1146">
        <v>19</v>
      </c>
      <c r="B14" s="1154"/>
      <c r="C14" s="1228">
        <v>19</v>
      </c>
      <c r="D14" s="1146" t="s">
        <v>621</v>
      </c>
      <c r="E14" s="1155" t="s">
        <v>310</v>
      </c>
      <c r="F14" s="1156">
        <v>0</v>
      </c>
      <c r="G14" s="1156">
        <v>0</v>
      </c>
      <c r="H14" s="1156">
        <v>0</v>
      </c>
      <c r="I14" s="1156">
        <v>0</v>
      </c>
      <c r="J14" s="1156">
        <v>0</v>
      </c>
      <c r="K14" s="1156">
        <v>0</v>
      </c>
      <c r="L14" s="1157">
        <v>0</v>
      </c>
      <c r="M14" s="1157">
        <v>0</v>
      </c>
      <c r="N14" s="1157">
        <v>0</v>
      </c>
      <c r="O14" s="1157">
        <v>0</v>
      </c>
      <c r="P14" s="1157">
        <v>0</v>
      </c>
      <c r="Q14" s="1157">
        <v>0</v>
      </c>
      <c r="R14" s="1157">
        <v>0</v>
      </c>
      <c r="S14" s="1157">
        <v>0</v>
      </c>
      <c r="T14" s="1157">
        <v>0</v>
      </c>
      <c r="U14" s="1157">
        <v>0</v>
      </c>
      <c r="V14" s="1157">
        <v>0</v>
      </c>
      <c r="W14" s="1157">
        <v>0</v>
      </c>
      <c r="X14" s="1157">
        <v>0</v>
      </c>
      <c r="Y14" s="1157">
        <v>0</v>
      </c>
      <c r="Z14" s="1157">
        <v>0</v>
      </c>
      <c r="AA14" s="1157">
        <v>0</v>
      </c>
      <c r="AB14" s="1157">
        <v>0</v>
      </c>
      <c r="AC14" s="1157">
        <v>0</v>
      </c>
      <c r="AD14" s="1157">
        <v>0</v>
      </c>
      <c r="AE14" s="1157">
        <v>0</v>
      </c>
      <c r="AF14" s="1157">
        <v>0</v>
      </c>
      <c r="AG14" s="1157">
        <v>0</v>
      </c>
      <c r="AH14" s="1157">
        <v>0</v>
      </c>
      <c r="AI14" s="1157">
        <v>0</v>
      </c>
      <c r="AJ14" s="1157">
        <v>0</v>
      </c>
      <c r="AK14" s="1157">
        <v>0</v>
      </c>
      <c r="AL14" s="1157">
        <v>0</v>
      </c>
      <c r="AM14" s="1157">
        <v>0</v>
      </c>
      <c r="AN14" s="1157">
        <v>0</v>
      </c>
      <c r="AO14" s="1157">
        <v>0</v>
      </c>
      <c r="AP14" s="1157">
        <v>0</v>
      </c>
      <c r="AQ14" s="1157">
        <v>0</v>
      </c>
      <c r="AR14" s="1157">
        <v>0</v>
      </c>
      <c r="AS14" s="1157">
        <v>0</v>
      </c>
      <c r="AT14" s="1157">
        <v>0</v>
      </c>
      <c r="AU14" s="1157">
        <v>0</v>
      </c>
      <c r="AV14" s="1157">
        <v>0</v>
      </c>
      <c r="AW14" s="1157">
        <v>0</v>
      </c>
      <c r="AX14" s="1157">
        <v>0</v>
      </c>
      <c r="AY14" s="1157">
        <v>0</v>
      </c>
      <c r="AZ14" s="1157">
        <v>0</v>
      </c>
      <c r="BA14" s="1157">
        <v>0</v>
      </c>
      <c r="BB14" s="1157">
        <v>0</v>
      </c>
      <c r="BC14" s="1157">
        <v>0</v>
      </c>
      <c r="BD14" s="1157">
        <v>0</v>
      </c>
      <c r="BE14" s="1157">
        <v>0</v>
      </c>
      <c r="BF14" s="1157">
        <v>0</v>
      </c>
      <c r="BG14" s="1157">
        <v>0</v>
      </c>
      <c r="BH14" s="1157">
        <v>0</v>
      </c>
      <c r="BI14" s="1157">
        <v>0</v>
      </c>
      <c r="BJ14" s="1157">
        <v>0</v>
      </c>
      <c r="BK14" s="1157">
        <v>0</v>
      </c>
      <c r="BL14" s="1157">
        <v>0</v>
      </c>
      <c r="BM14" s="1157">
        <v>0</v>
      </c>
      <c r="BN14" s="1157">
        <v>0</v>
      </c>
      <c r="BO14" s="1157">
        <v>0</v>
      </c>
      <c r="BP14" s="1157">
        <v>0</v>
      </c>
      <c r="BQ14" s="1157">
        <v>0</v>
      </c>
      <c r="BR14" s="1157">
        <v>0</v>
      </c>
      <c r="BS14" s="1157">
        <v>0</v>
      </c>
      <c r="BT14" s="1157">
        <v>0</v>
      </c>
      <c r="BU14" s="1157">
        <v>0</v>
      </c>
      <c r="BV14" s="1157">
        <v>0</v>
      </c>
      <c r="BW14" s="1157">
        <v>0</v>
      </c>
      <c r="BX14" s="1157">
        <v>0</v>
      </c>
      <c r="BY14" s="1157">
        <v>0</v>
      </c>
      <c r="BZ14" s="1157">
        <v>0</v>
      </c>
      <c r="CA14" s="1157">
        <v>0</v>
      </c>
      <c r="CB14" s="1157">
        <v>0</v>
      </c>
      <c r="CC14" s="1148">
        <v>0</v>
      </c>
      <c r="CD14" s="1148">
        <v>0</v>
      </c>
      <c r="CE14" s="1148">
        <v>0</v>
      </c>
      <c r="CF14" s="1148">
        <v>0</v>
      </c>
    </row>
    <row r="15" spans="1:84" s="1148" customFormat="1" x14ac:dyDescent="0.3">
      <c r="A15" s="1153">
        <v>20</v>
      </c>
      <c r="B15" s="1154">
        <v>20</v>
      </c>
      <c r="C15" s="1228">
        <v>20</v>
      </c>
      <c r="D15" s="1146" t="s">
        <v>210</v>
      </c>
      <c r="E15" s="1155" t="s">
        <v>311</v>
      </c>
      <c r="F15" s="1156">
        <v>0</v>
      </c>
      <c r="G15" s="1156">
        <v>0</v>
      </c>
      <c r="H15" s="1156">
        <v>0</v>
      </c>
      <c r="I15" s="1156">
        <v>105426</v>
      </c>
      <c r="J15" s="1156">
        <v>0</v>
      </c>
      <c r="K15" s="1156">
        <v>465000</v>
      </c>
      <c r="L15" s="1157">
        <v>10000</v>
      </c>
      <c r="M15" s="1157">
        <v>0</v>
      </c>
      <c r="N15" s="1157">
        <v>0</v>
      </c>
      <c r="O15" s="1157">
        <v>0</v>
      </c>
      <c r="P15" s="1157">
        <v>0</v>
      </c>
      <c r="Q15" s="1157">
        <v>0</v>
      </c>
      <c r="R15" s="1157">
        <v>0</v>
      </c>
      <c r="S15" s="1157">
        <v>5538882</v>
      </c>
      <c r="T15" s="1157">
        <v>0</v>
      </c>
      <c r="U15" s="1157">
        <v>0</v>
      </c>
      <c r="V15" s="1157">
        <v>31186</v>
      </c>
      <c r="W15" s="1157">
        <v>3132913</v>
      </c>
      <c r="X15" s="1157">
        <v>851347</v>
      </c>
      <c r="Y15" s="1157">
        <v>7310600</v>
      </c>
      <c r="Z15" s="1157">
        <v>0</v>
      </c>
      <c r="AA15" s="1157">
        <v>1375770</v>
      </c>
      <c r="AB15" s="1157">
        <v>0</v>
      </c>
      <c r="AC15" s="1157">
        <v>0</v>
      </c>
      <c r="AD15" s="1157">
        <v>0</v>
      </c>
      <c r="AE15" s="1157">
        <v>140000</v>
      </c>
      <c r="AF15" s="1157">
        <v>0</v>
      </c>
      <c r="AG15" s="1157">
        <v>0</v>
      </c>
      <c r="AH15" s="1157">
        <v>0</v>
      </c>
      <c r="AI15" s="1157">
        <v>299452</v>
      </c>
      <c r="AJ15" s="1157">
        <v>0</v>
      </c>
      <c r="AK15" s="1157">
        <v>1203885</v>
      </c>
      <c r="AL15" s="1157">
        <v>1048139</v>
      </c>
      <c r="AM15" s="1157">
        <v>0</v>
      </c>
      <c r="AN15" s="1157">
        <v>0</v>
      </c>
      <c r="AO15" s="1157">
        <v>801600</v>
      </c>
      <c r="AP15" s="1157">
        <v>0</v>
      </c>
      <c r="AQ15" s="1157">
        <v>0</v>
      </c>
      <c r="AR15" s="1157">
        <v>0</v>
      </c>
      <c r="AS15" s="1157">
        <v>0</v>
      </c>
      <c r="AT15" s="1157">
        <v>0</v>
      </c>
      <c r="AU15" s="1157">
        <v>0</v>
      </c>
      <c r="AV15" s="1157">
        <v>0</v>
      </c>
      <c r="AW15" s="1157">
        <v>0</v>
      </c>
      <c r="AX15" s="1157">
        <v>296800</v>
      </c>
      <c r="AY15" s="1157">
        <v>0</v>
      </c>
      <c r="AZ15" s="1157">
        <v>0</v>
      </c>
      <c r="BA15" s="1157">
        <v>0</v>
      </c>
      <c r="BB15" s="1157">
        <v>39200</v>
      </c>
      <c r="BC15" s="1157">
        <v>0</v>
      </c>
      <c r="BD15" s="1157">
        <v>0</v>
      </c>
      <c r="BE15" s="1157">
        <v>20000</v>
      </c>
      <c r="BF15" s="1157">
        <v>21000</v>
      </c>
      <c r="BG15" s="1157">
        <v>0</v>
      </c>
      <c r="BH15" s="1157">
        <v>0</v>
      </c>
      <c r="BI15" s="1157">
        <v>0</v>
      </c>
      <c r="BJ15" s="1157">
        <v>0</v>
      </c>
      <c r="BK15" s="1157">
        <v>0</v>
      </c>
      <c r="BL15" s="1157">
        <v>0</v>
      </c>
      <c r="BM15" s="1157">
        <v>0</v>
      </c>
      <c r="BN15" s="1157">
        <v>0</v>
      </c>
      <c r="BO15" s="1157">
        <v>17850</v>
      </c>
      <c r="BP15" s="1157">
        <v>59000</v>
      </c>
      <c r="BQ15" s="1157">
        <v>0</v>
      </c>
      <c r="BR15" s="1157">
        <v>0</v>
      </c>
      <c r="BS15" s="1157">
        <v>0</v>
      </c>
      <c r="BT15" s="1157">
        <v>0</v>
      </c>
      <c r="BU15" s="1157">
        <v>535000</v>
      </c>
      <c r="BV15" s="1157">
        <v>0</v>
      </c>
      <c r="BW15" s="1157">
        <v>96410</v>
      </c>
      <c r="BX15" s="1157">
        <v>27023</v>
      </c>
      <c r="BY15" s="1157">
        <v>0</v>
      </c>
      <c r="BZ15" s="1157">
        <v>88765</v>
      </c>
      <c r="CA15" s="1157">
        <v>0</v>
      </c>
      <c r="CB15" s="1157">
        <v>136118</v>
      </c>
      <c r="CC15" s="1148">
        <v>0</v>
      </c>
      <c r="CD15" s="1148">
        <v>0</v>
      </c>
      <c r="CE15" s="1148">
        <v>0</v>
      </c>
      <c r="CF15" s="1148">
        <v>0</v>
      </c>
    </row>
    <row r="16" spans="1:84" s="1148" customFormat="1" x14ac:dyDescent="0.3">
      <c r="A16" s="1146">
        <v>21</v>
      </c>
      <c r="B16" s="1154"/>
      <c r="C16" s="1228">
        <v>21</v>
      </c>
      <c r="D16" s="1146" t="s">
        <v>622</v>
      </c>
      <c r="E16" s="1155" t="s">
        <v>312</v>
      </c>
      <c r="F16" s="1156">
        <v>0</v>
      </c>
      <c r="G16" s="1156">
        <v>0</v>
      </c>
      <c r="H16" s="1156">
        <v>0</v>
      </c>
      <c r="I16" s="1156">
        <v>0</v>
      </c>
      <c r="J16" s="1156">
        <v>0</v>
      </c>
      <c r="K16" s="1156">
        <v>0</v>
      </c>
      <c r="L16" s="1157">
        <v>0</v>
      </c>
      <c r="M16" s="1157">
        <v>0</v>
      </c>
      <c r="N16" s="1157">
        <v>0</v>
      </c>
      <c r="O16" s="1157">
        <v>0</v>
      </c>
      <c r="P16" s="1157">
        <v>0</v>
      </c>
      <c r="Q16" s="1157">
        <v>0</v>
      </c>
      <c r="R16" s="1157">
        <v>0</v>
      </c>
      <c r="S16" s="1157">
        <v>0</v>
      </c>
      <c r="T16" s="1157">
        <v>0</v>
      </c>
      <c r="U16" s="1157">
        <v>0</v>
      </c>
      <c r="V16" s="1157">
        <v>0</v>
      </c>
      <c r="W16" s="1157">
        <v>0</v>
      </c>
      <c r="X16" s="1157">
        <v>0</v>
      </c>
      <c r="Y16" s="1157">
        <v>0</v>
      </c>
      <c r="Z16" s="1157">
        <v>0</v>
      </c>
      <c r="AA16" s="1157">
        <v>0</v>
      </c>
      <c r="AB16" s="1157">
        <v>0</v>
      </c>
      <c r="AC16" s="1157">
        <v>0</v>
      </c>
      <c r="AD16" s="1157">
        <v>0</v>
      </c>
      <c r="AE16" s="1157">
        <v>0</v>
      </c>
      <c r="AF16" s="1157">
        <v>0</v>
      </c>
      <c r="AG16" s="1157">
        <v>0</v>
      </c>
      <c r="AH16" s="1157">
        <v>0</v>
      </c>
      <c r="AI16" s="1157">
        <v>0</v>
      </c>
      <c r="AJ16" s="1157">
        <v>0</v>
      </c>
      <c r="AK16" s="1157">
        <v>0</v>
      </c>
      <c r="AL16" s="1157">
        <v>0</v>
      </c>
      <c r="AM16" s="1157">
        <v>0</v>
      </c>
      <c r="AN16" s="1157">
        <v>0</v>
      </c>
      <c r="AO16" s="1157">
        <v>0</v>
      </c>
      <c r="AP16" s="1157">
        <v>0</v>
      </c>
      <c r="AQ16" s="1157">
        <v>0</v>
      </c>
      <c r="AR16" s="1157">
        <v>0</v>
      </c>
      <c r="AS16" s="1157">
        <v>0</v>
      </c>
      <c r="AT16" s="1157">
        <v>0</v>
      </c>
      <c r="AU16" s="1157">
        <v>0</v>
      </c>
      <c r="AV16" s="1157">
        <v>0</v>
      </c>
      <c r="AW16" s="1157">
        <v>0</v>
      </c>
      <c r="AX16" s="1157">
        <v>0</v>
      </c>
      <c r="AY16" s="1157">
        <v>0</v>
      </c>
      <c r="AZ16" s="1157">
        <v>0</v>
      </c>
      <c r="BA16" s="1157">
        <v>0</v>
      </c>
      <c r="BB16" s="1157">
        <v>0</v>
      </c>
      <c r="BC16" s="1157">
        <v>0</v>
      </c>
      <c r="BD16" s="1157">
        <v>0</v>
      </c>
      <c r="BE16" s="1157">
        <v>0</v>
      </c>
      <c r="BF16" s="1157">
        <v>0</v>
      </c>
      <c r="BG16" s="1157">
        <v>0</v>
      </c>
      <c r="BH16" s="1157">
        <v>0</v>
      </c>
      <c r="BI16" s="1157">
        <v>0</v>
      </c>
      <c r="BJ16" s="1157">
        <v>0</v>
      </c>
      <c r="BK16" s="1157">
        <v>0</v>
      </c>
      <c r="BL16" s="1157">
        <v>0</v>
      </c>
      <c r="BM16" s="1157">
        <v>0</v>
      </c>
      <c r="BN16" s="1157">
        <v>0</v>
      </c>
      <c r="BO16" s="1157">
        <v>0</v>
      </c>
      <c r="BP16" s="1157">
        <v>0</v>
      </c>
      <c r="BQ16" s="1157">
        <v>0</v>
      </c>
      <c r="BR16" s="1157">
        <v>0</v>
      </c>
      <c r="BS16" s="1157">
        <v>0</v>
      </c>
      <c r="BT16" s="1157">
        <v>0</v>
      </c>
      <c r="BU16" s="1157">
        <v>0</v>
      </c>
      <c r="BV16" s="1157">
        <v>0</v>
      </c>
      <c r="BW16" s="1157">
        <v>0</v>
      </c>
      <c r="BX16" s="1157">
        <v>0</v>
      </c>
      <c r="BY16" s="1157">
        <v>0</v>
      </c>
      <c r="BZ16" s="1157">
        <v>0</v>
      </c>
      <c r="CA16" s="1157">
        <v>0</v>
      </c>
      <c r="CB16" s="1157">
        <v>0</v>
      </c>
      <c r="CC16" s="1148">
        <v>0</v>
      </c>
      <c r="CD16" s="1148">
        <v>0</v>
      </c>
      <c r="CE16" s="1148">
        <v>0</v>
      </c>
      <c r="CF16" s="1148">
        <v>0</v>
      </c>
    </row>
    <row r="17" spans="1:84" s="1148" customFormat="1" x14ac:dyDescent="0.3">
      <c r="A17" s="1153">
        <v>22</v>
      </c>
      <c r="B17" s="1154">
        <v>22</v>
      </c>
      <c r="C17" s="1228">
        <v>22</v>
      </c>
      <c r="D17" s="1146" t="s">
        <v>212</v>
      </c>
      <c r="E17" s="1155" t="s">
        <v>313</v>
      </c>
      <c r="F17" s="1156">
        <v>0</v>
      </c>
      <c r="G17" s="1156">
        <v>0</v>
      </c>
      <c r="H17" s="1156">
        <v>11103</v>
      </c>
      <c r="I17" s="1156">
        <v>0</v>
      </c>
      <c r="J17" s="1156">
        <v>0</v>
      </c>
      <c r="K17" s="1156">
        <v>0</v>
      </c>
      <c r="L17" s="1157">
        <v>0</v>
      </c>
      <c r="M17" s="1157">
        <v>0</v>
      </c>
      <c r="N17" s="1157">
        <v>0</v>
      </c>
      <c r="O17" s="1157">
        <v>0</v>
      </c>
      <c r="P17" s="1157">
        <v>0</v>
      </c>
      <c r="Q17" s="1157">
        <v>0</v>
      </c>
      <c r="R17" s="1157">
        <v>0</v>
      </c>
      <c r="S17" s="1157">
        <v>0</v>
      </c>
      <c r="T17" s="1157">
        <v>0</v>
      </c>
      <c r="U17" s="1157">
        <v>0</v>
      </c>
      <c r="V17" s="1157">
        <v>80318932</v>
      </c>
      <c r="W17" s="1157">
        <v>8101</v>
      </c>
      <c r="X17" s="1157">
        <v>0</v>
      </c>
      <c r="Y17" s="1157">
        <v>0</v>
      </c>
      <c r="Z17" s="1157">
        <v>0</v>
      </c>
      <c r="AA17" s="1157">
        <v>363840</v>
      </c>
      <c r="AB17" s="1157">
        <v>0</v>
      </c>
      <c r="AC17" s="1157">
        <v>70844</v>
      </c>
      <c r="AD17" s="1157">
        <v>34000</v>
      </c>
      <c r="AE17" s="1157">
        <v>8974</v>
      </c>
      <c r="AF17" s="1157">
        <v>0</v>
      </c>
      <c r="AG17" s="1157">
        <v>31109</v>
      </c>
      <c r="AH17" s="1157">
        <v>10098</v>
      </c>
      <c r="AI17" s="1157">
        <v>22409</v>
      </c>
      <c r="AJ17" s="1157">
        <v>0</v>
      </c>
      <c r="AK17" s="1157">
        <v>4735</v>
      </c>
      <c r="AL17" s="1157">
        <v>0</v>
      </c>
      <c r="AM17" s="1157">
        <v>0</v>
      </c>
      <c r="AN17" s="1157">
        <v>0</v>
      </c>
      <c r="AO17" s="1157">
        <v>0</v>
      </c>
      <c r="AP17" s="1157">
        <v>0</v>
      </c>
      <c r="AQ17" s="1157">
        <v>111873</v>
      </c>
      <c r="AR17" s="1157">
        <v>0</v>
      </c>
      <c r="AS17" s="1157">
        <v>9725</v>
      </c>
      <c r="AT17" s="1157">
        <v>0</v>
      </c>
      <c r="AU17" s="1157">
        <v>-37738</v>
      </c>
      <c r="AV17" s="1157">
        <v>0</v>
      </c>
      <c r="AW17" s="1157">
        <v>0</v>
      </c>
      <c r="AX17" s="1157">
        <v>38880</v>
      </c>
      <c r="AY17" s="1157">
        <v>0</v>
      </c>
      <c r="AZ17" s="1157">
        <v>0</v>
      </c>
      <c r="BA17" s="1157">
        <v>24892</v>
      </c>
      <c r="BB17" s="1157">
        <v>0</v>
      </c>
      <c r="BC17" s="1157">
        <v>0</v>
      </c>
      <c r="BD17" s="1157">
        <v>0</v>
      </c>
      <c r="BE17" s="1157">
        <v>0</v>
      </c>
      <c r="BF17" s="1157">
        <v>0</v>
      </c>
      <c r="BG17" s="1157">
        <v>0</v>
      </c>
      <c r="BH17" s="1157">
        <v>0</v>
      </c>
      <c r="BI17" s="1157">
        <v>0</v>
      </c>
      <c r="BJ17" s="1157">
        <v>0</v>
      </c>
      <c r="BK17" s="1157">
        <v>0</v>
      </c>
      <c r="BL17" s="1157">
        <v>0</v>
      </c>
      <c r="BM17" s="1157">
        <v>0</v>
      </c>
      <c r="BN17" s="1157">
        <v>0</v>
      </c>
      <c r="BO17" s="1157">
        <v>7310</v>
      </c>
      <c r="BP17" s="1157">
        <v>0</v>
      </c>
      <c r="BQ17" s="1157">
        <v>0</v>
      </c>
      <c r="BR17" s="1157">
        <v>670</v>
      </c>
      <c r="BS17" s="1157">
        <v>19418</v>
      </c>
      <c r="BT17" s="1157">
        <v>0</v>
      </c>
      <c r="BU17" s="1157">
        <v>0</v>
      </c>
      <c r="BV17" s="1157">
        <v>0</v>
      </c>
      <c r="BW17" s="1157">
        <v>0</v>
      </c>
      <c r="BX17" s="1157">
        <v>0</v>
      </c>
      <c r="BY17" s="1157">
        <v>0</v>
      </c>
      <c r="BZ17" s="1157">
        <v>7200</v>
      </c>
      <c r="CA17" s="1157">
        <v>0</v>
      </c>
      <c r="CB17" s="1157">
        <v>0</v>
      </c>
      <c r="CC17" s="1148">
        <v>0</v>
      </c>
      <c r="CD17" s="1148">
        <v>0</v>
      </c>
      <c r="CE17" s="1148">
        <v>0</v>
      </c>
      <c r="CF17" s="1148">
        <v>0</v>
      </c>
    </row>
    <row r="18" spans="1:84" s="1148" customFormat="1" x14ac:dyDescent="0.3">
      <c r="A18" s="1153">
        <v>23</v>
      </c>
      <c r="B18" s="1154">
        <v>23</v>
      </c>
      <c r="C18" s="1228">
        <v>23</v>
      </c>
      <c r="D18" s="1146" t="s">
        <v>215</v>
      </c>
      <c r="E18" s="1155" t="s">
        <v>314</v>
      </c>
      <c r="F18" s="1156">
        <v>0</v>
      </c>
      <c r="G18" s="1156">
        <v>25993</v>
      </c>
      <c r="H18" s="1156">
        <v>37806</v>
      </c>
      <c r="I18" s="1156">
        <v>424476</v>
      </c>
      <c r="J18" s="1156">
        <v>230487</v>
      </c>
      <c r="K18" s="1156">
        <v>-615138</v>
      </c>
      <c r="L18" s="1157">
        <v>3970</v>
      </c>
      <c r="M18" s="1157">
        <v>85815</v>
      </c>
      <c r="N18" s="1157">
        <v>46815</v>
      </c>
      <c r="O18" s="1157">
        <v>1988606</v>
      </c>
      <c r="P18" s="1157">
        <v>41749</v>
      </c>
      <c r="Q18" s="1157">
        <v>458003</v>
      </c>
      <c r="R18" s="1157">
        <v>16204</v>
      </c>
      <c r="S18" s="1157">
        <v>2567265</v>
      </c>
      <c r="T18" s="1157">
        <v>0</v>
      </c>
      <c r="U18" s="1157">
        <v>-4597</v>
      </c>
      <c r="V18" s="1157">
        <v>24235244</v>
      </c>
      <c r="W18" s="1157">
        <v>-1199771</v>
      </c>
      <c r="X18" s="1157">
        <v>2523659</v>
      </c>
      <c r="Y18" s="1157">
        <v>-3813176</v>
      </c>
      <c r="Z18" s="1157">
        <v>9616</v>
      </c>
      <c r="AA18" s="1157">
        <v>485109</v>
      </c>
      <c r="AB18" s="1157">
        <v>48402</v>
      </c>
      <c r="AC18" s="1157">
        <v>1169887</v>
      </c>
      <c r="AD18" s="1157">
        <v>347649</v>
      </c>
      <c r="AE18" s="1157">
        <v>134542</v>
      </c>
      <c r="AF18" s="1157">
        <v>162400</v>
      </c>
      <c r="AG18" s="1157">
        <v>179309</v>
      </c>
      <c r="AH18" s="1157">
        <v>-8448201</v>
      </c>
      <c r="AI18" s="1157">
        <v>-122138</v>
      </c>
      <c r="AJ18" s="1157">
        <v>5126</v>
      </c>
      <c r="AK18" s="1157">
        <v>-1332966</v>
      </c>
      <c r="AL18" s="1157">
        <v>-441445</v>
      </c>
      <c r="AM18" s="1157">
        <v>63504</v>
      </c>
      <c r="AN18" s="1157">
        <v>0</v>
      </c>
      <c r="AO18" s="1157">
        <v>1073682</v>
      </c>
      <c r="AP18" s="1157">
        <v>0</v>
      </c>
      <c r="AQ18" s="1157">
        <v>-10716</v>
      </c>
      <c r="AR18" s="1157">
        <v>-7939</v>
      </c>
      <c r="AS18" s="1157">
        <v>455296</v>
      </c>
      <c r="AT18" s="1157">
        <v>1368260</v>
      </c>
      <c r="AU18" s="1157">
        <v>-69275</v>
      </c>
      <c r="AV18" s="1157">
        <v>6182</v>
      </c>
      <c r="AW18" s="1157">
        <v>0</v>
      </c>
      <c r="AX18" s="1157">
        <v>2914705</v>
      </c>
      <c r="AY18" s="1157">
        <v>75846</v>
      </c>
      <c r="AZ18" s="1157">
        <v>83244</v>
      </c>
      <c r="BA18" s="1157">
        <v>2151221</v>
      </c>
      <c r="BB18" s="1157">
        <v>238384</v>
      </c>
      <c r="BC18" s="1157">
        <v>464447</v>
      </c>
      <c r="BD18" s="1157">
        <v>7050</v>
      </c>
      <c r="BE18" s="1157">
        <v>42531</v>
      </c>
      <c r="BF18" s="1157">
        <v>-16204</v>
      </c>
      <c r="BG18" s="1157">
        <v>17910</v>
      </c>
      <c r="BH18" s="1157">
        <v>26951</v>
      </c>
      <c r="BI18" s="1157">
        <v>106760</v>
      </c>
      <c r="BJ18" s="1157">
        <v>15704</v>
      </c>
      <c r="BK18" s="1157">
        <v>-30712</v>
      </c>
      <c r="BL18" s="1157">
        <v>69230</v>
      </c>
      <c r="BM18" s="1157">
        <v>251616</v>
      </c>
      <c r="BN18" s="1157">
        <v>0</v>
      </c>
      <c r="BO18" s="1157">
        <v>-191930</v>
      </c>
      <c r="BP18" s="1157">
        <v>-571256</v>
      </c>
      <c r="BQ18" s="1157">
        <v>153050</v>
      </c>
      <c r="BR18" s="1157">
        <v>324813</v>
      </c>
      <c r="BS18" s="1157">
        <v>3357297</v>
      </c>
      <c r="BT18" s="1157">
        <v>92007</v>
      </c>
      <c r="BU18" s="1157">
        <v>1378337</v>
      </c>
      <c r="BV18" s="1157">
        <v>96793</v>
      </c>
      <c r="BW18" s="1157">
        <v>812009</v>
      </c>
      <c r="BX18" s="1157">
        <v>-31333</v>
      </c>
      <c r="BY18" s="1157">
        <v>0</v>
      </c>
      <c r="BZ18" s="1157">
        <v>-60807</v>
      </c>
      <c r="CA18" s="1157">
        <v>-49082</v>
      </c>
      <c r="CB18" s="1157">
        <v>-53512</v>
      </c>
      <c r="CC18" s="1148">
        <v>21345</v>
      </c>
      <c r="CD18" s="1148">
        <v>-236</v>
      </c>
      <c r="CE18" s="1148">
        <v>0</v>
      </c>
      <c r="CF18" s="1148">
        <v>7981</v>
      </c>
    </row>
    <row r="19" spans="1:84" s="1148" customFormat="1" x14ac:dyDescent="0.3">
      <c r="A19" s="1146">
        <v>31</v>
      </c>
      <c r="B19" s="1154"/>
      <c r="C19" s="1228">
        <v>31</v>
      </c>
      <c r="D19" s="1146" t="s">
        <v>623</v>
      </c>
      <c r="E19" s="1155" t="s">
        <v>315</v>
      </c>
      <c r="F19" s="1156">
        <v>0</v>
      </c>
      <c r="G19" s="1156">
        <v>0</v>
      </c>
      <c r="H19" s="1156">
        <v>0</v>
      </c>
      <c r="I19" s="1156">
        <v>0</v>
      </c>
      <c r="J19" s="1156">
        <v>0</v>
      </c>
      <c r="K19" s="1156">
        <v>0</v>
      </c>
      <c r="L19" s="1157">
        <v>0</v>
      </c>
      <c r="M19" s="1157">
        <v>0</v>
      </c>
      <c r="N19" s="1157">
        <v>0</v>
      </c>
      <c r="O19" s="1157">
        <v>0</v>
      </c>
      <c r="P19" s="1157">
        <v>0</v>
      </c>
      <c r="Q19" s="1157">
        <v>0</v>
      </c>
      <c r="R19" s="1157">
        <v>0</v>
      </c>
      <c r="S19" s="1157">
        <v>0</v>
      </c>
      <c r="T19" s="1157">
        <v>0</v>
      </c>
      <c r="U19" s="1157">
        <v>0</v>
      </c>
      <c r="V19" s="1157">
        <v>0</v>
      </c>
      <c r="W19" s="1157">
        <v>0</v>
      </c>
      <c r="X19" s="1157">
        <v>0</v>
      </c>
      <c r="Y19" s="1157">
        <v>0</v>
      </c>
      <c r="Z19" s="1157">
        <v>0</v>
      </c>
      <c r="AA19" s="1157">
        <v>0</v>
      </c>
      <c r="AB19" s="1157">
        <v>0</v>
      </c>
      <c r="AC19" s="1157">
        <v>0</v>
      </c>
      <c r="AD19" s="1157">
        <v>0</v>
      </c>
      <c r="AE19" s="1157">
        <v>0</v>
      </c>
      <c r="AF19" s="1157">
        <v>0</v>
      </c>
      <c r="AG19" s="1157">
        <v>0</v>
      </c>
      <c r="AH19" s="1157">
        <v>0</v>
      </c>
      <c r="AI19" s="1157">
        <v>0</v>
      </c>
      <c r="AJ19" s="1157">
        <v>0</v>
      </c>
      <c r="AK19" s="1157">
        <v>0</v>
      </c>
      <c r="AL19" s="1157">
        <v>0</v>
      </c>
      <c r="AM19" s="1157">
        <v>0</v>
      </c>
      <c r="AN19" s="1157">
        <v>0</v>
      </c>
      <c r="AO19" s="1157">
        <v>0</v>
      </c>
      <c r="AP19" s="1157">
        <v>0</v>
      </c>
      <c r="AQ19" s="1157">
        <v>0</v>
      </c>
      <c r="AR19" s="1157">
        <v>0</v>
      </c>
      <c r="AS19" s="1157">
        <v>0</v>
      </c>
      <c r="AT19" s="1157">
        <v>0</v>
      </c>
      <c r="AU19" s="1157">
        <v>0</v>
      </c>
      <c r="AV19" s="1157">
        <v>0</v>
      </c>
      <c r="AW19" s="1157">
        <v>0</v>
      </c>
      <c r="AX19" s="1157">
        <v>0</v>
      </c>
      <c r="AY19" s="1157">
        <v>0</v>
      </c>
      <c r="AZ19" s="1157">
        <v>0</v>
      </c>
      <c r="BA19" s="1157">
        <v>0</v>
      </c>
      <c r="BB19" s="1157">
        <v>0</v>
      </c>
      <c r="BC19" s="1157">
        <v>0</v>
      </c>
      <c r="BD19" s="1157">
        <v>0</v>
      </c>
      <c r="BE19" s="1157">
        <v>0</v>
      </c>
      <c r="BF19" s="1157">
        <v>0</v>
      </c>
      <c r="BG19" s="1157">
        <v>0</v>
      </c>
      <c r="BH19" s="1157">
        <v>0</v>
      </c>
      <c r="BI19" s="1157">
        <v>0</v>
      </c>
      <c r="BJ19" s="1157">
        <v>0</v>
      </c>
      <c r="BK19" s="1157">
        <v>0</v>
      </c>
      <c r="BL19" s="1157">
        <v>0</v>
      </c>
      <c r="BM19" s="1157">
        <v>0</v>
      </c>
      <c r="BN19" s="1157">
        <v>0</v>
      </c>
      <c r="BO19" s="1157">
        <v>0</v>
      </c>
      <c r="BP19" s="1157">
        <v>0</v>
      </c>
      <c r="BQ19" s="1157">
        <v>0</v>
      </c>
      <c r="BR19" s="1157">
        <v>0</v>
      </c>
      <c r="BS19" s="1157">
        <v>0</v>
      </c>
      <c r="BT19" s="1157">
        <v>0</v>
      </c>
      <c r="BU19" s="1157">
        <v>0</v>
      </c>
      <c r="BV19" s="1157">
        <v>0</v>
      </c>
      <c r="BW19" s="1157">
        <v>0</v>
      </c>
      <c r="BX19" s="1157">
        <v>0</v>
      </c>
      <c r="BY19" s="1157">
        <v>0</v>
      </c>
      <c r="BZ19" s="1157">
        <v>0</v>
      </c>
      <c r="CA19" s="1157">
        <v>0</v>
      </c>
      <c r="CB19" s="1157">
        <v>0</v>
      </c>
      <c r="CC19" s="1148">
        <v>0</v>
      </c>
      <c r="CD19" s="1148">
        <v>0</v>
      </c>
      <c r="CE19" s="1148">
        <v>0</v>
      </c>
      <c r="CF19" s="1148">
        <v>0</v>
      </c>
    </row>
    <row r="20" spans="1:84" s="1148" customFormat="1" x14ac:dyDescent="0.3">
      <c r="A20" s="1146">
        <v>32</v>
      </c>
      <c r="B20" s="1154"/>
      <c r="C20" s="1158">
        <v>32</v>
      </c>
      <c r="D20" s="1146" t="s">
        <v>316</v>
      </c>
      <c r="E20" s="1155" t="s">
        <v>317</v>
      </c>
      <c r="F20" s="1156">
        <v>0</v>
      </c>
      <c r="G20" s="1156">
        <v>0</v>
      </c>
      <c r="H20" s="1156">
        <v>0</v>
      </c>
      <c r="I20" s="1156">
        <v>0</v>
      </c>
      <c r="J20" s="1156">
        <v>0</v>
      </c>
      <c r="K20" s="1156">
        <v>0</v>
      </c>
      <c r="L20" s="1157">
        <v>0</v>
      </c>
      <c r="M20" s="1157">
        <v>0</v>
      </c>
      <c r="N20" s="1157">
        <v>0</v>
      </c>
      <c r="O20" s="1157">
        <v>0</v>
      </c>
      <c r="P20" s="1157">
        <v>0</v>
      </c>
      <c r="Q20" s="1157">
        <v>0</v>
      </c>
      <c r="R20" s="1157">
        <v>0</v>
      </c>
      <c r="S20" s="1157">
        <v>0</v>
      </c>
      <c r="T20" s="1157">
        <v>0</v>
      </c>
      <c r="U20" s="1157">
        <v>0</v>
      </c>
      <c r="V20" s="1157">
        <v>0</v>
      </c>
      <c r="W20" s="1157">
        <v>0</v>
      </c>
      <c r="X20" s="1157">
        <v>0</v>
      </c>
      <c r="Y20" s="1157">
        <v>0</v>
      </c>
      <c r="Z20" s="1157">
        <v>0</v>
      </c>
      <c r="AA20" s="1157">
        <v>0</v>
      </c>
      <c r="AB20" s="1157">
        <v>0</v>
      </c>
      <c r="AC20" s="1157">
        <v>0</v>
      </c>
      <c r="AD20" s="1157">
        <v>0</v>
      </c>
      <c r="AE20" s="1157">
        <v>0</v>
      </c>
      <c r="AF20" s="1157">
        <v>0</v>
      </c>
      <c r="AG20" s="1157">
        <v>0</v>
      </c>
      <c r="AH20" s="1157">
        <v>0</v>
      </c>
      <c r="AI20" s="1157">
        <v>0</v>
      </c>
      <c r="AJ20" s="1157">
        <v>0</v>
      </c>
      <c r="AK20" s="1157">
        <v>0</v>
      </c>
      <c r="AL20" s="1157">
        <v>0</v>
      </c>
      <c r="AM20" s="1157">
        <v>0</v>
      </c>
      <c r="AN20" s="1157">
        <v>0</v>
      </c>
      <c r="AO20" s="1157">
        <v>0</v>
      </c>
      <c r="AP20" s="1157">
        <v>0</v>
      </c>
      <c r="AQ20" s="1157">
        <v>0</v>
      </c>
      <c r="AR20" s="1157">
        <v>0</v>
      </c>
      <c r="AS20" s="1157">
        <v>0</v>
      </c>
      <c r="AT20" s="1157">
        <v>0</v>
      </c>
      <c r="AU20" s="1157">
        <v>0</v>
      </c>
      <c r="AV20" s="1157">
        <v>0</v>
      </c>
      <c r="AW20" s="1157">
        <v>0</v>
      </c>
      <c r="AX20" s="1157">
        <v>0</v>
      </c>
      <c r="AY20" s="1157">
        <v>0</v>
      </c>
      <c r="AZ20" s="1157">
        <v>0</v>
      </c>
      <c r="BA20" s="1157">
        <v>0</v>
      </c>
      <c r="BB20" s="1157">
        <v>0</v>
      </c>
      <c r="BC20" s="1157">
        <v>0</v>
      </c>
      <c r="BD20" s="1157">
        <v>0</v>
      </c>
      <c r="BE20" s="1157">
        <v>0</v>
      </c>
      <c r="BF20" s="1157">
        <v>0</v>
      </c>
      <c r="BG20" s="1157">
        <v>0</v>
      </c>
      <c r="BH20" s="1157">
        <v>0</v>
      </c>
      <c r="BI20" s="1157">
        <v>0</v>
      </c>
      <c r="BJ20" s="1157">
        <v>0</v>
      </c>
      <c r="BK20" s="1157">
        <v>0</v>
      </c>
      <c r="BL20" s="1157">
        <v>0</v>
      </c>
      <c r="BM20" s="1157">
        <v>0</v>
      </c>
      <c r="BN20" s="1157">
        <v>0</v>
      </c>
      <c r="BO20" s="1157">
        <v>0</v>
      </c>
      <c r="BP20" s="1157">
        <v>0</v>
      </c>
      <c r="BQ20" s="1157">
        <v>0</v>
      </c>
      <c r="BR20" s="1157">
        <v>0</v>
      </c>
      <c r="BS20" s="1157">
        <v>0</v>
      </c>
      <c r="BT20" s="1157">
        <v>0</v>
      </c>
      <c r="BU20" s="1157">
        <v>0</v>
      </c>
      <c r="BV20" s="1157">
        <v>0</v>
      </c>
      <c r="BW20" s="1157">
        <v>0</v>
      </c>
      <c r="BX20" s="1157">
        <v>0</v>
      </c>
      <c r="BY20" s="1157">
        <v>0</v>
      </c>
      <c r="BZ20" s="1157">
        <v>0</v>
      </c>
      <c r="CA20" s="1157">
        <v>0</v>
      </c>
      <c r="CB20" s="1157">
        <v>0</v>
      </c>
      <c r="CC20" s="1148">
        <v>0</v>
      </c>
      <c r="CD20" s="1148">
        <v>0</v>
      </c>
      <c r="CE20" s="1148">
        <v>0</v>
      </c>
      <c r="CF20" s="1148">
        <v>0</v>
      </c>
    </row>
    <row r="21" spans="1:84" s="1148" customFormat="1" x14ac:dyDescent="0.3">
      <c r="A21" s="1146">
        <v>33</v>
      </c>
      <c r="B21" s="1154"/>
      <c r="C21" s="1158">
        <v>33</v>
      </c>
      <c r="D21" s="1146" t="s">
        <v>318</v>
      </c>
      <c r="E21" s="1155" t="s">
        <v>319</v>
      </c>
      <c r="F21" s="1156">
        <v>0</v>
      </c>
      <c r="G21" s="1156">
        <v>0</v>
      </c>
      <c r="H21" s="1156">
        <v>0</v>
      </c>
      <c r="I21" s="1156">
        <v>0</v>
      </c>
      <c r="J21" s="1156">
        <v>0</v>
      </c>
      <c r="K21" s="1156">
        <v>0</v>
      </c>
      <c r="L21" s="1157">
        <v>0</v>
      </c>
      <c r="M21" s="1157">
        <v>0</v>
      </c>
      <c r="N21" s="1157">
        <v>0</v>
      </c>
      <c r="O21" s="1157">
        <v>0</v>
      </c>
      <c r="P21" s="1157">
        <v>0</v>
      </c>
      <c r="Q21" s="1157">
        <v>0</v>
      </c>
      <c r="R21" s="1157">
        <v>0</v>
      </c>
      <c r="S21" s="1157">
        <v>0</v>
      </c>
      <c r="T21" s="1157">
        <v>0</v>
      </c>
      <c r="U21" s="1157">
        <v>0</v>
      </c>
      <c r="V21" s="1157">
        <v>0</v>
      </c>
      <c r="W21" s="1157">
        <v>0</v>
      </c>
      <c r="X21" s="1157">
        <v>0</v>
      </c>
      <c r="Y21" s="1157">
        <v>0</v>
      </c>
      <c r="Z21" s="1157">
        <v>0</v>
      </c>
      <c r="AA21" s="1157">
        <v>0</v>
      </c>
      <c r="AB21" s="1157">
        <v>0</v>
      </c>
      <c r="AC21" s="1157">
        <v>0</v>
      </c>
      <c r="AD21" s="1157">
        <v>0</v>
      </c>
      <c r="AE21" s="1157">
        <v>0</v>
      </c>
      <c r="AF21" s="1157">
        <v>0</v>
      </c>
      <c r="AG21" s="1157">
        <v>0</v>
      </c>
      <c r="AH21" s="1157">
        <v>0</v>
      </c>
      <c r="AI21" s="1157">
        <v>0</v>
      </c>
      <c r="AJ21" s="1157">
        <v>0</v>
      </c>
      <c r="AK21" s="1157">
        <v>0</v>
      </c>
      <c r="AL21" s="1157">
        <v>0</v>
      </c>
      <c r="AM21" s="1157">
        <v>0</v>
      </c>
      <c r="AN21" s="1157">
        <v>0</v>
      </c>
      <c r="AO21" s="1157">
        <v>0</v>
      </c>
      <c r="AP21" s="1157">
        <v>0</v>
      </c>
      <c r="AQ21" s="1157">
        <v>0</v>
      </c>
      <c r="AR21" s="1157">
        <v>0</v>
      </c>
      <c r="AS21" s="1157">
        <v>0</v>
      </c>
      <c r="AT21" s="1157">
        <v>0</v>
      </c>
      <c r="AU21" s="1157">
        <v>0</v>
      </c>
      <c r="AV21" s="1157">
        <v>0</v>
      </c>
      <c r="AW21" s="1157">
        <v>0</v>
      </c>
      <c r="AX21" s="1157">
        <v>0</v>
      </c>
      <c r="AY21" s="1157">
        <v>0</v>
      </c>
      <c r="AZ21" s="1157">
        <v>0</v>
      </c>
      <c r="BA21" s="1157">
        <v>0</v>
      </c>
      <c r="BB21" s="1157">
        <v>0</v>
      </c>
      <c r="BC21" s="1157">
        <v>0</v>
      </c>
      <c r="BD21" s="1157">
        <v>0</v>
      </c>
      <c r="BE21" s="1157">
        <v>0</v>
      </c>
      <c r="BF21" s="1157">
        <v>0</v>
      </c>
      <c r="BG21" s="1157">
        <v>0</v>
      </c>
      <c r="BH21" s="1157">
        <v>0</v>
      </c>
      <c r="BI21" s="1157">
        <v>0</v>
      </c>
      <c r="BJ21" s="1157">
        <v>0</v>
      </c>
      <c r="BK21" s="1157">
        <v>0</v>
      </c>
      <c r="BL21" s="1157">
        <v>0</v>
      </c>
      <c r="BM21" s="1157">
        <v>0</v>
      </c>
      <c r="BN21" s="1157">
        <v>0</v>
      </c>
      <c r="BO21" s="1157">
        <v>0</v>
      </c>
      <c r="BP21" s="1157">
        <v>0</v>
      </c>
      <c r="BQ21" s="1157">
        <v>0</v>
      </c>
      <c r="BR21" s="1157">
        <v>0</v>
      </c>
      <c r="BS21" s="1157">
        <v>0</v>
      </c>
      <c r="BT21" s="1157">
        <v>0</v>
      </c>
      <c r="BU21" s="1157">
        <v>0</v>
      </c>
      <c r="BV21" s="1157">
        <v>0</v>
      </c>
      <c r="BW21" s="1157">
        <v>0</v>
      </c>
      <c r="BX21" s="1157">
        <v>0</v>
      </c>
      <c r="BY21" s="1157">
        <v>0</v>
      </c>
      <c r="BZ21" s="1157">
        <v>0</v>
      </c>
      <c r="CA21" s="1157">
        <v>0</v>
      </c>
      <c r="CB21" s="1157">
        <v>0</v>
      </c>
      <c r="CC21" s="1148">
        <v>0</v>
      </c>
      <c r="CD21" s="1148">
        <v>0</v>
      </c>
      <c r="CE21" s="1148">
        <v>0</v>
      </c>
      <c r="CF21" s="1148">
        <v>0</v>
      </c>
    </row>
    <row r="22" spans="1:84" s="1148" customFormat="1" x14ac:dyDescent="0.3">
      <c r="A22" s="1146">
        <v>34</v>
      </c>
      <c r="B22" s="1154"/>
      <c r="C22" s="1143">
        <v>34</v>
      </c>
      <c r="D22" s="1146" t="s">
        <v>320</v>
      </c>
      <c r="E22" s="1155" t="s">
        <v>321</v>
      </c>
      <c r="F22" s="1156">
        <v>0</v>
      </c>
      <c r="G22" s="1156">
        <v>0</v>
      </c>
      <c r="H22" s="1156">
        <v>0</v>
      </c>
      <c r="I22" s="1156">
        <v>0</v>
      </c>
      <c r="J22" s="1156">
        <v>0</v>
      </c>
      <c r="K22" s="1156">
        <v>0</v>
      </c>
      <c r="L22" s="1157">
        <v>0</v>
      </c>
      <c r="M22" s="1157">
        <v>0</v>
      </c>
      <c r="N22" s="1157">
        <v>0</v>
      </c>
      <c r="O22" s="1157">
        <v>0</v>
      </c>
      <c r="P22" s="1157">
        <v>0</v>
      </c>
      <c r="Q22" s="1157">
        <v>0</v>
      </c>
      <c r="R22" s="1157">
        <v>0</v>
      </c>
      <c r="S22" s="1157">
        <v>0</v>
      </c>
      <c r="T22" s="1157">
        <v>0</v>
      </c>
      <c r="U22" s="1157">
        <v>0</v>
      </c>
      <c r="V22" s="1157">
        <v>0</v>
      </c>
      <c r="W22" s="1157">
        <v>0</v>
      </c>
      <c r="X22" s="1157">
        <v>0</v>
      </c>
      <c r="Y22" s="1157">
        <v>0</v>
      </c>
      <c r="Z22" s="1157">
        <v>0</v>
      </c>
      <c r="AA22" s="1157">
        <v>0</v>
      </c>
      <c r="AB22" s="1157">
        <v>0</v>
      </c>
      <c r="AC22" s="1157">
        <v>0</v>
      </c>
      <c r="AD22" s="1157">
        <v>0</v>
      </c>
      <c r="AE22" s="1157">
        <v>0</v>
      </c>
      <c r="AF22" s="1157">
        <v>0</v>
      </c>
      <c r="AG22" s="1157">
        <v>0</v>
      </c>
      <c r="AH22" s="1157">
        <v>0</v>
      </c>
      <c r="AI22" s="1157">
        <v>0</v>
      </c>
      <c r="AJ22" s="1157">
        <v>0</v>
      </c>
      <c r="AK22" s="1157">
        <v>0</v>
      </c>
      <c r="AL22" s="1157">
        <v>0</v>
      </c>
      <c r="AM22" s="1157">
        <v>0</v>
      </c>
      <c r="AN22" s="1157">
        <v>0</v>
      </c>
      <c r="AO22" s="1157">
        <v>0</v>
      </c>
      <c r="AP22" s="1157">
        <v>0</v>
      </c>
      <c r="AQ22" s="1157">
        <v>0</v>
      </c>
      <c r="AR22" s="1157">
        <v>0</v>
      </c>
      <c r="AS22" s="1157">
        <v>0</v>
      </c>
      <c r="AT22" s="1157">
        <v>0</v>
      </c>
      <c r="AU22" s="1157">
        <v>0</v>
      </c>
      <c r="AV22" s="1157">
        <v>0</v>
      </c>
      <c r="AW22" s="1157">
        <v>0</v>
      </c>
      <c r="AX22" s="1157">
        <v>0</v>
      </c>
      <c r="AY22" s="1157">
        <v>0</v>
      </c>
      <c r="AZ22" s="1157">
        <v>0</v>
      </c>
      <c r="BA22" s="1157">
        <v>0</v>
      </c>
      <c r="BB22" s="1157">
        <v>0</v>
      </c>
      <c r="BC22" s="1157">
        <v>0</v>
      </c>
      <c r="BD22" s="1157">
        <v>0</v>
      </c>
      <c r="BE22" s="1157">
        <v>0</v>
      </c>
      <c r="BF22" s="1157">
        <v>0</v>
      </c>
      <c r="BG22" s="1157">
        <v>0</v>
      </c>
      <c r="BH22" s="1157">
        <v>0</v>
      </c>
      <c r="BI22" s="1157">
        <v>0</v>
      </c>
      <c r="BJ22" s="1157">
        <v>0</v>
      </c>
      <c r="BK22" s="1157">
        <v>0</v>
      </c>
      <c r="BL22" s="1157">
        <v>0</v>
      </c>
      <c r="BM22" s="1157">
        <v>0</v>
      </c>
      <c r="BN22" s="1157">
        <v>0</v>
      </c>
      <c r="BO22" s="1157">
        <v>0</v>
      </c>
      <c r="BP22" s="1157">
        <v>0</v>
      </c>
      <c r="BQ22" s="1157">
        <v>0</v>
      </c>
      <c r="BR22" s="1157">
        <v>0</v>
      </c>
      <c r="BS22" s="1157">
        <v>0</v>
      </c>
      <c r="BT22" s="1157">
        <v>0</v>
      </c>
      <c r="BU22" s="1157">
        <v>0</v>
      </c>
      <c r="BV22" s="1157">
        <v>0</v>
      </c>
      <c r="BW22" s="1157">
        <v>0</v>
      </c>
      <c r="BX22" s="1157">
        <v>0</v>
      </c>
      <c r="BY22" s="1157">
        <v>0</v>
      </c>
      <c r="BZ22" s="1157">
        <v>0</v>
      </c>
      <c r="CA22" s="1157">
        <v>0</v>
      </c>
      <c r="CB22" s="1157">
        <v>0</v>
      </c>
      <c r="CC22" s="1148">
        <v>0</v>
      </c>
      <c r="CD22" s="1148">
        <v>0</v>
      </c>
      <c r="CE22" s="1148">
        <v>0</v>
      </c>
      <c r="CF22" s="1148">
        <v>0</v>
      </c>
    </row>
    <row r="23" spans="1:84" s="1148" customFormat="1" x14ac:dyDescent="0.3">
      <c r="A23" s="1146">
        <v>35</v>
      </c>
      <c r="B23" s="1154"/>
      <c r="C23" s="1143">
        <v>35</v>
      </c>
      <c r="D23" s="1146" t="s">
        <v>624</v>
      </c>
      <c r="E23" s="1155" t="s">
        <v>322</v>
      </c>
      <c r="F23" s="1156">
        <v>0</v>
      </c>
      <c r="G23" s="1156">
        <v>0</v>
      </c>
      <c r="H23" s="1156">
        <v>0</v>
      </c>
      <c r="I23" s="1156">
        <v>0</v>
      </c>
      <c r="J23" s="1156">
        <v>0</v>
      </c>
      <c r="K23" s="1156">
        <v>0</v>
      </c>
      <c r="L23" s="1157">
        <v>0</v>
      </c>
      <c r="M23" s="1157">
        <v>0</v>
      </c>
      <c r="N23" s="1157">
        <v>0</v>
      </c>
      <c r="O23" s="1157">
        <v>0</v>
      </c>
      <c r="P23" s="1157">
        <v>0</v>
      </c>
      <c r="Q23" s="1157">
        <v>0</v>
      </c>
      <c r="R23" s="1157">
        <v>0</v>
      </c>
      <c r="S23" s="1157">
        <v>0</v>
      </c>
      <c r="T23" s="1157">
        <v>0</v>
      </c>
      <c r="U23" s="1157">
        <v>0</v>
      </c>
      <c r="V23" s="1157">
        <v>0</v>
      </c>
      <c r="W23" s="1157">
        <v>0</v>
      </c>
      <c r="X23" s="1157">
        <v>0</v>
      </c>
      <c r="Y23" s="1157">
        <v>0</v>
      </c>
      <c r="Z23" s="1157">
        <v>0</v>
      </c>
      <c r="AA23" s="1157">
        <v>0</v>
      </c>
      <c r="AB23" s="1157">
        <v>0</v>
      </c>
      <c r="AC23" s="1157">
        <v>0</v>
      </c>
      <c r="AD23" s="1157">
        <v>0</v>
      </c>
      <c r="AE23" s="1157">
        <v>0</v>
      </c>
      <c r="AF23" s="1157">
        <v>0</v>
      </c>
      <c r="AG23" s="1157">
        <v>0</v>
      </c>
      <c r="AH23" s="1157">
        <v>0</v>
      </c>
      <c r="AI23" s="1157">
        <v>0</v>
      </c>
      <c r="AJ23" s="1157">
        <v>0</v>
      </c>
      <c r="AK23" s="1157">
        <v>0</v>
      </c>
      <c r="AL23" s="1157">
        <v>0</v>
      </c>
      <c r="AM23" s="1157">
        <v>0</v>
      </c>
      <c r="AN23" s="1157">
        <v>0</v>
      </c>
      <c r="AO23" s="1157">
        <v>0</v>
      </c>
      <c r="AP23" s="1157">
        <v>0</v>
      </c>
      <c r="AQ23" s="1157">
        <v>0</v>
      </c>
      <c r="AR23" s="1157">
        <v>0</v>
      </c>
      <c r="AS23" s="1157">
        <v>0</v>
      </c>
      <c r="AT23" s="1157">
        <v>0</v>
      </c>
      <c r="AU23" s="1157">
        <v>0</v>
      </c>
      <c r="AV23" s="1157">
        <v>0</v>
      </c>
      <c r="AW23" s="1157">
        <v>0</v>
      </c>
      <c r="AX23" s="1157">
        <v>0</v>
      </c>
      <c r="AY23" s="1157">
        <v>0</v>
      </c>
      <c r="AZ23" s="1157">
        <v>0</v>
      </c>
      <c r="BA23" s="1157">
        <v>0</v>
      </c>
      <c r="BB23" s="1157">
        <v>0</v>
      </c>
      <c r="BC23" s="1157">
        <v>0</v>
      </c>
      <c r="BD23" s="1157">
        <v>0</v>
      </c>
      <c r="BE23" s="1157">
        <v>0</v>
      </c>
      <c r="BF23" s="1157">
        <v>0</v>
      </c>
      <c r="BG23" s="1157">
        <v>0</v>
      </c>
      <c r="BH23" s="1157">
        <v>0</v>
      </c>
      <c r="BI23" s="1157">
        <v>0</v>
      </c>
      <c r="BJ23" s="1157">
        <v>0</v>
      </c>
      <c r="BK23" s="1157">
        <v>0</v>
      </c>
      <c r="BL23" s="1157">
        <v>0</v>
      </c>
      <c r="BM23" s="1157">
        <v>0</v>
      </c>
      <c r="BN23" s="1157">
        <v>0</v>
      </c>
      <c r="BO23" s="1157">
        <v>0</v>
      </c>
      <c r="BP23" s="1157">
        <v>0</v>
      </c>
      <c r="BQ23" s="1157">
        <v>0</v>
      </c>
      <c r="BR23" s="1157">
        <v>0</v>
      </c>
      <c r="BS23" s="1157">
        <v>0</v>
      </c>
      <c r="BT23" s="1157">
        <v>0</v>
      </c>
      <c r="BU23" s="1157">
        <v>0</v>
      </c>
      <c r="BV23" s="1157">
        <v>0</v>
      </c>
      <c r="BW23" s="1157">
        <v>0</v>
      </c>
      <c r="BX23" s="1157">
        <v>0</v>
      </c>
      <c r="BY23" s="1157">
        <v>0</v>
      </c>
      <c r="BZ23" s="1157">
        <v>0</v>
      </c>
      <c r="CA23" s="1157">
        <v>0</v>
      </c>
      <c r="CB23" s="1157">
        <v>0</v>
      </c>
      <c r="CC23" s="1148">
        <v>0</v>
      </c>
      <c r="CD23" s="1148">
        <v>0</v>
      </c>
      <c r="CE23" s="1148">
        <v>0</v>
      </c>
      <c r="CF23" s="1148">
        <v>0</v>
      </c>
    </row>
    <row r="24" spans="1:84" s="1148" customFormat="1" x14ac:dyDescent="0.3">
      <c r="A24" s="1146">
        <v>36</v>
      </c>
      <c r="B24" s="1154"/>
      <c r="C24" s="1143">
        <v>36</v>
      </c>
      <c r="D24" s="1146" t="s">
        <v>625</v>
      </c>
      <c r="E24" s="1155" t="s">
        <v>323</v>
      </c>
      <c r="F24" s="1156">
        <v>0</v>
      </c>
      <c r="G24" s="1156">
        <v>0</v>
      </c>
      <c r="H24" s="1156">
        <v>0</v>
      </c>
      <c r="I24" s="1156">
        <v>0</v>
      </c>
      <c r="J24" s="1156">
        <v>0</v>
      </c>
      <c r="K24" s="1156">
        <v>0</v>
      </c>
      <c r="L24" s="1157">
        <v>0</v>
      </c>
      <c r="M24" s="1157">
        <v>0</v>
      </c>
      <c r="N24" s="1157">
        <v>0</v>
      </c>
      <c r="O24" s="1157">
        <v>0</v>
      </c>
      <c r="P24" s="1157">
        <v>0</v>
      </c>
      <c r="Q24" s="1157">
        <v>0</v>
      </c>
      <c r="R24" s="1157">
        <v>0</v>
      </c>
      <c r="S24" s="1157">
        <v>0</v>
      </c>
      <c r="T24" s="1157">
        <v>0</v>
      </c>
      <c r="U24" s="1157">
        <v>0</v>
      </c>
      <c r="V24" s="1157">
        <v>0</v>
      </c>
      <c r="W24" s="1157">
        <v>0</v>
      </c>
      <c r="X24" s="1157">
        <v>0</v>
      </c>
      <c r="Y24" s="1157">
        <v>0</v>
      </c>
      <c r="Z24" s="1157">
        <v>0</v>
      </c>
      <c r="AA24" s="1157">
        <v>0</v>
      </c>
      <c r="AB24" s="1157">
        <v>0</v>
      </c>
      <c r="AC24" s="1157">
        <v>0</v>
      </c>
      <c r="AD24" s="1157">
        <v>0</v>
      </c>
      <c r="AE24" s="1157">
        <v>0</v>
      </c>
      <c r="AF24" s="1157">
        <v>0</v>
      </c>
      <c r="AG24" s="1157">
        <v>0</v>
      </c>
      <c r="AH24" s="1157">
        <v>0</v>
      </c>
      <c r="AI24" s="1157">
        <v>0</v>
      </c>
      <c r="AJ24" s="1157">
        <v>0</v>
      </c>
      <c r="AK24" s="1157">
        <v>0</v>
      </c>
      <c r="AL24" s="1157">
        <v>0</v>
      </c>
      <c r="AM24" s="1157">
        <v>0</v>
      </c>
      <c r="AN24" s="1157">
        <v>0</v>
      </c>
      <c r="AO24" s="1157">
        <v>0</v>
      </c>
      <c r="AP24" s="1157">
        <v>0</v>
      </c>
      <c r="AQ24" s="1157">
        <v>0</v>
      </c>
      <c r="AR24" s="1157">
        <v>0</v>
      </c>
      <c r="AS24" s="1157">
        <v>0</v>
      </c>
      <c r="AT24" s="1157">
        <v>0</v>
      </c>
      <c r="AU24" s="1157">
        <v>0</v>
      </c>
      <c r="AV24" s="1157">
        <v>0</v>
      </c>
      <c r="AW24" s="1157">
        <v>0</v>
      </c>
      <c r="AX24" s="1157">
        <v>0</v>
      </c>
      <c r="AY24" s="1157">
        <v>0</v>
      </c>
      <c r="AZ24" s="1157">
        <v>0</v>
      </c>
      <c r="BA24" s="1157">
        <v>0</v>
      </c>
      <c r="BB24" s="1157">
        <v>0</v>
      </c>
      <c r="BC24" s="1157">
        <v>0</v>
      </c>
      <c r="BD24" s="1157">
        <v>0</v>
      </c>
      <c r="BE24" s="1157">
        <v>0</v>
      </c>
      <c r="BF24" s="1157">
        <v>0</v>
      </c>
      <c r="BG24" s="1157">
        <v>0</v>
      </c>
      <c r="BH24" s="1157">
        <v>0</v>
      </c>
      <c r="BI24" s="1157">
        <v>0</v>
      </c>
      <c r="BJ24" s="1157">
        <v>0</v>
      </c>
      <c r="BK24" s="1157">
        <v>0</v>
      </c>
      <c r="BL24" s="1157">
        <v>0</v>
      </c>
      <c r="BM24" s="1157">
        <v>0</v>
      </c>
      <c r="BN24" s="1157">
        <v>0</v>
      </c>
      <c r="BO24" s="1157">
        <v>0</v>
      </c>
      <c r="BP24" s="1157">
        <v>0</v>
      </c>
      <c r="BQ24" s="1157">
        <v>0</v>
      </c>
      <c r="BR24" s="1157">
        <v>0</v>
      </c>
      <c r="BS24" s="1157">
        <v>0</v>
      </c>
      <c r="BT24" s="1157">
        <v>0</v>
      </c>
      <c r="BU24" s="1157">
        <v>0</v>
      </c>
      <c r="BV24" s="1157">
        <v>0</v>
      </c>
      <c r="BW24" s="1157">
        <v>0</v>
      </c>
      <c r="BX24" s="1157">
        <v>0</v>
      </c>
      <c r="BY24" s="1157">
        <v>0</v>
      </c>
      <c r="BZ24" s="1157">
        <v>0</v>
      </c>
      <c r="CA24" s="1157">
        <v>0</v>
      </c>
      <c r="CB24" s="1157">
        <v>0</v>
      </c>
      <c r="CC24" s="1148">
        <v>0</v>
      </c>
      <c r="CD24" s="1148">
        <v>0</v>
      </c>
      <c r="CE24" s="1148">
        <v>0</v>
      </c>
      <c r="CF24" s="1148">
        <v>0</v>
      </c>
    </row>
    <row r="25" spans="1:84" s="1148" customFormat="1" x14ac:dyDescent="0.3">
      <c r="A25" s="1146">
        <v>37</v>
      </c>
      <c r="B25" s="1154"/>
      <c r="C25" s="1143">
        <v>37</v>
      </c>
      <c r="D25" s="1146" t="s">
        <v>324</v>
      </c>
      <c r="E25" s="1155" t="s">
        <v>325</v>
      </c>
      <c r="F25" s="1156">
        <v>0</v>
      </c>
      <c r="G25" s="1156">
        <v>0</v>
      </c>
      <c r="H25" s="1156">
        <v>0</v>
      </c>
      <c r="I25" s="1156">
        <v>0</v>
      </c>
      <c r="J25" s="1156">
        <v>0</v>
      </c>
      <c r="K25" s="1156">
        <v>0</v>
      </c>
      <c r="L25" s="1157">
        <v>0</v>
      </c>
      <c r="M25" s="1157">
        <v>0</v>
      </c>
      <c r="N25" s="1157">
        <v>0</v>
      </c>
      <c r="O25" s="1157">
        <v>0</v>
      </c>
      <c r="P25" s="1157">
        <v>0</v>
      </c>
      <c r="Q25" s="1157">
        <v>0</v>
      </c>
      <c r="R25" s="1157">
        <v>0</v>
      </c>
      <c r="S25" s="1157">
        <v>0</v>
      </c>
      <c r="T25" s="1157">
        <v>0</v>
      </c>
      <c r="U25" s="1157">
        <v>0</v>
      </c>
      <c r="V25" s="1157">
        <v>0</v>
      </c>
      <c r="W25" s="1157">
        <v>0</v>
      </c>
      <c r="X25" s="1157">
        <v>0</v>
      </c>
      <c r="Y25" s="1157">
        <v>0</v>
      </c>
      <c r="Z25" s="1157">
        <v>0</v>
      </c>
      <c r="AA25" s="1157">
        <v>0</v>
      </c>
      <c r="AB25" s="1157">
        <v>0</v>
      </c>
      <c r="AC25" s="1157">
        <v>0</v>
      </c>
      <c r="AD25" s="1157">
        <v>0</v>
      </c>
      <c r="AE25" s="1157">
        <v>0</v>
      </c>
      <c r="AF25" s="1157">
        <v>0</v>
      </c>
      <c r="AG25" s="1157">
        <v>0</v>
      </c>
      <c r="AH25" s="1157">
        <v>0</v>
      </c>
      <c r="AI25" s="1157">
        <v>0</v>
      </c>
      <c r="AJ25" s="1157">
        <v>0</v>
      </c>
      <c r="AK25" s="1157">
        <v>0</v>
      </c>
      <c r="AL25" s="1157">
        <v>0</v>
      </c>
      <c r="AM25" s="1157">
        <v>0</v>
      </c>
      <c r="AN25" s="1157">
        <v>0</v>
      </c>
      <c r="AO25" s="1157">
        <v>0</v>
      </c>
      <c r="AP25" s="1157">
        <v>0</v>
      </c>
      <c r="AQ25" s="1157">
        <v>0</v>
      </c>
      <c r="AR25" s="1157">
        <v>0</v>
      </c>
      <c r="AS25" s="1157">
        <v>0</v>
      </c>
      <c r="AT25" s="1157">
        <v>0</v>
      </c>
      <c r="AU25" s="1157">
        <v>0</v>
      </c>
      <c r="AV25" s="1157">
        <v>0</v>
      </c>
      <c r="AW25" s="1157">
        <v>0</v>
      </c>
      <c r="AX25" s="1157">
        <v>0</v>
      </c>
      <c r="AY25" s="1157">
        <v>0</v>
      </c>
      <c r="AZ25" s="1157">
        <v>0</v>
      </c>
      <c r="BA25" s="1157">
        <v>0</v>
      </c>
      <c r="BB25" s="1157">
        <v>0</v>
      </c>
      <c r="BC25" s="1157">
        <v>0</v>
      </c>
      <c r="BD25" s="1157">
        <v>0</v>
      </c>
      <c r="BE25" s="1157">
        <v>0</v>
      </c>
      <c r="BF25" s="1157">
        <v>0</v>
      </c>
      <c r="BG25" s="1157">
        <v>0</v>
      </c>
      <c r="BH25" s="1157">
        <v>0</v>
      </c>
      <c r="BI25" s="1157">
        <v>0</v>
      </c>
      <c r="BJ25" s="1157">
        <v>0</v>
      </c>
      <c r="BK25" s="1157">
        <v>0</v>
      </c>
      <c r="BL25" s="1157">
        <v>0</v>
      </c>
      <c r="BM25" s="1157">
        <v>0</v>
      </c>
      <c r="BN25" s="1157">
        <v>0</v>
      </c>
      <c r="BO25" s="1157">
        <v>0</v>
      </c>
      <c r="BP25" s="1157">
        <v>0</v>
      </c>
      <c r="BQ25" s="1157">
        <v>0</v>
      </c>
      <c r="BR25" s="1157">
        <v>0</v>
      </c>
      <c r="BS25" s="1157">
        <v>0</v>
      </c>
      <c r="BT25" s="1157">
        <v>0</v>
      </c>
      <c r="BU25" s="1157">
        <v>0</v>
      </c>
      <c r="BV25" s="1157">
        <v>0</v>
      </c>
      <c r="BW25" s="1157">
        <v>0</v>
      </c>
      <c r="BX25" s="1157">
        <v>0</v>
      </c>
      <c r="BY25" s="1157">
        <v>0</v>
      </c>
      <c r="BZ25" s="1157">
        <v>0</v>
      </c>
      <c r="CA25" s="1157">
        <v>0</v>
      </c>
      <c r="CB25" s="1157">
        <v>0</v>
      </c>
      <c r="CC25" s="1148">
        <v>0</v>
      </c>
      <c r="CD25" s="1148">
        <v>0</v>
      </c>
      <c r="CE25" s="1148">
        <v>0</v>
      </c>
      <c r="CF25" s="1148">
        <v>0</v>
      </c>
    </row>
    <row r="26" spans="1:84" s="1148" customFormat="1" x14ac:dyDescent="0.3">
      <c r="A26" s="1146">
        <v>38</v>
      </c>
      <c r="B26" s="1154"/>
      <c r="C26" s="1143">
        <v>38</v>
      </c>
      <c r="D26" s="1146" t="s">
        <v>626</v>
      </c>
      <c r="E26" s="1155" t="s">
        <v>326</v>
      </c>
      <c r="F26" s="1156">
        <v>0</v>
      </c>
      <c r="G26" s="1156">
        <v>0</v>
      </c>
      <c r="H26" s="1156">
        <v>0</v>
      </c>
      <c r="I26" s="1156">
        <v>0</v>
      </c>
      <c r="J26" s="1156">
        <v>0</v>
      </c>
      <c r="K26" s="1156">
        <v>0</v>
      </c>
      <c r="L26" s="1157">
        <v>0</v>
      </c>
      <c r="M26" s="1157">
        <v>0</v>
      </c>
      <c r="N26" s="1157">
        <v>0</v>
      </c>
      <c r="O26" s="1157">
        <v>0</v>
      </c>
      <c r="P26" s="1157">
        <v>0</v>
      </c>
      <c r="Q26" s="1157">
        <v>0</v>
      </c>
      <c r="R26" s="1157">
        <v>0</v>
      </c>
      <c r="S26" s="1157">
        <v>0</v>
      </c>
      <c r="T26" s="1157">
        <v>0</v>
      </c>
      <c r="U26" s="1157">
        <v>0</v>
      </c>
      <c r="V26" s="1157">
        <v>0</v>
      </c>
      <c r="W26" s="1157">
        <v>0</v>
      </c>
      <c r="X26" s="1157">
        <v>0</v>
      </c>
      <c r="Y26" s="1157">
        <v>0</v>
      </c>
      <c r="Z26" s="1157">
        <v>0</v>
      </c>
      <c r="AA26" s="1157">
        <v>0</v>
      </c>
      <c r="AB26" s="1157">
        <v>0</v>
      </c>
      <c r="AC26" s="1157">
        <v>0</v>
      </c>
      <c r="AD26" s="1157">
        <v>0</v>
      </c>
      <c r="AE26" s="1157">
        <v>0</v>
      </c>
      <c r="AF26" s="1157">
        <v>0</v>
      </c>
      <c r="AG26" s="1157">
        <v>0</v>
      </c>
      <c r="AH26" s="1157">
        <v>0</v>
      </c>
      <c r="AI26" s="1157">
        <v>0</v>
      </c>
      <c r="AJ26" s="1157">
        <v>0</v>
      </c>
      <c r="AK26" s="1157">
        <v>0</v>
      </c>
      <c r="AL26" s="1157">
        <v>0</v>
      </c>
      <c r="AM26" s="1157">
        <v>0</v>
      </c>
      <c r="AN26" s="1157">
        <v>0</v>
      </c>
      <c r="AO26" s="1157">
        <v>0</v>
      </c>
      <c r="AP26" s="1157">
        <v>0</v>
      </c>
      <c r="AQ26" s="1157">
        <v>0</v>
      </c>
      <c r="AR26" s="1157">
        <v>0</v>
      </c>
      <c r="AS26" s="1157">
        <v>0</v>
      </c>
      <c r="AT26" s="1157">
        <v>0</v>
      </c>
      <c r="AU26" s="1157">
        <v>0</v>
      </c>
      <c r="AV26" s="1157">
        <v>0</v>
      </c>
      <c r="AW26" s="1157">
        <v>0</v>
      </c>
      <c r="AX26" s="1157">
        <v>0</v>
      </c>
      <c r="AY26" s="1157">
        <v>0</v>
      </c>
      <c r="AZ26" s="1157">
        <v>0</v>
      </c>
      <c r="BA26" s="1157">
        <v>0</v>
      </c>
      <c r="BB26" s="1157">
        <v>0</v>
      </c>
      <c r="BC26" s="1157">
        <v>0</v>
      </c>
      <c r="BD26" s="1157">
        <v>0</v>
      </c>
      <c r="BE26" s="1157">
        <v>0</v>
      </c>
      <c r="BF26" s="1157">
        <v>0</v>
      </c>
      <c r="BG26" s="1157">
        <v>0</v>
      </c>
      <c r="BH26" s="1157">
        <v>0</v>
      </c>
      <c r="BI26" s="1157">
        <v>0</v>
      </c>
      <c r="BJ26" s="1157">
        <v>0</v>
      </c>
      <c r="BK26" s="1157">
        <v>0</v>
      </c>
      <c r="BL26" s="1157">
        <v>0</v>
      </c>
      <c r="BM26" s="1157">
        <v>0</v>
      </c>
      <c r="BN26" s="1157">
        <v>0</v>
      </c>
      <c r="BO26" s="1157">
        <v>0</v>
      </c>
      <c r="BP26" s="1157">
        <v>0</v>
      </c>
      <c r="BQ26" s="1157">
        <v>0</v>
      </c>
      <c r="BR26" s="1157">
        <v>0</v>
      </c>
      <c r="BS26" s="1157">
        <v>0</v>
      </c>
      <c r="BT26" s="1157">
        <v>0</v>
      </c>
      <c r="BU26" s="1157">
        <v>0</v>
      </c>
      <c r="BV26" s="1157">
        <v>0</v>
      </c>
      <c r="BW26" s="1157">
        <v>0</v>
      </c>
      <c r="BX26" s="1157">
        <v>0</v>
      </c>
      <c r="BY26" s="1157">
        <v>0</v>
      </c>
      <c r="BZ26" s="1157">
        <v>0</v>
      </c>
      <c r="CA26" s="1157">
        <v>0</v>
      </c>
      <c r="CB26" s="1157">
        <v>0</v>
      </c>
      <c r="CC26" s="1148">
        <v>0</v>
      </c>
      <c r="CD26" s="1148">
        <v>0</v>
      </c>
      <c r="CE26" s="1148">
        <v>0</v>
      </c>
      <c r="CF26" s="1148">
        <v>0</v>
      </c>
    </row>
    <row r="27" spans="1:84" s="1148" customFormat="1" x14ac:dyDescent="0.3">
      <c r="A27" s="1146">
        <v>39</v>
      </c>
      <c r="B27" s="1154"/>
      <c r="C27" s="1143">
        <v>39</v>
      </c>
      <c r="D27" s="1146" t="s">
        <v>327</v>
      </c>
      <c r="E27" s="1155" t="s">
        <v>328</v>
      </c>
      <c r="F27" s="1156">
        <v>0</v>
      </c>
      <c r="G27" s="1156">
        <v>0</v>
      </c>
      <c r="H27" s="1156">
        <v>0</v>
      </c>
      <c r="I27" s="1156">
        <v>0</v>
      </c>
      <c r="J27" s="1156">
        <v>0</v>
      </c>
      <c r="K27" s="1156">
        <v>0</v>
      </c>
      <c r="L27" s="1157">
        <v>0</v>
      </c>
      <c r="M27" s="1157">
        <v>0</v>
      </c>
      <c r="N27" s="1157">
        <v>0</v>
      </c>
      <c r="O27" s="1157">
        <v>0</v>
      </c>
      <c r="P27" s="1157">
        <v>0</v>
      </c>
      <c r="Q27" s="1157">
        <v>0</v>
      </c>
      <c r="R27" s="1157">
        <v>0</v>
      </c>
      <c r="S27" s="1157">
        <v>0</v>
      </c>
      <c r="T27" s="1157">
        <v>0</v>
      </c>
      <c r="U27" s="1157">
        <v>0</v>
      </c>
      <c r="V27" s="1157">
        <v>0</v>
      </c>
      <c r="W27" s="1157">
        <v>0</v>
      </c>
      <c r="X27" s="1157">
        <v>0</v>
      </c>
      <c r="Y27" s="1157">
        <v>0</v>
      </c>
      <c r="Z27" s="1157">
        <v>0</v>
      </c>
      <c r="AA27" s="1157">
        <v>0</v>
      </c>
      <c r="AB27" s="1157">
        <v>0</v>
      </c>
      <c r="AC27" s="1157">
        <v>0</v>
      </c>
      <c r="AD27" s="1157">
        <v>0</v>
      </c>
      <c r="AE27" s="1157">
        <v>0</v>
      </c>
      <c r="AF27" s="1157">
        <v>0</v>
      </c>
      <c r="AG27" s="1157">
        <v>0</v>
      </c>
      <c r="AH27" s="1157">
        <v>0</v>
      </c>
      <c r="AI27" s="1157">
        <v>0</v>
      </c>
      <c r="AJ27" s="1157">
        <v>0</v>
      </c>
      <c r="AK27" s="1157">
        <v>0</v>
      </c>
      <c r="AL27" s="1157">
        <v>0</v>
      </c>
      <c r="AM27" s="1157">
        <v>0</v>
      </c>
      <c r="AN27" s="1157">
        <v>0</v>
      </c>
      <c r="AO27" s="1157">
        <v>0</v>
      </c>
      <c r="AP27" s="1157">
        <v>0</v>
      </c>
      <c r="AQ27" s="1157">
        <v>0</v>
      </c>
      <c r="AR27" s="1157">
        <v>0</v>
      </c>
      <c r="AS27" s="1157">
        <v>0</v>
      </c>
      <c r="AT27" s="1157">
        <v>0</v>
      </c>
      <c r="AU27" s="1157">
        <v>0</v>
      </c>
      <c r="AV27" s="1157">
        <v>0</v>
      </c>
      <c r="AW27" s="1157">
        <v>0</v>
      </c>
      <c r="AX27" s="1157">
        <v>0</v>
      </c>
      <c r="AY27" s="1157">
        <v>0</v>
      </c>
      <c r="AZ27" s="1157">
        <v>0</v>
      </c>
      <c r="BA27" s="1157">
        <v>0</v>
      </c>
      <c r="BB27" s="1157">
        <v>0</v>
      </c>
      <c r="BC27" s="1157">
        <v>0</v>
      </c>
      <c r="BD27" s="1157">
        <v>0</v>
      </c>
      <c r="BE27" s="1157">
        <v>0</v>
      </c>
      <c r="BF27" s="1157">
        <v>0</v>
      </c>
      <c r="BG27" s="1157">
        <v>0</v>
      </c>
      <c r="BH27" s="1157">
        <v>0</v>
      </c>
      <c r="BI27" s="1157">
        <v>0</v>
      </c>
      <c r="BJ27" s="1157">
        <v>0</v>
      </c>
      <c r="BK27" s="1157">
        <v>0</v>
      </c>
      <c r="BL27" s="1157">
        <v>0</v>
      </c>
      <c r="BM27" s="1157">
        <v>0</v>
      </c>
      <c r="BN27" s="1157">
        <v>0</v>
      </c>
      <c r="BO27" s="1157">
        <v>0</v>
      </c>
      <c r="BP27" s="1157">
        <v>0</v>
      </c>
      <c r="BQ27" s="1157">
        <v>0</v>
      </c>
      <c r="BR27" s="1157">
        <v>0</v>
      </c>
      <c r="BS27" s="1157">
        <v>0</v>
      </c>
      <c r="BT27" s="1157">
        <v>0</v>
      </c>
      <c r="BU27" s="1157">
        <v>0</v>
      </c>
      <c r="BV27" s="1157">
        <v>0</v>
      </c>
      <c r="BW27" s="1157">
        <v>0</v>
      </c>
      <c r="BX27" s="1157">
        <v>0</v>
      </c>
      <c r="BY27" s="1157">
        <v>0</v>
      </c>
      <c r="BZ27" s="1157">
        <v>0</v>
      </c>
      <c r="CA27" s="1157">
        <v>0</v>
      </c>
      <c r="CB27" s="1157">
        <v>0</v>
      </c>
      <c r="CC27" s="1148">
        <v>0</v>
      </c>
      <c r="CD27" s="1148">
        <v>0</v>
      </c>
      <c r="CE27" s="1148">
        <v>0</v>
      </c>
      <c r="CF27" s="1148">
        <v>0</v>
      </c>
    </row>
    <row r="28" spans="1:84" s="1148" customFormat="1" x14ac:dyDescent="0.3">
      <c r="A28" s="1146">
        <v>40</v>
      </c>
      <c r="B28" s="1154"/>
      <c r="C28" s="1143">
        <v>40</v>
      </c>
      <c r="D28" s="1146" t="s">
        <v>329</v>
      </c>
      <c r="E28" s="1155" t="s">
        <v>330</v>
      </c>
      <c r="F28" s="1156">
        <v>0</v>
      </c>
      <c r="G28" s="1156">
        <v>0</v>
      </c>
      <c r="H28" s="1156">
        <v>0</v>
      </c>
      <c r="I28" s="1156">
        <v>0</v>
      </c>
      <c r="J28" s="1156">
        <v>0</v>
      </c>
      <c r="K28" s="1156">
        <v>0</v>
      </c>
      <c r="L28" s="1157">
        <v>0</v>
      </c>
      <c r="M28" s="1157">
        <v>0</v>
      </c>
      <c r="N28" s="1157">
        <v>0</v>
      </c>
      <c r="O28" s="1157">
        <v>0</v>
      </c>
      <c r="P28" s="1157">
        <v>0</v>
      </c>
      <c r="Q28" s="1157">
        <v>0</v>
      </c>
      <c r="R28" s="1157">
        <v>0</v>
      </c>
      <c r="S28" s="1157">
        <v>0</v>
      </c>
      <c r="T28" s="1157">
        <v>0</v>
      </c>
      <c r="U28" s="1157">
        <v>0</v>
      </c>
      <c r="V28" s="1157">
        <v>0</v>
      </c>
      <c r="W28" s="1157">
        <v>0</v>
      </c>
      <c r="X28" s="1157">
        <v>0</v>
      </c>
      <c r="Y28" s="1157">
        <v>0</v>
      </c>
      <c r="Z28" s="1157">
        <v>0</v>
      </c>
      <c r="AA28" s="1157">
        <v>0</v>
      </c>
      <c r="AB28" s="1157">
        <v>0</v>
      </c>
      <c r="AC28" s="1157">
        <v>0</v>
      </c>
      <c r="AD28" s="1157">
        <v>0</v>
      </c>
      <c r="AE28" s="1157">
        <v>0</v>
      </c>
      <c r="AF28" s="1157">
        <v>0</v>
      </c>
      <c r="AG28" s="1157">
        <v>0</v>
      </c>
      <c r="AH28" s="1157">
        <v>0</v>
      </c>
      <c r="AI28" s="1157">
        <v>0</v>
      </c>
      <c r="AJ28" s="1157">
        <v>0</v>
      </c>
      <c r="AK28" s="1157">
        <v>0</v>
      </c>
      <c r="AL28" s="1157">
        <v>0</v>
      </c>
      <c r="AM28" s="1157">
        <v>0</v>
      </c>
      <c r="AN28" s="1157">
        <v>0</v>
      </c>
      <c r="AO28" s="1157">
        <v>0</v>
      </c>
      <c r="AP28" s="1157">
        <v>0</v>
      </c>
      <c r="AQ28" s="1157">
        <v>0</v>
      </c>
      <c r="AR28" s="1157">
        <v>0</v>
      </c>
      <c r="AS28" s="1157">
        <v>0</v>
      </c>
      <c r="AT28" s="1157">
        <v>0</v>
      </c>
      <c r="AU28" s="1157">
        <v>0</v>
      </c>
      <c r="AV28" s="1157">
        <v>0</v>
      </c>
      <c r="AW28" s="1157">
        <v>0</v>
      </c>
      <c r="AX28" s="1157">
        <v>0</v>
      </c>
      <c r="AY28" s="1157">
        <v>0</v>
      </c>
      <c r="AZ28" s="1157">
        <v>0</v>
      </c>
      <c r="BA28" s="1157">
        <v>0</v>
      </c>
      <c r="BB28" s="1157">
        <v>0</v>
      </c>
      <c r="BC28" s="1157">
        <v>0</v>
      </c>
      <c r="BD28" s="1157">
        <v>0</v>
      </c>
      <c r="BE28" s="1157">
        <v>0</v>
      </c>
      <c r="BF28" s="1157">
        <v>0</v>
      </c>
      <c r="BG28" s="1157">
        <v>0</v>
      </c>
      <c r="BH28" s="1157">
        <v>0</v>
      </c>
      <c r="BI28" s="1157">
        <v>0</v>
      </c>
      <c r="BJ28" s="1157">
        <v>0</v>
      </c>
      <c r="BK28" s="1157">
        <v>0</v>
      </c>
      <c r="BL28" s="1157">
        <v>0</v>
      </c>
      <c r="BM28" s="1157">
        <v>0</v>
      </c>
      <c r="BN28" s="1157">
        <v>0</v>
      </c>
      <c r="BO28" s="1157">
        <v>0</v>
      </c>
      <c r="BP28" s="1157">
        <v>0</v>
      </c>
      <c r="BQ28" s="1157">
        <v>0</v>
      </c>
      <c r="BR28" s="1157">
        <v>0</v>
      </c>
      <c r="BS28" s="1157">
        <v>0</v>
      </c>
      <c r="BT28" s="1157">
        <v>0</v>
      </c>
      <c r="BU28" s="1157">
        <v>0</v>
      </c>
      <c r="BV28" s="1157">
        <v>0</v>
      </c>
      <c r="BW28" s="1157">
        <v>0</v>
      </c>
      <c r="BX28" s="1157">
        <v>0</v>
      </c>
      <c r="BY28" s="1157">
        <v>0</v>
      </c>
      <c r="BZ28" s="1157">
        <v>0</v>
      </c>
      <c r="CA28" s="1157">
        <v>0</v>
      </c>
      <c r="CB28" s="1157">
        <v>0</v>
      </c>
      <c r="CC28" s="1148">
        <v>0</v>
      </c>
      <c r="CD28" s="1148">
        <v>0</v>
      </c>
      <c r="CE28" s="1148">
        <v>0</v>
      </c>
      <c r="CF28" s="1148">
        <v>0</v>
      </c>
    </row>
    <row r="29" spans="1:84" s="1148" customFormat="1" x14ac:dyDescent="0.3">
      <c r="A29" s="1146">
        <v>41</v>
      </c>
      <c r="B29" s="1154"/>
      <c r="C29" s="1143">
        <v>41</v>
      </c>
      <c r="D29" s="1146" t="s">
        <v>331</v>
      </c>
      <c r="E29" s="1155" t="s">
        <v>332</v>
      </c>
      <c r="F29" s="1156">
        <v>0</v>
      </c>
      <c r="G29" s="1156">
        <v>0</v>
      </c>
      <c r="H29" s="1156">
        <v>0</v>
      </c>
      <c r="I29" s="1156">
        <v>0</v>
      </c>
      <c r="J29" s="1156">
        <v>0</v>
      </c>
      <c r="K29" s="1156">
        <v>0</v>
      </c>
      <c r="L29" s="1157">
        <v>0</v>
      </c>
      <c r="M29" s="1157">
        <v>0</v>
      </c>
      <c r="N29" s="1157">
        <v>0</v>
      </c>
      <c r="O29" s="1157">
        <v>0</v>
      </c>
      <c r="P29" s="1157">
        <v>0</v>
      </c>
      <c r="Q29" s="1157">
        <v>0</v>
      </c>
      <c r="R29" s="1157">
        <v>0</v>
      </c>
      <c r="S29" s="1157">
        <v>0</v>
      </c>
      <c r="T29" s="1157">
        <v>0</v>
      </c>
      <c r="U29" s="1157">
        <v>0</v>
      </c>
      <c r="V29" s="1157">
        <v>0</v>
      </c>
      <c r="W29" s="1157">
        <v>0</v>
      </c>
      <c r="X29" s="1157">
        <v>0</v>
      </c>
      <c r="Y29" s="1157">
        <v>0</v>
      </c>
      <c r="Z29" s="1157">
        <v>0</v>
      </c>
      <c r="AA29" s="1157">
        <v>0</v>
      </c>
      <c r="AB29" s="1157">
        <v>0</v>
      </c>
      <c r="AC29" s="1157">
        <v>0</v>
      </c>
      <c r="AD29" s="1157">
        <v>0</v>
      </c>
      <c r="AE29" s="1157">
        <v>0</v>
      </c>
      <c r="AF29" s="1157">
        <v>0</v>
      </c>
      <c r="AG29" s="1157">
        <v>0</v>
      </c>
      <c r="AH29" s="1157">
        <v>0</v>
      </c>
      <c r="AI29" s="1157">
        <v>0</v>
      </c>
      <c r="AJ29" s="1157">
        <v>0</v>
      </c>
      <c r="AK29" s="1157">
        <v>0</v>
      </c>
      <c r="AL29" s="1157">
        <v>0</v>
      </c>
      <c r="AM29" s="1157">
        <v>0</v>
      </c>
      <c r="AN29" s="1157">
        <v>0</v>
      </c>
      <c r="AO29" s="1157">
        <v>0</v>
      </c>
      <c r="AP29" s="1157">
        <v>0</v>
      </c>
      <c r="AQ29" s="1157">
        <v>0</v>
      </c>
      <c r="AR29" s="1157">
        <v>0</v>
      </c>
      <c r="AS29" s="1157">
        <v>0</v>
      </c>
      <c r="AT29" s="1157">
        <v>0</v>
      </c>
      <c r="AU29" s="1157">
        <v>0</v>
      </c>
      <c r="AV29" s="1157">
        <v>0</v>
      </c>
      <c r="AW29" s="1157">
        <v>0</v>
      </c>
      <c r="AX29" s="1157">
        <v>0</v>
      </c>
      <c r="AY29" s="1157">
        <v>0</v>
      </c>
      <c r="AZ29" s="1157">
        <v>0</v>
      </c>
      <c r="BA29" s="1157">
        <v>0</v>
      </c>
      <c r="BB29" s="1157">
        <v>0</v>
      </c>
      <c r="BC29" s="1157">
        <v>0</v>
      </c>
      <c r="BD29" s="1157">
        <v>0</v>
      </c>
      <c r="BE29" s="1157">
        <v>0</v>
      </c>
      <c r="BF29" s="1157">
        <v>0</v>
      </c>
      <c r="BG29" s="1157">
        <v>0</v>
      </c>
      <c r="BH29" s="1157">
        <v>0</v>
      </c>
      <c r="BI29" s="1157">
        <v>0</v>
      </c>
      <c r="BJ29" s="1157">
        <v>0</v>
      </c>
      <c r="BK29" s="1157">
        <v>0</v>
      </c>
      <c r="BL29" s="1157">
        <v>0</v>
      </c>
      <c r="BM29" s="1157">
        <v>0</v>
      </c>
      <c r="BN29" s="1157">
        <v>0</v>
      </c>
      <c r="BO29" s="1157">
        <v>0</v>
      </c>
      <c r="BP29" s="1157">
        <v>0</v>
      </c>
      <c r="BQ29" s="1157">
        <v>0</v>
      </c>
      <c r="BR29" s="1157">
        <v>0</v>
      </c>
      <c r="BS29" s="1157">
        <v>0</v>
      </c>
      <c r="BT29" s="1157">
        <v>0</v>
      </c>
      <c r="BU29" s="1157">
        <v>0</v>
      </c>
      <c r="BV29" s="1157">
        <v>0</v>
      </c>
      <c r="BW29" s="1157">
        <v>0</v>
      </c>
      <c r="BX29" s="1157">
        <v>0</v>
      </c>
      <c r="BY29" s="1157">
        <v>0</v>
      </c>
      <c r="BZ29" s="1157">
        <v>0</v>
      </c>
      <c r="CA29" s="1157">
        <v>0</v>
      </c>
      <c r="CB29" s="1157">
        <v>0</v>
      </c>
      <c r="CC29" s="1148">
        <v>0</v>
      </c>
      <c r="CD29" s="1148">
        <v>0</v>
      </c>
      <c r="CE29" s="1148">
        <v>0</v>
      </c>
      <c r="CF29" s="1148">
        <v>0</v>
      </c>
    </row>
    <row r="30" spans="1:84" s="1148" customFormat="1" x14ac:dyDescent="0.3">
      <c r="A30" s="1146">
        <v>43</v>
      </c>
      <c r="B30" s="1154"/>
      <c r="C30" s="1228">
        <v>43</v>
      </c>
      <c r="D30" s="1146" t="s">
        <v>333</v>
      </c>
      <c r="E30" s="1155" t="s">
        <v>334</v>
      </c>
      <c r="F30" s="1156"/>
      <c r="G30" s="1156"/>
      <c r="H30" s="1156"/>
      <c r="I30" s="1156"/>
      <c r="J30" s="1156"/>
      <c r="K30" s="1156"/>
      <c r="L30" s="1157"/>
      <c r="M30" s="1157"/>
      <c r="N30" s="1157"/>
      <c r="O30" s="1157"/>
      <c r="P30" s="1157"/>
      <c r="Q30" s="1157"/>
      <c r="R30" s="1157"/>
      <c r="S30" s="1157"/>
      <c r="T30" s="1157"/>
      <c r="U30" s="1157"/>
      <c r="V30" s="1157"/>
      <c r="W30" s="1157"/>
      <c r="X30" s="1157"/>
      <c r="Y30" s="1157"/>
      <c r="Z30" s="1157"/>
      <c r="AA30" s="1157"/>
      <c r="AB30" s="1157"/>
      <c r="AC30" s="1157"/>
      <c r="AD30" s="1157"/>
      <c r="AE30" s="1157"/>
      <c r="AF30" s="1157"/>
      <c r="AG30" s="1157"/>
      <c r="AH30" s="1157"/>
      <c r="AI30" s="1157"/>
      <c r="AJ30" s="1157"/>
      <c r="AK30" s="1157"/>
      <c r="AL30" s="1157"/>
      <c r="AM30" s="1157"/>
      <c r="AN30" s="1157"/>
      <c r="AO30" s="1157"/>
      <c r="AP30" s="1157"/>
      <c r="AQ30" s="1157"/>
      <c r="AR30" s="1157"/>
      <c r="AS30" s="1157"/>
      <c r="AT30" s="1157"/>
      <c r="AU30" s="1157"/>
      <c r="AV30" s="1157"/>
      <c r="AW30" s="1157"/>
      <c r="AX30" s="1157"/>
      <c r="AY30" s="1157"/>
      <c r="AZ30" s="1157"/>
      <c r="BA30" s="1157"/>
      <c r="BB30" s="1157"/>
      <c r="BC30" s="1157"/>
      <c r="BD30" s="1157"/>
      <c r="BE30" s="1157"/>
      <c r="BF30" s="1157"/>
      <c r="BG30" s="1157"/>
      <c r="BH30" s="1157"/>
      <c r="BI30" s="1157"/>
      <c r="BJ30" s="1157"/>
      <c r="BK30" s="1157"/>
      <c r="BL30" s="1157"/>
      <c r="BM30" s="1157"/>
      <c r="BN30" s="1157"/>
      <c r="BO30" s="1157"/>
      <c r="BP30" s="1157"/>
      <c r="BQ30" s="1157"/>
      <c r="BR30" s="1157"/>
      <c r="BS30" s="1157"/>
      <c r="BT30" s="1157"/>
      <c r="BU30" s="1157"/>
      <c r="BV30" s="1157"/>
      <c r="BW30" s="1157"/>
      <c r="BX30" s="1157"/>
      <c r="BY30" s="1157"/>
      <c r="BZ30" s="1157"/>
      <c r="CA30" s="1157"/>
      <c r="CB30" s="1157"/>
    </row>
    <row r="31" spans="1:84" s="1148" customFormat="1" x14ac:dyDescent="0.3">
      <c r="A31" s="1159">
        <v>44</v>
      </c>
      <c r="B31" s="1154"/>
      <c r="C31" s="1228">
        <v>44</v>
      </c>
      <c r="D31" s="1146" t="s">
        <v>627</v>
      </c>
      <c r="E31" s="1155" t="s">
        <v>335</v>
      </c>
      <c r="F31" s="1156">
        <v>0</v>
      </c>
      <c r="G31" s="1156">
        <v>0</v>
      </c>
      <c r="H31" s="1156">
        <v>688803</v>
      </c>
      <c r="I31" s="1156">
        <v>0</v>
      </c>
      <c r="J31" s="1156">
        <v>0</v>
      </c>
      <c r="K31" s="1156">
        <v>0</v>
      </c>
      <c r="L31" s="1157">
        <v>58722</v>
      </c>
      <c r="M31" s="1157">
        <v>0</v>
      </c>
      <c r="N31" s="1157">
        <v>0</v>
      </c>
      <c r="O31" s="1157">
        <v>0</v>
      </c>
      <c r="P31" s="1157">
        <v>0</v>
      </c>
      <c r="Q31" s="1157">
        <v>1037340</v>
      </c>
      <c r="R31" s="1157">
        <v>0</v>
      </c>
      <c r="S31" s="1157">
        <v>48075856</v>
      </c>
      <c r="T31" s="1157">
        <v>0</v>
      </c>
      <c r="U31" s="1157">
        <v>0</v>
      </c>
      <c r="V31" s="1157">
        <v>45428298</v>
      </c>
      <c r="W31" s="1157">
        <v>8970253</v>
      </c>
      <c r="X31" s="1157">
        <v>15103356</v>
      </c>
      <c r="Y31" s="1157">
        <v>0</v>
      </c>
      <c r="Z31" s="1157">
        <v>326529</v>
      </c>
      <c r="AA31" s="1157">
        <v>5652998</v>
      </c>
      <c r="AB31" s="1157">
        <v>1664612</v>
      </c>
      <c r="AC31" s="1157">
        <v>14581146</v>
      </c>
      <c r="AD31" s="1157">
        <v>1285799</v>
      </c>
      <c r="AE31" s="1157">
        <v>961178</v>
      </c>
      <c r="AF31" s="1157">
        <v>834601</v>
      </c>
      <c r="AG31" s="1157">
        <v>2553314</v>
      </c>
      <c r="AH31" s="1157">
        <v>3644261</v>
      </c>
      <c r="AI31" s="1157">
        <v>2236427</v>
      </c>
      <c r="AJ31" s="1157">
        <v>212747</v>
      </c>
      <c r="AK31" s="1157">
        <v>21285892</v>
      </c>
      <c r="AL31" s="1157">
        <v>845695</v>
      </c>
      <c r="AM31" s="1157">
        <v>405988</v>
      </c>
      <c r="AN31" s="1157">
        <v>0</v>
      </c>
      <c r="AO31" s="1157">
        <v>3760949</v>
      </c>
      <c r="AP31" s="1157">
        <v>0</v>
      </c>
      <c r="AQ31" s="1157">
        <v>0</v>
      </c>
      <c r="AR31" s="1157">
        <v>0</v>
      </c>
      <c r="AS31" s="1157">
        <v>0</v>
      </c>
      <c r="AT31" s="1157">
        <v>4603620</v>
      </c>
      <c r="AU31" s="1157">
        <v>0</v>
      </c>
      <c r="AV31" s="1157">
        <v>884453</v>
      </c>
      <c r="AW31" s="1157">
        <v>34343394</v>
      </c>
      <c r="AX31" s="1157">
        <v>34343394</v>
      </c>
      <c r="AY31" s="1157">
        <v>0</v>
      </c>
      <c r="AZ31" s="1157">
        <v>2061985</v>
      </c>
      <c r="BA31" s="1157">
        <v>5693974</v>
      </c>
      <c r="BB31" s="1157">
        <v>964063</v>
      </c>
      <c r="BC31" s="1157">
        <v>216639</v>
      </c>
      <c r="BD31" s="1157">
        <v>0</v>
      </c>
      <c r="BE31" s="1157">
        <v>197067</v>
      </c>
      <c r="BF31" s="1157">
        <v>14629569</v>
      </c>
      <c r="BG31" s="1157">
        <v>0</v>
      </c>
      <c r="BH31" s="1157">
        <v>125653</v>
      </c>
      <c r="BI31" s="1157">
        <v>103787</v>
      </c>
      <c r="BJ31" s="1157">
        <v>0</v>
      </c>
      <c r="BK31" s="1157">
        <v>269365</v>
      </c>
      <c r="BL31" s="1157">
        <v>0</v>
      </c>
      <c r="BM31" s="1157">
        <v>3088701</v>
      </c>
      <c r="BN31" s="1157">
        <v>0</v>
      </c>
      <c r="BO31" s="1157">
        <v>0</v>
      </c>
      <c r="BP31" s="1157">
        <v>0</v>
      </c>
      <c r="BQ31" s="1157">
        <v>698145</v>
      </c>
      <c r="BR31" s="1157">
        <v>973609</v>
      </c>
      <c r="BS31" s="1157">
        <v>0</v>
      </c>
      <c r="BT31" s="1157">
        <v>364763</v>
      </c>
      <c r="BU31" s="1157">
        <v>0</v>
      </c>
      <c r="BV31" s="1157">
        <v>666238</v>
      </c>
      <c r="BW31" s="1157">
        <v>4788400</v>
      </c>
      <c r="BX31" s="1157">
        <v>0</v>
      </c>
      <c r="BY31" s="1157">
        <v>0</v>
      </c>
      <c r="BZ31" s="1157">
        <v>1234812</v>
      </c>
      <c r="CA31" s="1157">
        <v>16292</v>
      </c>
      <c r="CB31" s="1157">
        <v>0</v>
      </c>
      <c r="CC31" s="1148">
        <v>30119</v>
      </c>
      <c r="CD31" s="1148">
        <v>407931</v>
      </c>
      <c r="CE31" s="1148">
        <v>0</v>
      </c>
      <c r="CF31" s="1148">
        <v>14151</v>
      </c>
    </row>
    <row r="32" spans="1:84" s="1148" customFormat="1" x14ac:dyDescent="0.3">
      <c r="A32" s="1159">
        <v>45</v>
      </c>
      <c r="B32" s="1154"/>
      <c r="C32" s="1228">
        <v>45</v>
      </c>
      <c r="D32" s="1146" t="s">
        <v>628</v>
      </c>
      <c r="E32" s="1155" t="s">
        <v>336</v>
      </c>
      <c r="F32" s="1156">
        <v>0</v>
      </c>
      <c r="G32" s="1156">
        <v>0</v>
      </c>
      <c r="H32" s="1156">
        <v>19516</v>
      </c>
      <c r="I32" s="1156">
        <v>0</v>
      </c>
      <c r="J32" s="1156">
        <v>0</v>
      </c>
      <c r="K32" s="1156">
        <v>0</v>
      </c>
      <c r="L32" s="1157">
        <v>13454</v>
      </c>
      <c r="M32" s="1157">
        <v>0</v>
      </c>
      <c r="N32" s="1157">
        <v>0</v>
      </c>
      <c r="O32" s="1157">
        <v>0</v>
      </c>
      <c r="P32" s="1157">
        <v>0</v>
      </c>
      <c r="Q32" s="1157">
        <v>181288</v>
      </c>
      <c r="R32" s="1157">
        <v>0</v>
      </c>
      <c r="S32" s="1157">
        <v>3728530</v>
      </c>
      <c r="T32" s="1157">
        <v>0</v>
      </c>
      <c r="U32" s="1157">
        <v>0</v>
      </c>
      <c r="V32" s="1157">
        <v>6198506</v>
      </c>
      <c r="W32" s="1157">
        <v>2630498</v>
      </c>
      <c r="X32" s="1157">
        <v>2217394</v>
      </c>
      <c r="Y32" s="1157">
        <v>0</v>
      </c>
      <c r="Z32" s="1157">
        <v>22215</v>
      </c>
      <c r="AA32" s="1157">
        <v>2324928</v>
      </c>
      <c r="AB32" s="1157">
        <v>227913</v>
      </c>
      <c r="AC32" s="1157">
        <v>515723</v>
      </c>
      <c r="AD32" s="1157">
        <v>405844</v>
      </c>
      <c r="AE32" s="1157">
        <v>194796</v>
      </c>
      <c r="AF32" s="1157">
        <v>318355</v>
      </c>
      <c r="AG32" s="1157">
        <v>538162</v>
      </c>
      <c r="AH32" s="1157">
        <v>162890</v>
      </c>
      <c r="AI32" s="1157">
        <v>341634</v>
      </c>
      <c r="AJ32" s="1157">
        <v>114500</v>
      </c>
      <c r="AK32" s="1157">
        <v>5067819</v>
      </c>
      <c r="AL32" s="1157">
        <v>29947</v>
      </c>
      <c r="AM32" s="1157">
        <v>17300</v>
      </c>
      <c r="AN32" s="1157">
        <v>0</v>
      </c>
      <c r="AO32" s="1157">
        <v>1700729</v>
      </c>
      <c r="AP32" s="1157">
        <v>0</v>
      </c>
      <c r="AQ32" s="1157">
        <v>0</v>
      </c>
      <c r="AR32" s="1157">
        <v>0</v>
      </c>
      <c r="AS32" s="1157">
        <v>0</v>
      </c>
      <c r="AT32" s="1157">
        <v>991000</v>
      </c>
      <c r="AU32" s="1157">
        <v>0</v>
      </c>
      <c r="AV32" s="1157">
        <v>627672</v>
      </c>
      <c r="AW32" s="1157">
        <v>1377298</v>
      </c>
      <c r="AX32" s="1157">
        <v>1377298</v>
      </c>
      <c r="AY32" s="1157">
        <v>0</v>
      </c>
      <c r="AZ32" s="1157">
        <v>155279</v>
      </c>
      <c r="BA32" s="1157">
        <v>224450</v>
      </c>
      <c r="BB32" s="1157">
        <v>39784</v>
      </c>
      <c r="BC32" s="1157">
        <v>60806</v>
      </c>
      <c r="BD32" s="1157">
        <v>0</v>
      </c>
      <c r="BE32" s="1157">
        <v>18798</v>
      </c>
      <c r="BF32" s="1157">
        <v>7101239</v>
      </c>
      <c r="BG32" s="1157">
        <v>0</v>
      </c>
      <c r="BH32" s="1157">
        <v>125653</v>
      </c>
      <c r="BI32" s="1157">
        <v>5856</v>
      </c>
      <c r="BJ32" s="1157">
        <v>0</v>
      </c>
      <c r="BK32" s="1157">
        <v>9645</v>
      </c>
      <c r="BL32" s="1157">
        <v>0</v>
      </c>
      <c r="BM32" s="1157">
        <v>231445</v>
      </c>
      <c r="BN32" s="1157">
        <v>0</v>
      </c>
      <c r="BO32" s="1157">
        <v>0</v>
      </c>
      <c r="BP32" s="1157">
        <v>0</v>
      </c>
      <c r="BQ32" s="1157">
        <v>56332</v>
      </c>
      <c r="BR32" s="1157">
        <v>88854</v>
      </c>
      <c r="BS32" s="1157">
        <v>0</v>
      </c>
      <c r="BT32" s="1157">
        <v>4916</v>
      </c>
      <c r="BU32" s="1157">
        <v>0</v>
      </c>
      <c r="BV32" s="1157">
        <v>71151</v>
      </c>
      <c r="BW32" s="1157">
        <v>245635</v>
      </c>
      <c r="BX32" s="1157">
        <v>0</v>
      </c>
      <c r="BY32" s="1157">
        <v>0</v>
      </c>
      <c r="BZ32" s="1157">
        <v>42628</v>
      </c>
      <c r="CA32" s="1157">
        <v>14533</v>
      </c>
      <c r="CB32" s="1157">
        <v>0</v>
      </c>
      <c r="CC32" s="1148">
        <v>11087</v>
      </c>
      <c r="CD32" s="1148">
        <v>30489</v>
      </c>
      <c r="CE32" s="1148">
        <v>0</v>
      </c>
      <c r="CF32" s="1148">
        <v>0</v>
      </c>
    </row>
    <row r="33" spans="1:84" s="1148" customFormat="1" x14ac:dyDescent="0.3">
      <c r="A33" s="1146">
        <v>46</v>
      </c>
      <c r="B33" s="1154"/>
      <c r="C33" s="1228">
        <v>46</v>
      </c>
      <c r="D33" s="1146" t="s">
        <v>629</v>
      </c>
      <c r="E33" s="1155" t="s">
        <v>337</v>
      </c>
      <c r="F33" s="1156"/>
      <c r="G33" s="1156"/>
      <c r="H33" s="1156"/>
      <c r="I33" s="1156"/>
      <c r="J33" s="1156"/>
      <c r="K33" s="1156"/>
      <c r="L33" s="1157"/>
      <c r="M33" s="1157"/>
      <c r="N33" s="1157"/>
      <c r="O33" s="1157"/>
      <c r="P33" s="1157"/>
      <c r="Q33" s="1157"/>
      <c r="R33" s="1157"/>
      <c r="S33" s="1157"/>
      <c r="T33" s="1157"/>
      <c r="U33" s="1157"/>
      <c r="V33" s="1157"/>
      <c r="W33" s="1157"/>
      <c r="X33" s="1157"/>
      <c r="Y33" s="1157"/>
      <c r="Z33" s="1157"/>
      <c r="AA33" s="1157"/>
      <c r="AB33" s="1157"/>
      <c r="AC33" s="1157"/>
      <c r="AD33" s="1157"/>
      <c r="AE33" s="1157"/>
      <c r="AF33" s="1157"/>
      <c r="AG33" s="1157"/>
      <c r="AH33" s="1157"/>
      <c r="AI33" s="1157"/>
      <c r="AJ33" s="1157"/>
      <c r="AK33" s="1157"/>
      <c r="AL33" s="1157"/>
      <c r="AM33" s="1157"/>
      <c r="AN33" s="1157"/>
      <c r="AO33" s="1157"/>
      <c r="AP33" s="1157"/>
      <c r="AQ33" s="1157"/>
      <c r="AR33" s="1157"/>
      <c r="AS33" s="1157"/>
      <c r="AT33" s="1157"/>
      <c r="AU33" s="1157"/>
      <c r="AV33" s="1157"/>
      <c r="AW33" s="1157"/>
      <c r="AX33" s="1157"/>
      <c r="AY33" s="1157"/>
      <c r="AZ33" s="1157"/>
      <c r="BA33" s="1157"/>
      <c r="BB33" s="1157"/>
      <c r="BC33" s="1157"/>
      <c r="BD33" s="1157"/>
      <c r="BE33" s="1157"/>
      <c r="BF33" s="1157"/>
      <c r="BG33" s="1157"/>
      <c r="BH33" s="1157"/>
      <c r="BI33" s="1157"/>
      <c r="BJ33" s="1157"/>
      <c r="BK33" s="1157"/>
      <c r="BL33" s="1157"/>
      <c r="BM33" s="1157"/>
      <c r="BN33" s="1157"/>
      <c r="BO33" s="1157"/>
      <c r="BP33" s="1157"/>
      <c r="BQ33" s="1157"/>
      <c r="BR33" s="1157"/>
      <c r="BS33" s="1157"/>
      <c r="BT33" s="1157"/>
      <c r="BU33" s="1157"/>
      <c r="BV33" s="1157"/>
      <c r="BW33" s="1157"/>
      <c r="BX33" s="1157"/>
      <c r="BY33" s="1157"/>
      <c r="BZ33" s="1157"/>
      <c r="CA33" s="1157"/>
      <c r="CB33" s="1157"/>
    </row>
    <row r="34" spans="1:84" s="1148" customFormat="1" x14ac:dyDescent="0.3">
      <c r="A34" s="1153">
        <v>47</v>
      </c>
      <c r="B34" s="1154">
        <v>47</v>
      </c>
      <c r="C34" s="1228">
        <v>47</v>
      </c>
      <c r="D34" s="1146" t="s">
        <v>630</v>
      </c>
      <c r="E34" s="1155" t="s">
        <v>338</v>
      </c>
      <c r="F34" s="1156">
        <v>0</v>
      </c>
      <c r="G34" s="1156">
        <v>0</v>
      </c>
      <c r="H34" s="1156">
        <v>0</v>
      </c>
      <c r="I34" s="1156">
        <v>0</v>
      </c>
      <c r="J34" s="1156">
        <v>0</v>
      </c>
      <c r="K34" s="1156">
        <v>0</v>
      </c>
      <c r="L34" s="1157">
        <v>0</v>
      </c>
      <c r="M34" s="1157">
        <v>0</v>
      </c>
      <c r="N34" s="1157">
        <v>0</v>
      </c>
      <c r="O34" s="1157">
        <v>0</v>
      </c>
      <c r="P34" s="1157">
        <v>0</v>
      </c>
      <c r="Q34" s="1157">
        <v>0</v>
      </c>
      <c r="R34" s="1157">
        <v>0</v>
      </c>
      <c r="S34" s="1157">
        <v>77170047</v>
      </c>
      <c r="T34" s="1157">
        <v>0</v>
      </c>
      <c r="U34" s="1157">
        <v>0</v>
      </c>
      <c r="V34" s="1157">
        <v>0</v>
      </c>
      <c r="W34" s="1157">
        <v>0</v>
      </c>
      <c r="X34" s="1157">
        <v>19672002</v>
      </c>
      <c r="Y34" s="1157">
        <v>0</v>
      </c>
      <c r="Z34" s="1157">
        <v>0</v>
      </c>
      <c r="AA34" s="1157">
        <v>0</v>
      </c>
      <c r="AB34" s="1157">
        <v>0</v>
      </c>
      <c r="AC34" s="1157">
        <v>0</v>
      </c>
      <c r="AD34" s="1157">
        <v>0</v>
      </c>
      <c r="AE34" s="1157">
        <v>0</v>
      </c>
      <c r="AF34" s="1157">
        <v>0</v>
      </c>
      <c r="AG34" s="1157">
        <v>0</v>
      </c>
      <c r="AH34" s="1157">
        <v>0</v>
      </c>
      <c r="AI34" s="1157">
        <v>0</v>
      </c>
      <c r="AJ34" s="1157">
        <v>0</v>
      </c>
      <c r="AK34" s="1157">
        <v>26191217</v>
      </c>
      <c r="AL34" s="1157">
        <v>0</v>
      </c>
      <c r="AM34" s="1157">
        <v>0</v>
      </c>
      <c r="AN34" s="1157">
        <v>0</v>
      </c>
      <c r="AO34" s="1157">
        <v>10822715</v>
      </c>
      <c r="AP34" s="1157">
        <v>0</v>
      </c>
      <c r="AQ34" s="1157">
        <v>0</v>
      </c>
      <c r="AR34" s="1157">
        <v>0</v>
      </c>
      <c r="AS34" s="1157">
        <v>0</v>
      </c>
      <c r="AT34" s="1157">
        <v>0</v>
      </c>
      <c r="AU34" s="1157">
        <v>0</v>
      </c>
      <c r="AV34" s="1157">
        <v>0</v>
      </c>
      <c r="AW34" s="1157">
        <v>0</v>
      </c>
      <c r="AX34" s="1157">
        <v>0</v>
      </c>
      <c r="AY34" s="1157">
        <v>0</v>
      </c>
      <c r="AZ34" s="1157">
        <v>0</v>
      </c>
      <c r="BA34" s="1157">
        <v>0</v>
      </c>
      <c r="BB34" s="1157">
        <v>0</v>
      </c>
      <c r="BC34" s="1157">
        <v>0</v>
      </c>
      <c r="BD34" s="1157">
        <v>0</v>
      </c>
      <c r="BE34" s="1157">
        <v>0</v>
      </c>
      <c r="BF34" s="1157">
        <v>0</v>
      </c>
      <c r="BG34" s="1157">
        <v>0</v>
      </c>
      <c r="BH34" s="1157">
        <v>0</v>
      </c>
      <c r="BI34" s="1157">
        <v>0</v>
      </c>
      <c r="BJ34" s="1157">
        <v>0</v>
      </c>
      <c r="BK34" s="1157">
        <v>0</v>
      </c>
      <c r="BL34" s="1157">
        <v>0</v>
      </c>
      <c r="BM34" s="1157">
        <v>0</v>
      </c>
      <c r="BN34" s="1157">
        <v>0</v>
      </c>
      <c r="BO34" s="1157">
        <v>0</v>
      </c>
      <c r="BP34" s="1157">
        <v>0</v>
      </c>
      <c r="BQ34" s="1157">
        <v>0</v>
      </c>
      <c r="BR34" s="1157">
        <v>0</v>
      </c>
      <c r="BS34" s="1157">
        <v>0</v>
      </c>
      <c r="BT34" s="1157">
        <v>1120129</v>
      </c>
      <c r="BU34" s="1157">
        <v>6199211</v>
      </c>
      <c r="BV34" s="1157">
        <v>0</v>
      </c>
      <c r="BW34" s="1157">
        <v>0</v>
      </c>
      <c r="BX34" s="1157">
        <v>0</v>
      </c>
      <c r="BY34" s="1157">
        <v>0</v>
      </c>
      <c r="BZ34" s="1157">
        <v>0</v>
      </c>
      <c r="CA34" s="1157">
        <v>0</v>
      </c>
      <c r="CB34" s="1157">
        <v>0</v>
      </c>
      <c r="CC34" s="1148">
        <v>0</v>
      </c>
      <c r="CD34" s="1148">
        <v>0</v>
      </c>
      <c r="CE34" s="1148">
        <v>0</v>
      </c>
      <c r="CF34" s="1148">
        <v>0</v>
      </c>
    </row>
    <row r="35" spans="1:84" s="1148" customFormat="1" x14ac:dyDescent="0.3">
      <c r="A35" s="1153">
        <v>48</v>
      </c>
      <c r="B35" s="1154">
        <v>48</v>
      </c>
      <c r="C35" s="1228">
        <v>48</v>
      </c>
      <c r="D35" s="1146" t="s">
        <v>123</v>
      </c>
      <c r="E35" s="1155" t="s">
        <v>339</v>
      </c>
      <c r="F35" s="1156">
        <v>0</v>
      </c>
      <c r="G35" s="1156">
        <v>0</v>
      </c>
      <c r="H35" s="1156">
        <v>0</v>
      </c>
      <c r="I35" s="1156">
        <v>0</v>
      </c>
      <c r="J35" s="1156">
        <v>0</v>
      </c>
      <c r="K35" s="1156">
        <v>0</v>
      </c>
      <c r="L35" s="1157">
        <v>0</v>
      </c>
      <c r="M35" s="1157">
        <v>0</v>
      </c>
      <c r="N35" s="1157">
        <v>0</v>
      </c>
      <c r="O35" s="1157">
        <v>0</v>
      </c>
      <c r="P35" s="1157">
        <v>0</v>
      </c>
      <c r="Q35" s="1157">
        <v>0</v>
      </c>
      <c r="R35" s="1157">
        <v>0</v>
      </c>
      <c r="S35" s="1157">
        <v>5634981</v>
      </c>
      <c r="T35" s="1157">
        <v>0</v>
      </c>
      <c r="U35" s="1157">
        <v>0</v>
      </c>
      <c r="V35" s="1157">
        <v>0</v>
      </c>
      <c r="W35" s="1157">
        <v>0</v>
      </c>
      <c r="X35" s="1157">
        <v>2521780</v>
      </c>
      <c r="Y35" s="1157">
        <v>0</v>
      </c>
      <c r="Z35" s="1157">
        <v>0</v>
      </c>
      <c r="AA35" s="1157">
        <v>0</v>
      </c>
      <c r="AB35" s="1157">
        <v>0</v>
      </c>
      <c r="AC35" s="1157">
        <v>0</v>
      </c>
      <c r="AD35" s="1157">
        <v>0</v>
      </c>
      <c r="AE35" s="1157">
        <v>0</v>
      </c>
      <c r="AF35" s="1157">
        <v>0</v>
      </c>
      <c r="AG35" s="1157">
        <v>0</v>
      </c>
      <c r="AH35" s="1157">
        <v>0</v>
      </c>
      <c r="AI35" s="1157">
        <v>0</v>
      </c>
      <c r="AJ35" s="1157">
        <v>0</v>
      </c>
      <c r="AK35" s="1157">
        <v>8067985</v>
      </c>
      <c r="AL35" s="1157">
        <v>0</v>
      </c>
      <c r="AM35" s="1157">
        <v>0</v>
      </c>
      <c r="AN35" s="1157">
        <v>0</v>
      </c>
      <c r="AO35" s="1157">
        <v>1900716</v>
      </c>
      <c r="AP35" s="1157">
        <v>0</v>
      </c>
      <c r="AQ35" s="1157">
        <v>0</v>
      </c>
      <c r="AR35" s="1157">
        <v>0</v>
      </c>
      <c r="AS35" s="1157">
        <v>0</v>
      </c>
      <c r="AT35" s="1157">
        <v>0</v>
      </c>
      <c r="AU35" s="1157">
        <v>0</v>
      </c>
      <c r="AV35" s="1157">
        <v>0</v>
      </c>
      <c r="AW35" s="1157">
        <v>0</v>
      </c>
      <c r="AX35" s="1157">
        <v>0</v>
      </c>
      <c r="AY35" s="1157">
        <v>0</v>
      </c>
      <c r="AZ35" s="1157">
        <v>0</v>
      </c>
      <c r="BA35" s="1157">
        <v>0</v>
      </c>
      <c r="BB35" s="1157">
        <v>0</v>
      </c>
      <c r="BC35" s="1157">
        <v>0</v>
      </c>
      <c r="BD35" s="1157">
        <v>0</v>
      </c>
      <c r="BE35" s="1157">
        <v>0</v>
      </c>
      <c r="BF35" s="1157">
        <v>0</v>
      </c>
      <c r="BG35" s="1157">
        <v>0</v>
      </c>
      <c r="BH35" s="1157">
        <v>0</v>
      </c>
      <c r="BI35" s="1157">
        <v>0</v>
      </c>
      <c r="BJ35" s="1157">
        <v>0</v>
      </c>
      <c r="BK35" s="1157">
        <v>0</v>
      </c>
      <c r="BL35" s="1157">
        <v>0</v>
      </c>
      <c r="BM35" s="1157">
        <v>0</v>
      </c>
      <c r="BN35" s="1157">
        <v>0</v>
      </c>
      <c r="BO35" s="1157">
        <v>0</v>
      </c>
      <c r="BP35" s="1157">
        <v>0</v>
      </c>
      <c r="BQ35" s="1157">
        <v>0</v>
      </c>
      <c r="BR35" s="1157">
        <v>0</v>
      </c>
      <c r="BS35" s="1157">
        <v>0</v>
      </c>
      <c r="BT35" s="1157">
        <v>45551</v>
      </c>
      <c r="BU35" s="1157">
        <v>994129</v>
      </c>
      <c r="BV35" s="1157">
        <v>0</v>
      </c>
      <c r="BW35" s="1157">
        <v>0</v>
      </c>
      <c r="BX35" s="1157">
        <v>0</v>
      </c>
      <c r="BY35" s="1157">
        <v>0</v>
      </c>
      <c r="BZ35" s="1157">
        <v>0</v>
      </c>
      <c r="CA35" s="1157">
        <v>0</v>
      </c>
      <c r="CB35" s="1157">
        <v>0</v>
      </c>
      <c r="CC35" s="1148">
        <v>0</v>
      </c>
      <c r="CD35" s="1148">
        <v>0</v>
      </c>
      <c r="CE35" s="1148">
        <v>0</v>
      </c>
      <c r="CF35" s="1148">
        <v>0</v>
      </c>
    </row>
    <row r="36" spans="1:84" s="1148" customFormat="1" x14ac:dyDescent="0.3">
      <c r="A36" s="1159">
        <v>49</v>
      </c>
      <c r="B36" s="1154">
        <v>49</v>
      </c>
      <c r="C36" s="1228">
        <v>49</v>
      </c>
      <c r="D36" s="1146" t="s">
        <v>228</v>
      </c>
      <c r="E36" s="1155" t="s">
        <v>340</v>
      </c>
      <c r="F36" s="1156">
        <v>0</v>
      </c>
      <c r="G36" s="1156">
        <v>0</v>
      </c>
      <c r="H36" s="1156">
        <v>177608</v>
      </c>
      <c r="I36" s="1156">
        <v>0</v>
      </c>
      <c r="J36" s="1156">
        <v>0</v>
      </c>
      <c r="K36" s="1156">
        <v>0</v>
      </c>
      <c r="L36" s="1157">
        <v>64933</v>
      </c>
      <c r="M36" s="1157">
        <v>0</v>
      </c>
      <c r="N36" s="1157">
        <v>0</v>
      </c>
      <c r="O36" s="1157">
        <v>0</v>
      </c>
      <c r="P36" s="1157">
        <v>0</v>
      </c>
      <c r="Q36" s="1157">
        <v>757738</v>
      </c>
      <c r="R36" s="1157">
        <v>0</v>
      </c>
      <c r="S36" s="1157">
        <v>3252094</v>
      </c>
      <c r="T36" s="1157">
        <v>0</v>
      </c>
      <c r="U36" s="1157">
        <v>0</v>
      </c>
      <c r="V36" s="1157">
        <v>4649215</v>
      </c>
      <c r="W36" s="1157">
        <v>1777886</v>
      </c>
      <c r="X36" s="1157">
        <v>2689728</v>
      </c>
      <c r="Y36" s="1157">
        <v>0</v>
      </c>
      <c r="Z36" s="1157">
        <v>89400</v>
      </c>
      <c r="AA36" s="1157">
        <v>1924335</v>
      </c>
      <c r="AB36" s="1157">
        <v>409869</v>
      </c>
      <c r="AC36" s="1157">
        <v>1174414</v>
      </c>
      <c r="AD36" s="1157">
        <v>580785</v>
      </c>
      <c r="AE36" s="1157">
        <v>128593</v>
      </c>
      <c r="AF36" s="1157">
        <v>222862</v>
      </c>
      <c r="AG36" s="1157">
        <v>727838</v>
      </c>
      <c r="AH36" s="1157">
        <v>352818</v>
      </c>
      <c r="AI36" s="1157">
        <v>313476</v>
      </c>
      <c r="AJ36" s="1157">
        <v>146337</v>
      </c>
      <c r="AK36" s="1157">
        <v>3957231</v>
      </c>
      <c r="AL36" s="1157">
        <v>67658</v>
      </c>
      <c r="AM36" s="1157">
        <v>224436</v>
      </c>
      <c r="AN36" s="1157">
        <v>0</v>
      </c>
      <c r="AO36" s="1157">
        <v>1978088</v>
      </c>
      <c r="AP36" s="1157">
        <v>0</v>
      </c>
      <c r="AQ36" s="1157">
        <v>92219</v>
      </c>
      <c r="AR36" s="1157">
        <v>0</v>
      </c>
      <c r="AS36" s="1157">
        <v>0</v>
      </c>
      <c r="AT36" s="1157">
        <v>786631</v>
      </c>
      <c r="AU36" s="1157">
        <v>0</v>
      </c>
      <c r="AV36" s="1157">
        <v>396629</v>
      </c>
      <c r="AW36" s="1157">
        <v>0</v>
      </c>
      <c r="AX36" s="1157">
        <v>4574593</v>
      </c>
      <c r="AY36" s="1157">
        <v>0</v>
      </c>
      <c r="AZ36" s="1157">
        <v>266154</v>
      </c>
      <c r="BA36" s="1157">
        <v>111878</v>
      </c>
      <c r="BB36" s="1157">
        <v>208362</v>
      </c>
      <c r="BC36" s="1157">
        <v>45470</v>
      </c>
      <c r="BD36" s="1157">
        <v>0</v>
      </c>
      <c r="BE36" s="1157">
        <v>27233</v>
      </c>
      <c r="BF36" s="1157">
        <v>1128944</v>
      </c>
      <c r="BG36" s="1157">
        <v>0</v>
      </c>
      <c r="BH36" s="1157">
        <v>66384</v>
      </c>
      <c r="BI36" s="1157">
        <v>74733</v>
      </c>
      <c r="BJ36" s="1157">
        <v>0</v>
      </c>
      <c r="BK36" s="1157">
        <v>94150</v>
      </c>
      <c r="BL36" s="1157">
        <v>0</v>
      </c>
      <c r="BM36" s="1157">
        <v>507748</v>
      </c>
      <c r="BN36" s="1157">
        <v>0</v>
      </c>
      <c r="BO36" s="1157">
        <v>385026</v>
      </c>
      <c r="BP36" s="1157">
        <v>164561</v>
      </c>
      <c r="BQ36" s="1157">
        <v>96334</v>
      </c>
      <c r="BR36" s="1157">
        <v>42695</v>
      </c>
      <c r="BS36" s="1157">
        <v>0</v>
      </c>
      <c r="BT36" s="1157">
        <v>178096</v>
      </c>
      <c r="BU36" s="1157">
        <v>0</v>
      </c>
      <c r="BV36" s="1157">
        <v>271346</v>
      </c>
      <c r="BW36" s="1157">
        <v>599004</v>
      </c>
      <c r="BX36" s="1157">
        <v>0</v>
      </c>
      <c r="BY36" s="1157">
        <v>0</v>
      </c>
      <c r="BZ36" s="1157">
        <v>67532</v>
      </c>
      <c r="CA36" s="1157">
        <v>18215</v>
      </c>
      <c r="CB36" s="1157">
        <v>168698</v>
      </c>
      <c r="CC36" s="1148">
        <v>155200</v>
      </c>
      <c r="CD36" s="1148">
        <v>159616</v>
      </c>
      <c r="CE36" s="1148">
        <v>0</v>
      </c>
      <c r="CF36" s="1148">
        <v>30020</v>
      </c>
    </row>
    <row r="37" spans="1:84" s="1148" customFormat="1" x14ac:dyDescent="0.3">
      <c r="A37" s="1159">
        <v>50</v>
      </c>
      <c r="B37" s="1154">
        <v>50</v>
      </c>
      <c r="C37" s="1228">
        <v>50</v>
      </c>
      <c r="D37" s="1146" t="s">
        <v>100</v>
      </c>
      <c r="E37" s="1155" t="s">
        <v>341</v>
      </c>
      <c r="F37" s="1156">
        <v>0</v>
      </c>
      <c r="G37" s="1156">
        <v>0</v>
      </c>
      <c r="H37" s="1156">
        <v>-30288</v>
      </c>
      <c r="I37" s="1156">
        <v>0</v>
      </c>
      <c r="J37" s="1156">
        <v>0</v>
      </c>
      <c r="K37" s="1156">
        <v>0</v>
      </c>
      <c r="L37" s="1157">
        <v>-54400</v>
      </c>
      <c r="M37" s="1157">
        <v>0</v>
      </c>
      <c r="N37" s="1157">
        <v>0</v>
      </c>
      <c r="O37" s="1157">
        <v>0</v>
      </c>
      <c r="P37" s="1157">
        <v>0</v>
      </c>
      <c r="Q37" s="1157">
        <v>-405505</v>
      </c>
      <c r="R37" s="1157">
        <v>0</v>
      </c>
      <c r="S37" s="1157">
        <v>7019676</v>
      </c>
      <c r="T37" s="1157">
        <v>0</v>
      </c>
      <c r="U37" s="1157">
        <v>0</v>
      </c>
      <c r="V37" s="1157">
        <v>13434376</v>
      </c>
      <c r="W37" s="1157">
        <v>-1470470</v>
      </c>
      <c r="X37" s="1157">
        <v>1988134</v>
      </c>
      <c r="Y37" s="1157">
        <v>0</v>
      </c>
      <c r="Z37" s="1157">
        <v>-84941</v>
      </c>
      <c r="AA37" s="1157">
        <v>615377</v>
      </c>
      <c r="AB37" s="1157">
        <v>88081</v>
      </c>
      <c r="AC37" s="1157">
        <v>1859915</v>
      </c>
      <c r="AD37" s="1157">
        <v>954222</v>
      </c>
      <c r="AE37" s="1157">
        <v>144569</v>
      </c>
      <c r="AF37" s="1157">
        <v>130599</v>
      </c>
      <c r="AG37" s="1157">
        <v>212527</v>
      </c>
      <c r="AH37" s="1157">
        <v>271361</v>
      </c>
      <c r="AI37" s="1157">
        <v>-627976</v>
      </c>
      <c r="AJ37" s="1157">
        <v>29308</v>
      </c>
      <c r="AK37" s="1157">
        <v>4437387</v>
      </c>
      <c r="AL37" s="1157">
        <v>-17210</v>
      </c>
      <c r="AM37" s="1157">
        <v>-147108</v>
      </c>
      <c r="AN37" s="1157">
        <v>0</v>
      </c>
      <c r="AO37" s="1157">
        <v>-70560</v>
      </c>
      <c r="AP37" s="1157">
        <v>0</v>
      </c>
      <c r="AQ37" s="1157">
        <v>-131435</v>
      </c>
      <c r="AR37" s="1157">
        <v>0</v>
      </c>
      <c r="AS37" s="1157">
        <v>0</v>
      </c>
      <c r="AT37" s="1157">
        <v>347391</v>
      </c>
      <c r="AU37" s="1157">
        <v>0</v>
      </c>
      <c r="AV37" s="1157">
        <v>-23412</v>
      </c>
      <c r="AW37" s="1157">
        <v>0</v>
      </c>
      <c r="AX37" s="1157">
        <v>-1409547</v>
      </c>
      <c r="AY37" s="1157">
        <v>0</v>
      </c>
      <c r="AZ37" s="1157">
        <v>-275219</v>
      </c>
      <c r="BA37" s="1157">
        <v>425519</v>
      </c>
      <c r="BB37" s="1157">
        <v>-18919</v>
      </c>
      <c r="BC37" s="1157">
        <v>-37688</v>
      </c>
      <c r="BD37" s="1157">
        <v>0</v>
      </c>
      <c r="BE37" s="1157">
        <v>-24786</v>
      </c>
      <c r="BF37" s="1157">
        <v>2934678</v>
      </c>
      <c r="BG37" s="1157">
        <v>0</v>
      </c>
      <c r="BH37" s="1157">
        <v>22480</v>
      </c>
      <c r="BI37" s="1157">
        <v>-83137</v>
      </c>
      <c r="BJ37" s="1157">
        <v>0</v>
      </c>
      <c r="BK37" s="1157">
        <v>-34797</v>
      </c>
      <c r="BL37" s="1157">
        <v>0</v>
      </c>
      <c r="BM37" s="1157">
        <v>391497</v>
      </c>
      <c r="BN37" s="1157">
        <v>0</v>
      </c>
      <c r="BO37" s="1157">
        <v>487768</v>
      </c>
      <c r="BP37" s="1157">
        <v>137055</v>
      </c>
      <c r="BQ37" s="1157">
        <v>-5204</v>
      </c>
      <c r="BR37" s="1157">
        <v>107189</v>
      </c>
      <c r="BS37" s="1157">
        <v>0</v>
      </c>
      <c r="BT37" s="1157">
        <v>-58531</v>
      </c>
      <c r="BU37" s="1157">
        <v>0</v>
      </c>
      <c r="BV37" s="1157">
        <v>-116646</v>
      </c>
      <c r="BW37" s="1157">
        <v>371535</v>
      </c>
      <c r="BX37" s="1157">
        <v>0</v>
      </c>
      <c r="BY37" s="1157">
        <v>0</v>
      </c>
      <c r="BZ37" s="1157">
        <v>50941</v>
      </c>
      <c r="CA37" s="1157">
        <v>-23861</v>
      </c>
      <c r="CB37" s="1157">
        <v>-61843</v>
      </c>
      <c r="CC37" s="1148">
        <v>-134512</v>
      </c>
      <c r="CD37" s="1148">
        <v>15590</v>
      </c>
      <c r="CE37" s="1148">
        <v>0</v>
      </c>
      <c r="CF37" s="1148">
        <v>-22670</v>
      </c>
    </row>
    <row r="38" spans="1:84" s="1148" customFormat="1" x14ac:dyDescent="0.3">
      <c r="A38" s="1159">
        <v>51</v>
      </c>
      <c r="B38" s="1154">
        <v>51</v>
      </c>
      <c r="C38" s="1228">
        <v>51</v>
      </c>
      <c r="D38" s="1146" t="s">
        <v>246</v>
      </c>
      <c r="E38" s="1155" t="s">
        <v>342</v>
      </c>
      <c r="F38" s="1156">
        <v>0</v>
      </c>
      <c r="G38" s="1156">
        <v>0</v>
      </c>
      <c r="H38" s="1156">
        <v>-10418</v>
      </c>
      <c r="I38" s="1156">
        <v>0</v>
      </c>
      <c r="J38" s="1156">
        <v>0</v>
      </c>
      <c r="K38" s="1156">
        <v>0</v>
      </c>
      <c r="L38" s="1157">
        <v>5797</v>
      </c>
      <c r="M38" s="1157">
        <v>0</v>
      </c>
      <c r="N38" s="1157">
        <v>0</v>
      </c>
      <c r="O38" s="1157">
        <v>0</v>
      </c>
      <c r="P38" s="1157">
        <v>0</v>
      </c>
      <c r="Q38" s="1157">
        <v>377556</v>
      </c>
      <c r="R38" s="1157">
        <v>0</v>
      </c>
      <c r="S38" s="1157">
        <v>11400351</v>
      </c>
      <c r="T38" s="1157">
        <v>0</v>
      </c>
      <c r="U38" s="1157">
        <v>0</v>
      </c>
      <c r="V38" s="1157">
        <v>13797273</v>
      </c>
      <c r="W38" s="1157">
        <v>3370630</v>
      </c>
      <c r="X38" s="1157">
        <v>4468522</v>
      </c>
      <c r="Y38" s="1157">
        <v>0</v>
      </c>
      <c r="Z38" s="1157">
        <v>67747</v>
      </c>
      <c r="AA38" s="1157">
        <v>2794223</v>
      </c>
      <c r="AB38" s="1157">
        <v>76575</v>
      </c>
      <c r="AC38" s="1157">
        <v>1906891</v>
      </c>
      <c r="AD38" s="1157">
        <v>1158710</v>
      </c>
      <c r="AE38" s="1157">
        <v>310657</v>
      </c>
      <c r="AF38" s="1157">
        <v>346625</v>
      </c>
      <c r="AG38" s="1157">
        <v>260540</v>
      </c>
      <c r="AH38" s="1157">
        <v>658915</v>
      </c>
      <c r="AI38" s="1157">
        <v>1268736</v>
      </c>
      <c r="AJ38" s="1157">
        <v>-337685</v>
      </c>
      <c r="AK38" s="1157">
        <v>7862665</v>
      </c>
      <c r="AL38" s="1157">
        <v>51956</v>
      </c>
      <c r="AM38" s="1157">
        <v>126137</v>
      </c>
      <c r="AN38" s="1157">
        <v>0</v>
      </c>
      <c r="AO38" s="1157">
        <v>2929912</v>
      </c>
      <c r="AP38" s="1157">
        <v>0</v>
      </c>
      <c r="AQ38" s="1157">
        <v>59217</v>
      </c>
      <c r="AR38" s="1157">
        <v>0</v>
      </c>
      <c r="AS38" s="1157">
        <v>0</v>
      </c>
      <c r="AT38" s="1157">
        <v>1159469</v>
      </c>
      <c r="AU38" s="1157">
        <v>0</v>
      </c>
      <c r="AV38" s="1157">
        <v>486345</v>
      </c>
      <c r="AW38" s="1157">
        <v>0</v>
      </c>
      <c r="AX38" s="1157">
        <v>9799116</v>
      </c>
      <c r="AY38" s="1157">
        <v>0</v>
      </c>
      <c r="AZ38" s="1157">
        <v>18198</v>
      </c>
      <c r="BA38" s="1157">
        <v>578381</v>
      </c>
      <c r="BB38" s="1157">
        <v>188737</v>
      </c>
      <c r="BC38" s="1157">
        <v>40390</v>
      </c>
      <c r="BD38" s="1157">
        <v>0</v>
      </c>
      <c r="BE38" s="1157">
        <v>16423</v>
      </c>
      <c r="BF38" s="1157">
        <v>3200336</v>
      </c>
      <c r="BG38" s="1157">
        <v>0</v>
      </c>
      <c r="BH38" s="1157">
        <v>7266</v>
      </c>
      <c r="BI38" s="1157">
        <v>-2080</v>
      </c>
      <c r="BJ38" s="1157">
        <v>0</v>
      </c>
      <c r="BK38" s="1157">
        <v>60842</v>
      </c>
      <c r="BL38" s="1157">
        <v>0</v>
      </c>
      <c r="BM38" s="1157">
        <v>286335</v>
      </c>
      <c r="BN38" s="1157">
        <v>0</v>
      </c>
      <c r="BO38" s="1157">
        <v>10257</v>
      </c>
      <c r="BP38" s="1157">
        <v>396366</v>
      </c>
      <c r="BQ38" s="1157">
        <v>134449</v>
      </c>
      <c r="BR38" s="1157">
        <v>148878</v>
      </c>
      <c r="BS38" s="1157">
        <v>0</v>
      </c>
      <c r="BT38" s="1157">
        <v>215880</v>
      </c>
      <c r="BU38" s="1157">
        <v>0</v>
      </c>
      <c r="BV38" s="1157">
        <v>11752</v>
      </c>
      <c r="BW38" s="1157">
        <v>63816</v>
      </c>
      <c r="BX38" s="1157">
        <v>0</v>
      </c>
      <c r="BY38" s="1157">
        <v>0</v>
      </c>
      <c r="BZ38" s="1157">
        <v>30253</v>
      </c>
      <c r="CA38" s="1157">
        <v>0</v>
      </c>
      <c r="CB38" s="1157">
        <v>66354</v>
      </c>
      <c r="CC38" s="1148">
        <v>34412</v>
      </c>
      <c r="CD38" s="1148">
        <v>151483</v>
      </c>
      <c r="CE38" s="1148">
        <v>0</v>
      </c>
      <c r="CF38" s="1148">
        <v>7350</v>
      </c>
    </row>
    <row r="39" spans="1:84" s="1148" customFormat="1" x14ac:dyDescent="0.3">
      <c r="A39" s="1153">
        <v>52</v>
      </c>
      <c r="B39" s="1154">
        <v>52</v>
      </c>
      <c r="C39" s="1228">
        <v>52</v>
      </c>
      <c r="D39" s="1146" t="s">
        <v>239</v>
      </c>
      <c r="E39" s="1155" t="s">
        <v>343</v>
      </c>
      <c r="F39" s="1156">
        <v>0</v>
      </c>
      <c r="G39" s="1156">
        <v>0</v>
      </c>
      <c r="H39" s="1156">
        <v>0</v>
      </c>
      <c r="I39" s="1156">
        <v>0</v>
      </c>
      <c r="J39" s="1156">
        <v>0</v>
      </c>
      <c r="K39" s="1156">
        <v>0</v>
      </c>
      <c r="L39" s="1157">
        <v>0</v>
      </c>
      <c r="M39" s="1157">
        <v>0</v>
      </c>
      <c r="N39" s="1157">
        <v>0</v>
      </c>
      <c r="O39" s="1157">
        <v>0</v>
      </c>
      <c r="P39" s="1157">
        <v>0</v>
      </c>
      <c r="Q39" s="1157">
        <v>0</v>
      </c>
      <c r="R39" s="1157">
        <v>0</v>
      </c>
      <c r="S39" s="1157">
        <v>2707353</v>
      </c>
      <c r="T39" s="1157">
        <v>0</v>
      </c>
      <c r="U39" s="1157">
        <v>0</v>
      </c>
      <c r="V39" s="1157">
        <v>0</v>
      </c>
      <c r="W39" s="1157">
        <v>0</v>
      </c>
      <c r="X39" s="1157">
        <v>905701</v>
      </c>
      <c r="Y39" s="1157">
        <v>0</v>
      </c>
      <c r="Z39" s="1157">
        <v>0</v>
      </c>
      <c r="AA39" s="1157">
        <v>0</v>
      </c>
      <c r="AB39" s="1157">
        <v>0</v>
      </c>
      <c r="AC39" s="1157">
        <v>0</v>
      </c>
      <c r="AD39" s="1157">
        <v>0</v>
      </c>
      <c r="AE39" s="1157">
        <v>0</v>
      </c>
      <c r="AF39" s="1157">
        <v>0</v>
      </c>
      <c r="AG39" s="1157">
        <v>0</v>
      </c>
      <c r="AH39" s="1157">
        <v>0</v>
      </c>
      <c r="AI39" s="1157">
        <v>0</v>
      </c>
      <c r="AJ39" s="1157">
        <v>0</v>
      </c>
      <c r="AK39" s="1157">
        <v>2459925</v>
      </c>
      <c r="AL39" s="1157">
        <v>0</v>
      </c>
      <c r="AM39" s="1157">
        <v>0</v>
      </c>
      <c r="AN39" s="1157">
        <v>0</v>
      </c>
      <c r="AO39" s="1157">
        <v>1205488</v>
      </c>
      <c r="AP39" s="1157">
        <v>0</v>
      </c>
      <c r="AQ39" s="1157">
        <v>0</v>
      </c>
      <c r="AR39" s="1157">
        <v>0</v>
      </c>
      <c r="AS39" s="1157">
        <v>0</v>
      </c>
      <c r="AT39" s="1157">
        <v>0</v>
      </c>
      <c r="AU39" s="1157">
        <v>0</v>
      </c>
      <c r="AV39" s="1157">
        <v>0</v>
      </c>
      <c r="AW39" s="1157">
        <v>0</v>
      </c>
      <c r="AX39" s="1157">
        <v>0</v>
      </c>
      <c r="AY39" s="1157">
        <v>0</v>
      </c>
      <c r="AZ39" s="1157">
        <v>0</v>
      </c>
      <c r="BA39" s="1157">
        <v>0</v>
      </c>
      <c r="BB39" s="1157">
        <v>0</v>
      </c>
      <c r="BC39" s="1157">
        <v>0</v>
      </c>
      <c r="BD39" s="1157">
        <v>0</v>
      </c>
      <c r="BE39" s="1157">
        <v>0</v>
      </c>
      <c r="BF39" s="1157">
        <v>0</v>
      </c>
      <c r="BG39" s="1157">
        <v>0</v>
      </c>
      <c r="BH39" s="1157">
        <v>0</v>
      </c>
      <c r="BI39" s="1157">
        <v>0</v>
      </c>
      <c r="BJ39" s="1157">
        <v>0</v>
      </c>
      <c r="BK39" s="1157">
        <v>0</v>
      </c>
      <c r="BL39" s="1157">
        <v>0</v>
      </c>
      <c r="BM39" s="1157">
        <v>0</v>
      </c>
      <c r="BN39" s="1157">
        <v>0</v>
      </c>
      <c r="BO39" s="1157">
        <v>0</v>
      </c>
      <c r="BP39" s="1157">
        <v>0</v>
      </c>
      <c r="BQ39" s="1157">
        <v>0</v>
      </c>
      <c r="BR39" s="1157">
        <v>0</v>
      </c>
      <c r="BS39" s="1157">
        <v>0</v>
      </c>
      <c r="BT39" s="1157">
        <v>82991</v>
      </c>
      <c r="BU39" s="1157">
        <v>556010</v>
      </c>
      <c r="BV39" s="1157">
        <v>0</v>
      </c>
      <c r="BW39" s="1157">
        <v>0</v>
      </c>
      <c r="BX39" s="1157">
        <v>0</v>
      </c>
      <c r="BY39" s="1157">
        <v>0</v>
      </c>
      <c r="BZ39" s="1157">
        <v>0</v>
      </c>
      <c r="CA39" s="1157">
        <v>0</v>
      </c>
      <c r="CB39" s="1157">
        <v>0</v>
      </c>
      <c r="CC39" s="1148">
        <v>0</v>
      </c>
      <c r="CD39" s="1148">
        <v>0</v>
      </c>
      <c r="CE39" s="1148">
        <v>0</v>
      </c>
      <c r="CF39" s="1148">
        <v>0</v>
      </c>
    </row>
    <row r="40" spans="1:84" s="1148" customFormat="1" x14ac:dyDescent="0.3">
      <c r="A40" s="1153">
        <v>53</v>
      </c>
      <c r="B40" s="1154">
        <v>53</v>
      </c>
      <c r="C40" s="1228">
        <v>53</v>
      </c>
      <c r="D40" s="1146" t="s">
        <v>101</v>
      </c>
      <c r="E40" s="1155" t="s">
        <v>344</v>
      </c>
      <c r="F40" s="1156">
        <v>0</v>
      </c>
      <c r="G40" s="1156">
        <v>0</v>
      </c>
      <c r="H40" s="1156">
        <v>0</v>
      </c>
      <c r="I40" s="1156">
        <v>0</v>
      </c>
      <c r="J40" s="1156">
        <v>0</v>
      </c>
      <c r="K40" s="1156">
        <v>0</v>
      </c>
      <c r="L40" s="1157">
        <v>0</v>
      </c>
      <c r="M40" s="1157">
        <v>0</v>
      </c>
      <c r="N40" s="1157">
        <v>0</v>
      </c>
      <c r="O40" s="1157">
        <v>0</v>
      </c>
      <c r="P40" s="1157">
        <v>0</v>
      </c>
      <c r="Q40" s="1157">
        <v>0</v>
      </c>
      <c r="R40" s="1157">
        <v>0</v>
      </c>
      <c r="S40" s="1157">
        <v>14890964</v>
      </c>
      <c r="T40" s="1157">
        <v>0</v>
      </c>
      <c r="U40" s="1157">
        <v>0</v>
      </c>
      <c r="V40" s="1157">
        <v>0</v>
      </c>
      <c r="W40" s="1157">
        <v>0</v>
      </c>
      <c r="X40" s="1157">
        <v>6352132</v>
      </c>
      <c r="Y40" s="1157">
        <v>0</v>
      </c>
      <c r="Z40" s="1157">
        <v>0</v>
      </c>
      <c r="AA40" s="1157">
        <v>0</v>
      </c>
      <c r="AB40" s="1157">
        <v>0</v>
      </c>
      <c r="AC40" s="1157">
        <v>0</v>
      </c>
      <c r="AD40" s="1157">
        <v>0</v>
      </c>
      <c r="AE40" s="1157">
        <v>0</v>
      </c>
      <c r="AF40" s="1157">
        <v>0</v>
      </c>
      <c r="AG40" s="1157">
        <v>0</v>
      </c>
      <c r="AH40" s="1157">
        <v>0</v>
      </c>
      <c r="AI40" s="1157">
        <v>0</v>
      </c>
      <c r="AJ40" s="1157">
        <v>0</v>
      </c>
      <c r="AK40" s="1157">
        <v>-37507</v>
      </c>
      <c r="AL40" s="1157">
        <v>0</v>
      </c>
      <c r="AM40" s="1157">
        <v>0</v>
      </c>
      <c r="AN40" s="1157">
        <v>0</v>
      </c>
      <c r="AO40" s="1157">
        <v>1809148</v>
      </c>
      <c r="AP40" s="1157">
        <v>0</v>
      </c>
      <c r="AQ40" s="1157">
        <v>0</v>
      </c>
      <c r="AR40" s="1157">
        <v>0</v>
      </c>
      <c r="AS40" s="1157">
        <v>0</v>
      </c>
      <c r="AT40" s="1157">
        <v>0</v>
      </c>
      <c r="AU40" s="1157">
        <v>0</v>
      </c>
      <c r="AV40" s="1157">
        <v>0</v>
      </c>
      <c r="AW40" s="1157">
        <v>0</v>
      </c>
      <c r="AX40" s="1157">
        <v>0</v>
      </c>
      <c r="AY40" s="1157">
        <v>0</v>
      </c>
      <c r="AZ40" s="1157">
        <v>0</v>
      </c>
      <c r="BA40" s="1157">
        <v>0</v>
      </c>
      <c r="BB40" s="1157">
        <v>0</v>
      </c>
      <c r="BC40" s="1157">
        <v>0</v>
      </c>
      <c r="BD40" s="1157">
        <v>0</v>
      </c>
      <c r="BE40" s="1157">
        <v>0</v>
      </c>
      <c r="BF40" s="1157">
        <v>0</v>
      </c>
      <c r="BG40" s="1157">
        <v>0</v>
      </c>
      <c r="BH40" s="1157">
        <v>0</v>
      </c>
      <c r="BI40" s="1157">
        <v>0</v>
      </c>
      <c r="BJ40" s="1157">
        <v>0</v>
      </c>
      <c r="BK40" s="1157">
        <v>0</v>
      </c>
      <c r="BL40" s="1157">
        <v>0</v>
      </c>
      <c r="BM40" s="1157">
        <v>0</v>
      </c>
      <c r="BN40" s="1157">
        <v>0</v>
      </c>
      <c r="BO40" s="1157">
        <v>0</v>
      </c>
      <c r="BP40" s="1157">
        <v>0</v>
      </c>
      <c r="BQ40" s="1157">
        <v>0</v>
      </c>
      <c r="BR40" s="1157">
        <v>0</v>
      </c>
      <c r="BS40" s="1157">
        <v>0</v>
      </c>
      <c r="BT40" s="1157">
        <v>162445</v>
      </c>
      <c r="BU40" s="1157">
        <v>2384534</v>
      </c>
      <c r="BV40" s="1157">
        <v>0</v>
      </c>
      <c r="BW40" s="1157">
        <v>0</v>
      </c>
      <c r="BX40" s="1157">
        <v>0</v>
      </c>
      <c r="BY40" s="1157">
        <v>0</v>
      </c>
      <c r="BZ40" s="1157">
        <v>0</v>
      </c>
      <c r="CA40" s="1157">
        <v>0</v>
      </c>
      <c r="CB40" s="1157">
        <v>0</v>
      </c>
      <c r="CC40" s="1148">
        <v>0</v>
      </c>
      <c r="CD40" s="1148">
        <v>0</v>
      </c>
      <c r="CE40" s="1148">
        <v>0</v>
      </c>
      <c r="CF40" s="1148">
        <v>0</v>
      </c>
    </row>
    <row r="41" spans="1:84" s="1148" customFormat="1" x14ac:dyDescent="0.3">
      <c r="A41" s="1146">
        <v>54</v>
      </c>
      <c r="B41" s="1154"/>
      <c r="C41" s="1228">
        <v>54</v>
      </c>
      <c r="D41" s="1146" t="s">
        <v>631</v>
      </c>
      <c r="E41" s="1155" t="s">
        <v>345</v>
      </c>
      <c r="F41" s="1156">
        <v>0</v>
      </c>
      <c r="G41" s="1156">
        <v>0</v>
      </c>
      <c r="H41" s="1156">
        <v>0</v>
      </c>
      <c r="I41" s="1156">
        <v>0</v>
      </c>
      <c r="J41" s="1156">
        <v>0</v>
      </c>
      <c r="K41" s="1156">
        <v>0</v>
      </c>
      <c r="L41" s="1157">
        <v>0</v>
      </c>
      <c r="M41" s="1157">
        <v>0</v>
      </c>
      <c r="N41" s="1157">
        <v>0</v>
      </c>
      <c r="O41" s="1157">
        <v>0</v>
      </c>
      <c r="P41" s="1157">
        <v>0</v>
      </c>
      <c r="Q41" s="1157">
        <v>0</v>
      </c>
      <c r="R41" s="1157">
        <v>0</v>
      </c>
      <c r="S41" s="1157">
        <v>0</v>
      </c>
      <c r="T41" s="1157">
        <v>0</v>
      </c>
      <c r="U41" s="1157">
        <v>0</v>
      </c>
      <c r="V41" s="1157">
        <v>0</v>
      </c>
      <c r="W41" s="1157">
        <v>0</v>
      </c>
      <c r="X41" s="1157">
        <v>0</v>
      </c>
      <c r="Y41" s="1157">
        <v>0</v>
      </c>
      <c r="Z41" s="1157">
        <v>0</v>
      </c>
      <c r="AA41" s="1157">
        <v>0</v>
      </c>
      <c r="AB41" s="1157">
        <v>0</v>
      </c>
      <c r="AC41" s="1157">
        <v>0</v>
      </c>
      <c r="AD41" s="1157">
        <v>0</v>
      </c>
      <c r="AE41" s="1157">
        <v>0</v>
      </c>
      <c r="AF41" s="1157">
        <v>0</v>
      </c>
      <c r="AG41" s="1157">
        <v>0</v>
      </c>
      <c r="AH41" s="1157">
        <v>0</v>
      </c>
      <c r="AI41" s="1157">
        <v>0</v>
      </c>
      <c r="AJ41" s="1157">
        <v>0</v>
      </c>
      <c r="AK41" s="1157">
        <v>0</v>
      </c>
      <c r="AL41" s="1157">
        <v>0</v>
      </c>
      <c r="AM41" s="1157">
        <v>0</v>
      </c>
      <c r="AN41" s="1157">
        <v>0</v>
      </c>
      <c r="AO41" s="1157">
        <v>0</v>
      </c>
      <c r="AP41" s="1157">
        <v>0</v>
      </c>
      <c r="AQ41" s="1157">
        <v>0</v>
      </c>
      <c r="AR41" s="1157">
        <v>0</v>
      </c>
      <c r="AS41" s="1157">
        <v>0</v>
      </c>
      <c r="AT41" s="1157">
        <v>0</v>
      </c>
      <c r="AU41" s="1157">
        <v>0</v>
      </c>
      <c r="AV41" s="1157">
        <v>0</v>
      </c>
      <c r="AW41" s="1157">
        <v>0</v>
      </c>
      <c r="AX41" s="1157">
        <v>0</v>
      </c>
      <c r="AY41" s="1157">
        <v>0</v>
      </c>
      <c r="AZ41" s="1157">
        <v>0</v>
      </c>
      <c r="BA41" s="1157">
        <v>0</v>
      </c>
      <c r="BB41" s="1157">
        <v>0</v>
      </c>
      <c r="BC41" s="1157">
        <v>0</v>
      </c>
      <c r="BD41" s="1157">
        <v>0</v>
      </c>
      <c r="BE41" s="1157">
        <v>0</v>
      </c>
      <c r="BF41" s="1157">
        <v>0</v>
      </c>
      <c r="BG41" s="1157">
        <v>0</v>
      </c>
      <c r="BH41" s="1157">
        <v>0</v>
      </c>
      <c r="BI41" s="1157">
        <v>0</v>
      </c>
      <c r="BJ41" s="1157">
        <v>0</v>
      </c>
      <c r="BK41" s="1157">
        <v>0</v>
      </c>
      <c r="BL41" s="1157">
        <v>0</v>
      </c>
      <c r="BM41" s="1157">
        <v>0</v>
      </c>
      <c r="BN41" s="1157">
        <v>0</v>
      </c>
      <c r="BO41" s="1157">
        <v>0</v>
      </c>
      <c r="BP41" s="1157">
        <v>0</v>
      </c>
      <c r="BQ41" s="1157">
        <v>0</v>
      </c>
      <c r="BR41" s="1157">
        <v>0</v>
      </c>
      <c r="BS41" s="1157">
        <v>0</v>
      </c>
      <c r="BT41" s="1157">
        <v>0</v>
      </c>
      <c r="BU41" s="1157">
        <v>0</v>
      </c>
      <c r="BV41" s="1157">
        <v>0</v>
      </c>
      <c r="BW41" s="1157">
        <v>0</v>
      </c>
      <c r="BX41" s="1157">
        <v>0</v>
      </c>
      <c r="BY41" s="1157">
        <v>0</v>
      </c>
      <c r="BZ41" s="1157">
        <v>0</v>
      </c>
      <c r="CA41" s="1157">
        <v>0</v>
      </c>
      <c r="CB41" s="1157">
        <v>0</v>
      </c>
      <c r="CC41" s="1148">
        <v>0</v>
      </c>
      <c r="CD41" s="1148">
        <v>0</v>
      </c>
      <c r="CE41" s="1148">
        <v>0</v>
      </c>
      <c r="CF41" s="1148">
        <v>0</v>
      </c>
    </row>
    <row r="42" spans="1:84" s="1148" customFormat="1" x14ac:dyDescent="0.3">
      <c r="A42" s="1153">
        <v>55</v>
      </c>
      <c r="B42" s="1154">
        <v>55</v>
      </c>
      <c r="C42" s="1228">
        <v>55</v>
      </c>
      <c r="D42" s="1146" t="s">
        <v>249</v>
      </c>
      <c r="E42" s="1155" t="s">
        <v>346</v>
      </c>
      <c r="F42" s="1156">
        <v>0</v>
      </c>
      <c r="G42" s="1156">
        <v>0</v>
      </c>
      <c r="H42" s="1156">
        <v>0</v>
      </c>
      <c r="I42" s="1156">
        <v>0</v>
      </c>
      <c r="J42" s="1156">
        <v>0</v>
      </c>
      <c r="K42" s="1156">
        <v>0</v>
      </c>
      <c r="L42" s="1157">
        <v>0</v>
      </c>
      <c r="M42" s="1157">
        <v>0</v>
      </c>
      <c r="N42" s="1157">
        <v>0</v>
      </c>
      <c r="O42" s="1157">
        <v>0</v>
      </c>
      <c r="P42" s="1157">
        <v>0</v>
      </c>
      <c r="Q42" s="1157">
        <v>0</v>
      </c>
      <c r="R42" s="1157">
        <v>0</v>
      </c>
      <c r="S42" s="1157">
        <v>9459165</v>
      </c>
      <c r="T42" s="1157">
        <v>0</v>
      </c>
      <c r="U42" s="1157">
        <v>0</v>
      </c>
      <c r="V42" s="1157">
        <v>0</v>
      </c>
      <c r="W42" s="1157">
        <v>0</v>
      </c>
      <c r="X42" s="1157">
        <v>8510058</v>
      </c>
      <c r="Y42" s="1157">
        <v>0</v>
      </c>
      <c r="Z42" s="1157">
        <v>0</v>
      </c>
      <c r="AA42" s="1157">
        <v>0</v>
      </c>
      <c r="AB42" s="1157">
        <v>0</v>
      </c>
      <c r="AC42" s="1157">
        <v>0</v>
      </c>
      <c r="AD42" s="1157">
        <v>0</v>
      </c>
      <c r="AE42" s="1157">
        <v>0</v>
      </c>
      <c r="AF42" s="1157">
        <v>0</v>
      </c>
      <c r="AG42" s="1157">
        <v>0</v>
      </c>
      <c r="AH42" s="1157">
        <v>0</v>
      </c>
      <c r="AI42" s="1157">
        <v>0</v>
      </c>
      <c r="AJ42" s="1157">
        <v>0</v>
      </c>
      <c r="AK42" s="1157">
        <v>4898057</v>
      </c>
      <c r="AL42" s="1157">
        <v>0</v>
      </c>
      <c r="AM42" s="1157">
        <v>0</v>
      </c>
      <c r="AN42" s="1157">
        <v>0</v>
      </c>
      <c r="AO42" s="1157">
        <v>1211670</v>
      </c>
      <c r="AP42" s="1157">
        <v>0</v>
      </c>
      <c r="AQ42" s="1157">
        <v>0</v>
      </c>
      <c r="AR42" s="1157">
        <v>0</v>
      </c>
      <c r="AS42" s="1157">
        <v>0</v>
      </c>
      <c r="AT42" s="1157">
        <v>0</v>
      </c>
      <c r="AU42" s="1157">
        <v>0</v>
      </c>
      <c r="AV42" s="1157">
        <v>0</v>
      </c>
      <c r="AW42" s="1157">
        <v>0</v>
      </c>
      <c r="AX42" s="1157">
        <v>0</v>
      </c>
      <c r="AY42" s="1157">
        <v>0</v>
      </c>
      <c r="AZ42" s="1157">
        <v>0</v>
      </c>
      <c r="BA42" s="1157">
        <v>0</v>
      </c>
      <c r="BB42" s="1157">
        <v>0</v>
      </c>
      <c r="BC42" s="1157">
        <v>0</v>
      </c>
      <c r="BD42" s="1157">
        <v>0</v>
      </c>
      <c r="BE42" s="1157">
        <v>0</v>
      </c>
      <c r="BF42" s="1157">
        <v>0</v>
      </c>
      <c r="BG42" s="1157">
        <v>0</v>
      </c>
      <c r="BH42" s="1157">
        <v>0</v>
      </c>
      <c r="BI42" s="1157">
        <v>0</v>
      </c>
      <c r="BJ42" s="1157">
        <v>0</v>
      </c>
      <c r="BK42" s="1157">
        <v>0</v>
      </c>
      <c r="BL42" s="1157">
        <v>0</v>
      </c>
      <c r="BM42" s="1157">
        <v>0</v>
      </c>
      <c r="BN42" s="1157">
        <v>0</v>
      </c>
      <c r="BO42" s="1157">
        <v>0</v>
      </c>
      <c r="BP42" s="1157">
        <v>0</v>
      </c>
      <c r="BQ42" s="1157">
        <v>0</v>
      </c>
      <c r="BR42" s="1157">
        <v>0</v>
      </c>
      <c r="BS42" s="1157">
        <v>0</v>
      </c>
      <c r="BT42" s="1157">
        <v>486797</v>
      </c>
      <c r="BU42" s="1157">
        <v>1325664</v>
      </c>
      <c r="BV42" s="1157">
        <v>0</v>
      </c>
      <c r="BW42" s="1157">
        <v>0</v>
      </c>
      <c r="BX42" s="1157">
        <v>0</v>
      </c>
      <c r="BY42" s="1157">
        <v>0</v>
      </c>
      <c r="BZ42" s="1157">
        <v>0</v>
      </c>
      <c r="CA42" s="1157">
        <v>0</v>
      </c>
      <c r="CB42" s="1157">
        <v>0</v>
      </c>
      <c r="CC42" s="1148">
        <v>0</v>
      </c>
      <c r="CD42" s="1148">
        <v>0</v>
      </c>
      <c r="CE42" s="1148">
        <v>0</v>
      </c>
      <c r="CF42" s="1148">
        <v>0</v>
      </c>
    </row>
    <row r="43" spans="1:84" s="1163" customFormat="1" x14ac:dyDescent="0.3">
      <c r="A43" s="1153">
        <v>61</v>
      </c>
      <c r="B43" s="1154">
        <v>61</v>
      </c>
      <c r="C43" s="1228">
        <v>61</v>
      </c>
      <c r="D43" s="1146" t="s">
        <v>268</v>
      </c>
      <c r="E43" s="1160" t="s">
        <v>347</v>
      </c>
      <c r="F43" s="1161">
        <v>0</v>
      </c>
      <c r="G43" s="1161">
        <v>98.54</v>
      </c>
      <c r="H43" s="1161">
        <v>98.39</v>
      </c>
      <c r="I43" s="1161">
        <v>97.44</v>
      </c>
      <c r="J43" s="1161">
        <v>97.69</v>
      </c>
      <c r="K43" s="1161">
        <v>98.97</v>
      </c>
      <c r="L43" s="1162">
        <v>96.67</v>
      </c>
      <c r="M43" s="1162">
        <v>99.41</v>
      </c>
      <c r="N43" s="1162">
        <v>97.94</v>
      </c>
      <c r="O43" s="1162">
        <v>99.1</v>
      </c>
      <c r="P43" s="1162">
        <v>96.46</v>
      </c>
      <c r="Q43" s="1162">
        <v>99.06</v>
      </c>
      <c r="R43" s="1162">
        <v>99.47</v>
      </c>
      <c r="S43" s="1162">
        <v>99.18</v>
      </c>
      <c r="T43" s="1162">
        <v>0</v>
      </c>
      <c r="U43" s="1162">
        <v>0</v>
      </c>
      <c r="V43" s="1162">
        <v>99.32</v>
      </c>
      <c r="W43" s="1162">
        <v>98.65</v>
      </c>
      <c r="X43" s="1162">
        <v>98.06</v>
      </c>
      <c r="Y43" s="1162">
        <v>99.65</v>
      </c>
      <c r="Z43" s="1162">
        <v>81.739999999999995</v>
      </c>
      <c r="AA43" s="1162">
        <v>98.5</v>
      </c>
      <c r="AB43" s="1162">
        <v>94.43</v>
      </c>
      <c r="AC43" s="1162">
        <v>99.07</v>
      </c>
      <c r="AD43" s="1162">
        <v>97.23</v>
      </c>
      <c r="AE43" s="1162">
        <v>99.66</v>
      </c>
      <c r="AF43" s="1162">
        <v>96.07</v>
      </c>
      <c r="AG43" s="1162">
        <v>93.46</v>
      </c>
      <c r="AH43" s="1162">
        <v>99.87</v>
      </c>
      <c r="AI43" s="1162">
        <v>98.21</v>
      </c>
      <c r="AJ43" s="1162">
        <v>93.87</v>
      </c>
      <c r="AK43" s="1162">
        <v>99.07</v>
      </c>
      <c r="AL43" s="1162">
        <v>99.8</v>
      </c>
      <c r="AM43" s="1162">
        <v>92.71</v>
      </c>
      <c r="AN43" s="1162">
        <v>0</v>
      </c>
      <c r="AO43" s="1162">
        <v>98.14</v>
      </c>
      <c r="AP43" s="1162">
        <v>0</v>
      </c>
      <c r="AQ43" s="1162">
        <v>94.48</v>
      </c>
      <c r="AR43" s="1162">
        <v>0</v>
      </c>
      <c r="AS43" s="1162">
        <v>99.16</v>
      </c>
      <c r="AT43" s="1162">
        <v>96.92</v>
      </c>
      <c r="AU43" s="1162">
        <v>92.8</v>
      </c>
      <c r="AV43" s="1162">
        <v>97.78</v>
      </c>
      <c r="AW43" s="1162">
        <v>0</v>
      </c>
      <c r="AX43" s="1162">
        <v>99.05</v>
      </c>
      <c r="AY43" s="1162">
        <v>99.49</v>
      </c>
      <c r="AZ43" s="1162">
        <v>97.37</v>
      </c>
      <c r="BA43" s="1162">
        <v>96.53</v>
      </c>
      <c r="BB43" s="1162">
        <v>99.39</v>
      </c>
      <c r="BC43" s="1162">
        <v>95.95</v>
      </c>
      <c r="BD43" s="1162">
        <v>0</v>
      </c>
      <c r="BE43" s="1162">
        <v>98.17</v>
      </c>
      <c r="BF43" s="1162">
        <v>98.22</v>
      </c>
      <c r="BG43" s="1162">
        <v>98.38</v>
      </c>
      <c r="BH43" s="1162">
        <v>93.66</v>
      </c>
      <c r="BI43" s="1162">
        <v>78.77</v>
      </c>
      <c r="BJ43" s="1162">
        <v>98.13</v>
      </c>
      <c r="BK43" s="1162">
        <v>93.91</v>
      </c>
      <c r="BL43" s="1162">
        <v>96.94</v>
      </c>
      <c r="BM43" s="1162">
        <v>93.4</v>
      </c>
      <c r="BN43" s="1162">
        <v>0</v>
      </c>
      <c r="BO43" s="1162">
        <v>98.11</v>
      </c>
      <c r="BP43" s="1162">
        <v>99.91</v>
      </c>
      <c r="BQ43" s="1162">
        <v>99.74</v>
      </c>
      <c r="BR43" s="1162">
        <v>99.66</v>
      </c>
      <c r="BS43" s="1162">
        <v>99.92</v>
      </c>
      <c r="BT43" s="1162">
        <v>91.49</v>
      </c>
      <c r="BU43" s="1162">
        <v>98.81</v>
      </c>
      <c r="BV43" s="1162">
        <v>96.26</v>
      </c>
      <c r="BW43" s="1162">
        <v>98.62</v>
      </c>
      <c r="BX43" s="1162">
        <v>98.85</v>
      </c>
      <c r="BY43" s="1162">
        <v>0</v>
      </c>
      <c r="BZ43" s="1162">
        <v>93.03</v>
      </c>
      <c r="CA43" s="1162">
        <v>99.67</v>
      </c>
      <c r="CB43" s="1162">
        <v>93.53</v>
      </c>
      <c r="CC43" s="1163">
        <v>97.9</v>
      </c>
      <c r="CD43" s="1163">
        <v>99.08</v>
      </c>
      <c r="CE43" s="1163">
        <v>0</v>
      </c>
      <c r="CF43" s="1163">
        <v>97.19</v>
      </c>
    </row>
    <row r="44" spans="1:84" s="1148" customFormat="1" x14ac:dyDescent="0.3">
      <c r="A44" s="1159">
        <v>80</v>
      </c>
      <c r="B44" s="1154">
        <v>80</v>
      </c>
      <c r="C44" s="1228">
        <v>80</v>
      </c>
      <c r="D44" s="1146" t="s">
        <v>218</v>
      </c>
      <c r="E44" s="1155" t="s">
        <v>348</v>
      </c>
      <c r="F44" s="1156">
        <v>0</v>
      </c>
      <c r="G44" s="1156">
        <v>0</v>
      </c>
      <c r="H44" s="1156">
        <v>643895</v>
      </c>
      <c r="I44" s="1156">
        <v>0</v>
      </c>
      <c r="J44" s="1156">
        <v>0</v>
      </c>
      <c r="K44" s="1156">
        <v>0</v>
      </c>
      <c r="L44" s="1157">
        <v>0</v>
      </c>
      <c r="M44" s="1157">
        <v>0</v>
      </c>
      <c r="N44" s="1157">
        <v>0</v>
      </c>
      <c r="O44" s="1157">
        <v>0</v>
      </c>
      <c r="P44" s="1157">
        <v>0</v>
      </c>
      <c r="Q44" s="1157">
        <v>684974</v>
      </c>
      <c r="R44" s="1157">
        <v>0</v>
      </c>
      <c r="S44" s="1157">
        <v>44915286</v>
      </c>
      <c r="T44" s="1157">
        <v>0</v>
      </c>
      <c r="U44" s="1157">
        <v>0</v>
      </c>
      <c r="V44" s="1157">
        <v>40620154</v>
      </c>
      <c r="W44" s="1157">
        <v>7244381</v>
      </c>
      <c r="X44" s="1157">
        <v>15888265</v>
      </c>
      <c r="Y44" s="1157">
        <v>0</v>
      </c>
      <c r="Z44" s="1157">
        <v>310556</v>
      </c>
      <c r="AA44" s="1157">
        <v>3915611</v>
      </c>
      <c r="AB44" s="1157">
        <v>1326587</v>
      </c>
      <c r="AC44" s="1157">
        <v>13433836</v>
      </c>
      <c r="AD44" s="1157">
        <v>709224</v>
      </c>
      <c r="AE44" s="1157">
        <v>817853</v>
      </c>
      <c r="AF44" s="1157">
        <v>621929</v>
      </c>
      <c r="AG44" s="1157">
        <v>1976277</v>
      </c>
      <c r="AH44" s="1157">
        <v>2970073</v>
      </c>
      <c r="AI44" s="1157">
        <v>1758968</v>
      </c>
      <c r="AJ44" s="1157">
        <v>118201</v>
      </c>
      <c r="AK44" s="1157">
        <v>18357569</v>
      </c>
      <c r="AL44" s="1157">
        <v>709657</v>
      </c>
      <c r="AM44" s="1157">
        <v>357007</v>
      </c>
      <c r="AN44" s="1157">
        <v>0</v>
      </c>
      <c r="AO44" s="1157">
        <v>2586774</v>
      </c>
      <c r="AP44" s="1157">
        <v>0</v>
      </c>
      <c r="AQ44" s="1157">
        <v>27278</v>
      </c>
      <c r="AR44" s="1157">
        <v>0</v>
      </c>
      <c r="AS44" s="1157">
        <v>0</v>
      </c>
      <c r="AT44" s="1157">
        <v>4048499</v>
      </c>
      <c r="AU44" s="1157">
        <v>0</v>
      </c>
      <c r="AV44" s="1157">
        <v>497507</v>
      </c>
      <c r="AW44" s="1157">
        <v>0</v>
      </c>
      <c r="AX44" s="1157">
        <v>30933426</v>
      </c>
      <c r="AY44" s="1157">
        <v>0</v>
      </c>
      <c r="AZ44" s="1157">
        <v>1734184</v>
      </c>
      <c r="BA44" s="1157">
        <v>4982928</v>
      </c>
      <c r="BB44" s="1157">
        <v>877992</v>
      </c>
      <c r="BC44" s="1157">
        <v>166851</v>
      </c>
      <c r="BD44" s="1157">
        <v>0</v>
      </c>
      <c r="BE44" s="1157">
        <v>184704</v>
      </c>
      <c r="BF44" s="1157">
        <v>12188520</v>
      </c>
      <c r="BG44" s="1157">
        <v>0</v>
      </c>
      <c r="BH44" s="1157">
        <v>139873</v>
      </c>
      <c r="BI44" s="1157">
        <v>87129</v>
      </c>
      <c r="BJ44" s="1157">
        <v>0</v>
      </c>
      <c r="BK44" s="1157">
        <v>249833</v>
      </c>
      <c r="BL44" s="1157">
        <v>0</v>
      </c>
      <c r="BM44" s="1157">
        <v>2898973</v>
      </c>
      <c r="BN44" s="1157">
        <v>0</v>
      </c>
      <c r="BO44" s="1157">
        <v>116274</v>
      </c>
      <c r="BP44" s="1157">
        <v>878856</v>
      </c>
      <c r="BQ44" s="1157">
        <v>567025</v>
      </c>
      <c r="BR44" s="1157">
        <v>957950</v>
      </c>
      <c r="BS44" s="1157">
        <v>0</v>
      </c>
      <c r="BT44" s="1157">
        <v>171474</v>
      </c>
      <c r="BU44" s="1157">
        <v>0</v>
      </c>
      <c r="BV44" s="1157">
        <v>545410</v>
      </c>
      <c r="BW44" s="1157">
        <v>4347966</v>
      </c>
      <c r="BX44" s="1157">
        <v>0</v>
      </c>
      <c r="BY44" s="1157">
        <v>0</v>
      </c>
      <c r="BZ44" s="1157">
        <v>1180018</v>
      </c>
      <c r="CA44" s="1157">
        <v>3129</v>
      </c>
      <c r="CB44" s="1157">
        <v>241980</v>
      </c>
      <c r="CC44" s="1148">
        <v>15546</v>
      </c>
      <c r="CD44" s="1148">
        <v>278536</v>
      </c>
      <c r="CE44" s="1148">
        <v>0</v>
      </c>
      <c r="CF44" s="1148">
        <v>3472</v>
      </c>
    </row>
    <row r="45" spans="1:84" s="1148" customFormat="1" x14ac:dyDescent="0.3">
      <c r="A45" s="1159">
        <v>81</v>
      </c>
      <c r="B45" s="1154">
        <v>81</v>
      </c>
      <c r="C45" s="1228">
        <v>81</v>
      </c>
      <c r="D45" s="1146" t="s">
        <v>219</v>
      </c>
      <c r="E45" s="1155" t="s">
        <v>349</v>
      </c>
      <c r="F45" s="1156">
        <v>0</v>
      </c>
      <c r="G45" s="1156">
        <v>0</v>
      </c>
      <c r="H45" s="1156">
        <v>44908</v>
      </c>
      <c r="I45" s="1156">
        <v>0</v>
      </c>
      <c r="J45" s="1156">
        <v>0</v>
      </c>
      <c r="K45" s="1156">
        <v>0</v>
      </c>
      <c r="L45" s="1157">
        <v>32080</v>
      </c>
      <c r="M45" s="1157">
        <v>0</v>
      </c>
      <c r="N45" s="1157">
        <v>0</v>
      </c>
      <c r="O45" s="1157">
        <v>0</v>
      </c>
      <c r="P45" s="1157">
        <v>0</v>
      </c>
      <c r="Q45" s="1157">
        <v>292663</v>
      </c>
      <c r="R45" s="1157">
        <v>0</v>
      </c>
      <c r="S45" s="1157">
        <v>2307653</v>
      </c>
      <c r="T45" s="1157">
        <v>0</v>
      </c>
      <c r="U45" s="1157">
        <v>0</v>
      </c>
      <c r="V45" s="1157">
        <v>4143522</v>
      </c>
      <c r="W45" s="1157">
        <v>1472344</v>
      </c>
      <c r="X45" s="1157">
        <v>1032606</v>
      </c>
      <c r="Y45" s="1157">
        <v>0</v>
      </c>
      <c r="Z45" s="1157">
        <v>15973</v>
      </c>
      <c r="AA45" s="1157">
        <v>795676</v>
      </c>
      <c r="AB45" s="1157">
        <v>99401</v>
      </c>
      <c r="AC45" s="1157">
        <v>1083014</v>
      </c>
      <c r="AD45" s="1157">
        <v>320190</v>
      </c>
      <c r="AE45" s="1157">
        <v>132393</v>
      </c>
      <c r="AF45" s="1157">
        <v>164457</v>
      </c>
      <c r="AG45" s="1157">
        <v>155752</v>
      </c>
      <c r="AH45" s="1157">
        <v>564097</v>
      </c>
      <c r="AI45" s="1157">
        <v>252071</v>
      </c>
      <c r="AJ45" s="1157">
        <v>94546</v>
      </c>
      <c r="AK45" s="1157">
        <v>2643670</v>
      </c>
      <c r="AL45" s="1157">
        <v>19839</v>
      </c>
      <c r="AM45" s="1157">
        <v>47860</v>
      </c>
      <c r="AN45" s="1157">
        <v>0</v>
      </c>
      <c r="AO45" s="1157">
        <v>973811</v>
      </c>
      <c r="AP45" s="1157">
        <v>0</v>
      </c>
      <c r="AQ45" s="1157">
        <v>77886</v>
      </c>
      <c r="AR45" s="1157">
        <v>0</v>
      </c>
      <c r="AS45" s="1157">
        <v>0</v>
      </c>
      <c r="AT45" s="1157">
        <v>393949</v>
      </c>
      <c r="AU45" s="1157">
        <v>0</v>
      </c>
      <c r="AV45" s="1157">
        <v>186937</v>
      </c>
      <c r="AW45" s="1157">
        <v>0</v>
      </c>
      <c r="AX45" s="1157">
        <v>2774994</v>
      </c>
      <c r="AY45" s="1157">
        <v>0</v>
      </c>
      <c r="AZ45" s="1157">
        <v>113930</v>
      </c>
      <c r="BA45" s="1157">
        <v>639012</v>
      </c>
      <c r="BB45" s="1157">
        <v>31710</v>
      </c>
      <c r="BC45" s="1157">
        <v>32857</v>
      </c>
      <c r="BD45" s="1157">
        <v>0</v>
      </c>
      <c r="BE45" s="1157">
        <v>11795</v>
      </c>
      <c r="BF45" s="1157">
        <v>1432963</v>
      </c>
      <c r="BG45" s="1157">
        <v>0</v>
      </c>
      <c r="BH45" s="1157">
        <v>36811</v>
      </c>
      <c r="BI45" s="1157">
        <v>3297</v>
      </c>
      <c r="BJ45" s="1157">
        <v>0</v>
      </c>
      <c r="BK45" s="1157">
        <v>18730</v>
      </c>
      <c r="BL45" s="1157">
        <v>0</v>
      </c>
      <c r="BM45" s="1157">
        <v>123403</v>
      </c>
      <c r="BN45" s="1157">
        <v>0</v>
      </c>
      <c r="BO45" s="1157">
        <v>160494</v>
      </c>
      <c r="BP45" s="1157">
        <v>194142</v>
      </c>
      <c r="BQ45" s="1157">
        <v>99910</v>
      </c>
      <c r="BR45" s="1157">
        <v>15659</v>
      </c>
      <c r="BS45" s="1157">
        <v>0</v>
      </c>
      <c r="BT45" s="1157">
        <v>107787</v>
      </c>
      <c r="BU45" s="1157">
        <v>0</v>
      </c>
      <c r="BV45" s="1157">
        <v>72139</v>
      </c>
      <c r="BW45" s="1157">
        <v>368049</v>
      </c>
      <c r="BX45" s="1157">
        <v>0</v>
      </c>
      <c r="BY45" s="1157">
        <v>0</v>
      </c>
      <c r="BZ45" s="1157">
        <v>37161</v>
      </c>
      <c r="CA45" s="1157">
        <v>810</v>
      </c>
      <c r="CB45" s="1157">
        <v>19770</v>
      </c>
      <c r="CC45" s="1148">
        <v>14573</v>
      </c>
      <c r="CD45" s="1148">
        <v>101403</v>
      </c>
      <c r="CE45" s="1148">
        <v>0</v>
      </c>
      <c r="CF45" s="1148">
        <v>1942</v>
      </c>
    </row>
    <row r="46" spans="1:84" s="1148" customFormat="1" x14ac:dyDescent="0.3">
      <c r="A46" s="1159">
        <v>82</v>
      </c>
      <c r="B46" s="1154">
        <v>82</v>
      </c>
      <c r="C46" s="1228">
        <v>82</v>
      </c>
      <c r="D46" s="1146" t="s">
        <v>554</v>
      </c>
      <c r="E46" s="1155" t="s">
        <v>350</v>
      </c>
      <c r="F46" s="1156">
        <v>0</v>
      </c>
      <c r="G46" s="1156">
        <v>0</v>
      </c>
      <c r="H46" s="1156">
        <v>29436</v>
      </c>
      <c r="I46" s="1156">
        <v>0</v>
      </c>
      <c r="J46" s="1156">
        <v>0</v>
      </c>
      <c r="K46" s="1156">
        <v>0</v>
      </c>
      <c r="L46" s="1157">
        <v>420000</v>
      </c>
      <c r="M46" s="1157">
        <v>0</v>
      </c>
      <c r="N46" s="1157">
        <v>0</v>
      </c>
      <c r="O46" s="1157">
        <v>0</v>
      </c>
      <c r="P46" s="1157">
        <v>0</v>
      </c>
      <c r="Q46" s="1157">
        <v>0</v>
      </c>
      <c r="R46" s="1157">
        <v>0</v>
      </c>
      <c r="S46" s="1157">
        <v>22860002</v>
      </c>
      <c r="T46" s="1157">
        <v>0</v>
      </c>
      <c r="U46" s="1157">
        <v>0</v>
      </c>
      <c r="V46" s="1157">
        <v>51963785</v>
      </c>
      <c r="W46" s="1157">
        <v>15496500</v>
      </c>
      <c r="X46" s="1157">
        <v>16258896</v>
      </c>
      <c r="Y46" s="1157">
        <v>0</v>
      </c>
      <c r="Z46" s="1157">
        <v>0</v>
      </c>
      <c r="AA46" s="1157">
        <v>6509756</v>
      </c>
      <c r="AB46" s="1157">
        <v>3366018</v>
      </c>
      <c r="AC46" s="1157">
        <v>3385313</v>
      </c>
      <c r="AD46" s="1157">
        <v>7354921</v>
      </c>
      <c r="AE46" s="1157">
        <v>598227</v>
      </c>
      <c r="AF46" s="1157">
        <v>1757597</v>
      </c>
      <c r="AG46" s="1157">
        <v>1083738</v>
      </c>
      <c r="AH46" s="1157">
        <v>59945</v>
      </c>
      <c r="AI46" s="1157">
        <v>171100</v>
      </c>
      <c r="AJ46" s="1157">
        <v>437960</v>
      </c>
      <c r="AK46" s="1157">
        <v>27090062</v>
      </c>
      <c r="AL46" s="1157">
        <v>0</v>
      </c>
      <c r="AM46" s="1157">
        <v>822600</v>
      </c>
      <c r="AN46" s="1157">
        <v>0</v>
      </c>
      <c r="AO46" s="1157">
        <v>8318412</v>
      </c>
      <c r="AP46" s="1157">
        <v>0</v>
      </c>
      <c r="AQ46" s="1157">
        <v>1634615</v>
      </c>
      <c r="AR46" s="1157">
        <v>0</v>
      </c>
      <c r="AS46" s="1157">
        <v>0</v>
      </c>
      <c r="AT46" s="1157">
        <v>914388</v>
      </c>
      <c r="AU46" s="1157">
        <v>0</v>
      </c>
      <c r="AV46" s="1157">
        <v>1809065</v>
      </c>
      <c r="AW46" s="1157">
        <v>0</v>
      </c>
      <c r="AX46" s="1157">
        <v>82697563</v>
      </c>
      <c r="AY46" s="1157">
        <v>0</v>
      </c>
      <c r="AZ46" s="1157">
        <v>914810</v>
      </c>
      <c r="BA46" s="1157">
        <v>0</v>
      </c>
      <c r="BB46" s="1157">
        <v>713500</v>
      </c>
      <c r="BC46" s="1157">
        <v>0</v>
      </c>
      <c r="BD46" s="1157">
        <v>0</v>
      </c>
      <c r="BE46" s="1157">
        <v>0</v>
      </c>
      <c r="BF46" s="1157">
        <v>17646779</v>
      </c>
      <c r="BG46" s="1157">
        <v>0</v>
      </c>
      <c r="BH46" s="1157">
        <v>466743</v>
      </c>
      <c r="BI46" s="1157">
        <v>0</v>
      </c>
      <c r="BJ46" s="1157">
        <v>0</v>
      </c>
      <c r="BK46" s="1157">
        <v>77804</v>
      </c>
      <c r="BL46" s="1157">
        <v>0</v>
      </c>
      <c r="BM46" s="1157">
        <v>1109709</v>
      </c>
      <c r="BN46" s="1157">
        <v>0</v>
      </c>
      <c r="BO46" s="1157">
        <v>466766</v>
      </c>
      <c r="BP46" s="1157">
        <v>2561000</v>
      </c>
      <c r="BQ46" s="1157">
        <v>928698</v>
      </c>
      <c r="BR46" s="1157">
        <v>0</v>
      </c>
      <c r="BS46" s="1157">
        <v>0</v>
      </c>
      <c r="BT46" s="1157">
        <v>701144</v>
      </c>
      <c r="BU46" s="1157">
        <v>0</v>
      </c>
      <c r="BV46" s="1157">
        <v>992656</v>
      </c>
      <c r="BW46" s="1157">
        <v>1394394</v>
      </c>
      <c r="BX46" s="1157">
        <v>0</v>
      </c>
      <c r="BY46" s="1157">
        <v>0</v>
      </c>
      <c r="BZ46" s="1157">
        <v>0</v>
      </c>
      <c r="CA46" s="1157">
        <v>0</v>
      </c>
      <c r="CB46" s="1157">
        <v>589326</v>
      </c>
      <c r="CC46" s="1148">
        <v>394000</v>
      </c>
      <c r="CD46" s="1148">
        <v>1136724</v>
      </c>
      <c r="CE46" s="1148">
        <v>0</v>
      </c>
      <c r="CF46" s="1148">
        <v>0</v>
      </c>
    </row>
    <row r="47" spans="1:84" s="1148" customFormat="1" x14ac:dyDescent="0.3">
      <c r="A47" s="1159">
        <v>83</v>
      </c>
      <c r="B47" s="1154">
        <v>83</v>
      </c>
      <c r="C47" s="1228">
        <v>83</v>
      </c>
      <c r="D47" s="1146" t="s">
        <v>102</v>
      </c>
      <c r="E47" s="1155" t="s">
        <v>351</v>
      </c>
      <c r="F47" s="1156">
        <v>0</v>
      </c>
      <c r="G47" s="1156">
        <v>0</v>
      </c>
      <c r="H47" s="1156">
        <v>4063803</v>
      </c>
      <c r="I47" s="1156">
        <v>0</v>
      </c>
      <c r="J47" s="1156">
        <v>0</v>
      </c>
      <c r="K47" s="1156">
        <v>0</v>
      </c>
      <c r="L47" s="1157">
        <v>2018418</v>
      </c>
      <c r="M47" s="1157">
        <v>0</v>
      </c>
      <c r="N47" s="1157">
        <v>0</v>
      </c>
      <c r="O47" s="1157">
        <v>0</v>
      </c>
      <c r="P47" s="1157">
        <v>0</v>
      </c>
      <c r="Q47" s="1157">
        <v>13489160</v>
      </c>
      <c r="R47" s="1157">
        <v>0</v>
      </c>
      <c r="S47" s="1157">
        <v>113802915</v>
      </c>
      <c r="T47" s="1157">
        <v>0</v>
      </c>
      <c r="U47" s="1157">
        <v>0</v>
      </c>
      <c r="V47" s="1157">
        <v>137756587</v>
      </c>
      <c r="W47" s="1157">
        <v>45667396</v>
      </c>
      <c r="X47" s="1157">
        <v>60647339</v>
      </c>
      <c r="Y47" s="1157">
        <v>0</v>
      </c>
      <c r="Z47" s="1157">
        <v>3419057</v>
      </c>
      <c r="AA47" s="1157">
        <v>38268706</v>
      </c>
      <c r="AB47" s="1157">
        <v>10062905</v>
      </c>
      <c r="AC47" s="1157">
        <v>32886848</v>
      </c>
      <c r="AD47" s="1157">
        <v>18065814</v>
      </c>
      <c r="AE47" s="1157">
        <v>3681971</v>
      </c>
      <c r="AF47" s="1157">
        <v>5163072</v>
      </c>
      <c r="AG47" s="1157">
        <v>13610300</v>
      </c>
      <c r="AH47" s="1157">
        <v>9280809</v>
      </c>
      <c r="AI47" s="1157">
        <v>9459450</v>
      </c>
      <c r="AJ47" s="1157">
        <v>3581193</v>
      </c>
      <c r="AK47" s="1157">
        <v>105974633</v>
      </c>
      <c r="AL47" s="1157">
        <v>2336971</v>
      </c>
      <c r="AM47" s="1157">
        <v>3761895</v>
      </c>
      <c r="AN47" s="1157">
        <v>0</v>
      </c>
      <c r="AO47" s="1157">
        <v>23405064</v>
      </c>
      <c r="AP47" s="1157">
        <v>0</v>
      </c>
      <c r="AQ47" s="1157">
        <v>911231</v>
      </c>
      <c r="AR47" s="1157">
        <v>0</v>
      </c>
      <c r="AS47" s="1157">
        <v>0</v>
      </c>
      <c r="AT47" s="1157">
        <v>19084628</v>
      </c>
      <c r="AU47" s="1157">
        <v>0</v>
      </c>
      <c r="AV47" s="1157">
        <v>9829008</v>
      </c>
      <c r="AW47" s="1157">
        <v>0</v>
      </c>
      <c r="AX47" s="1157">
        <v>51946430</v>
      </c>
      <c r="AY47" s="1157">
        <v>0</v>
      </c>
      <c r="AZ47" s="1157">
        <v>6757195</v>
      </c>
      <c r="BA47" s="1157">
        <v>11041297</v>
      </c>
      <c r="BB47" s="1157">
        <v>6024437</v>
      </c>
      <c r="BC47" s="1157">
        <v>1244557</v>
      </c>
      <c r="BD47" s="1157">
        <v>0</v>
      </c>
      <c r="BE47" s="1157">
        <v>617739</v>
      </c>
      <c r="BF47" s="1157">
        <v>30224925</v>
      </c>
      <c r="BG47" s="1157">
        <v>0</v>
      </c>
      <c r="BH47" s="1157">
        <v>2654626</v>
      </c>
      <c r="BI47" s="1157">
        <v>2358935</v>
      </c>
      <c r="BJ47" s="1157">
        <v>0</v>
      </c>
      <c r="BK47" s="1157">
        <v>3132039</v>
      </c>
      <c r="BL47" s="1157">
        <v>0</v>
      </c>
      <c r="BM47" s="1157">
        <v>15195106</v>
      </c>
      <c r="BN47" s="1157">
        <v>0</v>
      </c>
      <c r="BO47" s="1157">
        <v>6085644</v>
      </c>
      <c r="BP47" s="1157">
        <v>1673674</v>
      </c>
      <c r="BQ47" s="1157">
        <v>1808101</v>
      </c>
      <c r="BR47" s="1157">
        <v>1521863</v>
      </c>
      <c r="BS47" s="1157">
        <v>0</v>
      </c>
      <c r="BT47" s="1157">
        <v>4895784</v>
      </c>
      <c r="BU47" s="1157">
        <v>0</v>
      </c>
      <c r="BV47" s="1157">
        <v>6238355</v>
      </c>
      <c r="BW47" s="1157">
        <v>14569008</v>
      </c>
      <c r="BX47" s="1157">
        <v>0</v>
      </c>
      <c r="BY47" s="1157">
        <v>0</v>
      </c>
      <c r="BZ47" s="1157">
        <v>3207309</v>
      </c>
      <c r="CA47" s="1157">
        <v>632973</v>
      </c>
      <c r="CB47" s="1157">
        <v>3772265</v>
      </c>
      <c r="CC47" s="1148">
        <v>4317222</v>
      </c>
      <c r="CD47" s="1148">
        <v>2907749</v>
      </c>
      <c r="CE47" s="1148">
        <v>0</v>
      </c>
      <c r="CF47" s="1148">
        <v>806496</v>
      </c>
    </row>
    <row r="48" spans="1:84" s="1148" customFormat="1" x14ac:dyDescent="0.3">
      <c r="A48" s="1159">
        <v>84</v>
      </c>
      <c r="B48" s="1154">
        <v>84</v>
      </c>
      <c r="C48" s="1228">
        <v>84</v>
      </c>
      <c r="D48" s="1146" t="s">
        <v>227</v>
      </c>
      <c r="E48" s="1155" t="s">
        <v>352</v>
      </c>
      <c r="F48" s="1156">
        <v>0</v>
      </c>
      <c r="G48" s="1156">
        <v>0</v>
      </c>
      <c r="H48" s="1156">
        <v>537657</v>
      </c>
      <c r="I48" s="1156">
        <v>0</v>
      </c>
      <c r="J48" s="1156">
        <v>0</v>
      </c>
      <c r="K48" s="1156">
        <v>0</v>
      </c>
      <c r="L48" s="1157">
        <v>125138</v>
      </c>
      <c r="M48" s="1157">
        <v>0</v>
      </c>
      <c r="N48" s="1157">
        <v>0</v>
      </c>
      <c r="O48" s="1157">
        <v>0</v>
      </c>
      <c r="P48" s="1157">
        <v>0</v>
      </c>
      <c r="Q48" s="1157">
        <v>2911102</v>
      </c>
      <c r="R48" s="1157">
        <v>0</v>
      </c>
      <c r="S48" s="1157">
        <v>18696207</v>
      </c>
      <c r="T48" s="1157">
        <v>0</v>
      </c>
      <c r="U48" s="1157">
        <v>0</v>
      </c>
      <c r="V48" s="1157">
        <v>27131796</v>
      </c>
      <c r="W48" s="1157">
        <v>7974264</v>
      </c>
      <c r="X48" s="1157">
        <v>11814834</v>
      </c>
      <c r="Y48" s="1157">
        <v>0</v>
      </c>
      <c r="Z48" s="1157">
        <v>180819</v>
      </c>
      <c r="AA48" s="1157">
        <v>6070168</v>
      </c>
      <c r="AB48" s="1157">
        <v>1085596</v>
      </c>
      <c r="AC48" s="1157">
        <v>8491717</v>
      </c>
      <c r="AD48" s="1157">
        <v>3645603</v>
      </c>
      <c r="AE48" s="1157">
        <v>1200534</v>
      </c>
      <c r="AF48" s="1157">
        <v>1387047</v>
      </c>
      <c r="AG48" s="1157">
        <v>1903664</v>
      </c>
      <c r="AH48" s="1157">
        <v>3367784</v>
      </c>
      <c r="AI48" s="1157">
        <v>4736159</v>
      </c>
      <c r="AJ48" s="1157">
        <v>462400</v>
      </c>
      <c r="AK48" s="1157">
        <v>22468308</v>
      </c>
      <c r="AL48" s="1157">
        <v>279264</v>
      </c>
      <c r="AM48" s="1157">
        <v>471156</v>
      </c>
      <c r="AN48" s="1157">
        <v>0</v>
      </c>
      <c r="AO48" s="1157">
        <v>7747606</v>
      </c>
      <c r="AP48" s="1157">
        <v>0</v>
      </c>
      <c r="AQ48" s="1157">
        <v>579139</v>
      </c>
      <c r="AR48" s="1157">
        <v>0</v>
      </c>
      <c r="AS48" s="1157">
        <v>0</v>
      </c>
      <c r="AT48" s="1157">
        <v>2895477</v>
      </c>
      <c r="AU48" s="1157">
        <v>0</v>
      </c>
      <c r="AV48" s="1157">
        <v>1680581</v>
      </c>
      <c r="AW48" s="1157">
        <v>0</v>
      </c>
      <c r="AX48" s="1157">
        <v>17840986</v>
      </c>
      <c r="AY48" s="1157">
        <v>0</v>
      </c>
      <c r="AZ48" s="1157">
        <v>986649</v>
      </c>
      <c r="BA48" s="1157">
        <v>2979336</v>
      </c>
      <c r="BB48" s="1157">
        <v>510243</v>
      </c>
      <c r="BC48" s="1157">
        <v>314152</v>
      </c>
      <c r="BD48" s="1157">
        <v>0</v>
      </c>
      <c r="BE48" s="1157">
        <v>105917</v>
      </c>
      <c r="BF48" s="1157">
        <v>6898732</v>
      </c>
      <c r="BG48" s="1157">
        <v>0</v>
      </c>
      <c r="BH48" s="1157">
        <v>247551</v>
      </c>
      <c r="BI48" s="1157">
        <v>104306</v>
      </c>
      <c r="BJ48" s="1157">
        <v>0</v>
      </c>
      <c r="BK48" s="1157">
        <v>174240</v>
      </c>
      <c r="BL48" s="1157">
        <v>0</v>
      </c>
      <c r="BM48" s="1157">
        <v>2589542</v>
      </c>
      <c r="BN48" s="1157">
        <v>0</v>
      </c>
      <c r="BO48" s="1157">
        <v>921559</v>
      </c>
      <c r="BP48" s="1157">
        <v>784343</v>
      </c>
      <c r="BQ48" s="1157">
        <v>906214</v>
      </c>
      <c r="BR48" s="1157">
        <v>450207</v>
      </c>
      <c r="BS48" s="1157">
        <v>0</v>
      </c>
      <c r="BT48" s="1157">
        <v>710611</v>
      </c>
      <c r="BU48" s="1157">
        <v>0</v>
      </c>
      <c r="BV48" s="1157">
        <v>567303</v>
      </c>
      <c r="BW48" s="1157">
        <v>3181673</v>
      </c>
      <c r="BX48" s="1157">
        <v>0</v>
      </c>
      <c r="BY48" s="1157">
        <v>0</v>
      </c>
      <c r="BZ48" s="1157">
        <v>275588</v>
      </c>
      <c r="CA48" s="1157">
        <v>11838</v>
      </c>
      <c r="CB48" s="1157">
        <v>211379</v>
      </c>
      <c r="CC48" s="1148">
        <v>360</v>
      </c>
      <c r="CD48" s="1148">
        <v>693042</v>
      </c>
      <c r="CE48" s="1148">
        <v>0</v>
      </c>
      <c r="CF48" s="1148">
        <v>26068</v>
      </c>
    </row>
    <row r="49" spans="1:84" s="1148" customFormat="1" x14ac:dyDescent="0.3">
      <c r="A49" s="1159">
        <v>85</v>
      </c>
      <c r="B49" s="1154">
        <v>85</v>
      </c>
      <c r="C49" s="1228">
        <v>85</v>
      </c>
      <c r="D49" s="1146" t="s">
        <v>229</v>
      </c>
      <c r="E49" s="1155" t="s">
        <v>353</v>
      </c>
      <c r="F49" s="1156">
        <v>0</v>
      </c>
      <c r="G49" s="1156">
        <v>0</v>
      </c>
      <c r="H49" s="1156">
        <v>739134</v>
      </c>
      <c r="I49" s="1156">
        <v>0</v>
      </c>
      <c r="J49" s="1156">
        <v>0</v>
      </c>
      <c r="K49" s="1156">
        <v>0</v>
      </c>
      <c r="L49" s="1157">
        <v>181709</v>
      </c>
      <c r="M49" s="1157">
        <v>0</v>
      </c>
      <c r="N49" s="1157">
        <v>0</v>
      </c>
      <c r="O49" s="1157">
        <v>0</v>
      </c>
      <c r="P49" s="1157">
        <v>0</v>
      </c>
      <c r="Q49" s="1157">
        <v>3330153</v>
      </c>
      <c r="R49" s="1157">
        <v>0</v>
      </c>
      <c r="S49" s="1157">
        <v>12600417</v>
      </c>
      <c r="T49" s="1157">
        <v>0</v>
      </c>
      <c r="U49" s="1157">
        <v>0</v>
      </c>
      <c r="V49" s="1157">
        <v>18804174</v>
      </c>
      <c r="W49" s="1157">
        <v>7170141</v>
      </c>
      <c r="X49" s="1157">
        <v>9655409</v>
      </c>
      <c r="Y49" s="1157">
        <v>0</v>
      </c>
      <c r="Z49" s="1157">
        <v>269544</v>
      </c>
      <c r="AA49" s="1157">
        <v>5970624</v>
      </c>
      <c r="AB49" s="1157">
        <v>1425225</v>
      </c>
      <c r="AC49" s="1157">
        <v>7354838</v>
      </c>
      <c r="AD49" s="1157">
        <v>3301923</v>
      </c>
      <c r="AE49" s="1157">
        <v>1043053</v>
      </c>
      <c r="AF49" s="1157">
        <v>1209091</v>
      </c>
      <c r="AG49" s="1157">
        <v>2454211</v>
      </c>
      <c r="AH49" s="1157">
        <v>3186082</v>
      </c>
      <c r="AI49" s="1157">
        <v>4023670</v>
      </c>
      <c r="AJ49" s="1157">
        <v>796030</v>
      </c>
      <c r="AK49" s="1157">
        <v>18597151</v>
      </c>
      <c r="AL49" s="1157">
        <v>299053</v>
      </c>
      <c r="AM49" s="1157">
        <v>584779</v>
      </c>
      <c r="AN49" s="1157">
        <v>0</v>
      </c>
      <c r="AO49" s="1157">
        <v>7885021</v>
      </c>
      <c r="AP49" s="1157">
        <v>0</v>
      </c>
      <c r="AQ49" s="1157">
        <v>678543</v>
      </c>
      <c r="AR49" s="1157">
        <v>0</v>
      </c>
      <c r="AS49" s="1157">
        <v>0</v>
      </c>
      <c r="AT49" s="1157">
        <v>2716803</v>
      </c>
      <c r="AU49" s="1157">
        <v>0</v>
      </c>
      <c r="AV49" s="1157">
        <v>1676043</v>
      </c>
      <c r="AW49" s="1157">
        <v>0</v>
      </c>
      <c r="AX49" s="1157">
        <v>13281156</v>
      </c>
      <c r="AY49" s="1157">
        <v>0</v>
      </c>
      <c r="AZ49" s="1157">
        <v>1269158</v>
      </c>
      <c r="BA49" s="1157">
        <v>2685720</v>
      </c>
      <c r="BB49" s="1157">
        <v>547024</v>
      </c>
      <c r="BC49" s="1157">
        <v>352548</v>
      </c>
      <c r="BD49" s="1157">
        <v>0</v>
      </c>
      <c r="BE49" s="1157">
        <v>131559</v>
      </c>
      <c r="BF49" s="1157">
        <v>4627079</v>
      </c>
      <c r="BG49" s="1157">
        <v>0</v>
      </c>
      <c r="BH49" s="1157">
        <v>305414</v>
      </c>
      <c r="BI49" s="1157">
        <v>187475</v>
      </c>
      <c r="BJ49" s="1157">
        <v>0</v>
      </c>
      <c r="BK49" s="1157">
        <v>209334</v>
      </c>
      <c r="BL49" s="1157">
        <v>0</v>
      </c>
      <c r="BM49" s="1157">
        <v>2844057</v>
      </c>
      <c r="BN49" s="1157">
        <v>0</v>
      </c>
      <c r="BO49" s="1157">
        <v>1110370</v>
      </c>
      <c r="BP49" s="1157">
        <v>629150</v>
      </c>
      <c r="BQ49" s="1157">
        <v>880836</v>
      </c>
      <c r="BR49" s="1157">
        <v>344668</v>
      </c>
      <c r="BS49" s="1157">
        <v>0</v>
      </c>
      <c r="BT49" s="1157">
        <v>681064</v>
      </c>
      <c r="BU49" s="1157">
        <v>0</v>
      </c>
      <c r="BV49" s="1157">
        <v>729442</v>
      </c>
      <c r="BW49" s="1157">
        <v>3874959</v>
      </c>
      <c r="BX49" s="1157">
        <v>0</v>
      </c>
      <c r="BY49" s="1157">
        <v>0</v>
      </c>
      <c r="BZ49" s="1157">
        <v>322109</v>
      </c>
      <c r="CA49" s="1157">
        <v>35699</v>
      </c>
      <c r="CB49" s="1157">
        <v>348000</v>
      </c>
      <c r="CC49" s="1148">
        <v>314314</v>
      </c>
      <c r="CD49" s="1148">
        <v>661360</v>
      </c>
      <c r="CE49" s="1148">
        <v>0</v>
      </c>
      <c r="CF49" s="1148">
        <v>48738</v>
      </c>
    </row>
    <row r="50" spans="1:84" s="1148" customFormat="1" x14ac:dyDescent="0.3">
      <c r="A50" s="1159">
        <v>88</v>
      </c>
      <c r="B50" s="1154">
        <v>88</v>
      </c>
      <c r="C50" s="1228">
        <v>88</v>
      </c>
      <c r="D50" s="1146" t="s">
        <v>226</v>
      </c>
      <c r="E50" s="1155" t="s">
        <v>354</v>
      </c>
      <c r="F50" s="1156">
        <v>0</v>
      </c>
      <c r="G50" s="1156">
        <v>0</v>
      </c>
      <c r="H50" s="1156">
        <v>493705</v>
      </c>
      <c r="I50" s="1156">
        <v>0</v>
      </c>
      <c r="J50" s="1156">
        <v>0</v>
      </c>
      <c r="K50" s="1156">
        <v>0</v>
      </c>
      <c r="L50" s="1157">
        <v>123938</v>
      </c>
      <c r="M50" s="1157">
        <v>0</v>
      </c>
      <c r="N50" s="1157">
        <v>0</v>
      </c>
      <c r="O50" s="1157">
        <v>0</v>
      </c>
      <c r="P50" s="1157">
        <v>0</v>
      </c>
      <c r="Q50" s="1157">
        <v>2896678</v>
      </c>
      <c r="R50" s="1157">
        <v>0</v>
      </c>
      <c r="S50" s="1157">
        <v>17544524</v>
      </c>
      <c r="T50" s="1157">
        <v>0</v>
      </c>
      <c r="U50" s="1157">
        <v>0</v>
      </c>
      <c r="V50" s="1157">
        <v>24954427</v>
      </c>
      <c r="W50" s="1157">
        <v>7634495</v>
      </c>
      <c r="X50" s="1157">
        <v>11737443</v>
      </c>
      <c r="Y50" s="1157">
        <v>0</v>
      </c>
      <c r="Z50" s="1157">
        <v>180819</v>
      </c>
      <c r="AA50" s="1157">
        <v>6058832</v>
      </c>
      <c r="AB50" s="1157">
        <v>1032635</v>
      </c>
      <c r="AC50" s="1157">
        <v>7269397</v>
      </c>
      <c r="AD50" s="1157">
        <v>3640164</v>
      </c>
      <c r="AE50" s="1157">
        <v>1149243</v>
      </c>
      <c r="AF50" s="1157">
        <v>1371051</v>
      </c>
      <c r="AG50" s="1157">
        <v>1763662</v>
      </c>
      <c r="AH50" s="1157">
        <v>3318439</v>
      </c>
      <c r="AI50" s="1157">
        <v>4097745</v>
      </c>
      <c r="AJ50" s="1157">
        <v>432875</v>
      </c>
      <c r="AK50" s="1157">
        <v>21300086</v>
      </c>
      <c r="AL50" s="1157">
        <v>278064</v>
      </c>
      <c r="AM50" s="1157">
        <v>471156</v>
      </c>
      <c r="AN50" s="1157">
        <v>0</v>
      </c>
      <c r="AO50" s="1157">
        <v>7262293</v>
      </c>
      <c r="AP50" s="1157">
        <v>0</v>
      </c>
      <c r="AQ50" s="1157">
        <v>571359</v>
      </c>
      <c r="AR50" s="1157">
        <v>0</v>
      </c>
      <c r="AS50" s="1157">
        <v>0</v>
      </c>
      <c r="AT50" s="1157">
        <v>2861770</v>
      </c>
      <c r="AU50" s="1157">
        <v>0</v>
      </c>
      <c r="AV50" s="1157">
        <v>1526618</v>
      </c>
      <c r="AW50" s="1157">
        <v>0</v>
      </c>
      <c r="AX50" s="1157">
        <v>17464803</v>
      </c>
      <c r="AY50" s="1157">
        <v>0</v>
      </c>
      <c r="AZ50" s="1157">
        <v>956989</v>
      </c>
      <c r="BA50" s="1157">
        <v>2678809</v>
      </c>
      <c r="BB50" s="1157">
        <v>371555</v>
      </c>
      <c r="BC50" s="1157">
        <v>299679</v>
      </c>
      <c r="BD50" s="1157">
        <v>0</v>
      </c>
      <c r="BE50" s="1157">
        <v>99743</v>
      </c>
      <c r="BF50" s="1157">
        <v>5962053</v>
      </c>
      <c r="BG50" s="1157">
        <v>0</v>
      </c>
      <c r="BH50" s="1157">
        <v>231156</v>
      </c>
      <c r="BI50" s="1157">
        <v>104306</v>
      </c>
      <c r="BJ50" s="1157">
        <v>0</v>
      </c>
      <c r="BK50" s="1157">
        <v>174240</v>
      </c>
      <c r="BL50" s="1157">
        <v>0</v>
      </c>
      <c r="BM50" s="1157">
        <v>2589542</v>
      </c>
      <c r="BN50" s="1157">
        <v>0</v>
      </c>
      <c r="BO50" s="1157">
        <v>840982</v>
      </c>
      <c r="BP50" s="1157">
        <v>765759</v>
      </c>
      <c r="BQ50" s="1157">
        <v>905889</v>
      </c>
      <c r="BR50" s="1157">
        <v>450207</v>
      </c>
      <c r="BS50" s="1157">
        <v>0</v>
      </c>
      <c r="BT50" s="1157">
        <v>615125</v>
      </c>
      <c r="BU50" s="1157">
        <v>0</v>
      </c>
      <c r="BV50" s="1157">
        <v>556994</v>
      </c>
      <c r="BW50" s="1157">
        <v>3063888</v>
      </c>
      <c r="BX50" s="1157">
        <v>0</v>
      </c>
      <c r="BY50" s="1157">
        <v>0</v>
      </c>
      <c r="BZ50" s="1157">
        <v>268733</v>
      </c>
      <c r="CA50" s="1157">
        <v>11838</v>
      </c>
      <c r="CB50" s="1157">
        <v>208866</v>
      </c>
      <c r="CC50" s="1148">
        <v>188861</v>
      </c>
      <c r="CD50" s="1148">
        <v>624485</v>
      </c>
      <c r="CE50" s="1148">
        <v>0</v>
      </c>
      <c r="CF50" s="1148">
        <v>26068</v>
      </c>
    </row>
    <row r="51" spans="1:84" s="1148" customFormat="1" x14ac:dyDescent="0.3">
      <c r="A51" s="1159">
        <v>89</v>
      </c>
      <c r="B51" s="1154">
        <v>89</v>
      </c>
      <c r="C51" s="1228">
        <v>89</v>
      </c>
      <c r="D51" s="1146" t="s">
        <v>230</v>
      </c>
      <c r="E51" s="1155" t="s">
        <v>355</v>
      </c>
      <c r="F51" s="1156">
        <v>0</v>
      </c>
      <c r="G51" s="1156">
        <v>0</v>
      </c>
      <c r="H51" s="1156">
        <v>1786</v>
      </c>
      <c r="I51" s="1156">
        <v>0</v>
      </c>
      <c r="J51" s="1156">
        <v>0</v>
      </c>
      <c r="K51" s="1156">
        <v>0</v>
      </c>
      <c r="L51" s="1157">
        <v>7829</v>
      </c>
      <c r="M51" s="1157">
        <v>0</v>
      </c>
      <c r="N51" s="1157">
        <v>0</v>
      </c>
      <c r="O51" s="1157">
        <v>0</v>
      </c>
      <c r="P51" s="1157">
        <v>0</v>
      </c>
      <c r="Q51" s="1157">
        <v>0</v>
      </c>
      <c r="R51" s="1157">
        <v>0</v>
      </c>
      <c r="S51" s="1157">
        <v>884800</v>
      </c>
      <c r="T51" s="1157">
        <v>0</v>
      </c>
      <c r="U51" s="1157">
        <v>0</v>
      </c>
      <c r="V51" s="1157">
        <v>2527041</v>
      </c>
      <c r="W51" s="1157">
        <v>354538</v>
      </c>
      <c r="X51" s="1157">
        <v>385170</v>
      </c>
      <c r="Y51" s="1157">
        <v>0</v>
      </c>
      <c r="Z51" s="1157">
        <v>0</v>
      </c>
      <c r="AA51" s="1157">
        <v>241709</v>
      </c>
      <c r="AB51" s="1157">
        <v>38763</v>
      </c>
      <c r="AC51" s="1157">
        <v>105760</v>
      </c>
      <c r="AD51" s="1157">
        <v>322852</v>
      </c>
      <c r="AE51" s="1157">
        <v>19480</v>
      </c>
      <c r="AF51" s="1157">
        <v>49864</v>
      </c>
      <c r="AG51" s="1157">
        <v>0</v>
      </c>
      <c r="AH51" s="1157">
        <v>651</v>
      </c>
      <c r="AI51" s="1157">
        <v>2859</v>
      </c>
      <c r="AJ51" s="1157">
        <v>12265</v>
      </c>
      <c r="AK51" s="1157">
        <v>675178</v>
      </c>
      <c r="AL51" s="1157">
        <v>0</v>
      </c>
      <c r="AM51" s="1157">
        <v>36785</v>
      </c>
      <c r="AN51" s="1157">
        <v>0</v>
      </c>
      <c r="AO51" s="1157">
        <v>224212</v>
      </c>
      <c r="AP51" s="1157">
        <v>0</v>
      </c>
      <c r="AQ51" s="1157">
        <v>42011</v>
      </c>
      <c r="AR51" s="1157">
        <v>0</v>
      </c>
      <c r="AS51" s="1157">
        <v>0</v>
      </c>
      <c r="AT51" s="1157">
        <v>21197</v>
      </c>
      <c r="AU51" s="1157">
        <v>0</v>
      </c>
      <c r="AV51" s="1157">
        <v>33558</v>
      </c>
      <c r="AW51" s="1157">
        <v>0</v>
      </c>
      <c r="AX51" s="1157">
        <v>3447583</v>
      </c>
      <c r="AY51" s="1157">
        <v>0</v>
      </c>
      <c r="AZ51" s="1157">
        <v>0</v>
      </c>
      <c r="BA51" s="1157">
        <v>0</v>
      </c>
      <c r="BB51" s="1157">
        <v>33408</v>
      </c>
      <c r="BC51" s="1157">
        <v>0</v>
      </c>
      <c r="BD51" s="1157">
        <v>0</v>
      </c>
      <c r="BE51" s="1157">
        <v>0</v>
      </c>
      <c r="BF51" s="1157">
        <v>124552</v>
      </c>
      <c r="BG51" s="1157">
        <v>0</v>
      </c>
      <c r="BH51" s="1157">
        <v>0</v>
      </c>
      <c r="BI51" s="1157">
        <v>0</v>
      </c>
      <c r="BJ51" s="1157">
        <v>0</v>
      </c>
      <c r="BK51" s="1157">
        <v>0</v>
      </c>
      <c r="BL51" s="1157">
        <v>0</v>
      </c>
      <c r="BM51" s="1157">
        <v>36120</v>
      </c>
      <c r="BN51" s="1157">
        <v>0</v>
      </c>
      <c r="BO51" s="1157">
        <v>16649</v>
      </c>
      <c r="BP51" s="1157">
        <v>108642</v>
      </c>
      <c r="BQ51" s="1157">
        <v>30969</v>
      </c>
      <c r="BR51" s="1157">
        <v>0</v>
      </c>
      <c r="BS51" s="1157">
        <v>0</v>
      </c>
      <c r="BT51" s="1157">
        <v>8159</v>
      </c>
      <c r="BU51" s="1157">
        <v>0</v>
      </c>
      <c r="BV51" s="1157">
        <v>27215</v>
      </c>
      <c r="BW51" s="1157">
        <v>19901</v>
      </c>
      <c r="BX51" s="1157">
        <v>0</v>
      </c>
      <c r="BY51" s="1157">
        <v>0</v>
      </c>
      <c r="BZ51" s="1157">
        <v>0</v>
      </c>
      <c r="CA51" s="1157">
        <v>0</v>
      </c>
      <c r="CB51" s="1157">
        <v>30218</v>
      </c>
      <c r="CC51" s="1148">
        <v>9524</v>
      </c>
      <c r="CD51" s="1148">
        <v>42527</v>
      </c>
      <c r="CE51" s="1148">
        <v>0</v>
      </c>
      <c r="CF51" s="1148">
        <v>0</v>
      </c>
    </row>
    <row r="52" spans="1:84" s="1148" customFormat="1" x14ac:dyDescent="0.3">
      <c r="A52" s="1153">
        <v>90</v>
      </c>
      <c r="B52" s="1154">
        <v>90</v>
      </c>
      <c r="C52" s="1228">
        <v>90</v>
      </c>
      <c r="D52" s="1146" t="s">
        <v>223</v>
      </c>
      <c r="E52" s="1155" t="s">
        <v>356</v>
      </c>
      <c r="F52" s="1156">
        <v>0</v>
      </c>
      <c r="G52" s="1156">
        <v>0</v>
      </c>
      <c r="H52" s="1156">
        <v>0</v>
      </c>
      <c r="I52" s="1156">
        <v>0</v>
      </c>
      <c r="J52" s="1156">
        <v>0</v>
      </c>
      <c r="K52" s="1156">
        <v>0</v>
      </c>
      <c r="L52" s="1157">
        <v>0</v>
      </c>
      <c r="M52" s="1157">
        <v>0</v>
      </c>
      <c r="N52" s="1157">
        <v>0</v>
      </c>
      <c r="O52" s="1157">
        <v>0</v>
      </c>
      <c r="P52" s="1157">
        <v>0</v>
      </c>
      <c r="Q52" s="1157">
        <v>0</v>
      </c>
      <c r="R52" s="1157">
        <v>0</v>
      </c>
      <c r="S52" s="1157">
        <v>67450608</v>
      </c>
      <c r="T52" s="1157">
        <v>0</v>
      </c>
      <c r="U52" s="1157">
        <v>0</v>
      </c>
      <c r="V52" s="1157">
        <v>0</v>
      </c>
      <c r="W52" s="1157">
        <v>0</v>
      </c>
      <c r="X52" s="1157">
        <v>16149839</v>
      </c>
      <c r="Y52" s="1157">
        <v>0</v>
      </c>
      <c r="Z52" s="1157">
        <v>0</v>
      </c>
      <c r="AA52" s="1157">
        <v>0</v>
      </c>
      <c r="AB52" s="1157">
        <v>0</v>
      </c>
      <c r="AC52" s="1157">
        <v>0</v>
      </c>
      <c r="AD52" s="1157">
        <v>0</v>
      </c>
      <c r="AE52" s="1157">
        <v>0</v>
      </c>
      <c r="AF52" s="1157">
        <v>0</v>
      </c>
      <c r="AG52" s="1157">
        <v>0</v>
      </c>
      <c r="AH52" s="1157">
        <v>0</v>
      </c>
      <c r="AI52" s="1157">
        <v>0</v>
      </c>
      <c r="AJ52" s="1157">
        <v>0</v>
      </c>
      <c r="AK52" s="1157">
        <v>16723124</v>
      </c>
      <c r="AL52" s="1157">
        <v>0</v>
      </c>
      <c r="AM52" s="1157">
        <v>0</v>
      </c>
      <c r="AN52" s="1157">
        <v>0</v>
      </c>
      <c r="AO52" s="1157">
        <v>8322799</v>
      </c>
      <c r="AP52" s="1157">
        <v>0</v>
      </c>
      <c r="AQ52" s="1157">
        <v>0</v>
      </c>
      <c r="AR52" s="1157">
        <v>0</v>
      </c>
      <c r="AS52" s="1157">
        <v>0</v>
      </c>
      <c r="AT52" s="1157">
        <v>0</v>
      </c>
      <c r="AU52" s="1157">
        <v>0</v>
      </c>
      <c r="AV52" s="1157">
        <v>0</v>
      </c>
      <c r="AW52" s="1157">
        <v>0</v>
      </c>
      <c r="AX52" s="1157">
        <v>0</v>
      </c>
      <c r="AY52" s="1157">
        <v>0</v>
      </c>
      <c r="AZ52" s="1157">
        <v>0</v>
      </c>
      <c r="BA52" s="1157">
        <v>0</v>
      </c>
      <c r="BB52" s="1157">
        <v>0</v>
      </c>
      <c r="BC52" s="1157">
        <v>0</v>
      </c>
      <c r="BD52" s="1157">
        <v>0</v>
      </c>
      <c r="BE52" s="1157">
        <v>0</v>
      </c>
      <c r="BF52" s="1157">
        <v>0</v>
      </c>
      <c r="BG52" s="1157">
        <v>0</v>
      </c>
      <c r="BH52" s="1157">
        <v>0</v>
      </c>
      <c r="BI52" s="1157">
        <v>0</v>
      </c>
      <c r="BJ52" s="1157">
        <v>0</v>
      </c>
      <c r="BK52" s="1157">
        <v>0</v>
      </c>
      <c r="BL52" s="1157">
        <v>0</v>
      </c>
      <c r="BM52" s="1157">
        <v>0</v>
      </c>
      <c r="BN52" s="1157">
        <v>0</v>
      </c>
      <c r="BO52" s="1157">
        <v>0</v>
      </c>
      <c r="BP52" s="1157">
        <v>0</v>
      </c>
      <c r="BQ52" s="1157">
        <v>0</v>
      </c>
      <c r="BR52" s="1157">
        <v>0</v>
      </c>
      <c r="BS52" s="1157">
        <v>0</v>
      </c>
      <c r="BT52" s="1157">
        <v>748080</v>
      </c>
      <c r="BU52" s="1157">
        <v>4021317</v>
      </c>
      <c r="BV52" s="1157">
        <v>0</v>
      </c>
      <c r="BW52" s="1157">
        <v>0</v>
      </c>
      <c r="BX52" s="1157">
        <v>0</v>
      </c>
      <c r="BY52" s="1157">
        <v>0</v>
      </c>
      <c r="BZ52" s="1157">
        <v>0</v>
      </c>
      <c r="CA52" s="1157">
        <v>0</v>
      </c>
      <c r="CB52" s="1157">
        <v>0</v>
      </c>
      <c r="CC52" s="1148">
        <v>0</v>
      </c>
      <c r="CD52" s="1148">
        <v>0</v>
      </c>
      <c r="CE52" s="1148">
        <v>0</v>
      </c>
      <c r="CF52" s="1148">
        <v>0</v>
      </c>
    </row>
    <row r="53" spans="1:84" s="1148" customFormat="1" x14ac:dyDescent="0.3">
      <c r="A53" s="1153">
        <v>91</v>
      </c>
      <c r="B53" s="1154">
        <v>91</v>
      </c>
      <c r="C53" s="1228">
        <v>91</v>
      </c>
      <c r="D53" s="1146" t="s">
        <v>224</v>
      </c>
      <c r="E53" s="1155" t="s">
        <v>357</v>
      </c>
      <c r="F53" s="1156">
        <v>0</v>
      </c>
      <c r="G53" s="1156">
        <v>0</v>
      </c>
      <c r="H53" s="1156">
        <v>0</v>
      </c>
      <c r="I53" s="1156">
        <v>0</v>
      </c>
      <c r="J53" s="1156">
        <v>0</v>
      </c>
      <c r="K53" s="1156">
        <v>0</v>
      </c>
      <c r="L53" s="1157">
        <v>0</v>
      </c>
      <c r="M53" s="1157">
        <v>0</v>
      </c>
      <c r="N53" s="1157">
        <v>0</v>
      </c>
      <c r="O53" s="1157">
        <v>0</v>
      </c>
      <c r="P53" s="1157">
        <v>0</v>
      </c>
      <c r="Q53" s="1157">
        <v>0</v>
      </c>
      <c r="R53" s="1157">
        <v>0</v>
      </c>
      <c r="S53" s="1157">
        <v>7449800</v>
      </c>
      <c r="T53" s="1157">
        <v>0</v>
      </c>
      <c r="U53" s="1157">
        <v>0</v>
      </c>
      <c r="V53" s="1157">
        <v>0</v>
      </c>
      <c r="W53" s="1157">
        <v>0</v>
      </c>
      <c r="X53" s="1157">
        <v>3486970</v>
      </c>
      <c r="Y53" s="1157">
        <v>0</v>
      </c>
      <c r="Z53" s="1157">
        <v>0</v>
      </c>
      <c r="AA53" s="1157">
        <v>0</v>
      </c>
      <c r="AB53" s="1157">
        <v>0</v>
      </c>
      <c r="AC53" s="1157">
        <v>0</v>
      </c>
      <c r="AD53" s="1157">
        <v>0</v>
      </c>
      <c r="AE53" s="1157">
        <v>0</v>
      </c>
      <c r="AF53" s="1157">
        <v>0</v>
      </c>
      <c r="AG53" s="1157">
        <v>0</v>
      </c>
      <c r="AH53" s="1157">
        <v>0</v>
      </c>
      <c r="AI53" s="1157">
        <v>0</v>
      </c>
      <c r="AJ53" s="1157">
        <v>0</v>
      </c>
      <c r="AK53" s="1157">
        <v>7238371</v>
      </c>
      <c r="AL53" s="1157">
        <v>0</v>
      </c>
      <c r="AM53" s="1157">
        <v>0</v>
      </c>
      <c r="AN53" s="1157">
        <v>0</v>
      </c>
      <c r="AO53" s="1157">
        <v>1665068</v>
      </c>
      <c r="AP53" s="1157">
        <v>0</v>
      </c>
      <c r="AQ53" s="1157">
        <v>0</v>
      </c>
      <c r="AR53" s="1157">
        <v>0</v>
      </c>
      <c r="AS53" s="1157">
        <v>0</v>
      </c>
      <c r="AT53" s="1157">
        <v>0</v>
      </c>
      <c r="AU53" s="1157">
        <v>0</v>
      </c>
      <c r="AV53" s="1157">
        <v>0</v>
      </c>
      <c r="AW53" s="1157">
        <v>0</v>
      </c>
      <c r="AX53" s="1157">
        <v>0</v>
      </c>
      <c r="AY53" s="1157">
        <v>0</v>
      </c>
      <c r="AZ53" s="1157">
        <v>0</v>
      </c>
      <c r="BA53" s="1157">
        <v>0</v>
      </c>
      <c r="BB53" s="1157">
        <v>0</v>
      </c>
      <c r="BC53" s="1157">
        <v>0</v>
      </c>
      <c r="BD53" s="1157">
        <v>0</v>
      </c>
      <c r="BE53" s="1157">
        <v>0</v>
      </c>
      <c r="BF53" s="1157">
        <v>0</v>
      </c>
      <c r="BG53" s="1157">
        <v>0</v>
      </c>
      <c r="BH53" s="1157">
        <v>0</v>
      </c>
      <c r="BI53" s="1157">
        <v>0</v>
      </c>
      <c r="BJ53" s="1157">
        <v>0</v>
      </c>
      <c r="BK53" s="1157">
        <v>0</v>
      </c>
      <c r="BL53" s="1157">
        <v>0</v>
      </c>
      <c r="BM53" s="1157">
        <v>0</v>
      </c>
      <c r="BN53" s="1157">
        <v>0</v>
      </c>
      <c r="BO53" s="1157">
        <v>0</v>
      </c>
      <c r="BP53" s="1157">
        <v>0</v>
      </c>
      <c r="BQ53" s="1157">
        <v>0</v>
      </c>
      <c r="BR53" s="1157">
        <v>0</v>
      </c>
      <c r="BS53" s="1157">
        <v>0</v>
      </c>
      <c r="BT53" s="1157">
        <v>303389</v>
      </c>
      <c r="BU53" s="1157">
        <v>1707295</v>
      </c>
      <c r="BV53" s="1157">
        <v>0</v>
      </c>
      <c r="BW53" s="1157">
        <v>0</v>
      </c>
      <c r="BX53" s="1157">
        <v>0</v>
      </c>
      <c r="BY53" s="1157">
        <v>0</v>
      </c>
      <c r="BZ53" s="1157">
        <v>0</v>
      </c>
      <c r="CA53" s="1157">
        <v>0</v>
      </c>
      <c r="CB53" s="1157">
        <v>0</v>
      </c>
      <c r="CC53" s="1148">
        <v>0</v>
      </c>
      <c r="CD53" s="1148">
        <v>0</v>
      </c>
      <c r="CE53" s="1148">
        <v>0</v>
      </c>
      <c r="CF53" s="1148">
        <v>0</v>
      </c>
    </row>
    <row r="54" spans="1:84" s="1148" customFormat="1" x14ac:dyDescent="0.3">
      <c r="A54" s="1146">
        <v>92</v>
      </c>
      <c r="B54" s="1154"/>
      <c r="C54" s="1228">
        <v>92</v>
      </c>
      <c r="D54" s="1146" t="s">
        <v>632</v>
      </c>
      <c r="E54" s="1155" t="s">
        <v>358</v>
      </c>
      <c r="F54" s="1156">
        <v>0</v>
      </c>
      <c r="G54" s="1156">
        <v>0</v>
      </c>
      <c r="H54" s="1156">
        <v>0</v>
      </c>
      <c r="I54" s="1156">
        <v>0</v>
      </c>
      <c r="J54" s="1156">
        <v>0</v>
      </c>
      <c r="K54" s="1156">
        <v>0</v>
      </c>
      <c r="L54" s="1157">
        <v>0</v>
      </c>
      <c r="M54" s="1157">
        <v>0</v>
      </c>
      <c r="N54" s="1157">
        <v>0</v>
      </c>
      <c r="O54" s="1157">
        <v>0</v>
      </c>
      <c r="P54" s="1157">
        <v>0</v>
      </c>
      <c r="Q54" s="1157">
        <v>0</v>
      </c>
      <c r="R54" s="1157">
        <v>0</v>
      </c>
      <c r="S54" s="1157">
        <v>0</v>
      </c>
      <c r="T54" s="1157">
        <v>0</v>
      </c>
      <c r="U54" s="1157">
        <v>0</v>
      </c>
      <c r="V54" s="1157">
        <v>0</v>
      </c>
      <c r="W54" s="1157">
        <v>0</v>
      </c>
      <c r="X54" s="1157">
        <v>0</v>
      </c>
      <c r="Y54" s="1157">
        <v>0</v>
      </c>
      <c r="Z54" s="1157">
        <v>0</v>
      </c>
      <c r="AA54" s="1157">
        <v>0</v>
      </c>
      <c r="AB54" s="1157">
        <v>0</v>
      </c>
      <c r="AC54" s="1157">
        <v>0</v>
      </c>
      <c r="AD54" s="1157">
        <v>0</v>
      </c>
      <c r="AE54" s="1157">
        <v>0</v>
      </c>
      <c r="AF54" s="1157">
        <v>0</v>
      </c>
      <c r="AG54" s="1157">
        <v>0</v>
      </c>
      <c r="AH54" s="1157">
        <v>0</v>
      </c>
      <c r="AI54" s="1157">
        <v>0</v>
      </c>
      <c r="AJ54" s="1157">
        <v>0</v>
      </c>
      <c r="AK54" s="1157">
        <v>0</v>
      </c>
      <c r="AL54" s="1157">
        <v>0</v>
      </c>
      <c r="AM54" s="1157">
        <v>0</v>
      </c>
      <c r="AN54" s="1157">
        <v>0</v>
      </c>
      <c r="AO54" s="1157">
        <v>0</v>
      </c>
      <c r="AP54" s="1157">
        <v>0</v>
      </c>
      <c r="AQ54" s="1157">
        <v>0</v>
      </c>
      <c r="AR54" s="1157">
        <v>0</v>
      </c>
      <c r="AS54" s="1157">
        <v>0</v>
      </c>
      <c r="AT54" s="1157">
        <v>0</v>
      </c>
      <c r="AU54" s="1157">
        <v>0</v>
      </c>
      <c r="AV54" s="1157">
        <v>0</v>
      </c>
      <c r="AW54" s="1157">
        <v>0</v>
      </c>
      <c r="AX54" s="1157">
        <v>0</v>
      </c>
      <c r="AY54" s="1157">
        <v>0</v>
      </c>
      <c r="AZ54" s="1157">
        <v>0</v>
      </c>
      <c r="BA54" s="1157">
        <v>0</v>
      </c>
      <c r="BB54" s="1157">
        <v>0</v>
      </c>
      <c r="BC54" s="1157">
        <v>0</v>
      </c>
      <c r="BD54" s="1157">
        <v>0</v>
      </c>
      <c r="BE54" s="1157">
        <v>0</v>
      </c>
      <c r="BF54" s="1157">
        <v>0</v>
      </c>
      <c r="BG54" s="1157">
        <v>0</v>
      </c>
      <c r="BH54" s="1157">
        <v>0</v>
      </c>
      <c r="BI54" s="1157">
        <v>0</v>
      </c>
      <c r="BJ54" s="1157">
        <v>0</v>
      </c>
      <c r="BK54" s="1157">
        <v>0</v>
      </c>
      <c r="BL54" s="1157">
        <v>0</v>
      </c>
      <c r="BM54" s="1157">
        <v>0</v>
      </c>
      <c r="BN54" s="1157">
        <v>0</v>
      </c>
      <c r="BO54" s="1157">
        <v>0</v>
      </c>
      <c r="BP54" s="1157">
        <v>0</v>
      </c>
      <c r="BQ54" s="1157">
        <v>0</v>
      </c>
      <c r="BR54" s="1157">
        <v>0</v>
      </c>
      <c r="BS54" s="1157">
        <v>0</v>
      </c>
      <c r="BT54" s="1157">
        <v>0</v>
      </c>
      <c r="BU54" s="1157">
        <v>0</v>
      </c>
      <c r="BV54" s="1157">
        <v>0</v>
      </c>
      <c r="BW54" s="1157">
        <v>0</v>
      </c>
      <c r="BX54" s="1157">
        <v>0</v>
      </c>
      <c r="BY54" s="1157">
        <v>0</v>
      </c>
      <c r="BZ54" s="1157">
        <v>0</v>
      </c>
      <c r="CA54" s="1157">
        <v>0</v>
      </c>
      <c r="CB54" s="1157">
        <v>0</v>
      </c>
      <c r="CC54" s="1148">
        <v>0</v>
      </c>
      <c r="CD54" s="1148">
        <v>0</v>
      </c>
      <c r="CE54" s="1148">
        <v>0</v>
      </c>
      <c r="CF54" s="1148">
        <v>0</v>
      </c>
    </row>
    <row r="55" spans="1:84" s="1148" customFormat="1" x14ac:dyDescent="0.3">
      <c r="A55" s="1153">
        <v>93</v>
      </c>
      <c r="B55" s="1154">
        <v>93</v>
      </c>
      <c r="C55" s="1228">
        <v>93</v>
      </c>
      <c r="D55" s="1146" t="s">
        <v>237</v>
      </c>
      <c r="E55" s="1155" t="s">
        <v>359</v>
      </c>
      <c r="F55" s="1156">
        <v>0</v>
      </c>
      <c r="G55" s="1156">
        <v>0</v>
      </c>
      <c r="H55" s="1156">
        <v>0</v>
      </c>
      <c r="I55" s="1156">
        <v>0</v>
      </c>
      <c r="J55" s="1156">
        <v>0</v>
      </c>
      <c r="K55" s="1156">
        <v>0</v>
      </c>
      <c r="L55" s="1157">
        <v>0</v>
      </c>
      <c r="M55" s="1157">
        <v>0</v>
      </c>
      <c r="N55" s="1157">
        <v>0</v>
      </c>
      <c r="O55" s="1157">
        <v>0</v>
      </c>
      <c r="P55" s="1157">
        <v>0</v>
      </c>
      <c r="Q55" s="1157">
        <v>0</v>
      </c>
      <c r="R55" s="1157">
        <v>0</v>
      </c>
      <c r="S55" s="1157">
        <v>60885173</v>
      </c>
      <c r="T55" s="1157">
        <v>0</v>
      </c>
      <c r="U55" s="1157">
        <v>0</v>
      </c>
      <c r="V55" s="1157">
        <v>0</v>
      </c>
      <c r="W55" s="1157">
        <v>0</v>
      </c>
      <c r="X55" s="1157">
        <v>34934236</v>
      </c>
      <c r="Y55" s="1157">
        <v>0</v>
      </c>
      <c r="Z55" s="1157">
        <v>0</v>
      </c>
      <c r="AA55" s="1157">
        <v>0</v>
      </c>
      <c r="AB55" s="1157">
        <v>0</v>
      </c>
      <c r="AC55" s="1157">
        <v>0</v>
      </c>
      <c r="AD55" s="1157">
        <v>0</v>
      </c>
      <c r="AE55" s="1157">
        <v>0</v>
      </c>
      <c r="AF55" s="1157">
        <v>0</v>
      </c>
      <c r="AG55" s="1157">
        <v>0</v>
      </c>
      <c r="AH55" s="1157">
        <v>0</v>
      </c>
      <c r="AI55" s="1157">
        <v>0</v>
      </c>
      <c r="AJ55" s="1157">
        <v>0</v>
      </c>
      <c r="AK55" s="1157">
        <v>50899916</v>
      </c>
      <c r="AL55" s="1157">
        <v>0</v>
      </c>
      <c r="AM55" s="1157">
        <v>0</v>
      </c>
      <c r="AN55" s="1157">
        <v>0</v>
      </c>
      <c r="AO55" s="1157">
        <v>15491380</v>
      </c>
      <c r="AP55" s="1157">
        <v>0</v>
      </c>
      <c r="AQ55" s="1157">
        <v>0</v>
      </c>
      <c r="AR55" s="1157">
        <v>0</v>
      </c>
      <c r="AS55" s="1157">
        <v>0</v>
      </c>
      <c r="AT55" s="1157">
        <v>0</v>
      </c>
      <c r="AU55" s="1157">
        <v>0</v>
      </c>
      <c r="AV55" s="1157">
        <v>0</v>
      </c>
      <c r="AW55" s="1157">
        <v>0</v>
      </c>
      <c r="AX55" s="1157">
        <v>0</v>
      </c>
      <c r="AY55" s="1157">
        <v>0</v>
      </c>
      <c r="AZ55" s="1157">
        <v>0</v>
      </c>
      <c r="BA55" s="1157">
        <v>0</v>
      </c>
      <c r="BB55" s="1157">
        <v>0</v>
      </c>
      <c r="BC55" s="1157">
        <v>0</v>
      </c>
      <c r="BD55" s="1157">
        <v>0</v>
      </c>
      <c r="BE55" s="1157">
        <v>0</v>
      </c>
      <c r="BF55" s="1157">
        <v>0</v>
      </c>
      <c r="BG55" s="1157">
        <v>0</v>
      </c>
      <c r="BH55" s="1157">
        <v>0</v>
      </c>
      <c r="BI55" s="1157">
        <v>0</v>
      </c>
      <c r="BJ55" s="1157">
        <v>0</v>
      </c>
      <c r="BK55" s="1157">
        <v>0</v>
      </c>
      <c r="BL55" s="1157">
        <v>0</v>
      </c>
      <c r="BM55" s="1157">
        <v>0</v>
      </c>
      <c r="BN55" s="1157">
        <v>0</v>
      </c>
      <c r="BO55" s="1157">
        <v>0</v>
      </c>
      <c r="BP55" s="1157">
        <v>0</v>
      </c>
      <c r="BQ55" s="1157">
        <v>0</v>
      </c>
      <c r="BR55" s="1157">
        <v>0</v>
      </c>
      <c r="BS55" s="1157">
        <v>0</v>
      </c>
      <c r="BT55" s="1157">
        <v>2817332</v>
      </c>
      <c r="BU55" s="1157">
        <v>11583878</v>
      </c>
      <c r="BV55" s="1157">
        <v>0</v>
      </c>
      <c r="BW55" s="1157">
        <v>0</v>
      </c>
      <c r="BX55" s="1157">
        <v>0</v>
      </c>
      <c r="BY55" s="1157">
        <v>0</v>
      </c>
      <c r="BZ55" s="1157">
        <v>0</v>
      </c>
      <c r="CA55" s="1157">
        <v>0</v>
      </c>
      <c r="CB55" s="1157">
        <v>0</v>
      </c>
      <c r="CC55" s="1148">
        <v>0</v>
      </c>
      <c r="CD55" s="1148">
        <v>0</v>
      </c>
      <c r="CE55" s="1148">
        <v>0</v>
      </c>
      <c r="CF55" s="1148">
        <v>0</v>
      </c>
    </row>
    <row r="56" spans="1:84" s="1148" customFormat="1" x14ac:dyDescent="0.3">
      <c r="A56" s="1153">
        <v>94</v>
      </c>
      <c r="B56" s="1154">
        <v>94</v>
      </c>
      <c r="C56" s="1228">
        <v>94</v>
      </c>
      <c r="D56" s="1146" t="s">
        <v>240</v>
      </c>
      <c r="E56" s="1155" t="s">
        <v>360</v>
      </c>
      <c r="F56" s="1156">
        <v>0</v>
      </c>
      <c r="G56" s="1156">
        <v>0</v>
      </c>
      <c r="H56" s="1156">
        <v>0</v>
      </c>
      <c r="I56" s="1156">
        <v>0</v>
      </c>
      <c r="J56" s="1156">
        <v>0</v>
      </c>
      <c r="K56" s="1156">
        <v>0</v>
      </c>
      <c r="L56" s="1157">
        <v>0</v>
      </c>
      <c r="M56" s="1157">
        <v>0</v>
      </c>
      <c r="N56" s="1157">
        <v>0</v>
      </c>
      <c r="O56" s="1157">
        <v>0</v>
      </c>
      <c r="P56" s="1157">
        <v>0</v>
      </c>
      <c r="Q56" s="1157">
        <v>0</v>
      </c>
      <c r="R56" s="1157">
        <v>0</v>
      </c>
      <c r="S56" s="1157">
        <v>55921049</v>
      </c>
      <c r="T56" s="1157">
        <v>0</v>
      </c>
      <c r="U56" s="1157">
        <v>0</v>
      </c>
      <c r="V56" s="1157">
        <v>0</v>
      </c>
      <c r="W56" s="1157">
        <v>0</v>
      </c>
      <c r="X56" s="1157">
        <v>28006239</v>
      </c>
      <c r="Y56" s="1157">
        <v>0</v>
      </c>
      <c r="Z56" s="1157">
        <v>0</v>
      </c>
      <c r="AA56" s="1157">
        <v>0</v>
      </c>
      <c r="AB56" s="1157">
        <v>0</v>
      </c>
      <c r="AC56" s="1157">
        <v>0</v>
      </c>
      <c r="AD56" s="1157">
        <v>0</v>
      </c>
      <c r="AE56" s="1157">
        <v>0</v>
      </c>
      <c r="AF56" s="1157">
        <v>0</v>
      </c>
      <c r="AG56" s="1157">
        <v>0</v>
      </c>
      <c r="AH56" s="1157">
        <v>0</v>
      </c>
      <c r="AI56" s="1157">
        <v>0</v>
      </c>
      <c r="AJ56" s="1157">
        <v>0</v>
      </c>
      <c r="AK56" s="1157">
        <v>48420775</v>
      </c>
      <c r="AL56" s="1157">
        <v>0</v>
      </c>
      <c r="AM56" s="1157">
        <v>0</v>
      </c>
      <c r="AN56" s="1157">
        <v>0</v>
      </c>
      <c r="AO56" s="1157">
        <v>15991239</v>
      </c>
      <c r="AP56" s="1157">
        <v>0</v>
      </c>
      <c r="AQ56" s="1157">
        <v>0</v>
      </c>
      <c r="AR56" s="1157">
        <v>0</v>
      </c>
      <c r="AS56" s="1157">
        <v>0</v>
      </c>
      <c r="AT56" s="1157">
        <v>0</v>
      </c>
      <c r="AU56" s="1157">
        <v>0</v>
      </c>
      <c r="AV56" s="1157">
        <v>0</v>
      </c>
      <c r="AW56" s="1157">
        <v>0</v>
      </c>
      <c r="AX56" s="1157">
        <v>0</v>
      </c>
      <c r="AY56" s="1157">
        <v>0</v>
      </c>
      <c r="AZ56" s="1157">
        <v>0</v>
      </c>
      <c r="BA56" s="1157">
        <v>0</v>
      </c>
      <c r="BB56" s="1157">
        <v>0</v>
      </c>
      <c r="BC56" s="1157">
        <v>0</v>
      </c>
      <c r="BD56" s="1157">
        <v>0</v>
      </c>
      <c r="BE56" s="1157">
        <v>0</v>
      </c>
      <c r="BF56" s="1157">
        <v>0</v>
      </c>
      <c r="BG56" s="1157">
        <v>0</v>
      </c>
      <c r="BH56" s="1157">
        <v>0</v>
      </c>
      <c r="BI56" s="1157">
        <v>0</v>
      </c>
      <c r="BJ56" s="1157">
        <v>0</v>
      </c>
      <c r="BK56" s="1157">
        <v>0</v>
      </c>
      <c r="BL56" s="1157">
        <v>0</v>
      </c>
      <c r="BM56" s="1157">
        <v>0</v>
      </c>
      <c r="BN56" s="1157">
        <v>0</v>
      </c>
      <c r="BO56" s="1157">
        <v>0</v>
      </c>
      <c r="BP56" s="1157">
        <v>0</v>
      </c>
      <c r="BQ56" s="1157">
        <v>0</v>
      </c>
      <c r="BR56" s="1157">
        <v>0</v>
      </c>
      <c r="BS56" s="1157">
        <v>0</v>
      </c>
      <c r="BT56" s="1157">
        <v>2299176</v>
      </c>
      <c r="BU56" s="1157">
        <v>10951667</v>
      </c>
      <c r="BV56" s="1157">
        <v>0</v>
      </c>
      <c r="BW56" s="1157">
        <v>0</v>
      </c>
      <c r="BX56" s="1157">
        <v>0</v>
      </c>
      <c r="BY56" s="1157">
        <v>0</v>
      </c>
      <c r="BZ56" s="1157">
        <v>0</v>
      </c>
      <c r="CA56" s="1157">
        <v>0</v>
      </c>
      <c r="CB56" s="1157">
        <v>0</v>
      </c>
      <c r="CC56" s="1148">
        <v>0</v>
      </c>
      <c r="CD56" s="1148">
        <v>0</v>
      </c>
      <c r="CE56" s="1148">
        <v>0</v>
      </c>
      <c r="CF56" s="1148">
        <v>0</v>
      </c>
    </row>
    <row r="57" spans="1:84" s="1148" customFormat="1" x14ac:dyDescent="0.3">
      <c r="A57" s="1153">
        <v>97</v>
      </c>
      <c r="B57" s="1154">
        <v>97</v>
      </c>
      <c r="C57" s="1228">
        <v>97</v>
      </c>
      <c r="D57" s="1146" t="s">
        <v>236</v>
      </c>
      <c r="E57" s="1155" t="s">
        <v>361</v>
      </c>
      <c r="F57" s="1156">
        <v>0</v>
      </c>
      <c r="G57" s="1156">
        <v>0</v>
      </c>
      <c r="H57" s="1156">
        <v>0</v>
      </c>
      <c r="I57" s="1156">
        <v>0</v>
      </c>
      <c r="J57" s="1156">
        <v>0</v>
      </c>
      <c r="K57" s="1156">
        <v>0</v>
      </c>
      <c r="L57" s="1157">
        <v>0</v>
      </c>
      <c r="M57" s="1157">
        <v>0</v>
      </c>
      <c r="N57" s="1157">
        <v>0</v>
      </c>
      <c r="O57" s="1157">
        <v>0</v>
      </c>
      <c r="P57" s="1157">
        <v>0</v>
      </c>
      <c r="Q57" s="1157">
        <v>0</v>
      </c>
      <c r="R57" s="1157">
        <v>0</v>
      </c>
      <c r="S57" s="1157">
        <v>60459997</v>
      </c>
      <c r="T57" s="1157">
        <v>0</v>
      </c>
      <c r="U57" s="1157">
        <v>0</v>
      </c>
      <c r="V57" s="1157">
        <v>0</v>
      </c>
      <c r="W57" s="1157">
        <v>0</v>
      </c>
      <c r="X57" s="1157">
        <v>30050312</v>
      </c>
      <c r="Y57" s="1157">
        <v>0</v>
      </c>
      <c r="Z57" s="1157">
        <v>0</v>
      </c>
      <c r="AA57" s="1157">
        <v>0</v>
      </c>
      <c r="AB57" s="1157">
        <v>0</v>
      </c>
      <c r="AC57" s="1157">
        <v>0</v>
      </c>
      <c r="AD57" s="1157">
        <v>0</v>
      </c>
      <c r="AE57" s="1157">
        <v>0</v>
      </c>
      <c r="AF57" s="1157">
        <v>0</v>
      </c>
      <c r="AG57" s="1157">
        <v>0</v>
      </c>
      <c r="AH57" s="1157">
        <v>0</v>
      </c>
      <c r="AI57" s="1157">
        <v>0</v>
      </c>
      <c r="AJ57" s="1157">
        <v>0</v>
      </c>
      <c r="AK57" s="1157">
        <v>50836833</v>
      </c>
      <c r="AL57" s="1157">
        <v>0</v>
      </c>
      <c r="AM57" s="1157">
        <v>0</v>
      </c>
      <c r="AN57" s="1157">
        <v>0</v>
      </c>
      <c r="AO57" s="1157">
        <v>14670777</v>
      </c>
      <c r="AP57" s="1157">
        <v>0</v>
      </c>
      <c r="AQ57" s="1157">
        <v>0</v>
      </c>
      <c r="AR57" s="1157">
        <v>0</v>
      </c>
      <c r="AS57" s="1157">
        <v>0</v>
      </c>
      <c r="AT57" s="1157">
        <v>0</v>
      </c>
      <c r="AU57" s="1157">
        <v>0</v>
      </c>
      <c r="AV57" s="1157">
        <v>0</v>
      </c>
      <c r="AW57" s="1157">
        <v>0</v>
      </c>
      <c r="AX57" s="1157">
        <v>0</v>
      </c>
      <c r="AY57" s="1157">
        <v>0</v>
      </c>
      <c r="AZ57" s="1157">
        <v>0</v>
      </c>
      <c r="BA57" s="1157">
        <v>0</v>
      </c>
      <c r="BB57" s="1157">
        <v>0</v>
      </c>
      <c r="BC57" s="1157">
        <v>0</v>
      </c>
      <c r="BD57" s="1157">
        <v>0</v>
      </c>
      <c r="BE57" s="1157">
        <v>0</v>
      </c>
      <c r="BF57" s="1157">
        <v>0</v>
      </c>
      <c r="BG57" s="1157">
        <v>0</v>
      </c>
      <c r="BH57" s="1157">
        <v>0</v>
      </c>
      <c r="BI57" s="1157">
        <v>0</v>
      </c>
      <c r="BJ57" s="1157">
        <v>0</v>
      </c>
      <c r="BK57" s="1157">
        <v>0</v>
      </c>
      <c r="BL57" s="1157">
        <v>0</v>
      </c>
      <c r="BM57" s="1157">
        <v>0</v>
      </c>
      <c r="BN57" s="1157">
        <v>0</v>
      </c>
      <c r="BO57" s="1157">
        <v>0</v>
      </c>
      <c r="BP57" s="1157">
        <v>0</v>
      </c>
      <c r="BQ57" s="1157">
        <v>0</v>
      </c>
      <c r="BR57" s="1157">
        <v>0</v>
      </c>
      <c r="BS57" s="1157">
        <v>0</v>
      </c>
      <c r="BT57" s="1157">
        <v>2701000</v>
      </c>
      <c r="BU57" s="1157">
        <v>11510482</v>
      </c>
      <c r="BV57" s="1157">
        <v>0</v>
      </c>
      <c r="BW57" s="1157">
        <v>0</v>
      </c>
      <c r="BX57" s="1157">
        <v>0</v>
      </c>
      <c r="BY57" s="1157">
        <v>0</v>
      </c>
      <c r="BZ57" s="1157">
        <v>0</v>
      </c>
      <c r="CA57" s="1157">
        <v>0</v>
      </c>
      <c r="CB57" s="1157">
        <v>0</v>
      </c>
      <c r="CC57" s="1148">
        <v>0</v>
      </c>
      <c r="CD57" s="1148">
        <v>0</v>
      </c>
      <c r="CE57" s="1148">
        <v>0</v>
      </c>
      <c r="CF57" s="1148">
        <v>0</v>
      </c>
    </row>
    <row r="58" spans="1:84" s="1148" customFormat="1" x14ac:dyDescent="0.3">
      <c r="A58" s="1153">
        <v>98</v>
      </c>
      <c r="B58" s="1154">
        <v>98</v>
      </c>
      <c r="C58" s="1228">
        <v>98</v>
      </c>
      <c r="D58" s="1146" t="s">
        <v>241</v>
      </c>
      <c r="E58" s="1155" t="s">
        <v>362</v>
      </c>
      <c r="F58" s="1156">
        <v>0</v>
      </c>
      <c r="G58" s="1156">
        <v>0</v>
      </c>
      <c r="H58" s="1156">
        <v>0</v>
      </c>
      <c r="I58" s="1156">
        <v>0</v>
      </c>
      <c r="J58" s="1156">
        <v>0</v>
      </c>
      <c r="K58" s="1156">
        <v>0</v>
      </c>
      <c r="L58" s="1157">
        <v>0</v>
      </c>
      <c r="M58" s="1157">
        <v>0</v>
      </c>
      <c r="N58" s="1157">
        <v>0</v>
      </c>
      <c r="O58" s="1157">
        <v>0</v>
      </c>
      <c r="P58" s="1157">
        <v>0</v>
      </c>
      <c r="Q58" s="1157">
        <v>0</v>
      </c>
      <c r="R58" s="1157">
        <v>0</v>
      </c>
      <c r="S58" s="1157">
        <v>622180</v>
      </c>
      <c r="T58" s="1157">
        <v>0</v>
      </c>
      <c r="U58" s="1157">
        <v>0</v>
      </c>
      <c r="V58" s="1157">
        <v>0</v>
      </c>
      <c r="W58" s="1157">
        <v>0</v>
      </c>
      <c r="X58" s="1157">
        <v>6460</v>
      </c>
      <c r="Y58" s="1157">
        <v>0</v>
      </c>
      <c r="Z58" s="1157">
        <v>0</v>
      </c>
      <c r="AA58" s="1157">
        <v>0</v>
      </c>
      <c r="AB58" s="1157">
        <v>0</v>
      </c>
      <c r="AC58" s="1157">
        <v>0</v>
      </c>
      <c r="AD58" s="1157">
        <v>0</v>
      </c>
      <c r="AE58" s="1157">
        <v>0</v>
      </c>
      <c r="AF58" s="1157">
        <v>0</v>
      </c>
      <c r="AG58" s="1157">
        <v>0</v>
      </c>
      <c r="AH58" s="1157">
        <v>0</v>
      </c>
      <c r="AI58" s="1157">
        <v>0</v>
      </c>
      <c r="AJ58" s="1157">
        <v>0</v>
      </c>
      <c r="AK58" s="1157">
        <v>160564</v>
      </c>
      <c r="AL58" s="1157">
        <v>0</v>
      </c>
      <c r="AM58" s="1157">
        <v>0</v>
      </c>
      <c r="AN58" s="1157">
        <v>0</v>
      </c>
      <c r="AO58" s="1157">
        <v>126699</v>
      </c>
      <c r="AP58" s="1157">
        <v>0</v>
      </c>
      <c r="AQ58" s="1157">
        <v>0</v>
      </c>
      <c r="AR58" s="1157">
        <v>0</v>
      </c>
      <c r="AS58" s="1157">
        <v>0</v>
      </c>
      <c r="AT58" s="1157">
        <v>0</v>
      </c>
      <c r="AU58" s="1157">
        <v>0</v>
      </c>
      <c r="AV58" s="1157">
        <v>0</v>
      </c>
      <c r="AW58" s="1157">
        <v>0</v>
      </c>
      <c r="AX58" s="1157">
        <v>0</v>
      </c>
      <c r="AY58" s="1157">
        <v>0</v>
      </c>
      <c r="AZ58" s="1157">
        <v>0</v>
      </c>
      <c r="BA58" s="1157">
        <v>0</v>
      </c>
      <c r="BB58" s="1157">
        <v>0</v>
      </c>
      <c r="BC58" s="1157">
        <v>0</v>
      </c>
      <c r="BD58" s="1157">
        <v>0</v>
      </c>
      <c r="BE58" s="1157">
        <v>0</v>
      </c>
      <c r="BF58" s="1157">
        <v>0</v>
      </c>
      <c r="BG58" s="1157">
        <v>0</v>
      </c>
      <c r="BH58" s="1157">
        <v>0</v>
      </c>
      <c r="BI58" s="1157">
        <v>0</v>
      </c>
      <c r="BJ58" s="1157">
        <v>0</v>
      </c>
      <c r="BK58" s="1157">
        <v>0</v>
      </c>
      <c r="BL58" s="1157">
        <v>0</v>
      </c>
      <c r="BM58" s="1157">
        <v>0</v>
      </c>
      <c r="BN58" s="1157">
        <v>0</v>
      </c>
      <c r="BO58" s="1157">
        <v>0</v>
      </c>
      <c r="BP58" s="1157">
        <v>0</v>
      </c>
      <c r="BQ58" s="1157">
        <v>0</v>
      </c>
      <c r="BR58" s="1157">
        <v>0</v>
      </c>
      <c r="BS58" s="1157">
        <v>0</v>
      </c>
      <c r="BT58" s="1157">
        <v>1454</v>
      </c>
      <c r="BU58" s="1157">
        <v>0</v>
      </c>
      <c r="BV58" s="1157">
        <v>0</v>
      </c>
      <c r="BW58" s="1157">
        <v>0</v>
      </c>
      <c r="BX58" s="1157">
        <v>0</v>
      </c>
      <c r="BY58" s="1157">
        <v>0</v>
      </c>
      <c r="BZ58" s="1157">
        <v>0</v>
      </c>
      <c r="CA58" s="1157">
        <v>0</v>
      </c>
      <c r="CB58" s="1157">
        <v>0</v>
      </c>
      <c r="CC58" s="1148">
        <v>0</v>
      </c>
      <c r="CD58" s="1148">
        <v>0</v>
      </c>
      <c r="CE58" s="1148">
        <v>0</v>
      </c>
      <c r="CF58" s="1148">
        <v>0</v>
      </c>
    </row>
    <row r="59" spans="1:84" s="1148" customFormat="1" x14ac:dyDescent="0.3">
      <c r="A59" s="1153">
        <v>99</v>
      </c>
      <c r="B59" s="1154">
        <v>99</v>
      </c>
      <c r="C59" s="1228">
        <v>99</v>
      </c>
      <c r="D59" s="1146" t="s">
        <v>238</v>
      </c>
      <c r="E59" s="1155" t="s">
        <v>363</v>
      </c>
      <c r="F59" s="1156">
        <v>0</v>
      </c>
      <c r="G59" s="1156">
        <v>0</v>
      </c>
      <c r="H59" s="1156">
        <v>0</v>
      </c>
      <c r="I59" s="1156">
        <v>0</v>
      </c>
      <c r="J59" s="1156">
        <v>0</v>
      </c>
      <c r="K59" s="1156">
        <v>0</v>
      </c>
      <c r="L59" s="1157">
        <v>0</v>
      </c>
      <c r="M59" s="1157">
        <v>0</v>
      </c>
      <c r="N59" s="1157">
        <v>0</v>
      </c>
      <c r="O59" s="1157">
        <v>0</v>
      </c>
      <c r="P59" s="1157">
        <v>0</v>
      </c>
      <c r="Q59" s="1157">
        <v>0</v>
      </c>
      <c r="R59" s="1157">
        <v>0</v>
      </c>
      <c r="S59" s="1157">
        <v>47575011</v>
      </c>
      <c r="T59" s="1157">
        <v>0</v>
      </c>
      <c r="U59" s="1157">
        <v>0</v>
      </c>
      <c r="V59" s="1157">
        <v>0</v>
      </c>
      <c r="W59" s="1157">
        <v>0</v>
      </c>
      <c r="X59" s="1157">
        <v>23326457</v>
      </c>
      <c r="Y59" s="1157">
        <v>0</v>
      </c>
      <c r="Z59" s="1157">
        <v>0</v>
      </c>
      <c r="AA59" s="1157">
        <v>0</v>
      </c>
      <c r="AB59" s="1157">
        <v>0</v>
      </c>
      <c r="AC59" s="1157">
        <v>0</v>
      </c>
      <c r="AD59" s="1157">
        <v>0</v>
      </c>
      <c r="AE59" s="1157">
        <v>0</v>
      </c>
      <c r="AF59" s="1157">
        <v>0</v>
      </c>
      <c r="AG59" s="1157">
        <v>0</v>
      </c>
      <c r="AH59" s="1157">
        <v>0</v>
      </c>
      <c r="AI59" s="1157">
        <v>0</v>
      </c>
      <c r="AJ59" s="1157">
        <v>0</v>
      </c>
      <c r="AK59" s="1157">
        <v>36811350</v>
      </c>
      <c r="AL59" s="1157">
        <v>0</v>
      </c>
      <c r="AM59" s="1157">
        <v>0</v>
      </c>
      <c r="AN59" s="1157">
        <v>0</v>
      </c>
      <c r="AO59" s="1157">
        <v>10667917</v>
      </c>
      <c r="AP59" s="1157">
        <v>0</v>
      </c>
      <c r="AQ59" s="1157">
        <v>0</v>
      </c>
      <c r="AR59" s="1157">
        <v>0</v>
      </c>
      <c r="AS59" s="1157">
        <v>0</v>
      </c>
      <c r="AT59" s="1157">
        <v>0</v>
      </c>
      <c r="AU59" s="1157">
        <v>0</v>
      </c>
      <c r="AV59" s="1157">
        <v>0</v>
      </c>
      <c r="AW59" s="1157">
        <v>0</v>
      </c>
      <c r="AX59" s="1157">
        <v>0</v>
      </c>
      <c r="AY59" s="1157">
        <v>0</v>
      </c>
      <c r="AZ59" s="1157">
        <v>0</v>
      </c>
      <c r="BA59" s="1157">
        <v>0</v>
      </c>
      <c r="BB59" s="1157">
        <v>0</v>
      </c>
      <c r="BC59" s="1157">
        <v>0</v>
      </c>
      <c r="BD59" s="1157">
        <v>0</v>
      </c>
      <c r="BE59" s="1157">
        <v>0</v>
      </c>
      <c r="BF59" s="1157">
        <v>0</v>
      </c>
      <c r="BG59" s="1157">
        <v>0</v>
      </c>
      <c r="BH59" s="1157">
        <v>0</v>
      </c>
      <c r="BI59" s="1157">
        <v>0</v>
      </c>
      <c r="BJ59" s="1157">
        <v>0</v>
      </c>
      <c r="BK59" s="1157">
        <v>0</v>
      </c>
      <c r="BL59" s="1157">
        <v>0</v>
      </c>
      <c r="BM59" s="1157">
        <v>0</v>
      </c>
      <c r="BN59" s="1157">
        <v>0</v>
      </c>
      <c r="BO59" s="1157">
        <v>0</v>
      </c>
      <c r="BP59" s="1157">
        <v>0</v>
      </c>
      <c r="BQ59" s="1157">
        <v>0</v>
      </c>
      <c r="BR59" s="1157">
        <v>0</v>
      </c>
      <c r="BS59" s="1157">
        <v>0</v>
      </c>
      <c r="BT59" s="1157">
        <v>1495562</v>
      </c>
      <c r="BU59" s="1157">
        <v>8722913</v>
      </c>
      <c r="BV59" s="1157">
        <v>0</v>
      </c>
      <c r="BW59" s="1157">
        <v>0</v>
      </c>
      <c r="BX59" s="1157">
        <v>0</v>
      </c>
      <c r="BY59" s="1157">
        <v>0</v>
      </c>
      <c r="BZ59" s="1157">
        <v>0</v>
      </c>
      <c r="CA59" s="1157">
        <v>0</v>
      </c>
      <c r="CB59" s="1157">
        <v>0</v>
      </c>
      <c r="CC59" s="1148">
        <v>0</v>
      </c>
      <c r="CD59" s="1148">
        <v>0</v>
      </c>
      <c r="CE59" s="1148">
        <v>0</v>
      </c>
      <c r="CF59" s="1148">
        <v>0</v>
      </c>
    </row>
    <row r="60" spans="1:84" s="1148" customFormat="1" x14ac:dyDescent="0.3">
      <c r="A60" s="1153">
        <v>100</v>
      </c>
      <c r="B60" s="1154">
        <v>100</v>
      </c>
      <c r="C60" s="1228">
        <v>100</v>
      </c>
      <c r="D60" s="1146" t="s">
        <v>251</v>
      </c>
      <c r="E60" s="1155" t="s">
        <v>364</v>
      </c>
      <c r="F60" s="1156">
        <v>0</v>
      </c>
      <c r="G60" s="1156">
        <v>0</v>
      </c>
      <c r="H60" s="1156">
        <v>0</v>
      </c>
      <c r="I60" s="1156">
        <v>0</v>
      </c>
      <c r="J60" s="1156">
        <v>0</v>
      </c>
      <c r="K60" s="1156">
        <v>0</v>
      </c>
      <c r="L60" s="1157">
        <v>0</v>
      </c>
      <c r="M60" s="1157">
        <v>0</v>
      </c>
      <c r="N60" s="1157">
        <v>0</v>
      </c>
      <c r="O60" s="1157">
        <v>0</v>
      </c>
      <c r="P60" s="1157">
        <v>0</v>
      </c>
      <c r="Q60" s="1157">
        <v>0</v>
      </c>
      <c r="R60" s="1157">
        <v>0</v>
      </c>
      <c r="S60" s="1157">
        <v>747270</v>
      </c>
      <c r="T60" s="1157">
        <v>0</v>
      </c>
      <c r="U60" s="1157">
        <v>0</v>
      </c>
      <c r="V60" s="1157">
        <v>0</v>
      </c>
      <c r="W60" s="1157">
        <v>0</v>
      </c>
      <c r="X60" s="1157">
        <v>159151</v>
      </c>
      <c r="Y60" s="1157">
        <v>0</v>
      </c>
      <c r="Z60" s="1157">
        <v>0</v>
      </c>
      <c r="AA60" s="1157">
        <v>0</v>
      </c>
      <c r="AB60" s="1157">
        <v>0</v>
      </c>
      <c r="AC60" s="1157">
        <v>0</v>
      </c>
      <c r="AD60" s="1157">
        <v>0</v>
      </c>
      <c r="AE60" s="1157">
        <v>0</v>
      </c>
      <c r="AF60" s="1157">
        <v>0</v>
      </c>
      <c r="AG60" s="1157">
        <v>0</v>
      </c>
      <c r="AH60" s="1157">
        <v>0</v>
      </c>
      <c r="AI60" s="1157">
        <v>0</v>
      </c>
      <c r="AJ60" s="1157">
        <v>0</v>
      </c>
      <c r="AK60" s="1157">
        <v>1712556</v>
      </c>
      <c r="AL60" s="1157">
        <v>0</v>
      </c>
      <c r="AM60" s="1157">
        <v>0</v>
      </c>
      <c r="AN60" s="1157">
        <v>0</v>
      </c>
      <c r="AO60" s="1157">
        <v>813277</v>
      </c>
      <c r="AP60" s="1157">
        <v>0</v>
      </c>
      <c r="AQ60" s="1157">
        <v>0</v>
      </c>
      <c r="AR60" s="1157">
        <v>0</v>
      </c>
      <c r="AS60" s="1157">
        <v>0</v>
      </c>
      <c r="AT60" s="1157">
        <v>0</v>
      </c>
      <c r="AU60" s="1157">
        <v>0</v>
      </c>
      <c r="AV60" s="1157">
        <v>0</v>
      </c>
      <c r="AW60" s="1157">
        <v>0</v>
      </c>
      <c r="AX60" s="1157">
        <v>0</v>
      </c>
      <c r="AY60" s="1157">
        <v>0</v>
      </c>
      <c r="AZ60" s="1157">
        <v>0</v>
      </c>
      <c r="BA60" s="1157">
        <v>0</v>
      </c>
      <c r="BB60" s="1157">
        <v>0</v>
      </c>
      <c r="BC60" s="1157">
        <v>0</v>
      </c>
      <c r="BD60" s="1157">
        <v>0</v>
      </c>
      <c r="BE60" s="1157">
        <v>0</v>
      </c>
      <c r="BF60" s="1157">
        <v>0</v>
      </c>
      <c r="BG60" s="1157">
        <v>0</v>
      </c>
      <c r="BH60" s="1157">
        <v>0</v>
      </c>
      <c r="BI60" s="1157">
        <v>0</v>
      </c>
      <c r="BJ60" s="1157">
        <v>0</v>
      </c>
      <c r="BK60" s="1157">
        <v>0</v>
      </c>
      <c r="BL60" s="1157">
        <v>0</v>
      </c>
      <c r="BM60" s="1157">
        <v>0</v>
      </c>
      <c r="BN60" s="1157">
        <v>0</v>
      </c>
      <c r="BO60" s="1157">
        <v>0</v>
      </c>
      <c r="BP60" s="1157">
        <v>0</v>
      </c>
      <c r="BQ60" s="1157">
        <v>0</v>
      </c>
      <c r="BR60" s="1157">
        <v>0</v>
      </c>
      <c r="BS60" s="1157">
        <v>0</v>
      </c>
      <c r="BT60" s="1157">
        <v>6603</v>
      </c>
      <c r="BU60" s="1157">
        <v>0</v>
      </c>
      <c r="BV60" s="1157">
        <v>0</v>
      </c>
      <c r="BW60" s="1157">
        <v>0</v>
      </c>
      <c r="BX60" s="1157">
        <v>0</v>
      </c>
      <c r="BY60" s="1157">
        <v>0</v>
      </c>
      <c r="BZ60" s="1157">
        <v>0</v>
      </c>
      <c r="CA60" s="1157">
        <v>0</v>
      </c>
      <c r="CB60" s="1157">
        <v>0</v>
      </c>
      <c r="CC60" s="1148">
        <v>0</v>
      </c>
      <c r="CD60" s="1148">
        <v>0</v>
      </c>
      <c r="CE60" s="1148">
        <v>0</v>
      </c>
      <c r="CF60" s="1148">
        <v>0</v>
      </c>
    </row>
    <row r="61" spans="1:84" s="1148" customFormat="1" x14ac:dyDescent="0.3">
      <c r="A61" s="1153">
        <v>101</v>
      </c>
      <c r="B61" s="1154">
        <v>101</v>
      </c>
      <c r="C61" s="1228">
        <v>101</v>
      </c>
      <c r="D61" s="1146" t="s">
        <v>250</v>
      </c>
      <c r="E61" s="1155" t="s">
        <v>365</v>
      </c>
      <c r="F61" s="1156">
        <v>0</v>
      </c>
      <c r="G61" s="1156">
        <v>0</v>
      </c>
      <c r="H61" s="1156">
        <v>0</v>
      </c>
      <c r="I61" s="1156">
        <v>0</v>
      </c>
      <c r="J61" s="1156">
        <v>0</v>
      </c>
      <c r="K61" s="1156">
        <v>0</v>
      </c>
      <c r="L61" s="1157">
        <v>0</v>
      </c>
      <c r="M61" s="1157">
        <v>0</v>
      </c>
      <c r="N61" s="1157">
        <v>0</v>
      </c>
      <c r="O61" s="1157">
        <v>0</v>
      </c>
      <c r="P61" s="1157">
        <v>0</v>
      </c>
      <c r="Q61" s="1157">
        <v>0</v>
      </c>
      <c r="R61" s="1157">
        <v>0</v>
      </c>
      <c r="S61" s="1157">
        <v>2417827</v>
      </c>
      <c r="T61" s="1157">
        <v>0</v>
      </c>
      <c r="U61" s="1157">
        <v>0</v>
      </c>
      <c r="V61" s="1157">
        <v>0</v>
      </c>
      <c r="W61" s="1157">
        <v>0</v>
      </c>
      <c r="X61" s="1157">
        <v>1033341</v>
      </c>
      <c r="Y61" s="1157">
        <v>0</v>
      </c>
      <c r="Z61" s="1157">
        <v>0</v>
      </c>
      <c r="AA61" s="1157">
        <v>0</v>
      </c>
      <c r="AB61" s="1157">
        <v>0</v>
      </c>
      <c r="AC61" s="1157">
        <v>0</v>
      </c>
      <c r="AD61" s="1157">
        <v>0</v>
      </c>
      <c r="AE61" s="1157">
        <v>0</v>
      </c>
      <c r="AF61" s="1157">
        <v>0</v>
      </c>
      <c r="AG61" s="1157">
        <v>0</v>
      </c>
      <c r="AH61" s="1157">
        <v>0</v>
      </c>
      <c r="AI61" s="1157">
        <v>0</v>
      </c>
      <c r="AJ61" s="1157">
        <v>0</v>
      </c>
      <c r="AK61" s="1157">
        <v>2471632</v>
      </c>
      <c r="AL61" s="1157">
        <v>0</v>
      </c>
      <c r="AM61" s="1157">
        <v>0</v>
      </c>
      <c r="AN61" s="1157">
        <v>0</v>
      </c>
      <c r="AO61" s="1157">
        <v>606169</v>
      </c>
      <c r="AP61" s="1157">
        <v>0</v>
      </c>
      <c r="AQ61" s="1157">
        <v>0</v>
      </c>
      <c r="AR61" s="1157">
        <v>0</v>
      </c>
      <c r="AS61" s="1157">
        <v>0</v>
      </c>
      <c r="AT61" s="1157">
        <v>0</v>
      </c>
      <c r="AU61" s="1157">
        <v>0</v>
      </c>
      <c r="AV61" s="1157">
        <v>0</v>
      </c>
      <c r="AW61" s="1157">
        <v>0</v>
      </c>
      <c r="AX61" s="1157">
        <v>0</v>
      </c>
      <c r="AY61" s="1157">
        <v>0</v>
      </c>
      <c r="AZ61" s="1157">
        <v>0</v>
      </c>
      <c r="BA61" s="1157">
        <v>0</v>
      </c>
      <c r="BB61" s="1157">
        <v>0</v>
      </c>
      <c r="BC61" s="1157">
        <v>0</v>
      </c>
      <c r="BD61" s="1157">
        <v>0</v>
      </c>
      <c r="BE61" s="1157">
        <v>0</v>
      </c>
      <c r="BF61" s="1157">
        <v>0</v>
      </c>
      <c r="BG61" s="1157">
        <v>0</v>
      </c>
      <c r="BH61" s="1157">
        <v>0</v>
      </c>
      <c r="BI61" s="1157">
        <v>0</v>
      </c>
      <c r="BJ61" s="1157">
        <v>0</v>
      </c>
      <c r="BK61" s="1157">
        <v>0</v>
      </c>
      <c r="BL61" s="1157">
        <v>0</v>
      </c>
      <c r="BM61" s="1157">
        <v>0</v>
      </c>
      <c r="BN61" s="1157">
        <v>0</v>
      </c>
      <c r="BO61" s="1157">
        <v>0</v>
      </c>
      <c r="BP61" s="1157">
        <v>0</v>
      </c>
      <c r="BQ61" s="1157">
        <v>0</v>
      </c>
      <c r="BR61" s="1157">
        <v>0</v>
      </c>
      <c r="BS61" s="1157">
        <v>0</v>
      </c>
      <c r="BT61" s="1157">
        <v>0</v>
      </c>
      <c r="BU61" s="1157">
        <v>1019916</v>
      </c>
      <c r="BV61" s="1157">
        <v>0</v>
      </c>
      <c r="BW61" s="1157">
        <v>0</v>
      </c>
      <c r="BX61" s="1157">
        <v>0</v>
      </c>
      <c r="BY61" s="1157">
        <v>0</v>
      </c>
      <c r="BZ61" s="1157">
        <v>0</v>
      </c>
      <c r="CA61" s="1157">
        <v>0</v>
      </c>
      <c r="CB61" s="1157">
        <v>0</v>
      </c>
      <c r="CC61" s="1148">
        <v>0</v>
      </c>
      <c r="CD61" s="1148">
        <v>0</v>
      </c>
      <c r="CE61" s="1148">
        <v>0</v>
      </c>
      <c r="CF61" s="1148">
        <v>0</v>
      </c>
    </row>
    <row r="62" spans="1:84" s="1164" customFormat="1" x14ac:dyDescent="0.3">
      <c r="A62" s="1153">
        <v>102</v>
      </c>
      <c r="B62" s="1154">
        <v>102</v>
      </c>
      <c r="C62" s="1228">
        <v>102</v>
      </c>
      <c r="D62" s="1146" t="s">
        <v>269</v>
      </c>
      <c r="E62" s="1160" t="s">
        <v>366</v>
      </c>
      <c r="F62" s="1161">
        <v>0</v>
      </c>
      <c r="G62" s="1161">
        <v>98.37</v>
      </c>
      <c r="H62" s="1161">
        <v>98.17</v>
      </c>
      <c r="I62" s="1161">
        <v>97.16</v>
      </c>
      <c r="J62" s="1161">
        <v>97.38</v>
      </c>
      <c r="K62" s="1161">
        <v>98.9</v>
      </c>
      <c r="L62" s="1162">
        <v>96.35</v>
      </c>
      <c r="M62" s="1162">
        <v>99.34</v>
      </c>
      <c r="N62" s="1162">
        <v>97.79</v>
      </c>
      <c r="O62" s="1162">
        <v>99.02</v>
      </c>
      <c r="P62" s="1162">
        <v>96.03</v>
      </c>
      <c r="Q62" s="1162">
        <v>99.01</v>
      </c>
      <c r="R62" s="1162">
        <v>99.35</v>
      </c>
      <c r="S62" s="1162">
        <v>99.11</v>
      </c>
      <c r="T62" s="1162">
        <v>0</v>
      </c>
      <c r="U62" s="1162">
        <v>0</v>
      </c>
      <c r="V62" s="1162">
        <v>99.33</v>
      </c>
      <c r="W62" s="1162">
        <v>98.58</v>
      </c>
      <c r="X62" s="1162">
        <v>97.92</v>
      </c>
      <c r="Y62" s="1162">
        <v>99.63</v>
      </c>
      <c r="Z62" s="1162">
        <v>79.319999999999993</v>
      </c>
      <c r="AA62" s="1162">
        <v>98.44</v>
      </c>
      <c r="AB62" s="1162">
        <v>93.89</v>
      </c>
      <c r="AC62" s="1162">
        <v>98.99</v>
      </c>
      <c r="AD62" s="1162">
        <v>96.96</v>
      </c>
      <c r="AE62" s="1162">
        <v>99.63</v>
      </c>
      <c r="AF62" s="1162">
        <v>95.46</v>
      </c>
      <c r="AG62" s="1162">
        <v>93.17</v>
      </c>
      <c r="AH62" s="1162">
        <v>99.87</v>
      </c>
      <c r="AI62" s="1162">
        <v>97.96</v>
      </c>
      <c r="AJ62" s="1162">
        <v>93.24</v>
      </c>
      <c r="AK62" s="1162">
        <v>98.99</v>
      </c>
      <c r="AL62" s="1162">
        <v>99.79</v>
      </c>
      <c r="AM62" s="1162">
        <v>92.86</v>
      </c>
      <c r="AN62" s="1162">
        <v>0</v>
      </c>
      <c r="AO62" s="1162">
        <v>97.99</v>
      </c>
      <c r="AP62" s="1162">
        <v>0</v>
      </c>
      <c r="AQ62" s="1162">
        <v>93.62</v>
      </c>
      <c r="AR62" s="1162">
        <v>0</v>
      </c>
      <c r="AS62" s="1162">
        <v>99.14</v>
      </c>
      <c r="AT62" s="1162">
        <v>96.67</v>
      </c>
      <c r="AU62" s="1162">
        <v>91.92</v>
      </c>
      <c r="AV62" s="1162">
        <v>97.63</v>
      </c>
      <c r="AW62" s="1162">
        <v>0</v>
      </c>
      <c r="AX62" s="1162">
        <v>99.01</v>
      </c>
      <c r="AY62" s="1162">
        <v>99.44</v>
      </c>
      <c r="AZ62" s="1162">
        <v>97.08</v>
      </c>
      <c r="BA62" s="1162">
        <v>96.49</v>
      </c>
      <c r="BB62" s="1162">
        <v>99.36</v>
      </c>
      <c r="BC62" s="1162">
        <v>95.73</v>
      </c>
      <c r="BD62" s="1162">
        <v>0</v>
      </c>
      <c r="BE62" s="1162">
        <v>97.91</v>
      </c>
      <c r="BF62" s="1162">
        <v>98.04</v>
      </c>
      <c r="BG62" s="1162">
        <v>98.28</v>
      </c>
      <c r="BH62" s="1162">
        <v>92.86</v>
      </c>
      <c r="BI62" s="1162">
        <v>74.400000000000006</v>
      </c>
      <c r="BJ62" s="1162">
        <v>98.01</v>
      </c>
      <c r="BK62" s="1162">
        <v>92.75</v>
      </c>
      <c r="BL62" s="1162">
        <v>96.72</v>
      </c>
      <c r="BM62" s="1162">
        <v>93.03</v>
      </c>
      <c r="BN62" s="1162">
        <v>0</v>
      </c>
      <c r="BO62" s="1162">
        <v>97.93</v>
      </c>
      <c r="BP62" s="1162">
        <v>99.91</v>
      </c>
      <c r="BQ62" s="1162">
        <v>99.7</v>
      </c>
      <c r="BR62" s="1162">
        <v>99.62</v>
      </c>
      <c r="BS62" s="1162">
        <v>99.92</v>
      </c>
      <c r="BT62" s="1162">
        <v>89.99</v>
      </c>
      <c r="BU62" s="1162">
        <v>98.76</v>
      </c>
      <c r="BV62" s="1162">
        <v>95.86</v>
      </c>
      <c r="BW62" s="1162">
        <v>98.48</v>
      </c>
      <c r="BX62" s="1162">
        <v>98.71</v>
      </c>
      <c r="BY62" s="1162">
        <v>0</v>
      </c>
      <c r="BZ62" s="1162">
        <v>91.97</v>
      </c>
      <c r="CA62" s="1162">
        <v>99.62</v>
      </c>
      <c r="CB62" s="1162">
        <v>92.62</v>
      </c>
      <c r="CC62" s="1164">
        <v>97.52</v>
      </c>
      <c r="CD62" s="1164">
        <v>98.98</v>
      </c>
      <c r="CE62" s="1164">
        <v>0</v>
      </c>
      <c r="CF62" s="1164">
        <v>96.45</v>
      </c>
    </row>
    <row r="63" spans="1:84" s="1164" customFormat="1" x14ac:dyDescent="0.3">
      <c r="A63" s="1153">
        <v>103</v>
      </c>
      <c r="B63" s="1154">
        <v>103</v>
      </c>
      <c r="C63" s="1228">
        <v>103</v>
      </c>
      <c r="D63" s="1146" t="s">
        <v>270</v>
      </c>
      <c r="E63" s="1160" t="s">
        <v>367</v>
      </c>
      <c r="F63" s="1161">
        <v>0</v>
      </c>
      <c r="G63" s="1161">
        <v>100</v>
      </c>
      <c r="H63" s="1161">
        <v>100</v>
      </c>
      <c r="I63" s="1161">
        <v>99.7</v>
      </c>
      <c r="J63" s="1161">
        <v>0</v>
      </c>
      <c r="K63" s="1161">
        <v>100</v>
      </c>
      <c r="L63" s="1162">
        <v>100</v>
      </c>
      <c r="M63" s="1162">
        <v>100</v>
      </c>
      <c r="N63" s="1162">
        <v>100</v>
      </c>
      <c r="O63" s="1162">
        <v>100</v>
      </c>
      <c r="P63" s="1162">
        <v>99.29</v>
      </c>
      <c r="Q63" s="1162">
        <v>100</v>
      </c>
      <c r="R63" s="1162">
        <v>100</v>
      </c>
      <c r="S63" s="1162">
        <v>100</v>
      </c>
      <c r="T63" s="1162">
        <v>0</v>
      </c>
      <c r="U63" s="1162">
        <v>0</v>
      </c>
      <c r="V63" s="1162">
        <v>99.18</v>
      </c>
      <c r="W63" s="1162">
        <v>100</v>
      </c>
      <c r="X63" s="1162">
        <v>100</v>
      </c>
      <c r="Y63" s="1162">
        <v>100</v>
      </c>
      <c r="Z63" s="1162">
        <v>100</v>
      </c>
      <c r="AA63" s="1162">
        <v>99.17</v>
      </c>
      <c r="AB63" s="1162">
        <v>100</v>
      </c>
      <c r="AC63" s="1162">
        <v>100</v>
      </c>
      <c r="AD63" s="1162">
        <v>100</v>
      </c>
      <c r="AE63" s="1162">
        <v>100</v>
      </c>
      <c r="AF63" s="1162">
        <v>100</v>
      </c>
      <c r="AG63" s="1162">
        <v>98.8</v>
      </c>
      <c r="AH63" s="1162">
        <v>100</v>
      </c>
      <c r="AI63" s="1162">
        <v>100</v>
      </c>
      <c r="AJ63" s="1162">
        <v>100</v>
      </c>
      <c r="AK63" s="1162">
        <v>100</v>
      </c>
      <c r="AL63" s="1162">
        <v>100</v>
      </c>
      <c r="AM63" s="1162">
        <v>91.21</v>
      </c>
      <c r="AN63" s="1162">
        <v>0</v>
      </c>
      <c r="AO63" s="1162">
        <v>99.9</v>
      </c>
      <c r="AP63" s="1162">
        <v>0</v>
      </c>
      <c r="AQ63" s="1162">
        <v>100</v>
      </c>
      <c r="AR63" s="1162">
        <v>0</v>
      </c>
      <c r="AS63" s="1162">
        <v>100</v>
      </c>
      <c r="AT63" s="1162">
        <v>100</v>
      </c>
      <c r="AU63" s="1162">
        <v>100</v>
      </c>
      <c r="AV63" s="1162">
        <v>99.75</v>
      </c>
      <c r="AW63" s="1162">
        <v>0</v>
      </c>
      <c r="AX63" s="1162">
        <v>100</v>
      </c>
      <c r="AY63" s="1162">
        <v>100</v>
      </c>
      <c r="AZ63" s="1162">
        <v>100</v>
      </c>
      <c r="BA63" s="1162">
        <v>100</v>
      </c>
      <c r="BB63" s="1162">
        <v>100</v>
      </c>
      <c r="BC63" s="1162">
        <v>100</v>
      </c>
      <c r="BD63" s="1162">
        <v>0</v>
      </c>
      <c r="BE63" s="1162">
        <v>100</v>
      </c>
      <c r="BF63" s="1162">
        <v>99.86</v>
      </c>
      <c r="BG63" s="1162">
        <v>100</v>
      </c>
      <c r="BH63" s="1162">
        <v>100</v>
      </c>
      <c r="BI63" s="1162">
        <v>100</v>
      </c>
      <c r="BJ63" s="1162">
        <v>100</v>
      </c>
      <c r="BK63" s="1162">
        <v>100</v>
      </c>
      <c r="BL63" s="1162">
        <v>100</v>
      </c>
      <c r="BM63" s="1162">
        <v>99.37</v>
      </c>
      <c r="BN63" s="1162">
        <v>0</v>
      </c>
      <c r="BO63" s="1162">
        <v>100</v>
      </c>
      <c r="BP63" s="1162">
        <v>99.77</v>
      </c>
      <c r="BQ63" s="1162">
        <v>100</v>
      </c>
      <c r="BR63" s="1162">
        <v>100</v>
      </c>
      <c r="BS63" s="1162">
        <v>100</v>
      </c>
      <c r="BT63" s="1162">
        <v>100</v>
      </c>
      <c r="BU63" s="1162">
        <v>100</v>
      </c>
      <c r="BV63" s="1162">
        <v>100</v>
      </c>
      <c r="BW63" s="1162">
        <v>100</v>
      </c>
      <c r="BX63" s="1162">
        <v>100</v>
      </c>
      <c r="BY63" s="1162">
        <v>0</v>
      </c>
      <c r="BZ63" s="1162">
        <v>100</v>
      </c>
      <c r="CA63" s="1162">
        <v>100</v>
      </c>
      <c r="CB63" s="1162">
        <v>100</v>
      </c>
      <c r="CC63" s="1164">
        <v>99.67</v>
      </c>
      <c r="CD63" s="1164">
        <v>100</v>
      </c>
      <c r="CE63" s="1164">
        <v>0</v>
      </c>
      <c r="CF63" s="1164">
        <v>100</v>
      </c>
    </row>
    <row r="64" spans="1:84" s="1148" customFormat="1" x14ac:dyDescent="0.3">
      <c r="A64" s="1146">
        <v>104</v>
      </c>
      <c r="B64" s="1154"/>
      <c r="C64" s="1143">
        <v>104</v>
      </c>
      <c r="D64" s="1146" t="s">
        <v>368</v>
      </c>
      <c r="E64" s="1155" t="s">
        <v>369</v>
      </c>
      <c r="F64" s="1156">
        <v>0</v>
      </c>
      <c r="G64" s="1156">
        <v>0</v>
      </c>
      <c r="H64" s="1156">
        <v>0</v>
      </c>
      <c r="I64" s="1156">
        <v>0</v>
      </c>
      <c r="J64" s="1156">
        <v>0</v>
      </c>
      <c r="K64" s="1156">
        <v>0</v>
      </c>
      <c r="L64" s="1157">
        <v>0</v>
      </c>
      <c r="M64" s="1157">
        <v>0</v>
      </c>
      <c r="N64" s="1157">
        <v>0</v>
      </c>
      <c r="O64" s="1157">
        <v>0</v>
      </c>
      <c r="P64" s="1157">
        <v>0</v>
      </c>
      <c r="Q64" s="1157">
        <v>0</v>
      </c>
      <c r="R64" s="1157">
        <v>0</v>
      </c>
      <c r="S64" s="1157">
        <v>0</v>
      </c>
      <c r="T64" s="1157">
        <v>0</v>
      </c>
      <c r="U64" s="1157">
        <v>0</v>
      </c>
      <c r="V64" s="1157">
        <v>0</v>
      </c>
      <c r="W64" s="1157">
        <v>0</v>
      </c>
      <c r="X64" s="1157">
        <v>0</v>
      </c>
      <c r="Y64" s="1157">
        <v>0</v>
      </c>
      <c r="Z64" s="1157">
        <v>0</v>
      </c>
      <c r="AA64" s="1157">
        <v>0</v>
      </c>
      <c r="AB64" s="1157">
        <v>0</v>
      </c>
      <c r="AC64" s="1157">
        <v>0</v>
      </c>
      <c r="AD64" s="1157">
        <v>0</v>
      </c>
      <c r="AE64" s="1157">
        <v>0</v>
      </c>
      <c r="AF64" s="1157">
        <v>0</v>
      </c>
      <c r="AG64" s="1157">
        <v>0</v>
      </c>
      <c r="AH64" s="1157">
        <v>0</v>
      </c>
      <c r="AI64" s="1157">
        <v>0</v>
      </c>
      <c r="AJ64" s="1157">
        <v>0</v>
      </c>
      <c r="AK64" s="1157">
        <v>0</v>
      </c>
      <c r="AL64" s="1157">
        <v>0</v>
      </c>
      <c r="AM64" s="1157">
        <v>0</v>
      </c>
      <c r="AN64" s="1157">
        <v>0</v>
      </c>
      <c r="AO64" s="1157">
        <v>0</v>
      </c>
      <c r="AP64" s="1157">
        <v>0</v>
      </c>
      <c r="AQ64" s="1157">
        <v>0</v>
      </c>
      <c r="AR64" s="1157">
        <v>0</v>
      </c>
      <c r="AS64" s="1157">
        <v>0</v>
      </c>
      <c r="AT64" s="1157">
        <v>0</v>
      </c>
      <c r="AU64" s="1157">
        <v>0</v>
      </c>
      <c r="AV64" s="1157">
        <v>0</v>
      </c>
      <c r="AW64" s="1157">
        <v>0</v>
      </c>
      <c r="AX64" s="1157">
        <v>0</v>
      </c>
      <c r="AY64" s="1157">
        <v>0</v>
      </c>
      <c r="AZ64" s="1157">
        <v>0</v>
      </c>
      <c r="BA64" s="1157">
        <v>0</v>
      </c>
      <c r="BB64" s="1157">
        <v>0</v>
      </c>
      <c r="BC64" s="1157">
        <v>0</v>
      </c>
      <c r="BD64" s="1157">
        <v>0</v>
      </c>
      <c r="BE64" s="1157">
        <v>0</v>
      </c>
      <c r="BF64" s="1157">
        <v>0</v>
      </c>
      <c r="BG64" s="1157">
        <v>0</v>
      </c>
      <c r="BH64" s="1157">
        <v>0</v>
      </c>
      <c r="BI64" s="1157">
        <v>0</v>
      </c>
      <c r="BJ64" s="1157">
        <v>0</v>
      </c>
      <c r="BK64" s="1157">
        <v>0</v>
      </c>
      <c r="BL64" s="1157">
        <v>0</v>
      </c>
      <c r="BM64" s="1157">
        <v>0</v>
      </c>
      <c r="BN64" s="1157">
        <v>0</v>
      </c>
      <c r="BO64" s="1157">
        <v>0</v>
      </c>
      <c r="BP64" s="1157">
        <v>0</v>
      </c>
      <c r="BQ64" s="1157">
        <v>0</v>
      </c>
      <c r="BR64" s="1157">
        <v>0</v>
      </c>
      <c r="BS64" s="1157">
        <v>0</v>
      </c>
      <c r="BT64" s="1157">
        <v>0</v>
      </c>
      <c r="BU64" s="1157">
        <v>0</v>
      </c>
      <c r="BV64" s="1157">
        <v>0</v>
      </c>
      <c r="BW64" s="1157">
        <v>0</v>
      </c>
      <c r="BX64" s="1157">
        <v>0</v>
      </c>
      <c r="BY64" s="1157">
        <v>0</v>
      </c>
      <c r="BZ64" s="1157">
        <v>0</v>
      </c>
      <c r="CA64" s="1157">
        <v>0</v>
      </c>
      <c r="CB64" s="1157">
        <v>0</v>
      </c>
      <c r="CC64" s="1148">
        <v>0</v>
      </c>
      <c r="CD64" s="1148">
        <v>0</v>
      </c>
      <c r="CE64" s="1148">
        <v>0</v>
      </c>
      <c r="CF64" s="1148">
        <v>0</v>
      </c>
    </row>
    <row r="65" spans="1:84" s="1148" customFormat="1" x14ac:dyDescent="0.3">
      <c r="A65" s="1146">
        <v>107</v>
      </c>
      <c r="B65" s="1154"/>
      <c r="C65" s="1143">
        <v>107</v>
      </c>
      <c r="D65" s="1146" t="s">
        <v>633</v>
      </c>
      <c r="E65" s="1155" t="s">
        <v>370</v>
      </c>
      <c r="F65" s="1156">
        <v>0</v>
      </c>
      <c r="G65" s="1156">
        <v>0</v>
      </c>
      <c r="H65" s="1156">
        <v>0</v>
      </c>
      <c r="I65" s="1156">
        <v>0</v>
      </c>
      <c r="J65" s="1156">
        <v>0</v>
      </c>
      <c r="K65" s="1156">
        <v>0</v>
      </c>
      <c r="L65" s="1157">
        <v>0</v>
      </c>
      <c r="M65" s="1157">
        <v>0</v>
      </c>
      <c r="N65" s="1157">
        <v>0</v>
      </c>
      <c r="O65" s="1157">
        <v>0</v>
      </c>
      <c r="P65" s="1157">
        <v>0</v>
      </c>
      <c r="Q65" s="1157">
        <v>0</v>
      </c>
      <c r="R65" s="1157">
        <v>0</v>
      </c>
      <c r="S65" s="1157">
        <v>0</v>
      </c>
      <c r="T65" s="1157">
        <v>0</v>
      </c>
      <c r="U65" s="1157">
        <v>0</v>
      </c>
      <c r="V65" s="1157">
        <v>0</v>
      </c>
      <c r="W65" s="1157">
        <v>0</v>
      </c>
      <c r="X65" s="1157">
        <v>0</v>
      </c>
      <c r="Y65" s="1157">
        <v>0</v>
      </c>
      <c r="Z65" s="1157">
        <v>0</v>
      </c>
      <c r="AA65" s="1157">
        <v>0</v>
      </c>
      <c r="AB65" s="1157">
        <v>0</v>
      </c>
      <c r="AC65" s="1157">
        <v>0</v>
      </c>
      <c r="AD65" s="1157">
        <v>0</v>
      </c>
      <c r="AE65" s="1157">
        <v>0</v>
      </c>
      <c r="AF65" s="1157">
        <v>0</v>
      </c>
      <c r="AG65" s="1157">
        <v>0</v>
      </c>
      <c r="AH65" s="1157">
        <v>0</v>
      </c>
      <c r="AI65" s="1157">
        <v>0</v>
      </c>
      <c r="AJ65" s="1157">
        <v>0</v>
      </c>
      <c r="AK65" s="1157">
        <v>0</v>
      </c>
      <c r="AL65" s="1157">
        <v>0</v>
      </c>
      <c r="AM65" s="1157">
        <v>0</v>
      </c>
      <c r="AN65" s="1157">
        <v>0</v>
      </c>
      <c r="AO65" s="1157">
        <v>0</v>
      </c>
      <c r="AP65" s="1157">
        <v>0</v>
      </c>
      <c r="AQ65" s="1157">
        <v>0</v>
      </c>
      <c r="AR65" s="1157">
        <v>0</v>
      </c>
      <c r="AS65" s="1157">
        <v>0</v>
      </c>
      <c r="AT65" s="1157">
        <v>0</v>
      </c>
      <c r="AU65" s="1157">
        <v>0</v>
      </c>
      <c r="AV65" s="1157">
        <v>0</v>
      </c>
      <c r="AW65" s="1157">
        <v>0</v>
      </c>
      <c r="AX65" s="1157">
        <v>0</v>
      </c>
      <c r="AY65" s="1157">
        <v>0</v>
      </c>
      <c r="AZ65" s="1157">
        <v>0</v>
      </c>
      <c r="BA65" s="1157">
        <v>0</v>
      </c>
      <c r="BB65" s="1157">
        <v>0</v>
      </c>
      <c r="BC65" s="1157">
        <v>0</v>
      </c>
      <c r="BD65" s="1157">
        <v>0</v>
      </c>
      <c r="BE65" s="1157">
        <v>0</v>
      </c>
      <c r="BF65" s="1157">
        <v>0</v>
      </c>
      <c r="BG65" s="1157">
        <v>0</v>
      </c>
      <c r="BH65" s="1157">
        <v>0</v>
      </c>
      <c r="BI65" s="1157">
        <v>0</v>
      </c>
      <c r="BJ65" s="1157">
        <v>0</v>
      </c>
      <c r="BK65" s="1157">
        <v>0</v>
      </c>
      <c r="BL65" s="1157">
        <v>0</v>
      </c>
      <c r="BM65" s="1157">
        <v>0</v>
      </c>
      <c r="BN65" s="1157">
        <v>0</v>
      </c>
      <c r="BO65" s="1157">
        <v>0</v>
      </c>
      <c r="BP65" s="1157">
        <v>0</v>
      </c>
      <c r="BQ65" s="1157">
        <v>0</v>
      </c>
      <c r="BR65" s="1157">
        <v>0</v>
      </c>
      <c r="BS65" s="1157">
        <v>0</v>
      </c>
      <c r="BT65" s="1157">
        <v>0</v>
      </c>
      <c r="BU65" s="1157">
        <v>0</v>
      </c>
      <c r="BV65" s="1157">
        <v>0</v>
      </c>
      <c r="BW65" s="1157">
        <v>0</v>
      </c>
      <c r="BX65" s="1157">
        <v>0</v>
      </c>
      <c r="BY65" s="1157">
        <v>0</v>
      </c>
      <c r="BZ65" s="1157">
        <v>0</v>
      </c>
      <c r="CA65" s="1157">
        <v>0</v>
      </c>
      <c r="CB65" s="1157">
        <v>0</v>
      </c>
      <c r="CC65" s="1148">
        <v>0</v>
      </c>
      <c r="CD65" s="1148">
        <v>0</v>
      </c>
      <c r="CE65" s="1148">
        <v>0</v>
      </c>
      <c r="CF65" s="1148">
        <v>0</v>
      </c>
    </row>
    <row r="66" spans="1:84" s="1148" customFormat="1" x14ac:dyDescent="0.3">
      <c r="A66" s="1146">
        <v>108</v>
      </c>
      <c r="B66" s="1154"/>
      <c r="C66" s="1143">
        <v>108</v>
      </c>
      <c r="D66" s="1146" t="s">
        <v>634</v>
      </c>
      <c r="E66" s="1155" t="s">
        <v>371</v>
      </c>
      <c r="F66" s="1156">
        <v>0</v>
      </c>
      <c r="G66" s="1156">
        <v>0</v>
      </c>
      <c r="H66" s="1156">
        <v>0</v>
      </c>
      <c r="I66" s="1156">
        <v>0</v>
      </c>
      <c r="J66" s="1156">
        <v>0</v>
      </c>
      <c r="K66" s="1156">
        <v>0</v>
      </c>
      <c r="L66" s="1157">
        <v>0</v>
      </c>
      <c r="M66" s="1157">
        <v>0</v>
      </c>
      <c r="N66" s="1157">
        <v>0</v>
      </c>
      <c r="O66" s="1157">
        <v>0</v>
      </c>
      <c r="P66" s="1157">
        <v>0</v>
      </c>
      <c r="Q66" s="1157">
        <v>0</v>
      </c>
      <c r="R66" s="1157">
        <v>0</v>
      </c>
      <c r="S66" s="1157">
        <v>0</v>
      </c>
      <c r="T66" s="1157">
        <v>0</v>
      </c>
      <c r="U66" s="1157">
        <v>0</v>
      </c>
      <c r="V66" s="1157">
        <v>0</v>
      </c>
      <c r="W66" s="1157">
        <v>0</v>
      </c>
      <c r="X66" s="1157">
        <v>0</v>
      </c>
      <c r="Y66" s="1157">
        <v>0</v>
      </c>
      <c r="Z66" s="1157">
        <v>0</v>
      </c>
      <c r="AA66" s="1157">
        <v>0</v>
      </c>
      <c r="AB66" s="1157">
        <v>0</v>
      </c>
      <c r="AC66" s="1157">
        <v>0</v>
      </c>
      <c r="AD66" s="1157">
        <v>0</v>
      </c>
      <c r="AE66" s="1157">
        <v>0</v>
      </c>
      <c r="AF66" s="1157">
        <v>0</v>
      </c>
      <c r="AG66" s="1157">
        <v>0</v>
      </c>
      <c r="AH66" s="1157">
        <v>0</v>
      </c>
      <c r="AI66" s="1157">
        <v>0</v>
      </c>
      <c r="AJ66" s="1157">
        <v>0</v>
      </c>
      <c r="AK66" s="1157">
        <v>0</v>
      </c>
      <c r="AL66" s="1157">
        <v>0</v>
      </c>
      <c r="AM66" s="1157">
        <v>0</v>
      </c>
      <c r="AN66" s="1157">
        <v>0</v>
      </c>
      <c r="AO66" s="1157">
        <v>0</v>
      </c>
      <c r="AP66" s="1157">
        <v>0</v>
      </c>
      <c r="AQ66" s="1157">
        <v>0</v>
      </c>
      <c r="AR66" s="1157">
        <v>0</v>
      </c>
      <c r="AS66" s="1157">
        <v>0</v>
      </c>
      <c r="AT66" s="1157">
        <v>0</v>
      </c>
      <c r="AU66" s="1157">
        <v>0</v>
      </c>
      <c r="AV66" s="1157">
        <v>0</v>
      </c>
      <c r="AW66" s="1157">
        <v>0</v>
      </c>
      <c r="AX66" s="1157">
        <v>0</v>
      </c>
      <c r="AY66" s="1157">
        <v>0</v>
      </c>
      <c r="AZ66" s="1157">
        <v>0</v>
      </c>
      <c r="BA66" s="1157">
        <v>0</v>
      </c>
      <c r="BB66" s="1157">
        <v>0</v>
      </c>
      <c r="BC66" s="1157">
        <v>0</v>
      </c>
      <c r="BD66" s="1157">
        <v>0</v>
      </c>
      <c r="BE66" s="1157">
        <v>0</v>
      </c>
      <c r="BF66" s="1157">
        <v>0</v>
      </c>
      <c r="BG66" s="1157">
        <v>0</v>
      </c>
      <c r="BH66" s="1157">
        <v>0</v>
      </c>
      <c r="BI66" s="1157">
        <v>0</v>
      </c>
      <c r="BJ66" s="1157">
        <v>0</v>
      </c>
      <c r="BK66" s="1157">
        <v>0</v>
      </c>
      <c r="BL66" s="1157">
        <v>0</v>
      </c>
      <c r="BM66" s="1157">
        <v>0</v>
      </c>
      <c r="BN66" s="1157">
        <v>0</v>
      </c>
      <c r="BO66" s="1157">
        <v>0</v>
      </c>
      <c r="BP66" s="1157">
        <v>0</v>
      </c>
      <c r="BQ66" s="1157">
        <v>0</v>
      </c>
      <c r="BR66" s="1157">
        <v>0</v>
      </c>
      <c r="BS66" s="1157">
        <v>0</v>
      </c>
      <c r="BT66" s="1157">
        <v>0</v>
      </c>
      <c r="BU66" s="1157">
        <v>0</v>
      </c>
      <c r="BV66" s="1157">
        <v>0</v>
      </c>
      <c r="BW66" s="1157">
        <v>0</v>
      </c>
      <c r="BX66" s="1157">
        <v>0</v>
      </c>
      <c r="BY66" s="1157">
        <v>0</v>
      </c>
      <c r="BZ66" s="1157">
        <v>0</v>
      </c>
      <c r="CA66" s="1157">
        <v>0</v>
      </c>
      <c r="CB66" s="1157">
        <v>0</v>
      </c>
      <c r="CC66" s="1148">
        <v>0</v>
      </c>
      <c r="CD66" s="1148">
        <v>0</v>
      </c>
      <c r="CE66" s="1148">
        <v>0</v>
      </c>
      <c r="CF66" s="1148">
        <v>0</v>
      </c>
    </row>
    <row r="67" spans="1:84" s="1148" customFormat="1" x14ac:dyDescent="0.3">
      <c r="A67" s="1146">
        <v>147</v>
      </c>
      <c r="B67" s="1154"/>
      <c r="C67" s="1143">
        <v>147</v>
      </c>
      <c r="D67" s="1146" t="s">
        <v>372</v>
      </c>
      <c r="E67" s="1155" t="s">
        <v>373</v>
      </c>
      <c r="F67" s="1156">
        <v>0</v>
      </c>
      <c r="G67" s="1156">
        <v>0</v>
      </c>
      <c r="H67" s="1156">
        <v>0</v>
      </c>
      <c r="I67" s="1156">
        <v>0</v>
      </c>
      <c r="J67" s="1156">
        <v>0</v>
      </c>
      <c r="K67" s="1156">
        <v>0</v>
      </c>
      <c r="L67" s="1157">
        <v>0</v>
      </c>
      <c r="M67" s="1157">
        <v>0</v>
      </c>
      <c r="N67" s="1157">
        <v>0</v>
      </c>
      <c r="O67" s="1157">
        <v>0</v>
      </c>
      <c r="P67" s="1157">
        <v>0</v>
      </c>
      <c r="Q67" s="1157">
        <v>0</v>
      </c>
      <c r="R67" s="1157">
        <v>0</v>
      </c>
      <c r="S67" s="1157">
        <v>0</v>
      </c>
      <c r="T67" s="1157">
        <v>0</v>
      </c>
      <c r="U67" s="1157">
        <v>0</v>
      </c>
      <c r="V67" s="1157">
        <v>0</v>
      </c>
      <c r="W67" s="1157">
        <v>0</v>
      </c>
      <c r="X67" s="1157">
        <v>0</v>
      </c>
      <c r="Y67" s="1157">
        <v>0</v>
      </c>
      <c r="Z67" s="1157">
        <v>0</v>
      </c>
      <c r="AA67" s="1157">
        <v>0</v>
      </c>
      <c r="AB67" s="1157">
        <v>0</v>
      </c>
      <c r="AC67" s="1157">
        <v>0</v>
      </c>
      <c r="AD67" s="1157">
        <v>0</v>
      </c>
      <c r="AE67" s="1157">
        <v>0</v>
      </c>
      <c r="AF67" s="1157">
        <v>0</v>
      </c>
      <c r="AG67" s="1157">
        <v>0</v>
      </c>
      <c r="AH67" s="1157">
        <v>0</v>
      </c>
      <c r="AI67" s="1157">
        <v>0</v>
      </c>
      <c r="AJ67" s="1157">
        <v>0</v>
      </c>
      <c r="AK67" s="1157">
        <v>0</v>
      </c>
      <c r="AL67" s="1157">
        <v>0</v>
      </c>
      <c r="AM67" s="1157">
        <v>0</v>
      </c>
      <c r="AN67" s="1157">
        <v>0</v>
      </c>
      <c r="AO67" s="1157">
        <v>0</v>
      </c>
      <c r="AP67" s="1157">
        <v>0</v>
      </c>
      <c r="AQ67" s="1157">
        <v>0</v>
      </c>
      <c r="AR67" s="1157">
        <v>0</v>
      </c>
      <c r="AS67" s="1157">
        <v>0</v>
      </c>
      <c r="AT67" s="1157">
        <v>0</v>
      </c>
      <c r="AU67" s="1157">
        <v>0</v>
      </c>
      <c r="AV67" s="1157">
        <v>0</v>
      </c>
      <c r="AW67" s="1157">
        <v>0</v>
      </c>
      <c r="AX67" s="1157">
        <v>0</v>
      </c>
      <c r="AY67" s="1157">
        <v>0</v>
      </c>
      <c r="AZ67" s="1157">
        <v>0</v>
      </c>
      <c r="BA67" s="1157">
        <v>0</v>
      </c>
      <c r="BB67" s="1157">
        <v>0</v>
      </c>
      <c r="BC67" s="1157">
        <v>0</v>
      </c>
      <c r="BD67" s="1157">
        <v>0</v>
      </c>
      <c r="BE67" s="1157">
        <v>0</v>
      </c>
      <c r="BF67" s="1157">
        <v>0</v>
      </c>
      <c r="BG67" s="1157">
        <v>0</v>
      </c>
      <c r="BH67" s="1157">
        <v>0</v>
      </c>
      <c r="BI67" s="1157">
        <v>0</v>
      </c>
      <c r="BJ67" s="1157">
        <v>0</v>
      </c>
      <c r="BK67" s="1157">
        <v>0</v>
      </c>
      <c r="BL67" s="1157">
        <v>0</v>
      </c>
      <c r="BM67" s="1157">
        <v>0</v>
      </c>
      <c r="BN67" s="1157">
        <v>0</v>
      </c>
      <c r="BO67" s="1157">
        <v>0</v>
      </c>
      <c r="BP67" s="1157">
        <v>0</v>
      </c>
      <c r="BQ67" s="1157">
        <v>0</v>
      </c>
      <c r="BR67" s="1157">
        <v>0</v>
      </c>
      <c r="BS67" s="1157">
        <v>0</v>
      </c>
      <c r="BT67" s="1157">
        <v>0</v>
      </c>
      <c r="BU67" s="1157">
        <v>0</v>
      </c>
      <c r="BV67" s="1157">
        <v>0</v>
      </c>
      <c r="BW67" s="1157">
        <v>0</v>
      </c>
      <c r="BX67" s="1157">
        <v>0</v>
      </c>
      <c r="BY67" s="1157">
        <v>0</v>
      </c>
      <c r="BZ67" s="1157">
        <v>0</v>
      </c>
      <c r="CA67" s="1157">
        <v>0</v>
      </c>
      <c r="CB67" s="1157">
        <v>0</v>
      </c>
      <c r="CC67" s="1148">
        <v>0</v>
      </c>
      <c r="CD67" s="1148">
        <v>0</v>
      </c>
      <c r="CE67" s="1148">
        <v>0</v>
      </c>
      <c r="CF67" s="1148">
        <v>0</v>
      </c>
    </row>
    <row r="68" spans="1:84" s="1148" customFormat="1" x14ac:dyDescent="0.3">
      <c r="A68" s="1146">
        <v>148</v>
      </c>
      <c r="B68" s="1154"/>
      <c r="C68" s="1143">
        <v>148</v>
      </c>
      <c r="D68" s="1146" t="s">
        <v>374</v>
      </c>
      <c r="E68" s="1155" t="s">
        <v>375</v>
      </c>
      <c r="F68" s="1156">
        <v>0</v>
      </c>
      <c r="G68" s="1156">
        <v>0</v>
      </c>
      <c r="H68" s="1156">
        <v>0</v>
      </c>
      <c r="I68" s="1156">
        <v>0</v>
      </c>
      <c r="J68" s="1156">
        <v>0</v>
      </c>
      <c r="K68" s="1156">
        <v>0</v>
      </c>
      <c r="L68" s="1157">
        <v>0</v>
      </c>
      <c r="M68" s="1157">
        <v>0</v>
      </c>
      <c r="N68" s="1157">
        <v>0</v>
      </c>
      <c r="O68" s="1157">
        <v>0</v>
      </c>
      <c r="P68" s="1157">
        <v>0</v>
      </c>
      <c r="Q68" s="1157">
        <v>0</v>
      </c>
      <c r="R68" s="1157">
        <v>0</v>
      </c>
      <c r="S68" s="1157">
        <v>0</v>
      </c>
      <c r="T68" s="1157">
        <v>0</v>
      </c>
      <c r="U68" s="1157">
        <v>0</v>
      </c>
      <c r="V68" s="1157">
        <v>0</v>
      </c>
      <c r="W68" s="1157">
        <v>0</v>
      </c>
      <c r="X68" s="1157">
        <v>0</v>
      </c>
      <c r="Y68" s="1157">
        <v>0</v>
      </c>
      <c r="Z68" s="1157">
        <v>0</v>
      </c>
      <c r="AA68" s="1157">
        <v>0</v>
      </c>
      <c r="AB68" s="1157">
        <v>0</v>
      </c>
      <c r="AC68" s="1157">
        <v>0</v>
      </c>
      <c r="AD68" s="1157">
        <v>0</v>
      </c>
      <c r="AE68" s="1157">
        <v>0</v>
      </c>
      <c r="AF68" s="1157">
        <v>0</v>
      </c>
      <c r="AG68" s="1157">
        <v>0</v>
      </c>
      <c r="AH68" s="1157">
        <v>0</v>
      </c>
      <c r="AI68" s="1157">
        <v>0</v>
      </c>
      <c r="AJ68" s="1157">
        <v>0</v>
      </c>
      <c r="AK68" s="1157">
        <v>0</v>
      </c>
      <c r="AL68" s="1157">
        <v>0</v>
      </c>
      <c r="AM68" s="1157">
        <v>0</v>
      </c>
      <c r="AN68" s="1157">
        <v>0</v>
      </c>
      <c r="AO68" s="1157">
        <v>0</v>
      </c>
      <c r="AP68" s="1157">
        <v>0</v>
      </c>
      <c r="AQ68" s="1157">
        <v>0</v>
      </c>
      <c r="AR68" s="1157">
        <v>0</v>
      </c>
      <c r="AS68" s="1157">
        <v>0</v>
      </c>
      <c r="AT68" s="1157">
        <v>0</v>
      </c>
      <c r="AU68" s="1157">
        <v>0</v>
      </c>
      <c r="AV68" s="1157">
        <v>0</v>
      </c>
      <c r="AW68" s="1157">
        <v>0</v>
      </c>
      <c r="AX68" s="1157">
        <v>0</v>
      </c>
      <c r="AY68" s="1157">
        <v>0</v>
      </c>
      <c r="AZ68" s="1157">
        <v>0</v>
      </c>
      <c r="BA68" s="1157">
        <v>0</v>
      </c>
      <c r="BB68" s="1157">
        <v>0</v>
      </c>
      <c r="BC68" s="1157">
        <v>0</v>
      </c>
      <c r="BD68" s="1157">
        <v>0</v>
      </c>
      <c r="BE68" s="1157">
        <v>0</v>
      </c>
      <c r="BF68" s="1157">
        <v>0</v>
      </c>
      <c r="BG68" s="1157">
        <v>0</v>
      </c>
      <c r="BH68" s="1157">
        <v>0</v>
      </c>
      <c r="BI68" s="1157">
        <v>0</v>
      </c>
      <c r="BJ68" s="1157">
        <v>0</v>
      </c>
      <c r="BK68" s="1157">
        <v>0</v>
      </c>
      <c r="BL68" s="1157">
        <v>0</v>
      </c>
      <c r="BM68" s="1157">
        <v>0</v>
      </c>
      <c r="BN68" s="1157">
        <v>0</v>
      </c>
      <c r="BO68" s="1157">
        <v>0</v>
      </c>
      <c r="BP68" s="1157">
        <v>0</v>
      </c>
      <c r="BQ68" s="1157">
        <v>0</v>
      </c>
      <c r="BR68" s="1157">
        <v>0</v>
      </c>
      <c r="BS68" s="1157">
        <v>0</v>
      </c>
      <c r="BT68" s="1157">
        <v>0</v>
      </c>
      <c r="BU68" s="1157">
        <v>0</v>
      </c>
      <c r="BV68" s="1157">
        <v>0</v>
      </c>
      <c r="BW68" s="1157">
        <v>0</v>
      </c>
      <c r="BX68" s="1157">
        <v>0</v>
      </c>
      <c r="BY68" s="1157">
        <v>0</v>
      </c>
      <c r="BZ68" s="1157">
        <v>0</v>
      </c>
      <c r="CA68" s="1157">
        <v>0</v>
      </c>
      <c r="CB68" s="1157">
        <v>0</v>
      </c>
      <c r="CC68" s="1148">
        <v>0</v>
      </c>
      <c r="CD68" s="1148">
        <v>0</v>
      </c>
      <c r="CE68" s="1148">
        <v>0</v>
      </c>
      <c r="CF68" s="1148">
        <v>0</v>
      </c>
    </row>
    <row r="69" spans="1:84" s="1148" customFormat="1" x14ac:dyDescent="0.3">
      <c r="A69" s="1146">
        <v>149</v>
      </c>
      <c r="B69" s="1154"/>
      <c r="C69" s="1143">
        <v>149</v>
      </c>
      <c r="D69" s="1146" t="s">
        <v>376</v>
      </c>
      <c r="E69" s="1155" t="s">
        <v>377</v>
      </c>
      <c r="F69" s="1156">
        <v>0</v>
      </c>
      <c r="G69" s="1156">
        <v>0</v>
      </c>
      <c r="H69" s="1156">
        <v>0</v>
      </c>
      <c r="I69" s="1156">
        <v>0</v>
      </c>
      <c r="J69" s="1156">
        <v>0</v>
      </c>
      <c r="K69" s="1156">
        <v>0</v>
      </c>
      <c r="L69" s="1157">
        <v>0</v>
      </c>
      <c r="M69" s="1157">
        <v>0</v>
      </c>
      <c r="N69" s="1157">
        <v>0</v>
      </c>
      <c r="O69" s="1157">
        <v>0</v>
      </c>
      <c r="P69" s="1157">
        <v>0</v>
      </c>
      <c r="Q69" s="1157">
        <v>0</v>
      </c>
      <c r="R69" s="1157">
        <v>0</v>
      </c>
      <c r="S69" s="1157">
        <v>0</v>
      </c>
      <c r="T69" s="1157">
        <v>0</v>
      </c>
      <c r="U69" s="1157">
        <v>0</v>
      </c>
      <c r="V69" s="1157">
        <v>0</v>
      </c>
      <c r="W69" s="1157">
        <v>0</v>
      </c>
      <c r="X69" s="1157">
        <v>0</v>
      </c>
      <c r="Y69" s="1157">
        <v>0</v>
      </c>
      <c r="Z69" s="1157">
        <v>0</v>
      </c>
      <c r="AA69" s="1157">
        <v>0</v>
      </c>
      <c r="AB69" s="1157">
        <v>0</v>
      </c>
      <c r="AC69" s="1157">
        <v>0</v>
      </c>
      <c r="AD69" s="1157">
        <v>0</v>
      </c>
      <c r="AE69" s="1157">
        <v>0</v>
      </c>
      <c r="AF69" s="1157">
        <v>0</v>
      </c>
      <c r="AG69" s="1157">
        <v>0</v>
      </c>
      <c r="AH69" s="1157">
        <v>0</v>
      </c>
      <c r="AI69" s="1157">
        <v>0</v>
      </c>
      <c r="AJ69" s="1157">
        <v>0</v>
      </c>
      <c r="AK69" s="1157">
        <v>0</v>
      </c>
      <c r="AL69" s="1157">
        <v>0</v>
      </c>
      <c r="AM69" s="1157">
        <v>0</v>
      </c>
      <c r="AN69" s="1157">
        <v>0</v>
      </c>
      <c r="AO69" s="1157">
        <v>0</v>
      </c>
      <c r="AP69" s="1157">
        <v>0</v>
      </c>
      <c r="AQ69" s="1157">
        <v>0</v>
      </c>
      <c r="AR69" s="1157">
        <v>0</v>
      </c>
      <c r="AS69" s="1157">
        <v>0</v>
      </c>
      <c r="AT69" s="1157">
        <v>0</v>
      </c>
      <c r="AU69" s="1157">
        <v>0</v>
      </c>
      <c r="AV69" s="1157">
        <v>0</v>
      </c>
      <c r="AW69" s="1157">
        <v>0</v>
      </c>
      <c r="AX69" s="1157">
        <v>0</v>
      </c>
      <c r="AY69" s="1157">
        <v>0</v>
      </c>
      <c r="AZ69" s="1157">
        <v>0</v>
      </c>
      <c r="BA69" s="1157">
        <v>0</v>
      </c>
      <c r="BB69" s="1157">
        <v>0</v>
      </c>
      <c r="BC69" s="1157">
        <v>0</v>
      </c>
      <c r="BD69" s="1157">
        <v>0</v>
      </c>
      <c r="BE69" s="1157">
        <v>0</v>
      </c>
      <c r="BF69" s="1157">
        <v>0</v>
      </c>
      <c r="BG69" s="1157">
        <v>0</v>
      </c>
      <c r="BH69" s="1157">
        <v>0</v>
      </c>
      <c r="BI69" s="1157">
        <v>0</v>
      </c>
      <c r="BJ69" s="1157">
        <v>0</v>
      </c>
      <c r="BK69" s="1157">
        <v>0</v>
      </c>
      <c r="BL69" s="1157">
        <v>0</v>
      </c>
      <c r="BM69" s="1157">
        <v>0</v>
      </c>
      <c r="BN69" s="1157">
        <v>0</v>
      </c>
      <c r="BO69" s="1157">
        <v>0</v>
      </c>
      <c r="BP69" s="1157">
        <v>0</v>
      </c>
      <c r="BQ69" s="1157">
        <v>0</v>
      </c>
      <c r="BR69" s="1157">
        <v>0</v>
      </c>
      <c r="BS69" s="1157">
        <v>0</v>
      </c>
      <c r="BT69" s="1157">
        <v>0</v>
      </c>
      <c r="BU69" s="1157">
        <v>0</v>
      </c>
      <c r="BV69" s="1157">
        <v>0</v>
      </c>
      <c r="BW69" s="1157">
        <v>0</v>
      </c>
      <c r="BX69" s="1157">
        <v>0</v>
      </c>
      <c r="BY69" s="1157">
        <v>0</v>
      </c>
      <c r="BZ69" s="1157">
        <v>0</v>
      </c>
      <c r="CA69" s="1157">
        <v>0</v>
      </c>
      <c r="CB69" s="1157">
        <v>0</v>
      </c>
      <c r="CC69" s="1148">
        <v>0</v>
      </c>
      <c r="CD69" s="1148">
        <v>0</v>
      </c>
      <c r="CE69" s="1148">
        <v>0</v>
      </c>
      <c r="CF69" s="1148">
        <v>0</v>
      </c>
    </row>
    <row r="70" spans="1:84" s="1148" customFormat="1" x14ac:dyDescent="0.3">
      <c r="A70" s="1146">
        <v>150</v>
      </c>
      <c r="B70" s="1154"/>
      <c r="C70" s="1143">
        <v>150</v>
      </c>
      <c r="D70" s="1146" t="s">
        <v>378</v>
      </c>
      <c r="E70" s="1155" t="s">
        <v>379</v>
      </c>
      <c r="F70" s="1156">
        <v>0</v>
      </c>
      <c r="G70" s="1156">
        <v>0</v>
      </c>
      <c r="H70" s="1156">
        <v>0</v>
      </c>
      <c r="I70" s="1156">
        <v>0</v>
      </c>
      <c r="J70" s="1156">
        <v>0</v>
      </c>
      <c r="K70" s="1156">
        <v>0</v>
      </c>
      <c r="L70" s="1157">
        <v>0</v>
      </c>
      <c r="M70" s="1157">
        <v>0</v>
      </c>
      <c r="N70" s="1157">
        <v>0</v>
      </c>
      <c r="O70" s="1157">
        <v>0</v>
      </c>
      <c r="P70" s="1157">
        <v>0</v>
      </c>
      <c r="Q70" s="1157">
        <v>0</v>
      </c>
      <c r="R70" s="1157">
        <v>0</v>
      </c>
      <c r="S70" s="1157">
        <v>0</v>
      </c>
      <c r="T70" s="1157">
        <v>0</v>
      </c>
      <c r="U70" s="1157">
        <v>0</v>
      </c>
      <c r="V70" s="1157">
        <v>0</v>
      </c>
      <c r="W70" s="1157">
        <v>0</v>
      </c>
      <c r="X70" s="1157">
        <v>0</v>
      </c>
      <c r="Y70" s="1157">
        <v>0</v>
      </c>
      <c r="Z70" s="1157">
        <v>0</v>
      </c>
      <c r="AA70" s="1157">
        <v>0</v>
      </c>
      <c r="AB70" s="1157">
        <v>0</v>
      </c>
      <c r="AC70" s="1157">
        <v>0</v>
      </c>
      <c r="AD70" s="1157">
        <v>0</v>
      </c>
      <c r="AE70" s="1157">
        <v>0</v>
      </c>
      <c r="AF70" s="1157">
        <v>0</v>
      </c>
      <c r="AG70" s="1157">
        <v>0</v>
      </c>
      <c r="AH70" s="1157">
        <v>0</v>
      </c>
      <c r="AI70" s="1157">
        <v>0</v>
      </c>
      <c r="AJ70" s="1157">
        <v>0</v>
      </c>
      <c r="AK70" s="1157">
        <v>0</v>
      </c>
      <c r="AL70" s="1157">
        <v>0</v>
      </c>
      <c r="AM70" s="1157">
        <v>0</v>
      </c>
      <c r="AN70" s="1157">
        <v>0</v>
      </c>
      <c r="AO70" s="1157">
        <v>0</v>
      </c>
      <c r="AP70" s="1157">
        <v>0</v>
      </c>
      <c r="AQ70" s="1157">
        <v>0</v>
      </c>
      <c r="AR70" s="1157">
        <v>0</v>
      </c>
      <c r="AS70" s="1157">
        <v>0</v>
      </c>
      <c r="AT70" s="1157">
        <v>0</v>
      </c>
      <c r="AU70" s="1157">
        <v>0</v>
      </c>
      <c r="AV70" s="1157">
        <v>0</v>
      </c>
      <c r="AW70" s="1157">
        <v>0</v>
      </c>
      <c r="AX70" s="1157">
        <v>0</v>
      </c>
      <c r="AY70" s="1157">
        <v>0</v>
      </c>
      <c r="AZ70" s="1157">
        <v>0</v>
      </c>
      <c r="BA70" s="1157">
        <v>0</v>
      </c>
      <c r="BB70" s="1157">
        <v>0</v>
      </c>
      <c r="BC70" s="1157">
        <v>0</v>
      </c>
      <c r="BD70" s="1157">
        <v>0</v>
      </c>
      <c r="BE70" s="1157">
        <v>0</v>
      </c>
      <c r="BF70" s="1157">
        <v>0</v>
      </c>
      <c r="BG70" s="1157">
        <v>0</v>
      </c>
      <c r="BH70" s="1157">
        <v>0</v>
      </c>
      <c r="BI70" s="1157">
        <v>0</v>
      </c>
      <c r="BJ70" s="1157">
        <v>0</v>
      </c>
      <c r="BK70" s="1157">
        <v>0</v>
      </c>
      <c r="BL70" s="1157">
        <v>0</v>
      </c>
      <c r="BM70" s="1157">
        <v>0</v>
      </c>
      <c r="BN70" s="1157">
        <v>0</v>
      </c>
      <c r="BO70" s="1157">
        <v>0</v>
      </c>
      <c r="BP70" s="1157">
        <v>0</v>
      </c>
      <c r="BQ70" s="1157">
        <v>0</v>
      </c>
      <c r="BR70" s="1157">
        <v>0</v>
      </c>
      <c r="BS70" s="1157">
        <v>0</v>
      </c>
      <c r="BT70" s="1157">
        <v>0</v>
      </c>
      <c r="BU70" s="1157">
        <v>0</v>
      </c>
      <c r="BV70" s="1157">
        <v>0</v>
      </c>
      <c r="BW70" s="1157">
        <v>0</v>
      </c>
      <c r="BX70" s="1157">
        <v>0</v>
      </c>
      <c r="BY70" s="1157">
        <v>0</v>
      </c>
      <c r="BZ70" s="1157">
        <v>0</v>
      </c>
      <c r="CA70" s="1157">
        <v>0</v>
      </c>
      <c r="CB70" s="1157">
        <v>0</v>
      </c>
      <c r="CC70" s="1148">
        <v>0</v>
      </c>
      <c r="CD70" s="1148">
        <v>0</v>
      </c>
      <c r="CE70" s="1148">
        <v>0</v>
      </c>
      <c r="CF70" s="1148">
        <v>0</v>
      </c>
    </row>
    <row r="71" spans="1:84" s="1148" customFormat="1" x14ac:dyDescent="0.3">
      <c r="A71" s="1153">
        <v>171</v>
      </c>
      <c r="B71" s="1154">
        <v>171</v>
      </c>
      <c r="C71" s="1228">
        <v>171</v>
      </c>
      <c r="D71" s="1146" t="s">
        <v>217</v>
      </c>
      <c r="E71" s="1155" t="s">
        <v>380</v>
      </c>
      <c r="F71" s="1156">
        <v>0</v>
      </c>
      <c r="G71" s="1156">
        <v>3600</v>
      </c>
      <c r="H71" s="1156">
        <v>8940</v>
      </c>
      <c r="I71" s="1156">
        <v>52167</v>
      </c>
      <c r="J71" s="1156">
        <v>0</v>
      </c>
      <c r="K71" s="1156">
        <v>523506</v>
      </c>
      <c r="L71" s="1157">
        <v>0</v>
      </c>
      <c r="M71" s="1157">
        <v>0</v>
      </c>
      <c r="N71" s="1157">
        <v>0</v>
      </c>
      <c r="O71" s="1157">
        <v>842130</v>
      </c>
      <c r="P71" s="1157">
        <v>27928</v>
      </c>
      <c r="Q71" s="1157">
        <v>265825</v>
      </c>
      <c r="R71" s="1157">
        <v>0</v>
      </c>
      <c r="S71" s="1157">
        <v>1861961</v>
      </c>
      <c r="T71" s="1157">
        <v>0</v>
      </c>
      <c r="U71" s="1157">
        <v>0</v>
      </c>
      <c r="V71" s="1157">
        <v>70708316</v>
      </c>
      <c r="W71" s="1157">
        <v>703942</v>
      </c>
      <c r="X71" s="1157">
        <v>1399974</v>
      </c>
      <c r="Y71" s="1157">
        <v>3492066</v>
      </c>
      <c r="Z71" s="1157">
        <v>0</v>
      </c>
      <c r="AA71" s="1157">
        <v>36000</v>
      </c>
      <c r="AB71" s="1157">
        <v>8390</v>
      </c>
      <c r="AC71" s="1157">
        <v>1379143</v>
      </c>
      <c r="AD71" s="1157">
        <v>27409</v>
      </c>
      <c r="AE71" s="1157">
        <v>113166</v>
      </c>
      <c r="AF71" s="1157">
        <v>0</v>
      </c>
      <c r="AG71" s="1157">
        <v>115405</v>
      </c>
      <c r="AH71" s="1157">
        <v>20849451</v>
      </c>
      <c r="AI71" s="1157">
        <v>0</v>
      </c>
      <c r="AJ71" s="1157">
        <v>54254</v>
      </c>
      <c r="AK71" s="1157">
        <v>2249061</v>
      </c>
      <c r="AL71" s="1157">
        <v>0</v>
      </c>
      <c r="AM71" s="1157">
        <v>0</v>
      </c>
      <c r="AN71" s="1157">
        <v>0</v>
      </c>
      <c r="AO71" s="1157">
        <v>1275254</v>
      </c>
      <c r="AP71" s="1157">
        <v>0</v>
      </c>
      <c r="AQ71" s="1157">
        <v>20135</v>
      </c>
      <c r="AR71" s="1157">
        <v>0</v>
      </c>
      <c r="AS71" s="1157">
        <v>1034884</v>
      </c>
      <c r="AT71" s="1157">
        <v>111033</v>
      </c>
      <c r="AU71" s="1157">
        <v>11507</v>
      </c>
      <c r="AV71" s="1157">
        <v>74556</v>
      </c>
      <c r="AW71" s="1157">
        <v>0</v>
      </c>
      <c r="AX71" s="1157">
        <v>1707141</v>
      </c>
      <c r="AY71" s="1157">
        <v>277200</v>
      </c>
      <c r="AZ71" s="1157">
        <v>0</v>
      </c>
      <c r="BA71" s="1157">
        <v>0</v>
      </c>
      <c r="BB71" s="1157">
        <v>10840</v>
      </c>
      <c r="BC71" s="1157">
        <v>0</v>
      </c>
      <c r="BD71" s="1157">
        <v>0</v>
      </c>
      <c r="BE71" s="1157">
        <v>0</v>
      </c>
      <c r="BF71" s="1157">
        <v>87900</v>
      </c>
      <c r="BG71" s="1157">
        <v>0</v>
      </c>
      <c r="BH71" s="1157">
        <v>0</v>
      </c>
      <c r="BI71" s="1157">
        <v>0</v>
      </c>
      <c r="BJ71" s="1157">
        <v>0</v>
      </c>
      <c r="BK71" s="1157">
        <v>0</v>
      </c>
      <c r="BL71" s="1157">
        <v>18940</v>
      </c>
      <c r="BM71" s="1157">
        <v>257865</v>
      </c>
      <c r="BN71" s="1157">
        <v>0</v>
      </c>
      <c r="BO71" s="1157">
        <v>38370</v>
      </c>
      <c r="BP71" s="1157">
        <v>156349</v>
      </c>
      <c r="BQ71" s="1157">
        <v>36724</v>
      </c>
      <c r="BR71" s="1157">
        <v>156847</v>
      </c>
      <c r="BS71" s="1157">
        <v>310833</v>
      </c>
      <c r="BT71" s="1157">
        <v>0</v>
      </c>
      <c r="BU71" s="1157">
        <v>638580</v>
      </c>
      <c r="BV71" s="1157">
        <v>39968</v>
      </c>
      <c r="BW71" s="1157">
        <v>132976</v>
      </c>
      <c r="BX71" s="1157">
        <v>0</v>
      </c>
      <c r="BY71" s="1157">
        <v>0</v>
      </c>
      <c r="BZ71" s="1157">
        <v>1198</v>
      </c>
      <c r="CA71" s="1157">
        <v>0</v>
      </c>
      <c r="CB71" s="1157">
        <v>0</v>
      </c>
      <c r="CC71" s="1148">
        <v>0</v>
      </c>
      <c r="CD71" s="1148">
        <v>92758</v>
      </c>
      <c r="CE71" s="1148">
        <v>0</v>
      </c>
      <c r="CF71" s="1148">
        <v>0</v>
      </c>
    </row>
    <row r="72" spans="1:84" s="1148" customFormat="1" x14ac:dyDescent="0.3">
      <c r="A72" s="1153">
        <v>191</v>
      </c>
      <c r="B72" s="1154">
        <v>191</v>
      </c>
      <c r="C72" s="1228">
        <v>191</v>
      </c>
      <c r="D72" s="1146" t="s">
        <v>233</v>
      </c>
      <c r="E72" s="1155" t="s">
        <v>381</v>
      </c>
      <c r="F72" s="1156">
        <v>0</v>
      </c>
      <c r="G72" s="1156">
        <v>0</v>
      </c>
      <c r="H72" s="1156">
        <v>167250</v>
      </c>
      <c r="I72" s="1156">
        <v>0</v>
      </c>
      <c r="J72" s="1156">
        <v>0</v>
      </c>
      <c r="K72" s="1156">
        <v>0</v>
      </c>
      <c r="L72" s="1157">
        <v>0</v>
      </c>
      <c r="M72" s="1157">
        <v>0</v>
      </c>
      <c r="N72" s="1157">
        <v>0</v>
      </c>
      <c r="O72" s="1157">
        <v>0</v>
      </c>
      <c r="P72" s="1157">
        <v>0</v>
      </c>
      <c r="Q72" s="1157">
        <v>0</v>
      </c>
      <c r="R72" s="1157">
        <v>0</v>
      </c>
      <c r="S72" s="1157">
        <v>399983</v>
      </c>
      <c r="T72" s="1157">
        <v>0</v>
      </c>
      <c r="U72" s="1157">
        <v>0</v>
      </c>
      <c r="V72" s="1157">
        <v>0</v>
      </c>
      <c r="W72" s="1157">
        <v>1251764</v>
      </c>
      <c r="X72" s="1157">
        <v>0</v>
      </c>
      <c r="Y72" s="1157">
        <v>0</v>
      </c>
      <c r="Z72" s="1157">
        <v>0</v>
      </c>
      <c r="AA72" s="1157">
        <v>1047624</v>
      </c>
      <c r="AB72" s="1157">
        <v>466921</v>
      </c>
      <c r="AC72" s="1157">
        <v>0</v>
      </c>
      <c r="AD72" s="1157">
        <v>212565</v>
      </c>
      <c r="AE72" s="1157">
        <v>0</v>
      </c>
      <c r="AF72" s="1157">
        <v>0</v>
      </c>
      <c r="AG72" s="1157">
        <v>695517</v>
      </c>
      <c r="AH72" s="1157">
        <v>10496</v>
      </c>
      <c r="AI72" s="1157">
        <v>0</v>
      </c>
      <c r="AJ72" s="1157">
        <v>375000</v>
      </c>
      <c r="AK72" s="1157">
        <v>1009050</v>
      </c>
      <c r="AL72" s="1157">
        <v>0</v>
      </c>
      <c r="AM72" s="1157">
        <v>0</v>
      </c>
      <c r="AN72" s="1157">
        <v>0</v>
      </c>
      <c r="AO72" s="1157">
        <v>19943</v>
      </c>
      <c r="AP72" s="1157">
        <v>0</v>
      </c>
      <c r="AQ72" s="1157">
        <v>0</v>
      </c>
      <c r="AR72" s="1157">
        <v>0</v>
      </c>
      <c r="AS72" s="1157">
        <v>0</v>
      </c>
      <c r="AT72" s="1157">
        <v>89265</v>
      </c>
      <c r="AU72" s="1157">
        <v>0</v>
      </c>
      <c r="AV72" s="1157">
        <v>0</v>
      </c>
      <c r="AW72" s="1157">
        <v>0</v>
      </c>
      <c r="AX72" s="1157">
        <v>390207</v>
      </c>
      <c r="AY72" s="1157">
        <v>0</v>
      </c>
      <c r="AZ72" s="1157">
        <v>0</v>
      </c>
      <c r="BA72" s="1157">
        <v>0</v>
      </c>
      <c r="BB72" s="1157">
        <v>0</v>
      </c>
      <c r="BC72" s="1157">
        <v>0</v>
      </c>
      <c r="BD72" s="1157">
        <v>0</v>
      </c>
      <c r="BE72" s="1157">
        <v>0</v>
      </c>
      <c r="BF72" s="1157">
        <v>912283</v>
      </c>
      <c r="BG72" s="1157">
        <v>0</v>
      </c>
      <c r="BH72" s="1157">
        <v>80315</v>
      </c>
      <c r="BI72" s="1157">
        <v>0</v>
      </c>
      <c r="BJ72" s="1157">
        <v>0</v>
      </c>
      <c r="BK72" s="1157">
        <v>0</v>
      </c>
      <c r="BL72" s="1157">
        <v>0</v>
      </c>
      <c r="BM72" s="1157">
        <v>656453</v>
      </c>
      <c r="BN72" s="1157">
        <v>0</v>
      </c>
      <c r="BO72" s="1157">
        <v>693228</v>
      </c>
      <c r="BP72" s="1157">
        <v>0</v>
      </c>
      <c r="BQ72" s="1157">
        <v>0</v>
      </c>
      <c r="BR72" s="1157">
        <v>0</v>
      </c>
      <c r="BS72" s="1157">
        <v>0</v>
      </c>
      <c r="BT72" s="1157">
        <v>0</v>
      </c>
      <c r="BU72" s="1157">
        <v>0</v>
      </c>
      <c r="BV72" s="1157">
        <v>63924</v>
      </c>
      <c r="BW72" s="1157">
        <v>1250720</v>
      </c>
      <c r="BX72" s="1157">
        <v>0</v>
      </c>
      <c r="BY72" s="1157">
        <v>0</v>
      </c>
      <c r="BZ72" s="1157">
        <v>0</v>
      </c>
      <c r="CA72" s="1157">
        <v>0</v>
      </c>
      <c r="CB72" s="1157">
        <v>0</v>
      </c>
      <c r="CC72" s="1148">
        <v>0</v>
      </c>
      <c r="CD72" s="1148">
        <v>0</v>
      </c>
      <c r="CE72" s="1148">
        <v>0</v>
      </c>
      <c r="CF72" s="1148">
        <v>0</v>
      </c>
    </row>
    <row r="73" spans="1:84" s="1148" customFormat="1" x14ac:dyDescent="0.3">
      <c r="A73" s="1153">
        <v>192</v>
      </c>
      <c r="B73" s="1154">
        <v>192</v>
      </c>
      <c r="C73" s="1228">
        <v>192</v>
      </c>
      <c r="D73" s="1146" t="s">
        <v>244</v>
      </c>
      <c r="E73" s="1155" t="s">
        <v>382</v>
      </c>
      <c r="F73" s="1156">
        <v>0</v>
      </c>
      <c r="G73" s="1156">
        <v>0</v>
      </c>
      <c r="H73" s="1156">
        <v>0</v>
      </c>
      <c r="I73" s="1156">
        <v>0</v>
      </c>
      <c r="J73" s="1156">
        <v>0</v>
      </c>
      <c r="K73" s="1156">
        <v>0</v>
      </c>
      <c r="L73" s="1157">
        <v>0</v>
      </c>
      <c r="M73" s="1157">
        <v>0</v>
      </c>
      <c r="N73" s="1157">
        <v>0</v>
      </c>
      <c r="O73" s="1157">
        <v>0</v>
      </c>
      <c r="P73" s="1157">
        <v>0</v>
      </c>
      <c r="Q73" s="1157">
        <v>0</v>
      </c>
      <c r="R73" s="1157">
        <v>0</v>
      </c>
      <c r="S73" s="1157">
        <v>8866032</v>
      </c>
      <c r="T73" s="1157">
        <v>0</v>
      </c>
      <c r="U73" s="1157">
        <v>0</v>
      </c>
      <c r="V73" s="1157">
        <v>0</v>
      </c>
      <c r="W73" s="1157">
        <v>0</v>
      </c>
      <c r="X73" s="1157">
        <v>0</v>
      </c>
      <c r="Y73" s="1157">
        <v>0</v>
      </c>
      <c r="Z73" s="1157">
        <v>0</v>
      </c>
      <c r="AA73" s="1157">
        <v>0</v>
      </c>
      <c r="AB73" s="1157">
        <v>0</v>
      </c>
      <c r="AC73" s="1157">
        <v>0</v>
      </c>
      <c r="AD73" s="1157">
        <v>0</v>
      </c>
      <c r="AE73" s="1157">
        <v>0</v>
      </c>
      <c r="AF73" s="1157">
        <v>0</v>
      </c>
      <c r="AG73" s="1157">
        <v>0</v>
      </c>
      <c r="AH73" s="1157">
        <v>0</v>
      </c>
      <c r="AI73" s="1157">
        <v>0</v>
      </c>
      <c r="AJ73" s="1157">
        <v>0</v>
      </c>
      <c r="AK73" s="1157">
        <v>0</v>
      </c>
      <c r="AL73" s="1157">
        <v>0</v>
      </c>
      <c r="AM73" s="1157">
        <v>0</v>
      </c>
      <c r="AN73" s="1157">
        <v>0</v>
      </c>
      <c r="AO73" s="1157">
        <v>0</v>
      </c>
      <c r="AP73" s="1157">
        <v>0</v>
      </c>
      <c r="AQ73" s="1157">
        <v>0</v>
      </c>
      <c r="AR73" s="1157">
        <v>0</v>
      </c>
      <c r="AS73" s="1157">
        <v>0</v>
      </c>
      <c r="AT73" s="1157">
        <v>0</v>
      </c>
      <c r="AU73" s="1157">
        <v>0</v>
      </c>
      <c r="AV73" s="1157">
        <v>0</v>
      </c>
      <c r="AW73" s="1157">
        <v>0</v>
      </c>
      <c r="AX73" s="1157">
        <v>0</v>
      </c>
      <c r="AY73" s="1157">
        <v>0</v>
      </c>
      <c r="AZ73" s="1157">
        <v>0</v>
      </c>
      <c r="BA73" s="1157">
        <v>0</v>
      </c>
      <c r="BB73" s="1157">
        <v>0</v>
      </c>
      <c r="BC73" s="1157">
        <v>0</v>
      </c>
      <c r="BD73" s="1157">
        <v>0</v>
      </c>
      <c r="BE73" s="1157">
        <v>0</v>
      </c>
      <c r="BF73" s="1157">
        <v>0</v>
      </c>
      <c r="BG73" s="1157">
        <v>0</v>
      </c>
      <c r="BH73" s="1157">
        <v>0</v>
      </c>
      <c r="BI73" s="1157">
        <v>0</v>
      </c>
      <c r="BJ73" s="1157">
        <v>0</v>
      </c>
      <c r="BK73" s="1157">
        <v>0</v>
      </c>
      <c r="BL73" s="1157">
        <v>0</v>
      </c>
      <c r="BM73" s="1157">
        <v>0</v>
      </c>
      <c r="BN73" s="1157">
        <v>0</v>
      </c>
      <c r="BO73" s="1157">
        <v>0</v>
      </c>
      <c r="BP73" s="1157">
        <v>0</v>
      </c>
      <c r="BQ73" s="1157">
        <v>0</v>
      </c>
      <c r="BR73" s="1157">
        <v>0</v>
      </c>
      <c r="BS73" s="1157">
        <v>0</v>
      </c>
      <c r="BT73" s="1157">
        <v>0</v>
      </c>
      <c r="BU73" s="1157">
        <v>0</v>
      </c>
      <c r="BV73" s="1157">
        <v>0</v>
      </c>
      <c r="BW73" s="1157">
        <v>0</v>
      </c>
      <c r="BX73" s="1157">
        <v>0</v>
      </c>
      <c r="BY73" s="1157">
        <v>0</v>
      </c>
      <c r="BZ73" s="1157">
        <v>0</v>
      </c>
      <c r="CA73" s="1157">
        <v>0</v>
      </c>
      <c r="CB73" s="1157">
        <v>0</v>
      </c>
      <c r="CC73" s="1148">
        <v>0</v>
      </c>
      <c r="CD73" s="1148">
        <v>0</v>
      </c>
      <c r="CE73" s="1148">
        <v>0</v>
      </c>
      <c r="CF73" s="1148">
        <v>0</v>
      </c>
    </row>
    <row r="74" spans="1:84" s="1148" customFormat="1" x14ac:dyDescent="0.3">
      <c r="A74" s="1146">
        <v>193</v>
      </c>
      <c r="B74" s="1154"/>
      <c r="C74" s="1158">
        <v>193</v>
      </c>
      <c r="D74" s="1146" t="s">
        <v>383</v>
      </c>
      <c r="E74" s="1155" t="s">
        <v>384</v>
      </c>
      <c r="F74" s="1156">
        <v>0</v>
      </c>
      <c r="G74" s="1156">
        <v>0</v>
      </c>
      <c r="H74" s="1156">
        <v>0</v>
      </c>
      <c r="I74" s="1156">
        <v>0</v>
      </c>
      <c r="J74" s="1156">
        <v>0</v>
      </c>
      <c r="K74" s="1156">
        <v>0</v>
      </c>
      <c r="L74" s="1157">
        <v>0</v>
      </c>
      <c r="M74" s="1157">
        <v>0</v>
      </c>
      <c r="N74" s="1157">
        <v>0</v>
      </c>
      <c r="O74" s="1157">
        <v>0</v>
      </c>
      <c r="P74" s="1157">
        <v>0</v>
      </c>
      <c r="Q74" s="1157">
        <v>0</v>
      </c>
      <c r="R74" s="1157">
        <v>0</v>
      </c>
      <c r="S74" s="1157">
        <v>0</v>
      </c>
      <c r="T74" s="1157">
        <v>0</v>
      </c>
      <c r="U74" s="1157">
        <v>0</v>
      </c>
      <c r="V74" s="1157">
        <v>0</v>
      </c>
      <c r="W74" s="1157">
        <v>0</v>
      </c>
      <c r="X74" s="1157">
        <v>0</v>
      </c>
      <c r="Y74" s="1157">
        <v>0</v>
      </c>
      <c r="Z74" s="1157">
        <v>0</v>
      </c>
      <c r="AA74" s="1157">
        <v>0</v>
      </c>
      <c r="AB74" s="1157">
        <v>0</v>
      </c>
      <c r="AC74" s="1157">
        <v>0</v>
      </c>
      <c r="AD74" s="1157">
        <v>0</v>
      </c>
      <c r="AE74" s="1157">
        <v>0</v>
      </c>
      <c r="AF74" s="1157">
        <v>0</v>
      </c>
      <c r="AG74" s="1157">
        <v>0</v>
      </c>
      <c r="AH74" s="1157">
        <v>0</v>
      </c>
      <c r="AI74" s="1157">
        <v>0</v>
      </c>
      <c r="AJ74" s="1157">
        <v>0</v>
      </c>
      <c r="AK74" s="1157">
        <v>0</v>
      </c>
      <c r="AL74" s="1157">
        <v>0</v>
      </c>
      <c r="AM74" s="1157">
        <v>0</v>
      </c>
      <c r="AN74" s="1157">
        <v>0</v>
      </c>
      <c r="AO74" s="1157">
        <v>0</v>
      </c>
      <c r="AP74" s="1157">
        <v>0</v>
      </c>
      <c r="AQ74" s="1157">
        <v>0</v>
      </c>
      <c r="AR74" s="1157">
        <v>0</v>
      </c>
      <c r="AS74" s="1157">
        <v>0</v>
      </c>
      <c r="AT74" s="1157">
        <v>0</v>
      </c>
      <c r="AU74" s="1157">
        <v>0</v>
      </c>
      <c r="AV74" s="1157">
        <v>0</v>
      </c>
      <c r="AW74" s="1157">
        <v>0</v>
      </c>
      <c r="AX74" s="1157">
        <v>0</v>
      </c>
      <c r="AY74" s="1157">
        <v>0</v>
      </c>
      <c r="AZ74" s="1157">
        <v>0</v>
      </c>
      <c r="BA74" s="1157">
        <v>0</v>
      </c>
      <c r="BB74" s="1157">
        <v>0</v>
      </c>
      <c r="BC74" s="1157">
        <v>0</v>
      </c>
      <c r="BD74" s="1157">
        <v>0</v>
      </c>
      <c r="BE74" s="1157">
        <v>0</v>
      </c>
      <c r="BF74" s="1157">
        <v>0</v>
      </c>
      <c r="BG74" s="1157">
        <v>0</v>
      </c>
      <c r="BH74" s="1157">
        <v>0</v>
      </c>
      <c r="BI74" s="1157">
        <v>0</v>
      </c>
      <c r="BJ74" s="1157">
        <v>0</v>
      </c>
      <c r="BK74" s="1157">
        <v>0</v>
      </c>
      <c r="BL74" s="1157">
        <v>0</v>
      </c>
      <c r="BM74" s="1157">
        <v>0</v>
      </c>
      <c r="BN74" s="1157">
        <v>0</v>
      </c>
      <c r="BO74" s="1157">
        <v>0</v>
      </c>
      <c r="BP74" s="1157">
        <v>0</v>
      </c>
      <c r="BQ74" s="1157">
        <v>0</v>
      </c>
      <c r="BR74" s="1157">
        <v>0</v>
      </c>
      <c r="BS74" s="1157">
        <v>0</v>
      </c>
      <c r="BT74" s="1157">
        <v>0</v>
      </c>
      <c r="BU74" s="1157">
        <v>0</v>
      </c>
      <c r="BV74" s="1157">
        <v>0</v>
      </c>
      <c r="BW74" s="1157">
        <v>0</v>
      </c>
      <c r="BX74" s="1157">
        <v>0</v>
      </c>
      <c r="BY74" s="1157">
        <v>0</v>
      </c>
      <c r="BZ74" s="1157">
        <v>0</v>
      </c>
      <c r="CA74" s="1157">
        <v>0</v>
      </c>
      <c r="CB74" s="1157">
        <v>0</v>
      </c>
      <c r="CC74" s="1148">
        <v>0</v>
      </c>
      <c r="CD74" s="1148">
        <v>0</v>
      </c>
      <c r="CE74" s="1148">
        <v>0</v>
      </c>
      <c r="CF74" s="1148">
        <v>0</v>
      </c>
    </row>
    <row r="75" spans="1:84" s="1148" customFormat="1" x14ac:dyDescent="0.3">
      <c r="A75" s="1146">
        <v>194</v>
      </c>
      <c r="B75" s="1154"/>
      <c r="C75" s="1143">
        <v>194</v>
      </c>
      <c r="D75" s="1146" t="s">
        <v>385</v>
      </c>
      <c r="E75" s="1155" t="s">
        <v>386</v>
      </c>
      <c r="F75" s="1156">
        <v>0</v>
      </c>
      <c r="G75" s="1156">
        <v>0</v>
      </c>
      <c r="H75" s="1156">
        <v>0</v>
      </c>
      <c r="I75" s="1156">
        <v>0</v>
      </c>
      <c r="J75" s="1156">
        <v>0</v>
      </c>
      <c r="K75" s="1156">
        <v>0</v>
      </c>
      <c r="L75" s="1157">
        <v>0</v>
      </c>
      <c r="M75" s="1157">
        <v>0</v>
      </c>
      <c r="N75" s="1157">
        <v>0</v>
      </c>
      <c r="O75" s="1157">
        <v>0</v>
      </c>
      <c r="P75" s="1157">
        <v>0</v>
      </c>
      <c r="Q75" s="1157">
        <v>0</v>
      </c>
      <c r="R75" s="1157">
        <v>0</v>
      </c>
      <c r="S75" s="1157">
        <v>0</v>
      </c>
      <c r="T75" s="1157">
        <v>0</v>
      </c>
      <c r="U75" s="1157">
        <v>0</v>
      </c>
      <c r="V75" s="1157">
        <v>0</v>
      </c>
      <c r="W75" s="1157">
        <v>0</v>
      </c>
      <c r="X75" s="1157">
        <v>0</v>
      </c>
      <c r="Y75" s="1157">
        <v>0</v>
      </c>
      <c r="Z75" s="1157">
        <v>0</v>
      </c>
      <c r="AA75" s="1157">
        <v>0</v>
      </c>
      <c r="AB75" s="1157">
        <v>0</v>
      </c>
      <c r="AC75" s="1157">
        <v>0</v>
      </c>
      <c r="AD75" s="1157">
        <v>0</v>
      </c>
      <c r="AE75" s="1157">
        <v>0</v>
      </c>
      <c r="AF75" s="1157">
        <v>0</v>
      </c>
      <c r="AG75" s="1157">
        <v>0</v>
      </c>
      <c r="AH75" s="1157">
        <v>0</v>
      </c>
      <c r="AI75" s="1157">
        <v>0</v>
      </c>
      <c r="AJ75" s="1157">
        <v>0</v>
      </c>
      <c r="AK75" s="1157">
        <v>0</v>
      </c>
      <c r="AL75" s="1157">
        <v>0</v>
      </c>
      <c r="AM75" s="1157">
        <v>0</v>
      </c>
      <c r="AN75" s="1157">
        <v>0</v>
      </c>
      <c r="AO75" s="1157">
        <v>0</v>
      </c>
      <c r="AP75" s="1157">
        <v>0</v>
      </c>
      <c r="AQ75" s="1157">
        <v>0</v>
      </c>
      <c r="AR75" s="1157">
        <v>0</v>
      </c>
      <c r="AS75" s="1157">
        <v>0</v>
      </c>
      <c r="AT75" s="1157">
        <v>0</v>
      </c>
      <c r="AU75" s="1157">
        <v>0</v>
      </c>
      <c r="AV75" s="1157">
        <v>0</v>
      </c>
      <c r="AW75" s="1157">
        <v>0</v>
      </c>
      <c r="AX75" s="1157">
        <v>0</v>
      </c>
      <c r="AY75" s="1157">
        <v>0</v>
      </c>
      <c r="AZ75" s="1157">
        <v>0</v>
      </c>
      <c r="BA75" s="1157">
        <v>0</v>
      </c>
      <c r="BB75" s="1157">
        <v>0</v>
      </c>
      <c r="BC75" s="1157">
        <v>0</v>
      </c>
      <c r="BD75" s="1157">
        <v>0</v>
      </c>
      <c r="BE75" s="1157">
        <v>0</v>
      </c>
      <c r="BF75" s="1157">
        <v>0</v>
      </c>
      <c r="BG75" s="1157">
        <v>0</v>
      </c>
      <c r="BH75" s="1157">
        <v>0</v>
      </c>
      <c r="BI75" s="1157">
        <v>0</v>
      </c>
      <c r="BJ75" s="1157">
        <v>0</v>
      </c>
      <c r="BK75" s="1157">
        <v>0</v>
      </c>
      <c r="BL75" s="1157">
        <v>0</v>
      </c>
      <c r="BM75" s="1157">
        <v>0</v>
      </c>
      <c r="BN75" s="1157">
        <v>0</v>
      </c>
      <c r="BO75" s="1157">
        <v>0</v>
      </c>
      <c r="BP75" s="1157">
        <v>0</v>
      </c>
      <c r="BQ75" s="1157">
        <v>0</v>
      </c>
      <c r="BR75" s="1157">
        <v>0</v>
      </c>
      <c r="BS75" s="1157">
        <v>0</v>
      </c>
      <c r="BT75" s="1157">
        <v>0</v>
      </c>
      <c r="BU75" s="1157">
        <v>0</v>
      </c>
      <c r="BV75" s="1157">
        <v>0</v>
      </c>
      <c r="BW75" s="1157">
        <v>0</v>
      </c>
      <c r="BX75" s="1157">
        <v>0</v>
      </c>
      <c r="BY75" s="1157">
        <v>0</v>
      </c>
      <c r="BZ75" s="1157">
        <v>0</v>
      </c>
      <c r="CA75" s="1157">
        <v>0</v>
      </c>
      <c r="CB75" s="1157">
        <v>0</v>
      </c>
      <c r="CC75" s="1148">
        <v>0</v>
      </c>
      <c r="CD75" s="1148">
        <v>0</v>
      </c>
      <c r="CE75" s="1148">
        <v>0</v>
      </c>
      <c r="CF75" s="1148">
        <v>0</v>
      </c>
    </row>
    <row r="76" spans="1:84" s="1148" customFormat="1" x14ac:dyDescent="0.3">
      <c r="A76" s="1146">
        <v>231</v>
      </c>
      <c r="B76" s="1154"/>
      <c r="C76" s="1228">
        <v>231</v>
      </c>
      <c r="D76" s="1146" t="s">
        <v>387</v>
      </c>
      <c r="E76" s="1155" t="s">
        <v>388</v>
      </c>
      <c r="F76" s="1156">
        <v>0</v>
      </c>
      <c r="G76" s="1156">
        <v>0</v>
      </c>
      <c r="H76" s="1156">
        <v>0</v>
      </c>
      <c r="I76" s="1156">
        <v>0</v>
      </c>
      <c r="J76" s="1156">
        <v>0</v>
      </c>
      <c r="K76" s="1156">
        <v>0</v>
      </c>
      <c r="L76" s="1157">
        <v>0</v>
      </c>
      <c r="M76" s="1157">
        <v>0</v>
      </c>
      <c r="N76" s="1157">
        <v>0</v>
      </c>
      <c r="O76" s="1157">
        <v>0</v>
      </c>
      <c r="P76" s="1157">
        <v>0</v>
      </c>
      <c r="Q76" s="1157">
        <v>0</v>
      </c>
      <c r="R76" s="1157">
        <v>0</v>
      </c>
      <c r="S76" s="1157">
        <v>0</v>
      </c>
      <c r="T76" s="1157">
        <v>0</v>
      </c>
      <c r="U76" s="1157">
        <v>0</v>
      </c>
      <c r="V76" s="1157">
        <v>0</v>
      </c>
      <c r="W76" s="1157">
        <v>0</v>
      </c>
      <c r="X76" s="1157">
        <v>0</v>
      </c>
      <c r="Y76" s="1157">
        <v>0</v>
      </c>
      <c r="Z76" s="1157">
        <v>0</v>
      </c>
      <c r="AA76" s="1157">
        <v>0</v>
      </c>
      <c r="AB76" s="1157">
        <v>0</v>
      </c>
      <c r="AC76" s="1157">
        <v>0</v>
      </c>
      <c r="AD76" s="1157">
        <v>0</v>
      </c>
      <c r="AE76" s="1157">
        <v>0</v>
      </c>
      <c r="AF76" s="1157">
        <v>0</v>
      </c>
      <c r="AG76" s="1157">
        <v>0</v>
      </c>
      <c r="AH76" s="1157">
        <v>0</v>
      </c>
      <c r="AI76" s="1157">
        <v>0</v>
      </c>
      <c r="AJ76" s="1157">
        <v>0</v>
      </c>
      <c r="AK76" s="1157">
        <v>0</v>
      </c>
      <c r="AL76" s="1157">
        <v>0</v>
      </c>
      <c r="AM76" s="1157">
        <v>0</v>
      </c>
      <c r="AN76" s="1157">
        <v>0</v>
      </c>
      <c r="AO76" s="1157">
        <v>0</v>
      </c>
      <c r="AP76" s="1157">
        <v>0</v>
      </c>
      <c r="AQ76" s="1157">
        <v>0</v>
      </c>
      <c r="AR76" s="1157">
        <v>0</v>
      </c>
      <c r="AS76" s="1157">
        <v>0</v>
      </c>
      <c r="AT76" s="1157">
        <v>0</v>
      </c>
      <c r="AU76" s="1157">
        <v>0</v>
      </c>
      <c r="AV76" s="1157">
        <v>0</v>
      </c>
      <c r="AW76" s="1157">
        <v>0</v>
      </c>
      <c r="AX76" s="1157">
        <v>0</v>
      </c>
      <c r="AY76" s="1157">
        <v>0</v>
      </c>
      <c r="AZ76" s="1157">
        <v>0</v>
      </c>
      <c r="BA76" s="1157">
        <v>0</v>
      </c>
      <c r="BB76" s="1157">
        <v>0</v>
      </c>
      <c r="BC76" s="1157">
        <v>0</v>
      </c>
      <c r="BD76" s="1157">
        <v>0</v>
      </c>
      <c r="BE76" s="1157">
        <v>0</v>
      </c>
      <c r="BF76" s="1157">
        <v>0</v>
      </c>
      <c r="BG76" s="1157">
        <v>0</v>
      </c>
      <c r="BH76" s="1157">
        <v>0</v>
      </c>
      <c r="BI76" s="1157">
        <v>0</v>
      </c>
      <c r="BJ76" s="1157">
        <v>0</v>
      </c>
      <c r="BK76" s="1157">
        <v>0</v>
      </c>
      <c r="BL76" s="1157">
        <v>0</v>
      </c>
      <c r="BM76" s="1157">
        <v>0</v>
      </c>
      <c r="BN76" s="1157">
        <v>0</v>
      </c>
      <c r="BO76" s="1157">
        <v>0</v>
      </c>
      <c r="BP76" s="1157">
        <v>0</v>
      </c>
      <c r="BQ76" s="1157">
        <v>0</v>
      </c>
      <c r="BR76" s="1157">
        <v>0</v>
      </c>
      <c r="BS76" s="1157">
        <v>0</v>
      </c>
      <c r="BT76" s="1157">
        <v>0</v>
      </c>
      <c r="BU76" s="1157">
        <v>0</v>
      </c>
      <c r="BV76" s="1157">
        <v>0</v>
      </c>
      <c r="BW76" s="1157">
        <v>0</v>
      </c>
      <c r="BX76" s="1157">
        <v>0</v>
      </c>
      <c r="BY76" s="1157">
        <v>0</v>
      </c>
      <c r="BZ76" s="1157">
        <v>0</v>
      </c>
      <c r="CA76" s="1157">
        <v>0</v>
      </c>
      <c r="CB76" s="1157">
        <v>0</v>
      </c>
      <c r="CC76" s="1148">
        <v>0</v>
      </c>
      <c r="CD76" s="1148">
        <v>0</v>
      </c>
      <c r="CE76" s="1148">
        <v>0</v>
      </c>
      <c r="CF76" s="1148">
        <v>0</v>
      </c>
    </row>
    <row r="77" spans="1:84" s="1148" customFormat="1" x14ac:dyDescent="0.3">
      <c r="A77" s="1146">
        <v>251</v>
      </c>
      <c r="B77" s="1154"/>
      <c r="C77" s="1228">
        <v>251</v>
      </c>
      <c r="D77" s="1146" t="s">
        <v>389</v>
      </c>
      <c r="E77" s="1155" t="s">
        <v>390</v>
      </c>
      <c r="F77" s="1156">
        <v>0</v>
      </c>
      <c r="G77" s="1156">
        <v>0</v>
      </c>
      <c r="H77" s="1156">
        <v>0</v>
      </c>
      <c r="I77" s="1156">
        <v>0</v>
      </c>
      <c r="J77" s="1156">
        <v>0</v>
      </c>
      <c r="K77" s="1156">
        <v>0</v>
      </c>
      <c r="L77" s="1157">
        <v>0</v>
      </c>
      <c r="M77" s="1157">
        <v>0</v>
      </c>
      <c r="N77" s="1157">
        <v>0</v>
      </c>
      <c r="O77" s="1157">
        <v>0</v>
      </c>
      <c r="P77" s="1157">
        <v>0</v>
      </c>
      <c r="Q77" s="1157">
        <v>0</v>
      </c>
      <c r="R77" s="1157">
        <v>0</v>
      </c>
      <c r="S77" s="1157">
        <v>0</v>
      </c>
      <c r="T77" s="1157">
        <v>0</v>
      </c>
      <c r="U77" s="1157">
        <v>0</v>
      </c>
      <c r="V77" s="1157">
        <v>0</v>
      </c>
      <c r="W77" s="1157">
        <v>0</v>
      </c>
      <c r="X77" s="1157">
        <v>0</v>
      </c>
      <c r="Y77" s="1157">
        <v>0</v>
      </c>
      <c r="Z77" s="1157">
        <v>0</v>
      </c>
      <c r="AA77" s="1157">
        <v>0</v>
      </c>
      <c r="AB77" s="1157">
        <v>0</v>
      </c>
      <c r="AC77" s="1157">
        <v>0</v>
      </c>
      <c r="AD77" s="1157">
        <v>0</v>
      </c>
      <c r="AE77" s="1157">
        <v>0</v>
      </c>
      <c r="AF77" s="1157">
        <v>0</v>
      </c>
      <c r="AG77" s="1157">
        <v>0</v>
      </c>
      <c r="AH77" s="1157">
        <v>0</v>
      </c>
      <c r="AI77" s="1157">
        <v>0</v>
      </c>
      <c r="AJ77" s="1157">
        <v>0</v>
      </c>
      <c r="AK77" s="1157">
        <v>0</v>
      </c>
      <c r="AL77" s="1157">
        <v>0</v>
      </c>
      <c r="AM77" s="1157">
        <v>0</v>
      </c>
      <c r="AN77" s="1157">
        <v>0</v>
      </c>
      <c r="AO77" s="1157">
        <v>0</v>
      </c>
      <c r="AP77" s="1157">
        <v>0</v>
      </c>
      <c r="AQ77" s="1157">
        <v>0</v>
      </c>
      <c r="AR77" s="1157">
        <v>0</v>
      </c>
      <c r="AS77" s="1157">
        <v>0</v>
      </c>
      <c r="AT77" s="1157">
        <v>0</v>
      </c>
      <c r="AU77" s="1157">
        <v>0</v>
      </c>
      <c r="AV77" s="1157">
        <v>0</v>
      </c>
      <c r="AW77" s="1157">
        <v>0</v>
      </c>
      <c r="AX77" s="1157">
        <v>0</v>
      </c>
      <c r="AY77" s="1157">
        <v>0</v>
      </c>
      <c r="AZ77" s="1157">
        <v>0</v>
      </c>
      <c r="BA77" s="1157">
        <v>0</v>
      </c>
      <c r="BB77" s="1157">
        <v>0</v>
      </c>
      <c r="BC77" s="1157">
        <v>0</v>
      </c>
      <c r="BD77" s="1157">
        <v>0</v>
      </c>
      <c r="BE77" s="1157">
        <v>0</v>
      </c>
      <c r="BF77" s="1157">
        <v>0</v>
      </c>
      <c r="BG77" s="1157">
        <v>0</v>
      </c>
      <c r="BH77" s="1157">
        <v>0</v>
      </c>
      <c r="BI77" s="1157">
        <v>0</v>
      </c>
      <c r="BJ77" s="1157">
        <v>0</v>
      </c>
      <c r="BK77" s="1157">
        <v>0</v>
      </c>
      <c r="BL77" s="1157">
        <v>0</v>
      </c>
      <c r="BM77" s="1157">
        <v>0</v>
      </c>
      <c r="BN77" s="1157">
        <v>0</v>
      </c>
      <c r="BO77" s="1157">
        <v>0</v>
      </c>
      <c r="BP77" s="1157">
        <v>0</v>
      </c>
      <c r="BQ77" s="1157">
        <v>0</v>
      </c>
      <c r="BR77" s="1157">
        <v>0</v>
      </c>
      <c r="BS77" s="1157">
        <v>0</v>
      </c>
      <c r="BT77" s="1157">
        <v>0</v>
      </c>
      <c r="BU77" s="1157">
        <v>0</v>
      </c>
      <c r="BV77" s="1157">
        <v>0</v>
      </c>
      <c r="BW77" s="1157">
        <v>0</v>
      </c>
      <c r="BX77" s="1157">
        <v>0</v>
      </c>
      <c r="BY77" s="1157">
        <v>0</v>
      </c>
      <c r="BZ77" s="1157">
        <v>0</v>
      </c>
      <c r="CA77" s="1157">
        <v>0</v>
      </c>
      <c r="CB77" s="1157">
        <v>0</v>
      </c>
      <c r="CC77" s="1148">
        <v>0</v>
      </c>
      <c r="CD77" s="1148">
        <v>0</v>
      </c>
      <c r="CE77" s="1148">
        <v>0</v>
      </c>
      <c r="CF77" s="1148">
        <v>0</v>
      </c>
    </row>
    <row r="78" spans="1:84" s="1148" customFormat="1" x14ac:dyDescent="0.3">
      <c r="A78" s="1153">
        <v>252</v>
      </c>
      <c r="B78" s="1154">
        <v>252</v>
      </c>
      <c r="C78" s="1228">
        <v>252</v>
      </c>
      <c r="D78" s="1146" t="s">
        <v>103</v>
      </c>
      <c r="E78" s="1155" t="s">
        <v>391</v>
      </c>
      <c r="F78" s="1156">
        <v>0</v>
      </c>
      <c r="G78" s="1156">
        <v>159557</v>
      </c>
      <c r="H78" s="1156">
        <v>747180</v>
      </c>
      <c r="I78" s="1156">
        <v>6139732</v>
      </c>
      <c r="J78" s="1156">
        <v>2793373</v>
      </c>
      <c r="K78" s="1156">
        <v>5699758</v>
      </c>
      <c r="L78" s="1157">
        <v>9937</v>
      </c>
      <c r="M78" s="1157">
        <v>1682936</v>
      </c>
      <c r="N78" s="1157">
        <v>360018</v>
      </c>
      <c r="O78" s="1157">
        <v>55485832</v>
      </c>
      <c r="P78" s="1157">
        <v>403678</v>
      </c>
      <c r="Q78" s="1157">
        <v>5897367</v>
      </c>
      <c r="R78" s="1157">
        <v>163235</v>
      </c>
      <c r="S78" s="1157">
        <v>72231064</v>
      </c>
      <c r="T78" s="1157">
        <v>0</v>
      </c>
      <c r="U78" s="1157">
        <v>109991</v>
      </c>
      <c r="V78" s="1157">
        <v>79407579</v>
      </c>
      <c r="W78" s="1157">
        <v>34501559</v>
      </c>
      <c r="X78" s="1157">
        <v>27614287</v>
      </c>
      <c r="Y78" s="1157">
        <v>144793657</v>
      </c>
      <c r="Z78" s="1157">
        <v>227052</v>
      </c>
      <c r="AA78" s="1157">
        <v>25370411</v>
      </c>
      <c r="AB78" s="1157">
        <v>1580597</v>
      </c>
      <c r="AC78" s="1157">
        <v>19387319</v>
      </c>
      <c r="AD78" s="1157">
        <v>3111271</v>
      </c>
      <c r="AE78" s="1157">
        <v>2776823</v>
      </c>
      <c r="AF78" s="1157">
        <v>1134113</v>
      </c>
      <c r="AG78" s="1157">
        <v>1507789</v>
      </c>
      <c r="AH78" s="1157">
        <v>40161631</v>
      </c>
      <c r="AI78" s="1157">
        <v>6824257</v>
      </c>
      <c r="AJ78" s="1157">
        <v>2042640</v>
      </c>
      <c r="AK78" s="1157">
        <v>58631163</v>
      </c>
      <c r="AL78" s="1157">
        <v>4487360</v>
      </c>
      <c r="AM78" s="1157">
        <v>2721084</v>
      </c>
      <c r="AN78" s="1157">
        <v>0</v>
      </c>
      <c r="AO78" s="1157">
        <v>11892626</v>
      </c>
      <c r="AP78" s="1157">
        <v>0</v>
      </c>
      <c r="AQ78" s="1157">
        <v>297994</v>
      </c>
      <c r="AR78" s="1157">
        <v>96903</v>
      </c>
      <c r="AS78" s="1157">
        <v>12354833</v>
      </c>
      <c r="AT78" s="1157">
        <v>41967278</v>
      </c>
      <c r="AU78" s="1157">
        <v>169977</v>
      </c>
      <c r="AV78" s="1157">
        <v>2462827</v>
      </c>
      <c r="AW78" s="1157">
        <v>0</v>
      </c>
      <c r="AX78" s="1157">
        <v>24546139</v>
      </c>
      <c r="AY78" s="1157">
        <v>6795642</v>
      </c>
      <c r="AZ78" s="1157">
        <v>3768365</v>
      </c>
      <c r="BA78" s="1157">
        <v>5705067</v>
      </c>
      <c r="BB78" s="1157">
        <v>1850274</v>
      </c>
      <c r="BC78" s="1157">
        <v>1410026</v>
      </c>
      <c r="BD78" s="1157">
        <v>51387</v>
      </c>
      <c r="BE78" s="1157">
        <v>50997</v>
      </c>
      <c r="BF78" s="1157">
        <v>5797072</v>
      </c>
      <c r="BG78" s="1157">
        <v>305801</v>
      </c>
      <c r="BH78" s="1157">
        <v>138920</v>
      </c>
      <c r="BI78" s="1157">
        <v>65521</v>
      </c>
      <c r="BJ78" s="1157">
        <v>93599</v>
      </c>
      <c r="BK78" s="1157">
        <v>271587</v>
      </c>
      <c r="BL78" s="1157">
        <v>258070</v>
      </c>
      <c r="BM78" s="1157">
        <v>4236034</v>
      </c>
      <c r="BN78" s="1157">
        <v>0</v>
      </c>
      <c r="BO78" s="1157">
        <v>2171281</v>
      </c>
      <c r="BP78" s="1157">
        <v>5782057</v>
      </c>
      <c r="BQ78" s="1157">
        <v>305615</v>
      </c>
      <c r="BR78" s="1157">
        <v>1353607</v>
      </c>
      <c r="BS78" s="1157">
        <v>27012618</v>
      </c>
      <c r="BT78" s="1157">
        <v>508407</v>
      </c>
      <c r="BU78" s="1157">
        <v>29774725</v>
      </c>
      <c r="BV78" s="1157">
        <v>688193</v>
      </c>
      <c r="BW78" s="1157">
        <v>5372889</v>
      </c>
      <c r="BX78" s="1157">
        <v>3205958</v>
      </c>
      <c r="BY78" s="1157">
        <v>0</v>
      </c>
      <c r="BZ78" s="1157">
        <v>340335</v>
      </c>
      <c r="CA78" s="1157">
        <v>332707</v>
      </c>
      <c r="CB78" s="1157">
        <v>371868</v>
      </c>
      <c r="CC78" s="1148">
        <v>60899</v>
      </c>
      <c r="CD78" s="1148">
        <v>393669</v>
      </c>
      <c r="CE78" s="1148">
        <v>0</v>
      </c>
      <c r="CF78" s="1148">
        <v>65722</v>
      </c>
    </row>
    <row r="79" spans="1:84" s="1148" customFormat="1" x14ac:dyDescent="0.3">
      <c r="A79" s="1153">
        <v>253</v>
      </c>
      <c r="B79" s="1154">
        <v>253</v>
      </c>
      <c r="C79" s="1228">
        <v>253</v>
      </c>
      <c r="D79" s="1146" t="s">
        <v>104</v>
      </c>
      <c r="E79" s="1155" t="s">
        <v>392</v>
      </c>
      <c r="F79" s="1156">
        <v>0</v>
      </c>
      <c r="G79" s="1156">
        <v>43930</v>
      </c>
      <c r="H79" s="1156">
        <v>195127</v>
      </c>
      <c r="I79" s="1156">
        <v>631970</v>
      </c>
      <c r="J79" s="1156">
        <v>216000</v>
      </c>
      <c r="K79" s="1156">
        <v>292713</v>
      </c>
      <c r="L79" s="1157">
        <v>5932</v>
      </c>
      <c r="M79" s="1157">
        <v>60332</v>
      </c>
      <c r="N79" s="1157">
        <v>23335</v>
      </c>
      <c r="O79" s="1157">
        <v>2318486</v>
      </c>
      <c r="P79" s="1157">
        <v>167969</v>
      </c>
      <c r="Q79" s="1157">
        <v>2502776</v>
      </c>
      <c r="R79" s="1157">
        <v>11083</v>
      </c>
      <c r="S79" s="1157">
        <v>14881482</v>
      </c>
      <c r="T79" s="1157">
        <v>0</v>
      </c>
      <c r="U79" s="1157">
        <v>3897</v>
      </c>
      <c r="V79" s="1157">
        <v>22637755</v>
      </c>
      <c r="W79" s="1157">
        <v>10045571</v>
      </c>
      <c r="X79" s="1157">
        <v>4897224</v>
      </c>
      <c r="Y79" s="1157">
        <v>26339022</v>
      </c>
      <c r="Z79" s="1157">
        <v>177283</v>
      </c>
      <c r="AA79" s="1157">
        <v>4485537</v>
      </c>
      <c r="AB79" s="1157">
        <v>233301</v>
      </c>
      <c r="AC79" s="1157">
        <v>3127504</v>
      </c>
      <c r="AD79" s="1157">
        <v>677363</v>
      </c>
      <c r="AE79" s="1157">
        <v>442904</v>
      </c>
      <c r="AF79" s="1157">
        <v>330202</v>
      </c>
      <c r="AG79" s="1157">
        <v>916693</v>
      </c>
      <c r="AH79" s="1157">
        <v>11135803</v>
      </c>
      <c r="AI79" s="1157">
        <v>547935</v>
      </c>
      <c r="AJ79" s="1157">
        <v>265242</v>
      </c>
      <c r="AK79" s="1157">
        <v>13146423</v>
      </c>
      <c r="AL79" s="1157">
        <v>241691</v>
      </c>
      <c r="AM79" s="1157">
        <v>88067</v>
      </c>
      <c r="AN79" s="1157">
        <v>0</v>
      </c>
      <c r="AO79" s="1157">
        <v>2890464</v>
      </c>
      <c r="AP79" s="1157">
        <v>0</v>
      </c>
      <c r="AQ79" s="1157">
        <v>125115</v>
      </c>
      <c r="AR79" s="1157">
        <v>1028</v>
      </c>
      <c r="AS79" s="1157">
        <v>6484167</v>
      </c>
      <c r="AT79" s="1157">
        <v>1142810</v>
      </c>
      <c r="AU79" s="1157">
        <v>151571</v>
      </c>
      <c r="AV79" s="1157">
        <v>766610</v>
      </c>
      <c r="AW79" s="1157">
        <v>0</v>
      </c>
      <c r="AX79" s="1157">
        <v>12689639</v>
      </c>
      <c r="AY79" s="1157">
        <v>200071</v>
      </c>
      <c r="AZ79" s="1157">
        <v>1007406</v>
      </c>
      <c r="BA79" s="1157">
        <v>2915847</v>
      </c>
      <c r="BB79" s="1157">
        <v>160346</v>
      </c>
      <c r="BC79" s="1157">
        <v>508200</v>
      </c>
      <c r="BD79" s="1157">
        <v>0</v>
      </c>
      <c r="BE79" s="1157">
        <v>231468</v>
      </c>
      <c r="BF79" s="1157">
        <v>1036563</v>
      </c>
      <c r="BG79" s="1157">
        <v>50006</v>
      </c>
      <c r="BH79" s="1157">
        <v>119514</v>
      </c>
      <c r="BI79" s="1157">
        <v>29291</v>
      </c>
      <c r="BJ79" s="1157">
        <v>6479</v>
      </c>
      <c r="BK79" s="1157">
        <v>65122</v>
      </c>
      <c r="BL79" s="1157">
        <v>79857</v>
      </c>
      <c r="BM79" s="1157">
        <v>655656</v>
      </c>
      <c r="BN79" s="1157">
        <v>0</v>
      </c>
      <c r="BO79" s="1157">
        <v>577732</v>
      </c>
      <c r="BP79" s="1157">
        <v>4065311</v>
      </c>
      <c r="BQ79" s="1157">
        <v>257054</v>
      </c>
      <c r="BR79" s="1157">
        <v>337726</v>
      </c>
      <c r="BS79" s="1157">
        <v>2233881</v>
      </c>
      <c r="BT79" s="1157">
        <v>262301</v>
      </c>
      <c r="BU79" s="1157">
        <v>1371004</v>
      </c>
      <c r="BV79" s="1157">
        <v>475732</v>
      </c>
      <c r="BW79" s="1157">
        <v>2407856</v>
      </c>
      <c r="BX79" s="1157">
        <v>1442897</v>
      </c>
      <c r="BY79" s="1157">
        <v>0</v>
      </c>
      <c r="BZ79" s="1157">
        <v>412181</v>
      </c>
      <c r="CA79" s="1157">
        <v>148245</v>
      </c>
      <c r="CB79" s="1157">
        <v>56393</v>
      </c>
      <c r="CC79" s="1148">
        <v>33898</v>
      </c>
      <c r="CD79" s="1148">
        <v>163393</v>
      </c>
      <c r="CE79" s="1148">
        <v>0</v>
      </c>
      <c r="CF79" s="1148">
        <v>23236</v>
      </c>
    </row>
    <row r="80" spans="1:84" s="1148" customFormat="1" x14ac:dyDescent="0.3">
      <c r="A80" s="1153">
        <v>254</v>
      </c>
      <c r="B80" s="1154">
        <v>254</v>
      </c>
      <c r="C80" s="1228">
        <v>254</v>
      </c>
      <c r="D80" s="1146" t="s">
        <v>105</v>
      </c>
      <c r="E80" s="1155" t="s">
        <v>393</v>
      </c>
      <c r="F80" s="1156">
        <v>0</v>
      </c>
      <c r="G80" s="1156">
        <v>124447</v>
      </c>
      <c r="H80" s="1156">
        <v>741686</v>
      </c>
      <c r="I80" s="1156">
        <v>3931372</v>
      </c>
      <c r="J80" s="1156">
        <v>5230579</v>
      </c>
      <c r="K80" s="1156">
        <v>4441228</v>
      </c>
      <c r="L80" s="1157">
        <v>112433</v>
      </c>
      <c r="M80" s="1157">
        <v>922473</v>
      </c>
      <c r="N80" s="1157">
        <v>1001709</v>
      </c>
      <c r="O80" s="1157">
        <v>1845007</v>
      </c>
      <c r="P80" s="1157">
        <v>444573</v>
      </c>
      <c r="Q80" s="1157">
        <v>2843302</v>
      </c>
      <c r="R80" s="1157">
        <v>297307</v>
      </c>
      <c r="S80" s="1157">
        <v>-9095556</v>
      </c>
      <c r="T80" s="1157">
        <v>0</v>
      </c>
      <c r="U80" s="1157">
        <v>203612</v>
      </c>
      <c r="V80" s="1157">
        <v>-20034661</v>
      </c>
      <c r="W80" s="1157">
        <v>-276571</v>
      </c>
      <c r="X80" s="1157">
        <v>2291152</v>
      </c>
      <c r="Y80" s="1157">
        <v>9417099</v>
      </c>
      <c r="Z80" s="1157">
        <v>175816</v>
      </c>
      <c r="AA80" s="1157">
        <v>8099330</v>
      </c>
      <c r="AB80" s="1157">
        <v>1271839</v>
      </c>
      <c r="AC80" s="1157">
        <v>7530504</v>
      </c>
      <c r="AD80" s="1157">
        <v>829449</v>
      </c>
      <c r="AE80" s="1157">
        <v>1768922</v>
      </c>
      <c r="AF80" s="1157">
        <v>935893</v>
      </c>
      <c r="AG80" s="1157">
        <v>2810334</v>
      </c>
      <c r="AH80" s="1157">
        <v>3379930</v>
      </c>
      <c r="AI80" s="1157">
        <v>4625047</v>
      </c>
      <c r="AJ80" s="1157">
        <v>618932</v>
      </c>
      <c r="AK80" s="1157">
        <v>-36243815</v>
      </c>
      <c r="AL80" s="1157">
        <v>2691272</v>
      </c>
      <c r="AM80" s="1157">
        <v>550465</v>
      </c>
      <c r="AN80" s="1157">
        <v>0</v>
      </c>
      <c r="AO80" s="1157">
        <v>5102071</v>
      </c>
      <c r="AP80" s="1157">
        <v>0</v>
      </c>
      <c r="AQ80" s="1157">
        <v>169769</v>
      </c>
      <c r="AR80" s="1157">
        <v>88614</v>
      </c>
      <c r="AS80" s="1157">
        <v>6846671</v>
      </c>
      <c r="AT80" s="1157">
        <v>2645909</v>
      </c>
      <c r="AU80" s="1157">
        <v>464573</v>
      </c>
      <c r="AV80" s="1157">
        <v>431533</v>
      </c>
      <c r="AW80" s="1157">
        <v>0</v>
      </c>
      <c r="AX80" s="1157">
        <v>11307210</v>
      </c>
      <c r="AY80" s="1157">
        <v>3420812</v>
      </c>
      <c r="AZ80" s="1157">
        <v>-71965</v>
      </c>
      <c r="BA80" s="1157">
        <v>21710741</v>
      </c>
      <c r="BB80" s="1157">
        <v>1927737</v>
      </c>
      <c r="BC80" s="1157">
        <v>324825</v>
      </c>
      <c r="BD80" s="1157">
        <v>108917</v>
      </c>
      <c r="BE80" s="1157">
        <v>514992</v>
      </c>
      <c r="BF80" s="1157">
        <v>-1763441</v>
      </c>
      <c r="BG80" s="1157">
        <v>500869</v>
      </c>
      <c r="BH80" s="1157">
        <v>695300</v>
      </c>
      <c r="BI80" s="1157">
        <v>273193</v>
      </c>
      <c r="BJ80" s="1157">
        <v>308867</v>
      </c>
      <c r="BK80" s="1157">
        <v>459664</v>
      </c>
      <c r="BL80" s="1157">
        <v>269186</v>
      </c>
      <c r="BM80" s="1157">
        <v>78211</v>
      </c>
      <c r="BN80" s="1157">
        <v>0</v>
      </c>
      <c r="BO80" s="1157">
        <v>-405506</v>
      </c>
      <c r="BP80" s="1157">
        <v>1890898</v>
      </c>
      <c r="BQ80" s="1157">
        <v>651118</v>
      </c>
      <c r="BR80" s="1157">
        <v>1749742</v>
      </c>
      <c r="BS80" s="1157">
        <v>6425942</v>
      </c>
      <c r="BT80" s="1157">
        <v>171275</v>
      </c>
      <c r="BU80" s="1157">
        <v>14639430</v>
      </c>
      <c r="BV80" s="1157">
        <v>541523</v>
      </c>
      <c r="BW80" s="1157">
        <v>1364132</v>
      </c>
      <c r="BX80" s="1157">
        <v>947808</v>
      </c>
      <c r="BY80" s="1157">
        <v>0</v>
      </c>
      <c r="BZ80" s="1157">
        <v>1140573</v>
      </c>
      <c r="CA80" s="1157">
        <v>185936</v>
      </c>
      <c r="CB80" s="1157">
        <v>442783</v>
      </c>
      <c r="CC80" s="1148">
        <v>166422</v>
      </c>
      <c r="CD80" s="1148">
        <v>224423</v>
      </c>
      <c r="CE80" s="1148">
        <v>0</v>
      </c>
      <c r="CF80" s="1148">
        <v>356108</v>
      </c>
    </row>
    <row r="81" spans="1:84" s="1148" customFormat="1" x14ac:dyDescent="0.3">
      <c r="A81" s="1153">
        <v>255</v>
      </c>
      <c r="B81" s="1154">
        <v>255</v>
      </c>
      <c r="C81" s="1228">
        <v>255</v>
      </c>
      <c r="D81" s="1146" t="s">
        <v>197</v>
      </c>
      <c r="E81" s="1155" t="s">
        <v>394</v>
      </c>
      <c r="F81" s="1156">
        <v>0</v>
      </c>
      <c r="G81" s="1156">
        <v>24894</v>
      </c>
      <c r="H81" s="1156">
        <v>88375</v>
      </c>
      <c r="I81" s="1156">
        <v>1000783</v>
      </c>
      <c r="J81" s="1156">
        <v>786332</v>
      </c>
      <c r="K81" s="1156">
        <v>503630</v>
      </c>
      <c r="L81" s="1157">
        <v>2692</v>
      </c>
      <c r="M81" s="1157">
        <v>51949</v>
      </c>
      <c r="N81" s="1157">
        <v>76119</v>
      </c>
      <c r="O81" s="1157">
        <v>-706098</v>
      </c>
      <c r="P81" s="1157">
        <v>10736</v>
      </c>
      <c r="Q81" s="1157">
        <v>94310</v>
      </c>
      <c r="R81" s="1157">
        <v>17988</v>
      </c>
      <c r="S81" s="1157">
        <v>3374356</v>
      </c>
      <c r="T81" s="1157">
        <v>0</v>
      </c>
      <c r="U81" s="1157">
        <v>-10454</v>
      </c>
      <c r="V81" s="1157">
        <v>38702585</v>
      </c>
      <c r="W81" s="1157">
        <v>4214792</v>
      </c>
      <c r="X81" s="1157">
        <v>1497542</v>
      </c>
      <c r="Y81" s="1157">
        <v>5423509</v>
      </c>
      <c r="Z81" s="1157">
        <v>12442</v>
      </c>
      <c r="AA81" s="1157">
        <v>-192060</v>
      </c>
      <c r="AB81" s="1157">
        <v>106663</v>
      </c>
      <c r="AC81" s="1157">
        <v>2856549</v>
      </c>
      <c r="AD81" s="1157">
        <v>198216</v>
      </c>
      <c r="AE81" s="1157">
        <v>238005</v>
      </c>
      <c r="AF81" s="1157">
        <v>105653</v>
      </c>
      <c r="AG81" s="1157">
        <v>136969</v>
      </c>
      <c r="AH81" s="1157">
        <v>2302209</v>
      </c>
      <c r="AI81" s="1157">
        <v>703859</v>
      </c>
      <c r="AJ81" s="1157">
        <v>-61779</v>
      </c>
      <c r="AK81" s="1157">
        <v>6392229</v>
      </c>
      <c r="AL81" s="1157">
        <v>459388</v>
      </c>
      <c r="AM81" s="1157">
        <v>9654</v>
      </c>
      <c r="AN81" s="1157">
        <v>0</v>
      </c>
      <c r="AO81" s="1157">
        <v>533939</v>
      </c>
      <c r="AP81" s="1157">
        <v>0</v>
      </c>
      <c r="AQ81" s="1157">
        <v>3089</v>
      </c>
      <c r="AR81" s="1157">
        <v>-14374</v>
      </c>
      <c r="AS81" s="1157">
        <v>1360521</v>
      </c>
      <c r="AT81" s="1157">
        <v>127168</v>
      </c>
      <c r="AU81" s="1157">
        <v>-22728</v>
      </c>
      <c r="AV81" s="1157">
        <v>865476</v>
      </c>
      <c r="AW81" s="1157">
        <v>0</v>
      </c>
      <c r="AX81" s="1157">
        <v>9586631</v>
      </c>
      <c r="AY81" s="1157">
        <v>198289</v>
      </c>
      <c r="AZ81" s="1157">
        <v>11321</v>
      </c>
      <c r="BA81" s="1157">
        <v>3747020</v>
      </c>
      <c r="BB81" s="1157">
        <v>137489</v>
      </c>
      <c r="BC81" s="1157">
        <v>381594</v>
      </c>
      <c r="BD81" s="1157">
        <v>5594</v>
      </c>
      <c r="BE81" s="1157">
        <v>61129</v>
      </c>
      <c r="BF81" s="1157">
        <v>15966</v>
      </c>
      <c r="BG81" s="1157">
        <v>6124</v>
      </c>
      <c r="BH81" s="1157">
        <v>8453</v>
      </c>
      <c r="BI81" s="1157">
        <v>112805</v>
      </c>
      <c r="BJ81" s="1157">
        <v>23587</v>
      </c>
      <c r="BK81" s="1157">
        <v>-19452</v>
      </c>
      <c r="BL81" s="1157">
        <v>84614</v>
      </c>
      <c r="BM81" s="1157">
        <v>474760</v>
      </c>
      <c r="BN81" s="1157">
        <v>0</v>
      </c>
      <c r="BO81" s="1157">
        <v>-216526</v>
      </c>
      <c r="BP81" s="1157">
        <v>-99995</v>
      </c>
      <c r="BQ81" s="1157">
        <v>126153</v>
      </c>
      <c r="BR81" s="1157">
        <v>229334</v>
      </c>
      <c r="BS81" s="1157">
        <v>2769157</v>
      </c>
      <c r="BT81" s="1157">
        <v>-27619</v>
      </c>
      <c r="BU81" s="1157">
        <v>2869517</v>
      </c>
      <c r="BV81" s="1157">
        <v>76838</v>
      </c>
      <c r="BW81" s="1157">
        <v>635001</v>
      </c>
      <c r="BX81" s="1157">
        <v>-43244</v>
      </c>
      <c r="BY81" s="1157">
        <v>0</v>
      </c>
      <c r="BZ81" s="1157">
        <v>-45507</v>
      </c>
      <c r="CA81" s="1157">
        <v>-59300</v>
      </c>
      <c r="CB81" s="1157">
        <v>-61843</v>
      </c>
      <c r="CC81" s="1148">
        <v>45592</v>
      </c>
      <c r="CD81" s="1148">
        <v>69406</v>
      </c>
      <c r="CE81" s="1148">
        <v>0</v>
      </c>
      <c r="CF81" s="1148">
        <v>2664</v>
      </c>
    </row>
    <row r="82" spans="1:84" s="1148" customFormat="1" x14ac:dyDescent="0.3">
      <c r="A82" s="1146">
        <v>274</v>
      </c>
      <c r="B82" s="1154"/>
      <c r="C82" s="1158">
        <v>274</v>
      </c>
      <c r="D82" s="1146" t="s">
        <v>395</v>
      </c>
      <c r="E82" s="1155" t="s">
        <v>396</v>
      </c>
      <c r="F82" s="1156"/>
      <c r="G82" s="1156"/>
      <c r="H82" s="1156"/>
      <c r="I82" s="1156"/>
      <c r="J82" s="1156"/>
      <c r="K82" s="1156"/>
      <c r="L82" s="1157"/>
      <c r="M82" s="1157"/>
      <c r="N82" s="1157"/>
      <c r="O82" s="1157"/>
      <c r="P82" s="1157"/>
      <c r="Q82" s="1157"/>
      <c r="R82" s="1157"/>
      <c r="S82" s="1157"/>
      <c r="T82" s="1157"/>
      <c r="U82" s="1157"/>
      <c r="V82" s="1157"/>
      <c r="W82" s="1157"/>
      <c r="X82" s="1157"/>
      <c r="Y82" s="1157"/>
      <c r="Z82" s="1157"/>
      <c r="AA82" s="1157"/>
      <c r="AB82" s="1157"/>
      <c r="AC82" s="1157"/>
      <c r="AD82" s="1157"/>
      <c r="AE82" s="1157"/>
      <c r="AF82" s="1157"/>
      <c r="AG82" s="1157"/>
      <c r="AH82" s="1157"/>
      <c r="AI82" s="1157"/>
      <c r="AJ82" s="1157"/>
      <c r="AK82" s="1157"/>
      <c r="AL82" s="1157"/>
      <c r="AM82" s="1157"/>
      <c r="AN82" s="1157"/>
      <c r="AO82" s="1157"/>
      <c r="AP82" s="1157"/>
      <c r="AQ82" s="1157"/>
      <c r="AR82" s="1157"/>
      <c r="AS82" s="1157"/>
      <c r="AT82" s="1157"/>
      <c r="AU82" s="1157"/>
      <c r="AV82" s="1157"/>
      <c r="AW82" s="1157"/>
      <c r="AX82" s="1157"/>
      <c r="AY82" s="1157"/>
      <c r="AZ82" s="1157"/>
      <c r="BA82" s="1157"/>
      <c r="BB82" s="1157"/>
      <c r="BC82" s="1157"/>
      <c r="BD82" s="1157"/>
      <c r="BE82" s="1157"/>
      <c r="BF82" s="1157"/>
      <c r="BG82" s="1157"/>
      <c r="BH82" s="1157"/>
      <c r="BI82" s="1157"/>
      <c r="BJ82" s="1157"/>
      <c r="BK82" s="1157"/>
      <c r="BL82" s="1157"/>
      <c r="BM82" s="1157"/>
      <c r="BN82" s="1157"/>
      <c r="BO82" s="1157"/>
      <c r="BP82" s="1157"/>
      <c r="BQ82" s="1157"/>
      <c r="BR82" s="1157"/>
      <c r="BS82" s="1157"/>
      <c r="BT82" s="1157"/>
      <c r="BU82" s="1157"/>
      <c r="BV82" s="1157"/>
      <c r="BW82" s="1157"/>
      <c r="BX82" s="1157"/>
      <c r="BY82" s="1157"/>
      <c r="BZ82" s="1157"/>
      <c r="CA82" s="1157"/>
      <c r="CB82" s="1157"/>
    </row>
    <row r="83" spans="1:84" s="1148" customFormat="1" x14ac:dyDescent="0.3">
      <c r="A83" s="1146">
        <v>294</v>
      </c>
      <c r="B83" s="1154"/>
      <c r="C83" s="1143">
        <v>294</v>
      </c>
      <c r="D83" s="1146" t="s">
        <v>845</v>
      </c>
      <c r="E83" s="1155" t="s">
        <v>397</v>
      </c>
      <c r="F83" s="1156"/>
      <c r="G83" s="1156"/>
      <c r="H83" s="1156"/>
      <c r="I83" s="1156"/>
      <c r="J83" s="1156"/>
      <c r="K83" s="1156"/>
      <c r="L83" s="1157"/>
      <c r="M83" s="1157"/>
      <c r="N83" s="1157"/>
      <c r="O83" s="1157"/>
      <c r="P83" s="1157"/>
      <c r="Q83" s="1157"/>
      <c r="R83" s="1157"/>
      <c r="S83" s="1157"/>
      <c r="T83" s="1157"/>
      <c r="U83" s="1157"/>
      <c r="V83" s="1157"/>
      <c r="W83" s="1157"/>
      <c r="X83" s="1157"/>
      <c r="Y83" s="1157"/>
      <c r="Z83" s="1157"/>
      <c r="AA83" s="1157"/>
      <c r="AB83" s="1157"/>
      <c r="AC83" s="1157"/>
      <c r="AD83" s="1157"/>
      <c r="AE83" s="1157"/>
      <c r="AF83" s="1157"/>
      <c r="AG83" s="1157"/>
      <c r="AH83" s="1157"/>
      <c r="AI83" s="1157"/>
      <c r="AJ83" s="1157"/>
      <c r="AK83" s="1157"/>
      <c r="AL83" s="1157"/>
      <c r="AM83" s="1157"/>
      <c r="AN83" s="1157"/>
      <c r="AO83" s="1157"/>
      <c r="AP83" s="1157"/>
      <c r="AQ83" s="1157"/>
      <c r="AR83" s="1157"/>
      <c r="AS83" s="1157"/>
      <c r="AT83" s="1157"/>
      <c r="AU83" s="1157"/>
      <c r="AV83" s="1157"/>
      <c r="AW83" s="1157"/>
      <c r="AX83" s="1157"/>
      <c r="AY83" s="1157"/>
      <c r="AZ83" s="1157"/>
      <c r="BA83" s="1157"/>
      <c r="BB83" s="1157"/>
      <c r="BC83" s="1157"/>
      <c r="BD83" s="1157"/>
      <c r="BE83" s="1157"/>
      <c r="BF83" s="1157"/>
      <c r="BG83" s="1157"/>
      <c r="BH83" s="1157"/>
      <c r="BI83" s="1157"/>
      <c r="BJ83" s="1157"/>
      <c r="BK83" s="1157"/>
      <c r="BL83" s="1157"/>
      <c r="BM83" s="1157"/>
      <c r="BN83" s="1157"/>
      <c r="BO83" s="1157"/>
      <c r="BP83" s="1157"/>
      <c r="BQ83" s="1157"/>
      <c r="BR83" s="1157"/>
      <c r="BS83" s="1157"/>
      <c r="BT83" s="1157"/>
      <c r="BU83" s="1157"/>
      <c r="BV83" s="1157"/>
      <c r="BW83" s="1157"/>
      <c r="BX83" s="1157"/>
      <c r="BY83" s="1157"/>
      <c r="BZ83" s="1157"/>
      <c r="CA83" s="1157"/>
      <c r="CB83" s="1157"/>
    </row>
    <row r="84" spans="1:84" s="1148" customFormat="1" x14ac:dyDescent="0.3">
      <c r="A84" s="1146">
        <v>314</v>
      </c>
      <c r="B84" s="1154"/>
      <c r="C84" s="1143">
        <v>314</v>
      </c>
      <c r="D84" s="1146" t="s">
        <v>398</v>
      </c>
      <c r="E84" s="1155" t="s">
        <v>399</v>
      </c>
      <c r="F84" s="1156"/>
      <c r="G84" s="1156"/>
      <c r="H84" s="1156"/>
      <c r="I84" s="1156"/>
      <c r="J84" s="1156"/>
      <c r="K84" s="1156"/>
      <c r="L84" s="1157"/>
      <c r="M84" s="1157"/>
      <c r="N84" s="1157"/>
      <c r="O84" s="1157"/>
      <c r="P84" s="1157"/>
      <c r="Q84" s="1157"/>
      <c r="R84" s="1157"/>
      <c r="S84" s="1157"/>
      <c r="T84" s="1157"/>
      <c r="U84" s="1157"/>
      <c r="V84" s="1157"/>
      <c r="W84" s="1157"/>
      <c r="X84" s="1157"/>
      <c r="Y84" s="1157"/>
      <c r="Z84" s="1157"/>
      <c r="AA84" s="1157"/>
      <c r="AB84" s="1157"/>
      <c r="AC84" s="1157"/>
      <c r="AD84" s="1157"/>
      <c r="AE84" s="1157"/>
      <c r="AF84" s="1157"/>
      <c r="AG84" s="1157"/>
      <c r="AH84" s="1157"/>
      <c r="AI84" s="1157"/>
      <c r="AJ84" s="1157"/>
      <c r="AK84" s="1157"/>
      <c r="AL84" s="1157"/>
      <c r="AM84" s="1157"/>
      <c r="AN84" s="1157"/>
      <c r="AO84" s="1157"/>
      <c r="AP84" s="1157"/>
      <c r="AQ84" s="1157"/>
      <c r="AR84" s="1157"/>
      <c r="AS84" s="1157"/>
      <c r="AT84" s="1157"/>
      <c r="AU84" s="1157"/>
      <c r="AV84" s="1157"/>
      <c r="AW84" s="1157"/>
      <c r="AX84" s="1157"/>
      <c r="AY84" s="1157"/>
      <c r="AZ84" s="1157"/>
      <c r="BA84" s="1157"/>
      <c r="BB84" s="1157"/>
      <c r="BC84" s="1157"/>
      <c r="BD84" s="1157"/>
      <c r="BE84" s="1157"/>
      <c r="BF84" s="1157"/>
      <c r="BG84" s="1157"/>
      <c r="BH84" s="1157"/>
      <c r="BI84" s="1157"/>
      <c r="BJ84" s="1157"/>
      <c r="BK84" s="1157"/>
      <c r="BL84" s="1157"/>
      <c r="BM84" s="1157"/>
      <c r="BN84" s="1157"/>
      <c r="BO84" s="1157"/>
      <c r="BP84" s="1157"/>
      <c r="BQ84" s="1157"/>
      <c r="BR84" s="1157"/>
      <c r="BS84" s="1157"/>
      <c r="BT84" s="1157"/>
      <c r="BU84" s="1157"/>
      <c r="BV84" s="1157"/>
      <c r="BW84" s="1157"/>
      <c r="BX84" s="1157"/>
      <c r="BY84" s="1157"/>
      <c r="BZ84" s="1157"/>
      <c r="CA84" s="1157"/>
      <c r="CB84" s="1157"/>
    </row>
    <row r="85" spans="1:84" s="1148" customFormat="1" x14ac:dyDescent="0.3">
      <c r="A85" s="1146">
        <v>315</v>
      </c>
      <c r="B85" s="1154"/>
      <c r="C85" s="1143">
        <v>315</v>
      </c>
      <c r="D85" s="1146" t="s">
        <v>400</v>
      </c>
      <c r="E85" s="1155" t="s">
        <v>401</v>
      </c>
      <c r="F85" s="1156"/>
      <c r="G85" s="1156"/>
      <c r="H85" s="1156"/>
      <c r="I85" s="1156"/>
      <c r="J85" s="1156"/>
      <c r="K85" s="1156"/>
      <c r="L85" s="1157"/>
      <c r="M85" s="1157"/>
      <c r="N85" s="1157"/>
      <c r="O85" s="1157"/>
      <c r="P85" s="1157"/>
      <c r="Q85" s="1157"/>
      <c r="R85" s="1157"/>
      <c r="S85" s="1157"/>
      <c r="T85" s="1157"/>
      <c r="U85" s="1157"/>
      <c r="V85" s="1157"/>
      <c r="W85" s="1157"/>
      <c r="X85" s="1157"/>
      <c r="Y85" s="1157"/>
      <c r="Z85" s="1157"/>
      <c r="AA85" s="1157"/>
      <c r="AB85" s="1157"/>
      <c r="AC85" s="1157"/>
      <c r="AD85" s="1157"/>
      <c r="AE85" s="1157"/>
      <c r="AF85" s="1157"/>
      <c r="AG85" s="1157"/>
      <c r="AH85" s="1157"/>
      <c r="AI85" s="1157"/>
      <c r="AJ85" s="1157"/>
      <c r="AK85" s="1157"/>
      <c r="AL85" s="1157"/>
      <c r="AM85" s="1157"/>
      <c r="AN85" s="1157"/>
      <c r="AO85" s="1157"/>
      <c r="AP85" s="1157"/>
      <c r="AQ85" s="1157"/>
      <c r="AR85" s="1157"/>
      <c r="AS85" s="1157"/>
      <c r="AT85" s="1157"/>
      <c r="AU85" s="1157"/>
      <c r="AV85" s="1157"/>
      <c r="AW85" s="1157"/>
      <c r="AX85" s="1157"/>
      <c r="AY85" s="1157"/>
      <c r="AZ85" s="1157"/>
      <c r="BA85" s="1157"/>
      <c r="BB85" s="1157"/>
      <c r="BC85" s="1157"/>
      <c r="BD85" s="1157"/>
      <c r="BE85" s="1157"/>
      <c r="BF85" s="1157"/>
      <c r="BG85" s="1157"/>
      <c r="BH85" s="1157"/>
      <c r="BI85" s="1157"/>
      <c r="BJ85" s="1157"/>
      <c r="BK85" s="1157"/>
      <c r="BL85" s="1157"/>
      <c r="BM85" s="1157"/>
      <c r="BN85" s="1157"/>
      <c r="BO85" s="1157"/>
      <c r="BP85" s="1157"/>
      <c r="BQ85" s="1157"/>
      <c r="BR85" s="1157"/>
      <c r="BS85" s="1157"/>
      <c r="BT85" s="1157"/>
      <c r="BU85" s="1157"/>
      <c r="BV85" s="1157"/>
      <c r="BW85" s="1157"/>
      <c r="BX85" s="1157"/>
      <c r="BY85" s="1157"/>
      <c r="BZ85" s="1157"/>
      <c r="CA85" s="1157"/>
      <c r="CB85" s="1157"/>
    </row>
    <row r="86" spans="1:84" s="1148" customFormat="1" x14ac:dyDescent="0.3">
      <c r="A86" s="1146">
        <v>316</v>
      </c>
      <c r="B86" s="1154"/>
      <c r="C86" s="1143">
        <v>316</v>
      </c>
      <c r="D86" s="1146" t="s">
        <v>402</v>
      </c>
      <c r="E86" s="1155" t="s">
        <v>403</v>
      </c>
      <c r="F86" s="1156"/>
      <c r="G86" s="1156"/>
      <c r="H86" s="1156"/>
      <c r="I86" s="1156"/>
      <c r="J86" s="1156"/>
      <c r="K86" s="1156"/>
      <c r="L86" s="1157"/>
      <c r="M86" s="1157"/>
      <c r="N86" s="1157"/>
      <c r="O86" s="1157"/>
      <c r="P86" s="1157"/>
      <c r="Q86" s="1157"/>
      <c r="R86" s="1157"/>
      <c r="S86" s="1157"/>
      <c r="T86" s="1157"/>
      <c r="U86" s="1157"/>
      <c r="V86" s="1157"/>
      <c r="W86" s="1157"/>
      <c r="X86" s="1157"/>
      <c r="Y86" s="1157"/>
      <c r="Z86" s="1157"/>
      <c r="AA86" s="1157"/>
      <c r="AB86" s="1157"/>
      <c r="AC86" s="1157"/>
      <c r="AD86" s="1157"/>
      <c r="AE86" s="1157"/>
      <c r="AF86" s="1157"/>
      <c r="AG86" s="1157"/>
      <c r="AH86" s="1157"/>
      <c r="AI86" s="1157"/>
      <c r="AJ86" s="1157"/>
      <c r="AK86" s="1157"/>
      <c r="AL86" s="1157"/>
      <c r="AM86" s="1157"/>
      <c r="AN86" s="1157"/>
      <c r="AO86" s="1157"/>
      <c r="AP86" s="1157"/>
      <c r="AQ86" s="1157"/>
      <c r="AR86" s="1157"/>
      <c r="AS86" s="1157"/>
      <c r="AT86" s="1157"/>
      <c r="AU86" s="1157"/>
      <c r="AV86" s="1157"/>
      <c r="AW86" s="1157"/>
      <c r="AX86" s="1157"/>
      <c r="AY86" s="1157"/>
      <c r="AZ86" s="1157"/>
      <c r="BA86" s="1157"/>
      <c r="BB86" s="1157"/>
      <c r="BC86" s="1157"/>
      <c r="BD86" s="1157"/>
      <c r="BE86" s="1157"/>
      <c r="BF86" s="1157"/>
      <c r="BG86" s="1157"/>
      <c r="BH86" s="1157"/>
      <c r="BI86" s="1157"/>
      <c r="BJ86" s="1157"/>
      <c r="BK86" s="1157"/>
      <c r="BL86" s="1157"/>
      <c r="BM86" s="1157"/>
      <c r="BN86" s="1157"/>
      <c r="BO86" s="1157"/>
      <c r="BP86" s="1157"/>
      <c r="BQ86" s="1157"/>
      <c r="BR86" s="1157"/>
      <c r="BS86" s="1157"/>
      <c r="BT86" s="1157"/>
      <c r="BU86" s="1157"/>
      <c r="BV86" s="1157"/>
      <c r="BW86" s="1157"/>
      <c r="BX86" s="1157"/>
      <c r="BY86" s="1157"/>
      <c r="BZ86" s="1157"/>
      <c r="CA86" s="1157"/>
      <c r="CB86" s="1157"/>
    </row>
    <row r="87" spans="1:84" s="1148" customFormat="1" x14ac:dyDescent="0.3">
      <c r="A87" s="1153">
        <v>320</v>
      </c>
      <c r="B87" s="1154"/>
      <c r="C87" s="1228">
        <v>320</v>
      </c>
      <c r="D87" s="1146" t="s">
        <v>258</v>
      </c>
      <c r="E87" s="1155" t="s">
        <v>404</v>
      </c>
      <c r="F87" s="1156"/>
      <c r="G87" s="1156"/>
      <c r="H87" s="1156"/>
      <c r="I87" s="1156"/>
      <c r="J87" s="1156"/>
      <c r="K87" s="1156"/>
      <c r="L87" s="1157"/>
      <c r="M87" s="1157"/>
      <c r="N87" s="1157"/>
      <c r="O87" s="1157"/>
      <c r="P87" s="1157"/>
      <c r="Q87" s="1157"/>
      <c r="R87" s="1157"/>
      <c r="S87" s="1157"/>
      <c r="T87" s="1157"/>
      <c r="U87" s="1157"/>
      <c r="V87" s="1157"/>
      <c r="W87" s="1157"/>
      <c r="X87" s="1157"/>
      <c r="Y87" s="1157"/>
      <c r="Z87" s="1157"/>
      <c r="AA87" s="1157"/>
      <c r="AB87" s="1157"/>
      <c r="AC87" s="1157"/>
      <c r="AD87" s="1157"/>
      <c r="AE87" s="1157"/>
      <c r="AF87" s="1157"/>
      <c r="AG87" s="1157"/>
      <c r="AH87" s="1157"/>
      <c r="AI87" s="1157"/>
      <c r="AJ87" s="1157"/>
      <c r="AK87" s="1157"/>
      <c r="AL87" s="1157"/>
      <c r="AM87" s="1157"/>
      <c r="AN87" s="1157"/>
      <c r="AO87" s="1157"/>
      <c r="AP87" s="1157"/>
      <c r="AQ87" s="1157"/>
      <c r="AR87" s="1157"/>
      <c r="AS87" s="1157"/>
      <c r="AT87" s="1157"/>
      <c r="AU87" s="1157"/>
      <c r="AV87" s="1157"/>
      <c r="AW87" s="1157"/>
      <c r="AX87" s="1157"/>
      <c r="AY87" s="1157"/>
      <c r="AZ87" s="1157"/>
      <c r="BA87" s="1157"/>
      <c r="BB87" s="1157"/>
      <c r="BC87" s="1157"/>
      <c r="BD87" s="1157"/>
      <c r="BE87" s="1157"/>
      <c r="BF87" s="1157"/>
      <c r="BG87" s="1157"/>
      <c r="BH87" s="1157"/>
      <c r="BI87" s="1157"/>
      <c r="BJ87" s="1157"/>
      <c r="BK87" s="1157"/>
      <c r="BL87" s="1157"/>
      <c r="BM87" s="1157"/>
      <c r="BN87" s="1157"/>
      <c r="BO87" s="1157"/>
      <c r="BP87" s="1157"/>
      <c r="BQ87" s="1157"/>
      <c r="BR87" s="1157"/>
      <c r="BS87" s="1157"/>
      <c r="BT87" s="1157"/>
      <c r="BU87" s="1157"/>
      <c r="BV87" s="1157"/>
      <c r="BW87" s="1157"/>
      <c r="BX87" s="1157"/>
      <c r="BY87" s="1157"/>
      <c r="BZ87" s="1157"/>
      <c r="CA87" s="1157"/>
      <c r="CB87" s="1157"/>
    </row>
    <row r="88" spans="1:84" s="1148" customFormat="1" x14ac:dyDescent="0.3">
      <c r="A88" s="1153">
        <v>321</v>
      </c>
      <c r="B88" s="1154"/>
      <c r="C88" s="1228">
        <v>321</v>
      </c>
      <c r="D88" s="1146" t="s">
        <v>846</v>
      </c>
      <c r="E88" s="1155" t="s">
        <v>405</v>
      </c>
      <c r="F88" s="1156"/>
      <c r="G88" s="1156"/>
      <c r="H88" s="1156"/>
      <c r="I88" s="1156"/>
      <c r="J88" s="1156"/>
      <c r="K88" s="1156"/>
      <c r="L88" s="1157"/>
      <c r="M88" s="1157"/>
      <c r="N88" s="1157"/>
      <c r="O88" s="1157"/>
      <c r="P88" s="1157"/>
      <c r="Q88" s="1157"/>
      <c r="R88" s="1157"/>
      <c r="S88" s="1157"/>
      <c r="T88" s="1157"/>
      <c r="U88" s="1157"/>
      <c r="V88" s="1157"/>
      <c r="W88" s="1157"/>
      <c r="X88" s="1157"/>
      <c r="Y88" s="1157"/>
      <c r="Z88" s="1157"/>
      <c r="AA88" s="1157"/>
      <c r="AB88" s="1157"/>
      <c r="AC88" s="1157"/>
      <c r="AD88" s="1157"/>
      <c r="AE88" s="1157"/>
      <c r="AF88" s="1157"/>
      <c r="AG88" s="1157"/>
      <c r="AH88" s="1157"/>
      <c r="AI88" s="1157"/>
      <c r="AJ88" s="1157"/>
      <c r="AK88" s="1157"/>
      <c r="AL88" s="1157"/>
      <c r="AM88" s="1157"/>
      <c r="AN88" s="1157"/>
      <c r="AO88" s="1157"/>
      <c r="AP88" s="1157"/>
      <c r="AQ88" s="1157"/>
      <c r="AR88" s="1157"/>
      <c r="AS88" s="1157"/>
      <c r="AT88" s="1157"/>
      <c r="AU88" s="1157"/>
      <c r="AV88" s="1157"/>
      <c r="AW88" s="1157"/>
      <c r="AX88" s="1157"/>
      <c r="AY88" s="1157"/>
      <c r="AZ88" s="1157"/>
      <c r="BA88" s="1157"/>
      <c r="BB88" s="1157"/>
      <c r="BC88" s="1157"/>
      <c r="BD88" s="1157"/>
      <c r="BE88" s="1157"/>
      <c r="BF88" s="1157"/>
      <c r="BG88" s="1157"/>
      <c r="BH88" s="1157"/>
      <c r="BI88" s="1157"/>
      <c r="BJ88" s="1157"/>
      <c r="BK88" s="1157"/>
      <c r="BL88" s="1157"/>
      <c r="BM88" s="1157"/>
      <c r="BN88" s="1157"/>
      <c r="BO88" s="1157"/>
      <c r="BP88" s="1157"/>
      <c r="BQ88" s="1157"/>
      <c r="BR88" s="1157"/>
      <c r="BS88" s="1157"/>
      <c r="BT88" s="1157"/>
      <c r="BU88" s="1157"/>
      <c r="BV88" s="1157"/>
      <c r="BW88" s="1157"/>
      <c r="BX88" s="1157"/>
      <c r="BY88" s="1157"/>
      <c r="BZ88" s="1157"/>
      <c r="CA88" s="1157"/>
      <c r="CB88" s="1157"/>
    </row>
    <row r="89" spans="1:84" s="1148" customFormat="1" x14ac:dyDescent="0.3">
      <c r="A89" s="1153">
        <v>322</v>
      </c>
      <c r="B89" s="1154"/>
      <c r="C89" s="1228">
        <v>322</v>
      </c>
      <c r="D89" s="1146" t="s">
        <v>260</v>
      </c>
      <c r="E89" s="1155" t="s">
        <v>406</v>
      </c>
      <c r="F89" s="1156"/>
      <c r="G89" s="1156"/>
      <c r="H89" s="1156"/>
      <c r="I89" s="1156"/>
      <c r="J89" s="1156"/>
      <c r="K89" s="1156"/>
      <c r="L89" s="1157"/>
      <c r="M89" s="1157"/>
      <c r="N89" s="1157"/>
      <c r="O89" s="1157"/>
      <c r="P89" s="1157"/>
      <c r="Q89" s="1157"/>
      <c r="R89" s="1157"/>
      <c r="S89" s="1157"/>
      <c r="T89" s="1157"/>
      <c r="U89" s="1157"/>
      <c r="V89" s="1157"/>
      <c r="W89" s="1157"/>
      <c r="X89" s="1157"/>
      <c r="Y89" s="1157"/>
      <c r="Z89" s="1157"/>
      <c r="AA89" s="1157"/>
      <c r="AB89" s="1157"/>
      <c r="AC89" s="1157"/>
      <c r="AD89" s="1157"/>
      <c r="AE89" s="1157"/>
      <c r="AF89" s="1157"/>
      <c r="AG89" s="1157"/>
      <c r="AH89" s="1157"/>
      <c r="AI89" s="1157"/>
      <c r="AJ89" s="1157"/>
      <c r="AK89" s="1157"/>
      <c r="AL89" s="1157"/>
      <c r="AM89" s="1157"/>
      <c r="AN89" s="1157"/>
      <c r="AO89" s="1157"/>
      <c r="AP89" s="1157"/>
      <c r="AQ89" s="1157"/>
      <c r="AR89" s="1157"/>
      <c r="AS89" s="1157"/>
      <c r="AT89" s="1157"/>
      <c r="AU89" s="1157"/>
      <c r="AV89" s="1157"/>
      <c r="AW89" s="1157"/>
      <c r="AX89" s="1157"/>
      <c r="AY89" s="1157"/>
      <c r="AZ89" s="1157"/>
      <c r="BA89" s="1157"/>
      <c r="BB89" s="1157"/>
      <c r="BC89" s="1157"/>
      <c r="BD89" s="1157"/>
      <c r="BE89" s="1157"/>
      <c r="BF89" s="1157"/>
      <c r="BG89" s="1157"/>
      <c r="BH89" s="1157"/>
      <c r="BI89" s="1157"/>
      <c r="BJ89" s="1157"/>
      <c r="BK89" s="1157"/>
      <c r="BL89" s="1157"/>
      <c r="BM89" s="1157"/>
      <c r="BN89" s="1157"/>
      <c r="BO89" s="1157"/>
      <c r="BP89" s="1157"/>
      <c r="BQ89" s="1157"/>
      <c r="BR89" s="1157"/>
      <c r="BS89" s="1157"/>
      <c r="BT89" s="1157"/>
      <c r="BU89" s="1157"/>
      <c r="BV89" s="1157"/>
      <c r="BW89" s="1157"/>
      <c r="BX89" s="1157"/>
      <c r="BY89" s="1157"/>
      <c r="BZ89" s="1157"/>
      <c r="CA89" s="1157"/>
      <c r="CB89" s="1157"/>
    </row>
    <row r="90" spans="1:84" s="1148" customFormat="1" x14ac:dyDescent="0.3">
      <c r="A90" s="1153">
        <v>323</v>
      </c>
      <c r="B90" s="1154"/>
      <c r="C90" s="1228">
        <v>323</v>
      </c>
      <c r="D90" s="1146" t="s">
        <v>259</v>
      </c>
      <c r="E90" s="1155" t="s">
        <v>407</v>
      </c>
      <c r="F90" s="1156"/>
      <c r="G90" s="1156"/>
      <c r="H90" s="1156"/>
      <c r="I90" s="1156"/>
      <c r="J90" s="1156"/>
      <c r="K90" s="1156"/>
      <c r="L90" s="1157"/>
      <c r="M90" s="1157"/>
      <c r="N90" s="1157"/>
      <c r="O90" s="1157"/>
      <c r="P90" s="1157"/>
      <c r="Q90" s="1157"/>
      <c r="R90" s="1157"/>
      <c r="S90" s="1157"/>
      <c r="T90" s="1157"/>
      <c r="U90" s="1157"/>
      <c r="V90" s="1157"/>
      <c r="W90" s="1157"/>
      <c r="X90" s="1157"/>
      <c r="Y90" s="1157"/>
      <c r="Z90" s="1157"/>
      <c r="AA90" s="1157"/>
      <c r="AB90" s="1157"/>
      <c r="AC90" s="1157"/>
      <c r="AD90" s="1157"/>
      <c r="AE90" s="1157"/>
      <c r="AF90" s="1157"/>
      <c r="AG90" s="1157"/>
      <c r="AH90" s="1157"/>
      <c r="AI90" s="1157"/>
      <c r="AJ90" s="1157"/>
      <c r="AK90" s="1157"/>
      <c r="AL90" s="1157"/>
      <c r="AM90" s="1157"/>
      <c r="AN90" s="1157"/>
      <c r="AO90" s="1157"/>
      <c r="AP90" s="1157"/>
      <c r="AQ90" s="1157"/>
      <c r="AR90" s="1157"/>
      <c r="AS90" s="1157"/>
      <c r="AT90" s="1157"/>
      <c r="AU90" s="1157"/>
      <c r="AV90" s="1157"/>
      <c r="AW90" s="1157"/>
      <c r="AX90" s="1157"/>
      <c r="AY90" s="1157"/>
      <c r="AZ90" s="1157"/>
      <c r="BA90" s="1157"/>
      <c r="BB90" s="1157"/>
      <c r="BC90" s="1157"/>
      <c r="BD90" s="1157"/>
      <c r="BE90" s="1157"/>
      <c r="BF90" s="1157"/>
      <c r="BG90" s="1157"/>
      <c r="BH90" s="1157"/>
      <c r="BI90" s="1157"/>
      <c r="BJ90" s="1157"/>
      <c r="BK90" s="1157"/>
      <c r="BL90" s="1157"/>
      <c r="BM90" s="1157"/>
      <c r="BN90" s="1157"/>
      <c r="BO90" s="1157"/>
      <c r="BP90" s="1157"/>
      <c r="BQ90" s="1157"/>
      <c r="BR90" s="1157"/>
      <c r="BS90" s="1157"/>
      <c r="BT90" s="1157"/>
      <c r="BU90" s="1157"/>
      <c r="BV90" s="1157"/>
      <c r="BW90" s="1157"/>
      <c r="BX90" s="1157"/>
      <c r="BY90" s="1157"/>
      <c r="BZ90" s="1157"/>
      <c r="CA90" s="1157"/>
      <c r="CB90" s="1157"/>
    </row>
    <row r="91" spans="1:84" s="1148" customFormat="1" x14ac:dyDescent="0.3">
      <c r="A91" s="1153">
        <v>324</v>
      </c>
      <c r="B91" s="1154"/>
      <c r="C91" s="1228">
        <v>324</v>
      </c>
      <c r="D91" s="1146" t="s">
        <v>257</v>
      </c>
      <c r="E91" s="1155" t="s">
        <v>408</v>
      </c>
      <c r="F91" s="1156"/>
      <c r="G91" s="1156"/>
      <c r="H91" s="1156"/>
      <c r="I91" s="1156"/>
      <c r="J91" s="1156"/>
      <c r="K91" s="1156"/>
      <c r="L91" s="1157"/>
      <c r="M91" s="1157"/>
      <c r="N91" s="1157"/>
      <c r="O91" s="1157"/>
      <c r="P91" s="1157"/>
      <c r="Q91" s="1157"/>
      <c r="R91" s="1157"/>
      <c r="S91" s="1157"/>
      <c r="T91" s="1157"/>
      <c r="U91" s="1157"/>
      <c r="V91" s="1157"/>
      <c r="W91" s="1157"/>
      <c r="X91" s="1157"/>
      <c r="Y91" s="1157"/>
      <c r="Z91" s="1157"/>
      <c r="AA91" s="1157"/>
      <c r="AB91" s="1157"/>
      <c r="AC91" s="1157"/>
      <c r="AD91" s="1157"/>
      <c r="AE91" s="1157"/>
      <c r="AF91" s="1157"/>
      <c r="AG91" s="1157"/>
      <c r="AH91" s="1157"/>
      <c r="AI91" s="1157"/>
      <c r="AJ91" s="1157"/>
      <c r="AK91" s="1157"/>
      <c r="AL91" s="1157"/>
      <c r="AM91" s="1157"/>
      <c r="AN91" s="1157"/>
      <c r="AO91" s="1157"/>
      <c r="AP91" s="1157"/>
      <c r="AQ91" s="1157"/>
      <c r="AR91" s="1157"/>
      <c r="AS91" s="1157"/>
      <c r="AT91" s="1157"/>
      <c r="AU91" s="1157"/>
      <c r="AV91" s="1157"/>
      <c r="AW91" s="1157"/>
      <c r="AX91" s="1157"/>
      <c r="AY91" s="1157"/>
      <c r="AZ91" s="1157"/>
      <c r="BA91" s="1157"/>
      <c r="BB91" s="1157"/>
      <c r="BC91" s="1157"/>
      <c r="BD91" s="1157"/>
      <c r="BE91" s="1157"/>
      <c r="BF91" s="1157"/>
      <c r="BG91" s="1157"/>
      <c r="BH91" s="1157"/>
      <c r="BI91" s="1157"/>
      <c r="BJ91" s="1157"/>
      <c r="BK91" s="1157"/>
      <c r="BL91" s="1157"/>
      <c r="BM91" s="1157"/>
      <c r="BN91" s="1157"/>
      <c r="BO91" s="1157"/>
      <c r="BP91" s="1157"/>
      <c r="BQ91" s="1157"/>
      <c r="BR91" s="1157"/>
      <c r="BS91" s="1157"/>
      <c r="BT91" s="1157"/>
      <c r="BU91" s="1157"/>
      <c r="BV91" s="1157"/>
      <c r="BW91" s="1157"/>
      <c r="BX91" s="1157"/>
      <c r="BY91" s="1157"/>
      <c r="BZ91" s="1157"/>
      <c r="CA91" s="1157"/>
      <c r="CB91" s="1157"/>
    </row>
    <row r="92" spans="1:84" s="1148" customFormat="1" x14ac:dyDescent="0.3">
      <c r="A92" s="1153">
        <v>325</v>
      </c>
      <c r="B92" s="1154"/>
      <c r="C92" s="1228">
        <v>325</v>
      </c>
      <c r="D92" s="1146" t="s">
        <v>261</v>
      </c>
      <c r="E92" s="1160" t="s">
        <v>409</v>
      </c>
      <c r="F92" s="1161"/>
      <c r="G92" s="1161"/>
      <c r="H92" s="1161"/>
      <c r="I92" s="1161"/>
      <c r="J92" s="1161"/>
      <c r="K92" s="1161"/>
      <c r="L92" s="1162"/>
      <c r="M92" s="1162"/>
      <c r="N92" s="1162"/>
      <c r="O92" s="1162"/>
      <c r="P92" s="1162"/>
      <c r="Q92" s="1162"/>
      <c r="R92" s="1162"/>
      <c r="S92" s="1162"/>
      <c r="T92" s="1162"/>
      <c r="U92" s="1162"/>
      <c r="V92" s="1162"/>
      <c r="W92" s="1162"/>
      <c r="X92" s="1162"/>
      <c r="Y92" s="1162"/>
      <c r="Z92" s="1162"/>
      <c r="AA92" s="1162"/>
      <c r="AB92" s="1162"/>
      <c r="AC92" s="1162"/>
      <c r="AD92" s="1162"/>
      <c r="AE92" s="1162"/>
      <c r="AF92" s="1162"/>
      <c r="AG92" s="1162"/>
      <c r="AH92" s="1162"/>
      <c r="AI92" s="1162"/>
      <c r="AJ92" s="1162"/>
      <c r="AK92" s="1162"/>
      <c r="AL92" s="1162"/>
      <c r="AM92" s="1162"/>
      <c r="AN92" s="1162"/>
      <c r="AO92" s="1162"/>
      <c r="AP92" s="1162"/>
      <c r="AQ92" s="1162"/>
      <c r="AR92" s="1162"/>
      <c r="AS92" s="1162"/>
      <c r="AT92" s="1162"/>
      <c r="AU92" s="1162"/>
      <c r="AV92" s="1162"/>
      <c r="AW92" s="1162"/>
      <c r="AX92" s="1162"/>
      <c r="AY92" s="1162"/>
      <c r="AZ92" s="1162"/>
      <c r="BA92" s="1162"/>
      <c r="BB92" s="1162"/>
      <c r="BC92" s="1162"/>
      <c r="BD92" s="1162"/>
      <c r="BE92" s="1162"/>
      <c r="BF92" s="1162"/>
      <c r="BG92" s="1162"/>
      <c r="BH92" s="1162"/>
      <c r="BI92" s="1162"/>
      <c r="BJ92" s="1162"/>
      <c r="BK92" s="1162"/>
      <c r="BL92" s="1162"/>
      <c r="BM92" s="1162"/>
      <c r="BN92" s="1162"/>
      <c r="BO92" s="1162"/>
      <c r="BP92" s="1162"/>
      <c r="BQ92" s="1162"/>
      <c r="BR92" s="1162"/>
      <c r="BS92" s="1162"/>
      <c r="BT92" s="1162"/>
      <c r="BU92" s="1162"/>
      <c r="BV92" s="1162"/>
      <c r="BW92" s="1162"/>
      <c r="BX92" s="1162"/>
      <c r="BY92" s="1162"/>
      <c r="BZ92" s="1162"/>
      <c r="CA92" s="1162"/>
      <c r="CB92" s="1162"/>
    </row>
    <row r="93" spans="1:84" s="1148" customFormat="1" x14ac:dyDescent="0.3">
      <c r="A93" s="1146">
        <v>326</v>
      </c>
      <c r="B93" s="1154"/>
      <c r="C93" s="1228">
        <v>326</v>
      </c>
      <c r="D93" s="1146" t="s">
        <v>704</v>
      </c>
      <c r="E93" s="1155" t="s">
        <v>410</v>
      </c>
      <c r="F93" s="1156"/>
      <c r="G93" s="1156"/>
      <c r="H93" s="1156"/>
      <c r="I93" s="1156"/>
      <c r="J93" s="1156"/>
      <c r="K93" s="1156"/>
      <c r="L93" s="1157"/>
      <c r="M93" s="1157"/>
      <c r="N93" s="1157"/>
      <c r="O93" s="1157"/>
      <c r="P93" s="1157"/>
      <c r="Q93" s="1157"/>
      <c r="R93" s="1157"/>
      <c r="S93" s="1157"/>
      <c r="T93" s="1157"/>
      <c r="U93" s="1157"/>
      <c r="V93" s="1157"/>
      <c r="W93" s="1157"/>
      <c r="X93" s="1157"/>
      <c r="Y93" s="1157"/>
      <c r="Z93" s="1157"/>
      <c r="AA93" s="1157"/>
      <c r="AB93" s="1157"/>
      <c r="AC93" s="1157"/>
      <c r="AD93" s="1157"/>
      <c r="AE93" s="1157"/>
      <c r="AF93" s="1157"/>
      <c r="AG93" s="1157"/>
      <c r="AH93" s="1157"/>
      <c r="AI93" s="1157"/>
      <c r="AJ93" s="1157"/>
      <c r="AK93" s="1157"/>
      <c r="AL93" s="1157"/>
      <c r="AM93" s="1157"/>
      <c r="AN93" s="1157"/>
      <c r="AO93" s="1157"/>
      <c r="AP93" s="1157"/>
      <c r="AQ93" s="1157"/>
      <c r="AR93" s="1157"/>
      <c r="AS93" s="1157"/>
      <c r="AT93" s="1157"/>
      <c r="AU93" s="1157"/>
      <c r="AV93" s="1157"/>
      <c r="AW93" s="1157"/>
      <c r="AX93" s="1157"/>
      <c r="AY93" s="1157"/>
      <c r="AZ93" s="1157"/>
      <c r="BA93" s="1157"/>
      <c r="BB93" s="1157"/>
      <c r="BC93" s="1157"/>
      <c r="BD93" s="1157"/>
      <c r="BE93" s="1157"/>
      <c r="BF93" s="1157"/>
      <c r="BG93" s="1157"/>
      <c r="BH93" s="1157"/>
      <c r="BI93" s="1157"/>
      <c r="BJ93" s="1157"/>
      <c r="BK93" s="1157"/>
      <c r="BL93" s="1157"/>
      <c r="BM93" s="1157"/>
      <c r="BN93" s="1157"/>
      <c r="BO93" s="1157"/>
      <c r="BP93" s="1157"/>
      <c r="BQ93" s="1157"/>
      <c r="BR93" s="1157"/>
      <c r="BS93" s="1157"/>
      <c r="BT93" s="1157"/>
      <c r="BU93" s="1157"/>
      <c r="BV93" s="1157"/>
      <c r="BW93" s="1157"/>
      <c r="BX93" s="1157"/>
      <c r="BY93" s="1157"/>
      <c r="BZ93" s="1157"/>
      <c r="CA93" s="1157"/>
      <c r="CB93" s="1157"/>
    </row>
    <row r="94" spans="1:84" s="1148" customFormat="1" x14ac:dyDescent="0.3">
      <c r="A94" s="1153">
        <v>327</v>
      </c>
      <c r="B94" s="1154">
        <v>327</v>
      </c>
      <c r="C94" s="1228">
        <v>327</v>
      </c>
      <c r="D94" s="1146" t="s">
        <v>635</v>
      </c>
      <c r="E94" s="1155" t="s">
        <v>411</v>
      </c>
      <c r="F94" s="1156">
        <v>0</v>
      </c>
      <c r="G94" s="1156">
        <v>0</v>
      </c>
      <c r="H94" s="1156">
        <v>0</v>
      </c>
      <c r="I94" s="1156">
        <v>0</v>
      </c>
      <c r="J94" s="1156">
        <v>0</v>
      </c>
      <c r="K94" s="1156">
        <v>0</v>
      </c>
      <c r="L94" s="1157">
        <v>53983</v>
      </c>
      <c r="M94" s="1157">
        <v>0</v>
      </c>
      <c r="N94" s="1157">
        <v>0</v>
      </c>
      <c r="O94" s="1157">
        <v>0</v>
      </c>
      <c r="P94" s="1157">
        <v>0</v>
      </c>
      <c r="Q94" s="1157">
        <v>46446</v>
      </c>
      <c r="R94" s="1157">
        <v>0</v>
      </c>
      <c r="S94" s="1157">
        <v>5609034</v>
      </c>
      <c r="T94" s="1157">
        <v>0</v>
      </c>
      <c r="U94" s="1157">
        <v>0</v>
      </c>
      <c r="V94" s="1157">
        <v>3881259</v>
      </c>
      <c r="W94" s="1157">
        <v>2270233</v>
      </c>
      <c r="X94" s="1157">
        <v>14979085</v>
      </c>
      <c r="Y94" s="1157">
        <v>0</v>
      </c>
      <c r="Z94" s="1157">
        <v>0</v>
      </c>
      <c r="AA94" s="1157">
        <v>745155</v>
      </c>
      <c r="AB94" s="1157">
        <v>4000</v>
      </c>
      <c r="AC94" s="1157">
        <v>569712</v>
      </c>
      <c r="AD94" s="1157">
        <v>23252</v>
      </c>
      <c r="AE94" s="1157">
        <v>15684</v>
      </c>
      <c r="AF94" s="1157">
        <v>882432</v>
      </c>
      <c r="AG94" s="1157">
        <v>0</v>
      </c>
      <c r="AH94" s="1157">
        <v>1702831</v>
      </c>
      <c r="AI94" s="1157">
        <v>514809</v>
      </c>
      <c r="AJ94" s="1157">
        <v>19050</v>
      </c>
      <c r="AK94" s="1157">
        <v>13241990</v>
      </c>
      <c r="AL94" s="1157">
        <v>6500</v>
      </c>
      <c r="AM94" s="1157">
        <v>63005</v>
      </c>
      <c r="AN94" s="1157">
        <v>0</v>
      </c>
      <c r="AO94" s="1157">
        <v>210332</v>
      </c>
      <c r="AP94" s="1157">
        <v>0</v>
      </c>
      <c r="AQ94" s="1157">
        <v>0</v>
      </c>
      <c r="AR94" s="1157">
        <v>0</v>
      </c>
      <c r="AS94" s="1157">
        <v>0</v>
      </c>
      <c r="AT94" s="1157">
        <v>44618</v>
      </c>
      <c r="AU94" s="1157">
        <v>0</v>
      </c>
      <c r="AV94" s="1157">
        <v>552989</v>
      </c>
      <c r="AW94" s="1157">
        <v>0</v>
      </c>
      <c r="AX94" s="1157">
        <v>3735076</v>
      </c>
      <c r="AY94" s="1157">
        <v>0</v>
      </c>
      <c r="AZ94" s="1157">
        <v>76640</v>
      </c>
      <c r="BA94" s="1157">
        <v>1346936</v>
      </c>
      <c r="BB94" s="1157">
        <v>5006</v>
      </c>
      <c r="BC94" s="1157">
        <v>0</v>
      </c>
      <c r="BD94" s="1157">
        <v>0</v>
      </c>
      <c r="BE94" s="1157">
        <v>0</v>
      </c>
      <c r="BF94" s="1157">
        <v>217472</v>
      </c>
      <c r="BG94" s="1157">
        <v>0</v>
      </c>
      <c r="BH94" s="1157">
        <v>0</v>
      </c>
      <c r="BI94" s="1157">
        <v>0</v>
      </c>
      <c r="BJ94" s="1157">
        <v>0</v>
      </c>
      <c r="BK94" s="1157">
        <v>474</v>
      </c>
      <c r="BL94" s="1157">
        <v>0</v>
      </c>
      <c r="BM94" s="1157">
        <v>140972</v>
      </c>
      <c r="BN94" s="1157">
        <v>0</v>
      </c>
      <c r="BO94" s="1157">
        <v>168864</v>
      </c>
      <c r="BP94" s="1157">
        <v>0</v>
      </c>
      <c r="BQ94" s="1157">
        <v>39115</v>
      </c>
      <c r="BR94" s="1157">
        <v>12100</v>
      </c>
      <c r="BS94" s="1157">
        <v>0</v>
      </c>
      <c r="BT94" s="1157">
        <v>25500</v>
      </c>
      <c r="BU94" s="1157">
        <v>0</v>
      </c>
      <c r="BV94" s="1157">
        <v>341062</v>
      </c>
      <c r="BW94" s="1157">
        <v>10200</v>
      </c>
      <c r="BX94" s="1157">
        <v>0</v>
      </c>
      <c r="BY94" s="1157">
        <v>0</v>
      </c>
      <c r="BZ94" s="1157">
        <v>81232</v>
      </c>
      <c r="CA94" s="1157">
        <v>0</v>
      </c>
      <c r="CB94" s="1157">
        <v>21695</v>
      </c>
      <c r="CC94" s="1148">
        <v>49000</v>
      </c>
      <c r="CD94" s="1148">
        <v>24280</v>
      </c>
      <c r="CE94" s="1148">
        <v>0</v>
      </c>
      <c r="CF94" s="1148">
        <v>0</v>
      </c>
    </row>
    <row r="95" spans="1:84" s="1148" customFormat="1" x14ac:dyDescent="0.3">
      <c r="A95" s="1153">
        <v>328</v>
      </c>
      <c r="B95" s="1154">
        <v>328</v>
      </c>
      <c r="C95" s="1228">
        <v>328</v>
      </c>
      <c r="D95" s="1146" t="s">
        <v>551</v>
      </c>
      <c r="E95" s="1155" t="s">
        <v>412</v>
      </c>
      <c r="F95" s="1156">
        <v>0</v>
      </c>
      <c r="G95" s="1156">
        <v>0</v>
      </c>
      <c r="H95" s="1156">
        <v>0</v>
      </c>
      <c r="I95" s="1156">
        <v>0</v>
      </c>
      <c r="J95" s="1156">
        <v>0</v>
      </c>
      <c r="K95" s="1156">
        <v>0</v>
      </c>
      <c r="L95" s="1157">
        <v>0</v>
      </c>
      <c r="M95" s="1157">
        <v>0</v>
      </c>
      <c r="N95" s="1157">
        <v>0</v>
      </c>
      <c r="O95" s="1157">
        <v>0</v>
      </c>
      <c r="P95" s="1157">
        <v>0</v>
      </c>
      <c r="Q95" s="1157">
        <v>2328960</v>
      </c>
      <c r="R95" s="1157">
        <v>0</v>
      </c>
      <c r="S95" s="1157">
        <v>766847</v>
      </c>
      <c r="T95" s="1157">
        <v>0</v>
      </c>
      <c r="U95" s="1157">
        <v>0</v>
      </c>
      <c r="V95" s="1157">
        <v>24521512</v>
      </c>
      <c r="W95" s="1157">
        <v>1625629</v>
      </c>
      <c r="X95" s="1157">
        <v>0</v>
      </c>
      <c r="Y95" s="1157">
        <v>0</v>
      </c>
      <c r="Z95" s="1157">
        <v>0</v>
      </c>
      <c r="AA95" s="1157">
        <v>1056654</v>
      </c>
      <c r="AB95" s="1157">
        <v>2781554</v>
      </c>
      <c r="AC95" s="1157">
        <v>278036</v>
      </c>
      <c r="AD95" s="1157">
        <v>4317604</v>
      </c>
      <c r="AE95" s="1157">
        <v>0</v>
      </c>
      <c r="AF95" s="1157">
        <v>0</v>
      </c>
      <c r="AG95" s="1157">
        <v>812480</v>
      </c>
      <c r="AH95" s="1157">
        <v>0</v>
      </c>
      <c r="AI95" s="1157">
        <v>2701021</v>
      </c>
      <c r="AJ95" s="1157">
        <v>0</v>
      </c>
      <c r="AK95" s="1157">
        <v>5138650</v>
      </c>
      <c r="AL95" s="1157">
        <v>0</v>
      </c>
      <c r="AM95" s="1157">
        <v>0</v>
      </c>
      <c r="AN95" s="1157">
        <v>0</v>
      </c>
      <c r="AO95" s="1157">
        <v>897346</v>
      </c>
      <c r="AP95" s="1157">
        <v>0</v>
      </c>
      <c r="AQ95" s="1157">
        <v>0</v>
      </c>
      <c r="AR95" s="1157">
        <v>0</v>
      </c>
      <c r="AS95" s="1157">
        <v>0</v>
      </c>
      <c r="AT95" s="1157">
        <v>479415</v>
      </c>
      <c r="AU95" s="1157">
        <v>0</v>
      </c>
      <c r="AV95" s="1157">
        <v>521844</v>
      </c>
      <c r="AW95" s="1157">
        <v>0</v>
      </c>
      <c r="AX95" s="1157">
        <v>0</v>
      </c>
      <c r="AY95" s="1157">
        <v>0</v>
      </c>
      <c r="AZ95" s="1157">
        <v>0</v>
      </c>
      <c r="BA95" s="1157">
        <v>0</v>
      </c>
      <c r="BB95" s="1157">
        <v>0</v>
      </c>
      <c r="BC95" s="1157">
        <v>0</v>
      </c>
      <c r="BD95" s="1157">
        <v>0</v>
      </c>
      <c r="BE95" s="1157">
        <v>0</v>
      </c>
      <c r="BF95" s="1157">
        <v>12150084</v>
      </c>
      <c r="BG95" s="1157">
        <v>0</v>
      </c>
      <c r="BH95" s="1157">
        <v>105265</v>
      </c>
      <c r="BI95" s="1157">
        <v>0</v>
      </c>
      <c r="BJ95" s="1157">
        <v>0</v>
      </c>
      <c r="BK95" s="1157">
        <v>54000</v>
      </c>
      <c r="BL95" s="1157">
        <v>0</v>
      </c>
      <c r="BM95" s="1157">
        <v>0</v>
      </c>
      <c r="BN95" s="1157">
        <v>0</v>
      </c>
      <c r="BO95" s="1157">
        <v>1051000</v>
      </c>
      <c r="BP95" s="1157">
        <v>36549</v>
      </c>
      <c r="BQ95" s="1157">
        <v>0</v>
      </c>
      <c r="BR95" s="1157">
        <v>0</v>
      </c>
      <c r="BS95" s="1157">
        <v>0</v>
      </c>
      <c r="BT95" s="1157">
        <v>840781</v>
      </c>
      <c r="BU95" s="1157">
        <v>0</v>
      </c>
      <c r="BV95" s="1157">
        <v>59700</v>
      </c>
      <c r="BW95" s="1157">
        <v>1470941</v>
      </c>
      <c r="BX95" s="1157">
        <v>0</v>
      </c>
      <c r="BY95" s="1157">
        <v>0</v>
      </c>
      <c r="BZ95" s="1157">
        <v>40000</v>
      </c>
      <c r="CA95" s="1157">
        <v>0</v>
      </c>
      <c r="CB95" s="1157">
        <v>0</v>
      </c>
      <c r="CC95" s="1148">
        <v>0</v>
      </c>
      <c r="CD95" s="1148">
        <v>48080</v>
      </c>
      <c r="CE95" s="1148">
        <v>0</v>
      </c>
      <c r="CF95" s="1148">
        <v>0</v>
      </c>
    </row>
    <row r="96" spans="1:84" s="1148" customFormat="1" x14ac:dyDescent="0.3">
      <c r="A96" s="1146">
        <v>330</v>
      </c>
      <c r="B96" s="1154"/>
      <c r="C96" s="1228">
        <v>330</v>
      </c>
      <c r="D96" s="1146" t="s">
        <v>636</v>
      </c>
      <c r="E96" s="1155" t="s">
        <v>413</v>
      </c>
      <c r="F96" s="1156"/>
      <c r="G96" s="1156"/>
      <c r="H96" s="1156"/>
      <c r="I96" s="1156"/>
      <c r="J96" s="1156"/>
      <c r="K96" s="1156"/>
      <c r="L96" s="1157"/>
      <c r="M96" s="1157"/>
      <c r="N96" s="1157"/>
      <c r="O96" s="1157"/>
      <c r="P96" s="1157"/>
      <c r="Q96" s="1157"/>
      <c r="R96" s="1157"/>
      <c r="S96" s="1157"/>
      <c r="T96" s="1157"/>
      <c r="U96" s="1157"/>
      <c r="V96" s="1157"/>
      <c r="W96" s="1157"/>
      <c r="X96" s="1157"/>
      <c r="Y96" s="1157"/>
      <c r="Z96" s="1157"/>
      <c r="AA96" s="1157"/>
      <c r="AB96" s="1157"/>
      <c r="AC96" s="1157"/>
      <c r="AD96" s="1157"/>
      <c r="AE96" s="1157"/>
      <c r="AF96" s="1157"/>
      <c r="AG96" s="1157"/>
      <c r="AH96" s="1157"/>
      <c r="AI96" s="1157"/>
      <c r="AJ96" s="1157"/>
      <c r="AK96" s="1157"/>
      <c r="AL96" s="1157"/>
      <c r="AM96" s="1157"/>
      <c r="AN96" s="1157"/>
      <c r="AO96" s="1157"/>
      <c r="AP96" s="1157"/>
      <c r="AQ96" s="1157"/>
      <c r="AR96" s="1157"/>
      <c r="AS96" s="1157"/>
      <c r="AT96" s="1157"/>
      <c r="AU96" s="1157"/>
      <c r="AV96" s="1157"/>
      <c r="AW96" s="1157"/>
      <c r="AX96" s="1157"/>
      <c r="AY96" s="1157"/>
      <c r="AZ96" s="1157"/>
      <c r="BA96" s="1157"/>
      <c r="BB96" s="1157"/>
      <c r="BC96" s="1157"/>
      <c r="BD96" s="1157"/>
      <c r="BE96" s="1157"/>
      <c r="BF96" s="1157"/>
      <c r="BG96" s="1157"/>
      <c r="BH96" s="1157"/>
      <c r="BI96" s="1157"/>
      <c r="BJ96" s="1157"/>
      <c r="BK96" s="1157"/>
      <c r="BL96" s="1157"/>
      <c r="BM96" s="1157"/>
      <c r="BN96" s="1157"/>
      <c r="BO96" s="1157"/>
      <c r="BP96" s="1157"/>
      <c r="BQ96" s="1157"/>
      <c r="BR96" s="1157"/>
      <c r="BS96" s="1157"/>
      <c r="BT96" s="1157"/>
      <c r="BU96" s="1157"/>
      <c r="BV96" s="1157"/>
      <c r="BW96" s="1157"/>
      <c r="BX96" s="1157"/>
      <c r="BY96" s="1157"/>
      <c r="BZ96" s="1157"/>
      <c r="CA96" s="1157"/>
      <c r="CB96" s="1157"/>
    </row>
    <row r="97" spans="1:84" s="1148" customFormat="1" x14ac:dyDescent="0.3">
      <c r="A97" s="1153">
        <v>331</v>
      </c>
      <c r="B97" s="1154">
        <v>331</v>
      </c>
      <c r="C97" s="1228">
        <v>331</v>
      </c>
      <c r="D97" s="1146" t="s">
        <v>247</v>
      </c>
      <c r="E97" s="1155" t="s">
        <v>414</v>
      </c>
      <c r="F97" s="1156">
        <v>0</v>
      </c>
      <c r="G97" s="1156">
        <v>0</v>
      </c>
      <c r="H97" s="1156">
        <v>64754</v>
      </c>
      <c r="I97" s="1156">
        <v>0</v>
      </c>
      <c r="J97" s="1156">
        <v>0</v>
      </c>
      <c r="K97" s="1156">
        <v>0</v>
      </c>
      <c r="L97" s="1157">
        <v>12500</v>
      </c>
      <c r="M97" s="1157">
        <v>0</v>
      </c>
      <c r="N97" s="1157">
        <v>0</v>
      </c>
      <c r="O97" s="1157">
        <v>0</v>
      </c>
      <c r="P97" s="1157">
        <v>0</v>
      </c>
      <c r="Q97" s="1157">
        <v>0</v>
      </c>
      <c r="R97" s="1157">
        <v>0</v>
      </c>
      <c r="S97" s="1157">
        <v>1147238</v>
      </c>
      <c r="T97" s="1157">
        <v>0</v>
      </c>
      <c r="U97" s="1157">
        <v>0</v>
      </c>
      <c r="V97" s="1157">
        <v>3196877</v>
      </c>
      <c r="W97" s="1157">
        <v>1211750</v>
      </c>
      <c r="X97" s="1157">
        <v>1865583</v>
      </c>
      <c r="Y97" s="1157">
        <v>0</v>
      </c>
      <c r="Z97" s="1157">
        <v>0</v>
      </c>
      <c r="AA97" s="1157">
        <v>1164949</v>
      </c>
      <c r="AB97" s="1157">
        <v>28000</v>
      </c>
      <c r="AC97" s="1157">
        <v>296966</v>
      </c>
      <c r="AD97" s="1157">
        <v>316169</v>
      </c>
      <c r="AE97" s="1157">
        <v>155390</v>
      </c>
      <c r="AF97" s="1157">
        <v>252350</v>
      </c>
      <c r="AG97" s="1157">
        <v>32920</v>
      </c>
      <c r="AH97" s="1157">
        <v>43008</v>
      </c>
      <c r="AI97" s="1157">
        <v>42533</v>
      </c>
      <c r="AJ97" s="1157">
        <v>32128</v>
      </c>
      <c r="AK97" s="1157">
        <v>4633983</v>
      </c>
      <c r="AL97" s="1157">
        <v>0</v>
      </c>
      <c r="AM97" s="1157">
        <v>17300</v>
      </c>
      <c r="AN97" s="1157">
        <v>0</v>
      </c>
      <c r="AO97" s="1157">
        <v>1226140</v>
      </c>
      <c r="AP97" s="1157">
        <v>0</v>
      </c>
      <c r="AQ97" s="1157">
        <v>38861</v>
      </c>
      <c r="AR97" s="1157">
        <v>0</v>
      </c>
      <c r="AS97" s="1157">
        <v>0</v>
      </c>
      <c r="AT97" s="1157">
        <v>548610</v>
      </c>
      <c r="AU97" s="1157">
        <v>0</v>
      </c>
      <c r="AV97" s="1157">
        <v>160895</v>
      </c>
      <c r="AW97" s="1157">
        <v>0</v>
      </c>
      <c r="AX97" s="1157">
        <v>3772867</v>
      </c>
      <c r="AY97" s="1157">
        <v>0</v>
      </c>
      <c r="AZ97" s="1157">
        <v>70371</v>
      </c>
      <c r="BA97" s="1157">
        <v>0</v>
      </c>
      <c r="BB97" s="1157">
        <v>31500</v>
      </c>
      <c r="BC97" s="1157">
        <v>0</v>
      </c>
      <c r="BD97" s="1157">
        <v>0</v>
      </c>
      <c r="BE97" s="1157">
        <v>0</v>
      </c>
      <c r="BF97" s="1157">
        <v>832645</v>
      </c>
      <c r="BG97" s="1157">
        <v>0</v>
      </c>
      <c r="BH97" s="1157">
        <v>29081</v>
      </c>
      <c r="BI97" s="1157">
        <v>0</v>
      </c>
      <c r="BJ97" s="1157">
        <v>0</v>
      </c>
      <c r="BK97" s="1157">
        <v>5558</v>
      </c>
      <c r="BL97" s="1157">
        <v>0</v>
      </c>
      <c r="BM97" s="1157">
        <v>116789</v>
      </c>
      <c r="BN97" s="1157">
        <v>0</v>
      </c>
      <c r="BO97" s="1157">
        <v>115538</v>
      </c>
      <c r="BP97" s="1157">
        <v>144000</v>
      </c>
      <c r="BQ97" s="1157">
        <v>27569</v>
      </c>
      <c r="BR97" s="1157">
        <v>0</v>
      </c>
      <c r="BS97" s="1157">
        <v>0</v>
      </c>
      <c r="BT97" s="1157">
        <v>31117</v>
      </c>
      <c r="BU97" s="1157">
        <v>0</v>
      </c>
      <c r="BV97" s="1157">
        <v>18864</v>
      </c>
      <c r="BW97" s="1157">
        <v>137200</v>
      </c>
      <c r="BX97" s="1157">
        <v>0</v>
      </c>
      <c r="BY97" s="1157">
        <v>0</v>
      </c>
      <c r="BZ97" s="1157">
        <v>0</v>
      </c>
      <c r="CA97" s="1157">
        <v>0</v>
      </c>
      <c r="CB97" s="1157">
        <v>33583</v>
      </c>
      <c r="CC97" s="1148">
        <v>7000</v>
      </c>
      <c r="CD97" s="1148">
        <v>79816</v>
      </c>
      <c r="CE97" s="1148">
        <v>0</v>
      </c>
      <c r="CF97" s="1148">
        <v>0</v>
      </c>
    </row>
    <row r="98" spans="1:84" s="1148" customFormat="1" x14ac:dyDescent="0.3">
      <c r="A98" s="1153">
        <v>332</v>
      </c>
      <c r="B98" s="1154">
        <v>332</v>
      </c>
      <c r="C98" s="1228">
        <v>332</v>
      </c>
      <c r="D98" s="1146" t="s">
        <v>248</v>
      </c>
      <c r="E98" s="1155" t="s">
        <v>415</v>
      </c>
      <c r="F98" s="1156">
        <v>0</v>
      </c>
      <c r="G98" s="1156">
        <v>0</v>
      </c>
      <c r="H98" s="1156">
        <v>58146</v>
      </c>
      <c r="I98" s="1156">
        <v>0</v>
      </c>
      <c r="J98" s="1156">
        <v>0</v>
      </c>
      <c r="K98" s="1156">
        <v>0</v>
      </c>
      <c r="L98" s="1157">
        <v>0</v>
      </c>
      <c r="M98" s="1157">
        <v>0</v>
      </c>
      <c r="N98" s="1157">
        <v>0</v>
      </c>
      <c r="O98" s="1157">
        <v>0</v>
      </c>
      <c r="P98" s="1157">
        <v>0</v>
      </c>
      <c r="Q98" s="1157">
        <v>346086</v>
      </c>
      <c r="R98" s="1157">
        <v>0</v>
      </c>
      <c r="S98" s="1157">
        <v>6657635</v>
      </c>
      <c r="T98" s="1157">
        <v>0</v>
      </c>
      <c r="U98" s="1157">
        <v>0</v>
      </c>
      <c r="V98" s="1157">
        <v>4426634</v>
      </c>
      <c r="W98" s="1157">
        <v>3636233</v>
      </c>
      <c r="X98" s="1157">
        <v>1728870</v>
      </c>
      <c r="Y98" s="1157">
        <v>0</v>
      </c>
      <c r="Z98" s="1157">
        <v>30564</v>
      </c>
      <c r="AA98" s="1157">
        <v>2523473</v>
      </c>
      <c r="AB98" s="1157">
        <v>2152290</v>
      </c>
      <c r="AC98" s="1157">
        <v>695845</v>
      </c>
      <c r="AD98" s="1157">
        <v>242048</v>
      </c>
      <c r="AE98" s="1157">
        <v>46058</v>
      </c>
      <c r="AF98" s="1157">
        <v>43815</v>
      </c>
      <c r="AG98" s="1157">
        <v>1516458</v>
      </c>
      <c r="AH98" s="1157">
        <v>836014</v>
      </c>
      <c r="AI98" s="1157">
        <v>152591</v>
      </c>
      <c r="AJ98" s="1157">
        <v>0</v>
      </c>
      <c r="AK98" s="1157">
        <v>2656705</v>
      </c>
      <c r="AL98" s="1157">
        <v>0</v>
      </c>
      <c r="AM98" s="1157">
        <v>0</v>
      </c>
      <c r="AN98" s="1157">
        <v>0</v>
      </c>
      <c r="AO98" s="1157">
        <v>2063425</v>
      </c>
      <c r="AP98" s="1157">
        <v>0</v>
      </c>
      <c r="AQ98" s="1157">
        <v>0</v>
      </c>
      <c r="AR98" s="1157">
        <v>0</v>
      </c>
      <c r="AS98" s="1157">
        <v>0</v>
      </c>
      <c r="AT98" s="1157">
        <v>284879</v>
      </c>
      <c r="AU98" s="1157">
        <v>0</v>
      </c>
      <c r="AV98" s="1157">
        <v>547860</v>
      </c>
      <c r="AW98" s="1157">
        <v>0</v>
      </c>
      <c r="AX98" s="1157">
        <v>195629</v>
      </c>
      <c r="AY98" s="1157">
        <v>0</v>
      </c>
      <c r="AZ98" s="1157">
        <v>141031</v>
      </c>
      <c r="BA98" s="1157">
        <v>1132327</v>
      </c>
      <c r="BB98" s="1157">
        <v>141576</v>
      </c>
      <c r="BC98" s="1157">
        <v>0</v>
      </c>
      <c r="BD98" s="1157">
        <v>0</v>
      </c>
      <c r="BE98" s="1157">
        <v>0</v>
      </c>
      <c r="BF98" s="1157">
        <v>5781884</v>
      </c>
      <c r="BG98" s="1157">
        <v>0</v>
      </c>
      <c r="BH98" s="1157">
        <v>80315</v>
      </c>
      <c r="BI98" s="1157">
        <v>0</v>
      </c>
      <c r="BJ98" s="1157">
        <v>0</v>
      </c>
      <c r="BK98" s="1157">
        <v>11979</v>
      </c>
      <c r="BL98" s="1157">
        <v>0</v>
      </c>
      <c r="BM98" s="1157">
        <v>702624</v>
      </c>
      <c r="BN98" s="1157">
        <v>0</v>
      </c>
      <c r="BO98" s="1157">
        <v>448598</v>
      </c>
      <c r="BP98" s="1157">
        <v>167963</v>
      </c>
      <c r="BQ98" s="1157">
        <v>35509</v>
      </c>
      <c r="BR98" s="1157">
        <v>0</v>
      </c>
      <c r="BS98" s="1157">
        <v>0</v>
      </c>
      <c r="BT98" s="1157">
        <v>732621</v>
      </c>
      <c r="BU98" s="1157">
        <v>0</v>
      </c>
      <c r="BV98" s="1157">
        <v>132010</v>
      </c>
      <c r="BW98" s="1157">
        <v>88120</v>
      </c>
      <c r="BX98" s="1157">
        <v>0</v>
      </c>
      <c r="BY98" s="1157">
        <v>0</v>
      </c>
      <c r="BZ98" s="1157">
        <v>5870</v>
      </c>
      <c r="CA98" s="1157">
        <v>0</v>
      </c>
      <c r="CB98" s="1157">
        <v>0</v>
      </c>
      <c r="CC98" s="1148">
        <v>0</v>
      </c>
      <c r="CD98" s="1148">
        <v>25280</v>
      </c>
      <c r="CE98" s="1148">
        <v>0</v>
      </c>
      <c r="CF98" s="1148">
        <v>0</v>
      </c>
    </row>
    <row r="99" spans="1:84" s="1148" customFormat="1" x14ac:dyDescent="0.3">
      <c r="A99" s="1153">
        <v>333</v>
      </c>
      <c r="B99" s="1154">
        <v>333</v>
      </c>
      <c r="C99" s="1228">
        <v>333</v>
      </c>
      <c r="D99" s="1146" t="s">
        <v>184</v>
      </c>
      <c r="E99" s="1155" t="s">
        <v>416</v>
      </c>
      <c r="F99" s="1156">
        <v>0</v>
      </c>
      <c r="G99" s="1156">
        <v>124095</v>
      </c>
      <c r="H99" s="1156">
        <v>817571</v>
      </c>
      <c r="I99" s="1156">
        <v>3972951</v>
      </c>
      <c r="J99" s="1156">
        <v>5467943</v>
      </c>
      <c r="K99" s="1156">
        <v>4522079</v>
      </c>
      <c r="L99" s="1157">
        <v>110058</v>
      </c>
      <c r="M99" s="1157">
        <v>913010</v>
      </c>
      <c r="N99" s="1157">
        <v>1002956</v>
      </c>
      <c r="O99" s="1157">
        <v>8457393</v>
      </c>
      <c r="P99" s="1157">
        <v>561109</v>
      </c>
      <c r="Q99" s="1157">
        <v>4922082</v>
      </c>
      <c r="R99" s="1157">
        <v>294894</v>
      </c>
      <c r="S99" s="1157">
        <v>41878403</v>
      </c>
      <c r="T99" s="1157">
        <v>0</v>
      </c>
      <c r="U99" s="1157">
        <v>196617</v>
      </c>
      <c r="V99" s="1157">
        <v>44736925</v>
      </c>
      <c r="W99" s="1157">
        <v>13704701</v>
      </c>
      <c r="X99" s="1157">
        <v>22300123</v>
      </c>
      <c r="Y99" s="1157">
        <v>37303195</v>
      </c>
      <c r="Z99" s="1157">
        <v>130046</v>
      </c>
      <c r="AA99" s="1157">
        <v>13848413</v>
      </c>
      <c r="AB99" s="1157">
        <v>1451053</v>
      </c>
      <c r="AC99" s="1157">
        <v>13986728</v>
      </c>
      <c r="AD99" s="1157">
        <v>1633163</v>
      </c>
      <c r="AE99" s="1157">
        <v>2085225</v>
      </c>
      <c r="AF99" s="1157">
        <v>1243273</v>
      </c>
      <c r="AG99" s="1157">
        <v>3725379</v>
      </c>
      <c r="AH99" s="1157">
        <v>12066497</v>
      </c>
      <c r="AI99" s="1157">
        <v>6112130</v>
      </c>
      <c r="AJ99" s="1157">
        <v>634627</v>
      </c>
      <c r="AK99" s="1157">
        <v>14405557</v>
      </c>
      <c r="AL99" s="1157">
        <v>2787319</v>
      </c>
      <c r="AM99" s="1157">
        <v>782853</v>
      </c>
      <c r="AN99" s="1157">
        <v>0</v>
      </c>
      <c r="AO99" s="1157">
        <v>10250510</v>
      </c>
      <c r="AP99" s="1157">
        <v>0</v>
      </c>
      <c r="AQ99" s="1157">
        <v>289809</v>
      </c>
      <c r="AR99" s="1157">
        <v>88857</v>
      </c>
      <c r="AS99" s="1157">
        <v>7629568</v>
      </c>
      <c r="AT99" s="1157">
        <v>18759860</v>
      </c>
      <c r="AU99" s="1157">
        <v>492972</v>
      </c>
      <c r="AV99" s="1157">
        <v>1193295</v>
      </c>
      <c r="AW99" s="1157">
        <v>0</v>
      </c>
      <c r="AX99" s="1157">
        <v>27691934</v>
      </c>
      <c r="AY99" s="1157">
        <v>3594999</v>
      </c>
      <c r="AZ99" s="1157">
        <v>756812</v>
      </c>
      <c r="BA99" s="1157">
        <v>20385163</v>
      </c>
      <c r="BB99" s="1157">
        <v>2046165</v>
      </c>
      <c r="BC99" s="1157">
        <v>504480</v>
      </c>
      <c r="BD99" s="1157">
        <v>108917</v>
      </c>
      <c r="BE99" s="1157">
        <v>319362</v>
      </c>
      <c r="BF99" s="1157">
        <v>5878760</v>
      </c>
      <c r="BG99" s="1157">
        <v>496845</v>
      </c>
      <c r="BH99" s="1157">
        <v>679689</v>
      </c>
      <c r="BI99" s="1157">
        <v>239380</v>
      </c>
      <c r="BJ99" s="1157">
        <v>309043</v>
      </c>
      <c r="BK99" s="1157">
        <v>450543</v>
      </c>
      <c r="BL99" s="1157">
        <v>267304</v>
      </c>
      <c r="BM99" s="1157">
        <v>2157459</v>
      </c>
      <c r="BN99" s="1157">
        <v>0</v>
      </c>
      <c r="BO99" s="1157">
        <v>36038</v>
      </c>
      <c r="BP99" s="1157">
        <v>11060061</v>
      </c>
      <c r="BQ99" s="1157">
        <v>957553</v>
      </c>
      <c r="BR99" s="1157">
        <v>1882742</v>
      </c>
      <c r="BS99" s="1157">
        <v>10856052</v>
      </c>
      <c r="BT99" s="1157">
        <v>241806</v>
      </c>
      <c r="BU99" s="1157">
        <v>22691374</v>
      </c>
      <c r="BV99" s="1157">
        <v>713827</v>
      </c>
      <c r="BW99" s="1157">
        <v>5176940</v>
      </c>
      <c r="BX99" s="1157">
        <v>2249704</v>
      </c>
      <c r="BY99" s="1157">
        <v>0</v>
      </c>
      <c r="BZ99" s="1157">
        <v>1713298</v>
      </c>
      <c r="CA99" s="1157">
        <v>198340</v>
      </c>
      <c r="CB99" s="1157">
        <v>1034381</v>
      </c>
      <c r="CC99" s="1148">
        <v>171503</v>
      </c>
      <c r="CD99" s="1148">
        <v>426070</v>
      </c>
      <c r="CE99" s="1148">
        <v>0</v>
      </c>
      <c r="CF99" s="1148">
        <v>366360</v>
      </c>
    </row>
    <row r="100" spans="1:84" s="1148" customFormat="1" x14ac:dyDescent="0.3">
      <c r="A100" s="1153">
        <v>334</v>
      </c>
      <c r="B100" s="1154">
        <v>334</v>
      </c>
      <c r="C100" s="1228">
        <v>334</v>
      </c>
      <c r="D100" s="1146" t="s">
        <v>276</v>
      </c>
      <c r="E100" s="1155" t="s">
        <v>417</v>
      </c>
      <c r="F100" s="1156">
        <v>0</v>
      </c>
      <c r="G100" s="1156">
        <v>237086</v>
      </c>
      <c r="H100" s="1156">
        <v>1773811</v>
      </c>
      <c r="I100" s="1156">
        <v>7750095</v>
      </c>
      <c r="J100" s="1156">
        <v>1896170</v>
      </c>
      <c r="K100" s="1156">
        <v>4388308</v>
      </c>
      <c r="L100" s="1157">
        <v>63968</v>
      </c>
      <c r="M100" s="1157">
        <v>1140157</v>
      </c>
      <c r="N100" s="1157">
        <v>634115</v>
      </c>
      <c r="O100" s="1157">
        <v>73571177</v>
      </c>
      <c r="P100" s="1157">
        <v>728352</v>
      </c>
      <c r="Q100" s="1157">
        <v>13312660</v>
      </c>
      <c r="R100" s="1157">
        <v>244822</v>
      </c>
      <c r="S100" s="1157">
        <v>148699028</v>
      </c>
      <c r="T100" s="1157">
        <v>0</v>
      </c>
      <c r="U100" s="1157">
        <v>273576</v>
      </c>
      <c r="V100" s="1157">
        <v>165854518</v>
      </c>
      <c r="W100" s="1157">
        <v>46051849</v>
      </c>
      <c r="X100" s="1157">
        <v>99435345</v>
      </c>
      <c r="Y100" s="1157">
        <v>143395054</v>
      </c>
      <c r="Z100" s="1157">
        <v>429865</v>
      </c>
      <c r="AA100" s="1157">
        <v>48055966</v>
      </c>
      <c r="AB100" s="1157">
        <v>2946235</v>
      </c>
      <c r="AC100" s="1157">
        <v>32298437</v>
      </c>
      <c r="AD100" s="1157">
        <v>10683116</v>
      </c>
      <c r="AE100" s="1157">
        <v>6030203</v>
      </c>
      <c r="AF100" s="1157">
        <v>0</v>
      </c>
      <c r="AG100" s="1157">
        <v>6692451</v>
      </c>
      <c r="AH100" s="1157">
        <v>107546405</v>
      </c>
      <c r="AI100" s="1157">
        <v>11660846</v>
      </c>
      <c r="AJ100" s="1157">
        <v>3595414</v>
      </c>
      <c r="AK100" s="1157">
        <v>87834435</v>
      </c>
      <c r="AL100" s="1157">
        <v>4186596</v>
      </c>
      <c r="AM100" s="1157">
        <v>2697204</v>
      </c>
      <c r="AN100" s="1157">
        <v>0</v>
      </c>
      <c r="AO100" s="1157">
        <v>37155497</v>
      </c>
      <c r="AP100" s="1157">
        <v>0</v>
      </c>
      <c r="AQ100" s="1157">
        <v>759102</v>
      </c>
      <c r="AR100" s="1157">
        <v>147732</v>
      </c>
      <c r="AS100" s="1157">
        <v>37073183</v>
      </c>
      <c r="AT100" s="1157">
        <v>49146544</v>
      </c>
      <c r="AU100" s="1157">
        <v>454530</v>
      </c>
      <c r="AV100" s="1157">
        <v>3832925</v>
      </c>
      <c r="AW100" s="1157">
        <v>0</v>
      </c>
      <c r="AX100" s="1157">
        <v>31284010</v>
      </c>
      <c r="AY100" s="1157">
        <v>6656334</v>
      </c>
      <c r="AZ100" s="1157">
        <v>4817306</v>
      </c>
      <c r="BA100" s="1157">
        <v>6933269</v>
      </c>
      <c r="BB100" s="1157">
        <v>3265380</v>
      </c>
      <c r="BC100" s="1157">
        <v>1249363</v>
      </c>
      <c r="BD100" s="1157">
        <v>68878</v>
      </c>
      <c r="BE100" s="1157">
        <v>24018</v>
      </c>
      <c r="BF100" s="1157">
        <v>16603179</v>
      </c>
      <c r="BG100" s="1157">
        <v>519712</v>
      </c>
      <c r="BH100" s="1157">
        <v>388338</v>
      </c>
      <c r="BI100" s="1157">
        <v>265935</v>
      </c>
      <c r="BJ100" s="1157">
        <v>172599</v>
      </c>
      <c r="BK100" s="1157">
        <v>557788</v>
      </c>
      <c r="BL100" s="1157">
        <v>144865</v>
      </c>
      <c r="BM100" s="1157">
        <v>10175354</v>
      </c>
      <c r="BN100" s="1157">
        <v>0</v>
      </c>
      <c r="BO100" s="1157">
        <v>696448</v>
      </c>
      <c r="BP100" s="1157">
        <v>9278184</v>
      </c>
      <c r="BQ100" s="1157">
        <v>2596806</v>
      </c>
      <c r="BR100" s="1157">
        <v>5135124</v>
      </c>
      <c r="BS100" s="1157">
        <v>40212971</v>
      </c>
      <c r="BT100" s="1157">
        <v>2189519</v>
      </c>
      <c r="BU100" s="1157">
        <v>39129794</v>
      </c>
      <c r="BV100" s="1157">
        <v>2562846</v>
      </c>
      <c r="BW100" s="1157">
        <v>6610562</v>
      </c>
      <c r="BX100" s="1157">
        <v>2635695</v>
      </c>
      <c r="BY100" s="1157">
        <v>0</v>
      </c>
      <c r="BZ100" s="1157">
        <v>921155</v>
      </c>
      <c r="CA100" s="1157">
        <v>190642</v>
      </c>
      <c r="CB100" s="1157">
        <v>476855</v>
      </c>
      <c r="CC100" s="1148">
        <v>112137</v>
      </c>
      <c r="CD100" s="1148">
        <v>2091897</v>
      </c>
      <c r="CE100" s="1148">
        <v>0</v>
      </c>
      <c r="CF100" s="1148">
        <v>199375</v>
      </c>
    </row>
    <row r="101" spans="1:84" s="1148" customFormat="1" x14ac:dyDescent="0.3">
      <c r="A101" s="1153">
        <v>335</v>
      </c>
      <c r="B101" s="1154">
        <v>335</v>
      </c>
      <c r="C101" s="1228">
        <v>335</v>
      </c>
      <c r="D101" s="1146" t="s">
        <v>117</v>
      </c>
      <c r="E101" s="1155" t="s">
        <v>418</v>
      </c>
      <c r="F101" s="1156">
        <v>0</v>
      </c>
      <c r="G101" s="1156">
        <v>0</v>
      </c>
      <c r="H101" s="1156">
        <v>0</v>
      </c>
      <c r="I101" s="1156">
        <v>0</v>
      </c>
      <c r="J101" s="1156">
        <v>0</v>
      </c>
      <c r="K101" s="1156">
        <v>0</v>
      </c>
      <c r="L101" s="1157">
        <v>0</v>
      </c>
      <c r="M101" s="1157">
        <v>0</v>
      </c>
      <c r="N101" s="1157">
        <v>0</v>
      </c>
      <c r="O101" s="1157">
        <v>0</v>
      </c>
      <c r="P101" s="1157">
        <v>0</v>
      </c>
      <c r="Q101" s="1157">
        <v>0</v>
      </c>
      <c r="R101" s="1157">
        <v>0</v>
      </c>
      <c r="S101" s="1157">
        <v>1997</v>
      </c>
      <c r="T101" s="1157">
        <v>0</v>
      </c>
      <c r="U101" s="1157">
        <v>0</v>
      </c>
      <c r="V101" s="1157">
        <v>554501</v>
      </c>
      <c r="W101" s="1157">
        <v>0</v>
      </c>
      <c r="X101" s="1157">
        <v>0</v>
      </c>
      <c r="Y101" s="1157">
        <v>0</v>
      </c>
      <c r="Z101" s="1157">
        <v>0</v>
      </c>
      <c r="AA101" s="1157">
        <v>222025</v>
      </c>
      <c r="AB101" s="1157">
        <v>0</v>
      </c>
      <c r="AC101" s="1157">
        <v>0</v>
      </c>
      <c r="AD101" s="1157">
        <v>0</v>
      </c>
      <c r="AE101" s="1157">
        <v>0</v>
      </c>
      <c r="AF101" s="1157">
        <v>0</v>
      </c>
      <c r="AG101" s="1157">
        <v>0</v>
      </c>
      <c r="AH101" s="1157">
        <v>8712</v>
      </c>
      <c r="AI101" s="1157">
        <v>0</v>
      </c>
      <c r="AJ101" s="1157">
        <v>0</v>
      </c>
      <c r="AK101" s="1157">
        <v>0</v>
      </c>
      <c r="AL101" s="1157">
        <v>0</v>
      </c>
      <c r="AM101" s="1157">
        <v>0</v>
      </c>
      <c r="AN101" s="1157">
        <v>0</v>
      </c>
      <c r="AO101" s="1157">
        <v>0</v>
      </c>
      <c r="AP101" s="1157">
        <v>0</v>
      </c>
      <c r="AQ101" s="1157">
        <v>0</v>
      </c>
      <c r="AR101" s="1157">
        <v>0</v>
      </c>
      <c r="AS101" s="1157">
        <v>0</v>
      </c>
      <c r="AT101" s="1157">
        <v>0</v>
      </c>
      <c r="AU101" s="1157">
        <v>0</v>
      </c>
      <c r="AV101" s="1157">
        <v>0</v>
      </c>
      <c r="AW101" s="1157">
        <v>0</v>
      </c>
      <c r="AX101" s="1157">
        <v>0</v>
      </c>
      <c r="AY101" s="1157">
        <v>0</v>
      </c>
      <c r="AZ101" s="1157">
        <v>0</v>
      </c>
      <c r="BA101" s="1157">
        <v>0</v>
      </c>
      <c r="BB101" s="1157">
        <v>0</v>
      </c>
      <c r="BC101" s="1157">
        <v>0</v>
      </c>
      <c r="BD101" s="1157">
        <v>0</v>
      </c>
      <c r="BE101" s="1157">
        <v>0</v>
      </c>
      <c r="BF101" s="1157">
        <v>0</v>
      </c>
      <c r="BG101" s="1157">
        <v>0</v>
      </c>
      <c r="BH101" s="1157">
        <v>0</v>
      </c>
      <c r="BI101" s="1157">
        <v>0</v>
      </c>
      <c r="BJ101" s="1157">
        <v>0</v>
      </c>
      <c r="BK101" s="1157">
        <v>0</v>
      </c>
      <c r="BL101" s="1157">
        <v>0</v>
      </c>
      <c r="BM101" s="1157">
        <v>0</v>
      </c>
      <c r="BN101" s="1157">
        <v>0</v>
      </c>
      <c r="BO101" s="1157">
        <v>0</v>
      </c>
      <c r="BP101" s="1157">
        <v>16384</v>
      </c>
      <c r="BQ101" s="1157">
        <v>0</v>
      </c>
      <c r="BR101" s="1157">
        <v>0</v>
      </c>
      <c r="BS101" s="1157">
        <v>0</v>
      </c>
      <c r="BT101" s="1157">
        <v>0</v>
      </c>
      <c r="BU101" s="1157">
        <v>0</v>
      </c>
      <c r="BV101" s="1157">
        <v>0</v>
      </c>
      <c r="BW101" s="1157">
        <v>0</v>
      </c>
      <c r="BX101" s="1157">
        <v>0</v>
      </c>
      <c r="BY101" s="1157">
        <v>0</v>
      </c>
      <c r="BZ101" s="1157">
        <v>0</v>
      </c>
      <c r="CA101" s="1157">
        <v>0</v>
      </c>
      <c r="CB101" s="1157">
        <v>425758</v>
      </c>
      <c r="CC101" s="1148">
        <v>0</v>
      </c>
      <c r="CD101" s="1148">
        <v>0</v>
      </c>
      <c r="CE101" s="1148">
        <v>0</v>
      </c>
      <c r="CF101" s="1148">
        <v>0</v>
      </c>
    </row>
    <row r="102" spans="1:84" s="1148" customFormat="1" x14ac:dyDescent="0.3">
      <c r="A102" s="1153">
        <v>336</v>
      </c>
      <c r="B102" s="1154" t="s">
        <v>1765</v>
      </c>
      <c r="C102" s="1228">
        <v>336</v>
      </c>
      <c r="D102" s="1146" t="s">
        <v>637</v>
      </c>
      <c r="E102" s="1155" t="s">
        <v>419</v>
      </c>
      <c r="F102" s="1156">
        <v>0</v>
      </c>
      <c r="G102" s="1156">
        <v>0</v>
      </c>
      <c r="H102" s="1156">
        <v>55108</v>
      </c>
      <c r="I102" s="1156">
        <v>83058</v>
      </c>
      <c r="J102" s="1156">
        <v>246106</v>
      </c>
      <c r="K102" s="1156">
        <v>55854</v>
      </c>
      <c r="L102" s="1157">
        <v>751</v>
      </c>
      <c r="M102" s="1157">
        <v>2247</v>
      </c>
      <c r="N102" s="1157">
        <v>5367</v>
      </c>
      <c r="O102" s="1157">
        <v>0</v>
      </c>
      <c r="P102" s="1157">
        <v>48058</v>
      </c>
      <c r="Q102" s="1157">
        <v>310335</v>
      </c>
      <c r="R102" s="1157">
        <v>843</v>
      </c>
      <c r="S102" s="1157">
        <v>7444490</v>
      </c>
      <c r="T102" s="1157">
        <v>0</v>
      </c>
      <c r="U102" s="1157">
        <v>1261</v>
      </c>
      <c r="V102" s="1157">
        <v>12189487</v>
      </c>
      <c r="W102" s="1157">
        <v>2390179</v>
      </c>
      <c r="X102" s="1157">
        <v>2158498</v>
      </c>
      <c r="Y102" s="1157">
        <v>5515154</v>
      </c>
      <c r="Z102" s="1157">
        <v>17752</v>
      </c>
      <c r="AA102" s="1157">
        <v>1352373</v>
      </c>
      <c r="AB102" s="1157">
        <v>50214</v>
      </c>
      <c r="AC102" s="1157">
        <v>1707114</v>
      </c>
      <c r="AD102" s="1157">
        <v>138784</v>
      </c>
      <c r="AE102" s="1157">
        <v>160282</v>
      </c>
      <c r="AF102" s="1157">
        <v>36570</v>
      </c>
      <c r="AG102" s="1157">
        <v>137648</v>
      </c>
      <c r="AH102" s="1157">
        <v>4327718</v>
      </c>
      <c r="AI102" s="1157">
        <v>304921</v>
      </c>
      <c r="AJ102" s="1157">
        <v>58159</v>
      </c>
      <c r="AK102" s="1157">
        <v>5516935</v>
      </c>
      <c r="AL102" s="1157">
        <v>132981</v>
      </c>
      <c r="AM102" s="1157">
        <v>72207</v>
      </c>
      <c r="AN102" s="1157">
        <v>0</v>
      </c>
      <c r="AO102" s="1157">
        <v>2594148</v>
      </c>
      <c r="AP102" s="1157">
        <v>0</v>
      </c>
      <c r="AQ102" s="1157">
        <v>0</v>
      </c>
      <c r="AR102" s="1157">
        <v>243</v>
      </c>
      <c r="AS102" s="1157">
        <v>808930</v>
      </c>
      <c r="AT102" s="1157">
        <v>425371</v>
      </c>
      <c r="AU102" s="1157">
        <v>8106</v>
      </c>
      <c r="AV102" s="1157">
        <v>243322</v>
      </c>
      <c r="AW102" s="1157">
        <v>2183299</v>
      </c>
      <c r="AX102" s="1157">
        <v>2183299</v>
      </c>
      <c r="AY102" s="1157">
        <v>311736</v>
      </c>
      <c r="AZ102" s="1157">
        <v>36801</v>
      </c>
      <c r="BA102" s="1157">
        <v>1157759</v>
      </c>
      <c r="BB102" s="1157">
        <v>34470</v>
      </c>
      <c r="BC102" s="1157">
        <v>0</v>
      </c>
      <c r="BD102" s="1157">
        <v>0</v>
      </c>
      <c r="BE102" s="1157">
        <v>16669</v>
      </c>
      <c r="BF102" s="1157">
        <v>488038</v>
      </c>
      <c r="BG102" s="1157">
        <v>1434</v>
      </c>
      <c r="BH102" s="1157">
        <v>6768</v>
      </c>
      <c r="BI102" s="1157">
        <v>13361</v>
      </c>
      <c r="BJ102" s="1157">
        <v>1184</v>
      </c>
      <c r="BK102" s="1157">
        <v>2509</v>
      </c>
      <c r="BL102" s="1157">
        <v>19725</v>
      </c>
      <c r="BM102" s="1157">
        <v>602651</v>
      </c>
      <c r="BN102" s="1157">
        <v>0</v>
      </c>
      <c r="BO102" s="1157">
        <v>0</v>
      </c>
      <c r="BP102" s="1157">
        <v>0</v>
      </c>
      <c r="BQ102" s="1157">
        <v>78579</v>
      </c>
      <c r="BR102" s="1157">
        <v>115327</v>
      </c>
      <c r="BS102" s="1157">
        <v>1392787</v>
      </c>
      <c r="BT102" s="1157">
        <v>63372</v>
      </c>
      <c r="BU102" s="1157">
        <v>919154</v>
      </c>
      <c r="BV102" s="1157">
        <v>66985</v>
      </c>
      <c r="BW102" s="1157">
        <v>315147</v>
      </c>
      <c r="BX102" s="1157">
        <v>21797</v>
      </c>
      <c r="BY102" s="1157">
        <v>0</v>
      </c>
      <c r="BZ102" s="1157">
        <v>39671</v>
      </c>
      <c r="CA102" s="1157">
        <v>2611</v>
      </c>
      <c r="CB102" s="1157">
        <v>0</v>
      </c>
      <c r="CC102" s="1148">
        <v>6491</v>
      </c>
      <c r="CD102" s="1148">
        <v>86280</v>
      </c>
      <c r="CE102" s="1148">
        <v>0</v>
      </c>
      <c r="CF102" s="1148">
        <v>10954</v>
      </c>
    </row>
    <row r="103" spans="1:84" s="1148" customFormat="1" x14ac:dyDescent="0.3">
      <c r="A103" s="1153">
        <v>337</v>
      </c>
      <c r="B103" s="1154">
        <v>337</v>
      </c>
      <c r="C103" s="1228">
        <v>337</v>
      </c>
      <c r="D103" s="1146" t="s">
        <v>254</v>
      </c>
      <c r="E103" s="1155" t="s">
        <v>420</v>
      </c>
      <c r="F103" s="1156">
        <v>0</v>
      </c>
      <c r="G103" s="1156">
        <v>5700</v>
      </c>
      <c r="H103" s="1156">
        <v>73962</v>
      </c>
      <c r="I103" s="1156">
        <v>592838</v>
      </c>
      <c r="J103" s="1156">
        <v>0</v>
      </c>
      <c r="K103" s="1156">
        <v>0</v>
      </c>
      <c r="L103" s="1157">
        <v>0</v>
      </c>
      <c r="M103" s="1157">
        <v>0</v>
      </c>
      <c r="N103" s="1157">
        <v>0</v>
      </c>
      <c r="O103" s="1157">
        <v>1275554</v>
      </c>
      <c r="P103" s="1157">
        <v>46288</v>
      </c>
      <c r="Q103" s="1157">
        <v>1073221</v>
      </c>
      <c r="R103" s="1157">
        <v>0</v>
      </c>
      <c r="S103" s="1157">
        <v>15772225</v>
      </c>
      <c r="T103" s="1157">
        <v>0</v>
      </c>
      <c r="U103" s="1157">
        <v>0</v>
      </c>
      <c r="V103" s="1157">
        <v>53637402</v>
      </c>
      <c r="W103" s="1157">
        <v>11550291</v>
      </c>
      <c r="X103" s="1157">
        <v>3626908</v>
      </c>
      <c r="Y103" s="1157">
        <v>30048559</v>
      </c>
      <c r="Z103" s="1157">
        <v>0</v>
      </c>
      <c r="AA103" s="1157">
        <v>288000</v>
      </c>
      <c r="AB103" s="1157">
        <v>0</v>
      </c>
      <c r="AC103" s="1157">
        <v>9663737</v>
      </c>
      <c r="AD103" s="1157">
        <v>16449</v>
      </c>
      <c r="AE103" s="1157">
        <v>741790</v>
      </c>
      <c r="AF103" s="1157">
        <v>0</v>
      </c>
      <c r="AG103" s="1157">
        <v>1630513</v>
      </c>
      <c r="AH103" s="1157">
        <v>12842869</v>
      </c>
      <c r="AI103" s="1157">
        <v>0</v>
      </c>
      <c r="AJ103" s="1157">
        <v>242098</v>
      </c>
      <c r="AK103" s="1157">
        <v>8494257</v>
      </c>
      <c r="AL103" s="1157">
        <v>0</v>
      </c>
      <c r="AM103" s="1157">
        <v>0</v>
      </c>
      <c r="AN103" s="1157">
        <v>0</v>
      </c>
      <c r="AO103" s="1157">
        <v>7680021</v>
      </c>
      <c r="AP103" s="1157">
        <v>0</v>
      </c>
      <c r="AQ103" s="1157">
        <v>53524</v>
      </c>
      <c r="AR103" s="1157">
        <v>0</v>
      </c>
      <c r="AS103" s="1157">
        <v>15189522</v>
      </c>
      <c r="AT103" s="1157">
        <v>744999</v>
      </c>
      <c r="AU103" s="1157">
        <v>0</v>
      </c>
      <c r="AV103" s="1157">
        <v>386734</v>
      </c>
      <c r="AW103" s="1157">
        <v>0</v>
      </c>
      <c r="AX103" s="1157">
        <v>1633628</v>
      </c>
      <c r="AY103" s="1157">
        <v>1440000</v>
      </c>
      <c r="AZ103" s="1157">
        <v>0</v>
      </c>
      <c r="BA103" s="1157">
        <v>9113248</v>
      </c>
      <c r="BB103" s="1157">
        <v>32951</v>
      </c>
      <c r="BC103" s="1157">
        <v>0</v>
      </c>
      <c r="BD103" s="1157">
        <v>0</v>
      </c>
      <c r="BE103" s="1157">
        <v>0</v>
      </c>
      <c r="BF103" s="1157">
        <v>638479</v>
      </c>
      <c r="BG103" s="1157">
        <v>0</v>
      </c>
      <c r="BH103" s="1157">
        <v>0</v>
      </c>
      <c r="BI103" s="1157">
        <v>6778</v>
      </c>
      <c r="BJ103" s="1157">
        <v>0</v>
      </c>
      <c r="BK103" s="1157">
        <v>0</v>
      </c>
      <c r="BL103" s="1157">
        <v>54000</v>
      </c>
      <c r="BM103" s="1157">
        <v>2348669</v>
      </c>
      <c r="BN103" s="1157">
        <v>0</v>
      </c>
      <c r="BO103" s="1157">
        <v>213206</v>
      </c>
      <c r="BP103" s="1157">
        <v>1147442</v>
      </c>
      <c r="BQ103" s="1157">
        <v>819301</v>
      </c>
      <c r="BR103" s="1157">
        <v>1731181</v>
      </c>
      <c r="BS103" s="1157">
        <v>141600</v>
      </c>
      <c r="BT103" s="1157">
        <v>267807</v>
      </c>
      <c r="BU103" s="1157">
        <v>225000</v>
      </c>
      <c r="BV103" s="1157">
        <v>216371</v>
      </c>
      <c r="BW103" s="1157">
        <v>284492</v>
      </c>
      <c r="BX103" s="1157">
        <v>0</v>
      </c>
      <c r="BY103" s="1157">
        <v>0</v>
      </c>
      <c r="BZ103" s="1157">
        <v>22164</v>
      </c>
      <c r="CA103" s="1157">
        <v>0</v>
      </c>
      <c r="CB103" s="1157">
        <v>589326</v>
      </c>
      <c r="CC103" s="1148">
        <v>0</v>
      </c>
      <c r="CD103" s="1148">
        <v>522207</v>
      </c>
      <c r="CE103" s="1148">
        <v>0</v>
      </c>
      <c r="CF103" s="1148">
        <v>0</v>
      </c>
    </row>
    <row r="104" spans="1:84" s="1148" customFormat="1" x14ac:dyDescent="0.3">
      <c r="A104" s="1153">
        <v>338</v>
      </c>
      <c r="B104" s="1154">
        <v>338</v>
      </c>
      <c r="C104" s="1228">
        <v>338</v>
      </c>
      <c r="D104" s="1146" t="s">
        <v>116</v>
      </c>
      <c r="E104" s="1155" t="s">
        <v>421</v>
      </c>
      <c r="F104" s="1156">
        <v>0</v>
      </c>
      <c r="G104" s="1156">
        <v>6445</v>
      </c>
      <c r="H104" s="1156">
        <v>252334</v>
      </c>
      <c r="I104" s="1156">
        <v>752376</v>
      </c>
      <c r="J104" s="1156">
        <v>261905</v>
      </c>
      <c r="K104" s="1156">
        <v>242926</v>
      </c>
      <c r="L104" s="1157">
        <v>751</v>
      </c>
      <c r="M104" s="1157">
        <v>26279</v>
      </c>
      <c r="N104" s="1157">
        <v>5367</v>
      </c>
      <c r="O104" s="1157">
        <v>9555996</v>
      </c>
      <c r="P104" s="1157">
        <v>230445</v>
      </c>
      <c r="Q104" s="1157">
        <v>3250903</v>
      </c>
      <c r="R104" s="1157">
        <v>1354</v>
      </c>
      <c r="S104" s="1157">
        <v>67221398</v>
      </c>
      <c r="T104" s="1157">
        <v>0</v>
      </c>
      <c r="U104" s="1157">
        <v>1261</v>
      </c>
      <c r="V104" s="1157">
        <v>130677644</v>
      </c>
      <c r="W104" s="1157">
        <v>21859870</v>
      </c>
      <c r="X104" s="1157">
        <v>26820033</v>
      </c>
      <c r="Y104" s="1157">
        <v>46983492</v>
      </c>
      <c r="Z104" s="1157">
        <v>29382</v>
      </c>
      <c r="AA104" s="1157">
        <v>6195751</v>
      </c>
      <c r="AB104" s="1157">
        <v>328659</v>
      </c>
      <c r="AC104" s="1157">
        <v>18069351</v>
      </c>
      <c r="AD104" s="1157">
        <v>1395262</v>
      </c>
      <c r="AE104" s="1157">
        <v>909384</v>
      </c>
      <c r="AF104" s="1157">
        <v>653863</v>
      </c>
      <c r="AG104" s="1157">
        <v>2382312</v>
      </c>
      <c r="AH104" s="1157">
        <v>22123356</v>
      </c>
      <c r="AI104" s="1157">
        <v>2229959</v>
      </c>
      <c r="AJ104" s="1157">
        <v>926187</v>
      </c>
      <c r="AK104" s="1157">
        <v>63296272</v>
      </c>
      <c r="AL104" s="1157">
        <v>150459</v>
      </c>
      <c r="AM104" s="1157">
        <v>376847</v>
      </c>
      <c r="AN104" s="1157">
        <v>0</v>
      </c>
      <c r="AO104" s="1157">
        <v>14807332</v>
      </c>
      <c r="AP104" s="1157">
        <v>0</v>
      </c>
      <c r="AQ104" s="1157">
        <v>223037</v>
      </c>
      <c r="AR104" s="1157">
        <v>243</v>
      </c>
      <c r="AS104" s="1157">
        <v>16777166</v>
      </c>
      <c r="AT104" s="1157">
        <v>52509857</v>
      </c>
      <c r="AU104" s="1157">
        <v>77929</v>
      </c>
      <c r="AV104" s="1157">
        <v>1306776</v>
      </c>
      <c r="AW104" s="1157">
        <v>0</v>
      </c>
      <c r="AX104" s="1157">
        <v>8198285</v>
      </c>
      <c r="AY104" s="1157">
        <v>1733199</v>
      </c>
      <c r="AZ104" s="1157">
        <v>415308</v>
      </c>
      <c r="BA104" s="1157">
        <v>10665694</v>
      </c>
      <c r="BB104" s="1157">
        <v>260453</v>
      </c>
      <c r="BC104" s="1157">
        <v>800573</v>
      </c>
      <c r="BD104" s="1157">
        <v>0</v>
      </c>
      <c r="BE104" s="1157">
        <v>19444</v>
      </c>
      <c r="BF104" s="1157">
        <v>9615475</v>
      </c>
      <c r="BG104" s="1157">
        <v>1434</v>
      </c>
      <c r="BH104" s="1157">
        <v>41760</v>
      </c>
      <c r="BI104" s="1157">
        <v>20140</v>
      </c>
      <c r="BJ104" s="1157">
        <v>1184</v>
      </c>
      <c r="BK104" s="1157">
        <v>26522</v>
      </c>
      <c r="BL104" s="1157">
        <v>56183</v>
      </c>
      <c r="BM104" s="1157">
        <v>4835815</v>
      </c>
      <c r="BN104" s="1157">
        <v>0</v>
      </c>
      <c r="BO104" s="1157">
        <v>775573</v>
      </c>
      <c r="BP104" s="1157">
        <v>7986565</v>
      </c>
      <c r="BQ104" s="1157">
        <v>1201241</v>
      </c>
      <c r="BR104" s="1157">
        <v>1948914</v>
      </c>
      <c r="BS104" s="1157">
        <v>6221416</v>
      </c>
      <c r="BT104" s="1157">
        <v>652871</v>
      </c>
      <c r="BU104" s="1157">
        <v>9623262</v>
      </c>
      <c r="BV104" s="1157">
        <v>439544</v>
      </c>
      <c r="BW104" s="1157">
        <v>4564022</v>
      </c>
      <c r="BX104" s="1157">
        <v>21797</v>
      </c>
      <c r="BY104" s="1157">
        <v>0</v>
      </c>
      <c r="BZ104" s="1157">
        <v>751061</v>
      </c>
      <c r="CA104" s="1157">
        <v>12484</v>
      </c>
      <c r="CB104" s="1157">
        <v>613805</v>
      </c>
      <c r="CC104" s="1148">
        <v>6899</v>
      </c>
      <c r="CD104" s="1148">
        <v>838661</v>
      </c>
      <c r="CE104" s="1148">
        <v>0</v>
      </c>
      <c r="CF104" s="1148">
        <v>10954</v>
      </c>
    </row>
    <row r="105" spans="1:84" s="1148" customFormat="1" x14ac:dyDescent="0.3">
      <c r="A105" s="1153">
        <v>339</v>
      </c>
      <c r="B105" s="1154">
        <v>339</v>
      </c>
      <c r="C105" s="1228">
        <v>339</v>
      </c>
      <c r="D105" s="1146" t="s">
        <v>190</v>
      </c>
      <c r="E105" s="1155" t="s">
        <v>422</v>
      </c>
      <c r="F105" s="1156">
        <v>0</v>
      </c>
      <c r="G105" s="1156">
        <v>13355</v>
      </c>
      <c r="H105" s="1156">
        <v>176923</v>
      </c>
      <c r="I105" s="1156">
        <v>20802</v>
      </c>
      <c r="J105" s="1156">
        <v>0</v>
      </c>
      <c r="K105" s="1156">
        <v>8630</v>
      </c>
      <c r="L105" s="1157">
        <v>0</v>
      </c>
      <c r="M105" s="1157">
        <v>3700</v>
      </c>
      <c r="N105" s="1157">
        <v>4251</v>
      </c>
      <c r="O105" s="1157">
        <v>0</v>
      </c>
      <c r="P105" s="1157">
        <v>240000</v>
      </c>
      <c r="Q105" s="1157">
        <v>186037</v>
      </c>
      <c r="R105" s="1157">
        <v>340</v>
      </c>
      <c r="S105" s="1157">
        <v>9254741</v>
      </c>
      <c r="T105" s="1157">
        <v>0</v>
      </c>
      <c r="U105" s="1157">
        <v>0</v>
      </c>
      <c r="V105" s="1157">
        <v>5625709</v>
      </c>
      <c r="W105" s="1157">
        <v>2333952</v>
      </c>
      <c r="X105" s="1157">
        <v>3039231</v>
      </c>
      <c r="Y105" s="1157">
        <v>2839289</v>
      </c>
      <c r="Z105" s="1157">
        <v>42052</v>
      </c>
      <c r="AA105" s="1157">
        <v>1105008</v>
      </c>
      <c r="AB105" s="1157">
        <v>109749</v>
      </c>
      <c r="AC105" s="1157">
        <v>1001323</v>
      </c>
      <c r="AD105" s="1157">
        <v>670695</v>
      </c>
      <c r="AE105" s="1157">
        <v>31640</v>
      </c>
      <c r="AF105" s="1157">
        <v>331629</v>
      </c>
      <c r="AG105" s="1157">
        <v>42326</v>
      </c>
      <c r="AH105" s="1157">
        <v>375270</v>
      </c>
      <c r="AI105" s="1157">
        <v>858220</v>
      </c>
      <c r="AJ105" s="1157">
        <v>23857</v>
      </c>
      <c r="AK105" s="1157">
        <v>1761137</v>
      </c>
      <c r="AL105" s="1157">
        <v>1500</v>
      </c>
      <c r="AM105" s="1157">
        <v>82139</v>
      </c>
      <c r="AN105" s="1157">
        <v>0</v>
      </c>
      <c r="AO105" s="1157">
        <v>1276348</v>
      </c>
      <c r="AP105" s="1157">
        <v>0</v>
      </c>
      <c r="AQ105" s="1157">
        <v>60180</v>
      </c>
      <c r="AR105" s="1157">
        <v>0</v>
      </c>
      <c r="AS105" s="1157">
        <v>715322</v>
      </c>
      <c r="AT105" s="1157">
        <v>486777</v>
      </c>
      <c r="AU105" s="1157">
        <v>0</v>
      </c>
      <c r="AV105" s="1157">
        <v>171735</v>
      </c>
      <c r="AW105" s="1157">
        <v>0</v>
      </c>
      <c r="AX105" s="1157">
        <v>2225059</v>
      </c>
      <c r="AY105" s="1157">
        <v>37848</v>
      </c>
      <c r="AZ105" s="1157">
        <v>84090</v>
      </c>
      <c r="BA105" s="1157">
        <v>2773425</v>
      </c>
      <c r="BB105" s="1157">
        <v>51982</v>
      </c>
      <c r="BC105" s="1157">
        <v>128522</v>
      </c>
      <c r="BD105" s="1157">
        <v>0</v>
      </c>
      <c r="BE105" s="1157">
        <v>22762</v>
      </c>
      <c r="BF105" s="1157">
        <v>2474884</v>
      </c>
      <c r="BG105" s="1157">
        <v>18900</v>
      </c>
      <c r="BH105" s="1157">
        <v>48633</v>
      </c>
      <c r="BI105" s="1157">
        <v>0</v>
      </c>
      <c r="BJ105" s="1157">
        <v>0</v>
      </c>
      <c r="BK105" s="1157">
        <v>33241</v>
      </c>
      <c r="BL105" s="1157">
        <v>2845</v>
      </c>
      <c r="BM105" s="1157">
        <v>594689</v>
      </c>
      <c r="BN105" s="1157">
        <v>0</v>
      </c>
      <c r="BO105" s="1157">
        <v>303824</v>
      </c>
      <c r="BP105" s="1157">
        <v>490321</v>
      </c>
      <c r="BQ105" s="1157">
        <v>275864</v>
      </c>
      <c r="BR105" s="1157">
        <v>18001</v>
      </c>
      <c r="BS105" s="1157">
        <v>1487262</v>
      </c>
      <c r="BT105" s="1157">
        <v>174804</v>
      </c>
      <c r="BU105" s="1157">
        <v>1102546</v>
      </c>
      <c r="BV105" s="1157">
        <v>96147</v>
      </c>
      <c r="BW105" s="1157">
        <v>851940</v>
      </c>
      <c r="BX105" s="1157">
        <v>90418</v>
      </c>
      <c r="BY105" s="1157">
        <v>0</v>
      </c>
      <c r="BZ105" s="1157">
        <v>47467</v>
      </c>
      <c r="CA105" s="1157">
        <v>0</v>
      </c>
      <c r="CB105" s="1157">
        <v>211379</v>
      </c>
      <c r="CC105" s="1148">
        <v>21934</v>
      </c>
      <c r="CD105" s="1148">
        <v>220325</v>
      </c>
      <c r="CE105" s="1148">
        <v>0</v>
      </c>
      <c r="CF105" s="1148">
        <v>0</v>
      </c>
    </row>
    <row r="106" spans="1:84" s="1148" customFormat="1" x14ac:dyDescent="0.3">
      <c r="A106" s="1146">
        <v>340</v>
      </c>
      <c r="B106" s="1154"/>
      <c r="C106" s="1228">
        <v>340</v>
      </c>
      <c r="D106" s="1146" t="s">
        <v>638</v>
      </c>
      <c r="E106" s="1155" t="s">
        <v>423</v>
      </c>
      <c r="F106" s="1156"/>
      <c r="G106" s="1156"/>
      <c r="H106" s="1156"/>
      <c r="I106" s="1156"/>
      <c r="J106" s="1156"/>
      <c r="K106" s="1156"/>
      <c r="L106" s="1157"/>
      <c r="M106" s="1157"/>
      <c r="N106" s="1157"/>
      <c r="O106" s="1157"/>
      <c r="P106" s="1157"/>
      <c r="Q106" s="1157"/>
      <c r="R106" s="1157"/>
      <c r="S106" s="1157"/>
      <c r="T106" s="1157"/>
      <c r="U106" s="1157"/>
      <c r="V106" s="1157"/>
      <c r="W106" s="1157"/>
      <c r="X106" s="1157"/>
      <c r="Y106" s="1157"/>
      <c r="Z106" s="1157"/>
      <c r="AA106" s="1157"/>
      <c r="AB106" s="1157"/>
      <c r="AC106" s="1157"/>
      <c r="AD106" s="1157"/>
      <c r="AE106" s="1157"/>
      <c r="AF106" s="1157"/>
      <c r="AG106" s="1157"/>
      <c r="AH106" s="1157"/>
      <c r="AI106" s="1157"/>
      <c r="AJ106" s="1157"/>
      <c r="AK106" s="1157"/>
      <c r="AL106" s="1157"/>
      <c r="AM106" s="1157"/>
      <c r="AN106" s="1157"/>
      <c r="AO106" s="1157"/>
      <c r="AP106" s="1157"/>
      <c r="AQ106" s="1157"/>
      <c r="AR106" s="1157"/>
      <c r="AS106" s="1157"/>
      <c r="AT106" s="1157"/>
      <c r="AU106" s="1157"/>
      <c r="AV106" s="1157"/>
      <c r="AW106" s="1157"/>
      <c r="AX106" s="1157"/>
      <c r="AY106" s="1157"/>
      <c r="AZ106" s="1157"/>
      <c r="BA106" s="1157"/>
      <c r="BB106" s="1157"/>
      <c r="BC106" s="1157"/>
      <c r="BD106" s="1157"/>
      <c r="BE106" s="1157"/>
      <c r="BF106" s="1157"/>
      <c r="BG106" s="1157"/>
      <c r="BH106" s="1157"/>
      <c r="BI106" s="1157"/>
      <c r="BJ106" s="1157"/>
      <c r="BK106" s="1157"/>
      <c r="BL106" s="1157"/>
      <c r="BM106" s="1157"/>
      <c r="BN106" s="1157"/>
      <c r="BO106" s="1157"/>
      <c r="BP106" s="1157"/>
      <c r="BQ106" s="1157"/>
      <c r="BR106" s="1157"/>
      <c r="BS106" s="1157"/>
      <c r="BT106" s="1157"/>
      <c r="BU106" s="1157"/>
      <c r="BV106" s="1157"/>
      <c r="BW106" s="1157"/>
      <c r="BX106" s="1157"/>
      <c r="BY106" s="1157"/>
      <c r="BZ106" s="1157"/>
      <c r="CA106" s="1157"/>
      <c r="CB106" s="1157"/>
    </row>
    <row r="107" spans="1:84" s="1148" customFormat="1" x14ac:dyDescent="0.3">
      <c r="A107" s="1153">
        <v>341</v>
      </c>
      <c r="B107" s="1154">
        <v>341</v>
      </c>
      <c r="C107" s="1228">
        <v>341</v>
      </c>
      <c r="D107" s="1146" t="s">
        <v>193</v>
      </c>
      <c r="E107" s="1155" t="s">
        <v>424</v>
      </c>
      <c r="F107" s="1156">
        <v>0</v>
      </c>
      <c r="G107" s="1156">
        <v>51562</v>
      </c>
      <c r="H107" s="1156">
        <v>603007</v>
      </c>
      <c r="I107" s="1156">
        <v>1886308</v>
      </c>
      <c r="J107" s="1156">
        <v>1722233</v>
      </c>
      <c r="K107" s="1156">
        <v>4027871</v>
      </c>
      <c r="L107" s="1157">
        <v>73347</v>
      </c>
      <c r="M107" s="1157">
        <v>361225</v>
      </c>
      <c r="N107" s="1157">
        <v>202621</v>
      </c>
      <c r="O107" s="1157">
        <v>14202172</v>
      </c>
      <c r="P107" s="1157">
        <v>278395</v>
      </c>
      <c r="Q107" s="1157">
        <v>4962871</v>
      </c>
      <c r="R107" s="1157">
        <v>83218</v>
      </c>
      <c r="S107" s="1157">
        <v>38544956</v>
      </c>
      <c r="T107" s="1157">
        <v>0</v>
      </c>
      <c r="U107" s="1157">
        <v>27307</v>
      </c>
      <c r="V107" s="1157">
        <v>73481026</v>
      </c>
      <c r="W107" s="1157">
        <v>13662982</v>
      </c>
      <c r="X107" s="1157">
        <v>18494697</v>
      </c>
      <c r="Y107" s="1157">
        <v>31537525</v>
      </c>
      <c r="Z107" s="1157">
        <v>217539</v>
      </c>
      <c r="AA107" s="1157">
        <v>12415912</v>
      </c>
      <c r="AB107" s="1157">
        <v>972473</v>
      </c>
      <c r="AC107" s="1157">
        <v>13113694</v>
      </c>
      <c r="AD107" s="1157">
        <v>3498695</v>
      </c>
      <c r="AE107" s="1157">
        <v>1203461</v>
      </c>
      <c r="AF107" s="1157">
        <v>1600791</v>
      </c>
      <c r="AG107" s="1157">
        <v>2377649</v>
      </c>
      <c r="AH107" s="1157">
        <v>17213595</v>
      </c>
      <c r="AI107" s="1157">
        <v>4259048</v>
      </c>
      <c r="AJ107" s="1157">
        <v>1036726</v>
      </c>
      <c r="AK107" s="1157">
        <v>29665920</v>
      </c>
      <c r="AL107" s="1157">
        <v>588556</v>
      </c>
      <c r="AM107" s="1157">
        <v>822481</v>
      </c>
      <c r="AN107" s="1157">
        <v>0</v>
      </c>
      <c r="AO107" s="1157">
        <v>12525047</v>
      </c>
      <c r="AP107" s="1157">
        <v>0</v>
      </c>
      <c r="AQ107" s="1157">
        <v>636074</v>
      </c>
      <c r="AR107" s="1157">
        <v>36778</v>
      </c>
      <c r="AS107" s="1157">
        <v>7215961</v>
      </c>
      <c r="AT107" s="1157">
        <v>6326900</v>
      </c>
      <c r="AU107" s="1157">
        <v>431658</v>
      </c>
      <c r="AV107" s="1157">
        <v>2006753</v>
      </c>
      <c r="AW107" s="1157">
        <v>0</v>
      </c>
      <c r="AX107" s="1157">
        <v>14451053</v>
      </c>
      <c r="AY107" s="1157">
        <v>1665078</v>
      </c>
      <c r="AZ107" s="1157">
        <v>1590951</v>
      </c>
      <c r="BA107" s="1157">
        <v>6832550</v>
      </c>
      <c r="BB107" s="1157">
        <v>844107</v>
      </c>
      <c r="BC107" s="1157">
        <v>816572</v>
      </c>
      <c r="BD107" s="1157">
        <v>30669</v>
      </c>
      <c r="BE107" s="1157">
        <v>238126</v>
      </c>
      <c r="BF107" s="1157">
        <v>6535806</v>
      </c>
      <c r="BG107" s="1157">
        <v>108808</v>
      </c>
      <c r="BH107" s="1157">
        <v>318381</v>
      </c>
      <c r="BI107" s="1157">
        <v>157397</v>
      </c>
      <c r="BJ107" s="1157">
        <v>85207</v>
      </c>
      <c r="BK107" s="1157">
        <v>186286</v>
      </c>
      <c r="BL107" s="1157">
        <v>115786</v>
      </c>
      <c r="BM107" s="1157">
        <v>2816711</v>
      </c>
      <c r="BN107" s="1157">
        <v>0</v>
      </c>
      <c r="BO107" s="1157">
        <v>1435622</v>
      </c>
      <c r="BP107" s="1157">
        <v>3235952</v>
      </c>
      <c r="BQ107" s="1157">
        <v>919083</v>
      </c>
      <c r="BR107" s="1157">
        <v>1335185</v>
      </c>
      <c r="BS107" s="1157">
        <v>18859417</v>
      </c>
      <c r="BT107" s="1157">
        <v>659083</v>
      </c>
      <c r="BU107" s="1157">
        <v>12090981</v>
      </c>
      <c r="BV107" s="1157">
        <v>361975</v>
      </c>
      <c r="BW107" s="1157">
        <v>4512683</v>
      </c>
      <c r="BX107" s="1157">
        <v>506383</v>
      </c>
      <c r="BY107" s="1157">
        <v>0</v>
      </c>
      <c r="BZ107" s="1157">
        <v>847070</v>
      </c>
      <c r="CA107" s="1157">
        <v>48805</v>
      </c>
      <c r="CB107" s="1157">
        <v>463</v>
      </c>
      <c r="CC107" s="1148">
        <v>106020</v>
      </c>
      <c r="CD107" s="1148">
        <v>812283</v>
      </c>
      <c r="CE107" s="1148">
        <v>0</v>
      </c>
      <c r="CF107" s="1148">
        <v>49351</v>
      </c>
    </row>
    <row r="108" spans="1:84" s="1148" customFormat="1" x14ac:dyDescent="0.3">
      <c r="A108" s="1146">
        <v>342</v>
      </c>
      <c r="B108" s="1154"/>
      <c r="C108" s="1228">
        <v>342</v>
      </c>
      <c r="D108" s="1146" t="s">
        <v>639</v>
      </c>
      <c r="E108" s="1155" t="s">
        <v>425</v>
      </c>
      <c r="F108" s="1156"/>
      <c r="G108" s="1156"/>
      <c r="H108" s="1156"/>
      <c r="I108" s="1156"/>
      <c r="J108" s="1156"/>
      <c r="K108" s="1156"/>
      <c r="L108" s="1157"/>
      <c r="M108" s="1157"/>
      <c r="N108" s="1157"/>
      <c r="O108" s="1157"/>
      <c r="P108" s="1157"/>
      <c r="Q108" s="1157"/>
      <c r="R108" s="1157"/>
      <c r="S108" s="1157"/>
      <c r="T108" s="1157"/>
      <c r="U108" s="1157"/>
      <c r="V108" s="1157"/>
      <c r="W108" s="1157"/>
      <c r="X108" s="1157"/>
      <c r="Y108" s="1157"/>
      <c r="Z108" s="1157"/>
      <c r="AA108" s="1157"/>
      <c r="AB108" s="1157"/>
      <c r="AC108" s="1157"/>
      <c r="AD108" s="1157"/>
      <c r="AE108" s="1157"/>
      <c r="AF108" s="1157"/>
      <c r="AG108" s="1157"/>
      <c r="AH108" s="1157"/>
      <c r="AI108" s="1157"/>
      <c r="AJ108" s="1157"/>
      <c r="AK108" s="1157"/>
      <c r="AL108" s="1157"/>
      <c r="AM108" s="1157"/>
      <c r="AN108" s="1157"/>
      <c r="AO108" s="1157"/>
      <c r="AP108" s="1157"/>
      <c r="AQ108" s="1157"/>
      <c r="AR108" s="1157"/>
      <c r="AS108" s="1157"/>
      <c r="AT108" s="1157"/>
      <c r="AU108" s="1157"/>
      <c r="AV108" s="1157"/>
      <c r="AW108" s="1157"/>
      <c r="AX108" s="1157"/>
      <c r="AY108" s="1157"/>
      <c r="AZ108" s="1157"/>
      <c r="BA108" s="1157"/>
      <c r="BB108" s="1157"/>
      <c r="BC108" s="1157"/>
      <c r="BD108" s="1157"/>
      <c r="BE108" s="1157"/>
      <c r="BF108" s="1157"/>
      <c r="BG108" s="1157"/>
      <c r="BH108" s="1157"/>
      <c r="BI108" s="1157"/>
      <c r="BJ108" s="1157"/>
      <c r="BK108" s="1157"/>
      <c r="BL108" s="1157"/>
      <c r="BM108" s="1157"/>
      <c r="BN108" s="1157"/>
      <c r="BO108" s="1157"/>
      <c r="BP108" s="1157"/>
      <c r="BQ108" s="1157"/>
      <c r="BR108" s="1157"/>
      <c r="BS108" s="1157"/>
      <c r="BT108" s="1157"/>
      <c r="BU108" s="1157"/>
      <c r="BV108" s="1157"/>
      <c r="BW108" s="1157"/>
      <c r="BX108" s="1157"/>
      <c r="BY108" s="1157"/>
      <c r="BZ108" s="1157"/>
      <c r="CA108" s="1157"/>
      <c r="CB108" s="1157"/>
    </row>
    <row r="109" spans="1:84" s="1148" customFormat="1" x14ac:dyDescent="0.3">
      <c r="A109" s="1153">
        <v>343</v>
      </c>
      <c r="B109" s="1154">
        <v>343</v>
      </c>
      <c r="C109" s="1228">
        <v>343</v>
      </c>
      <c r="D109" s="1146" t="s">
        <v>255</v>
      </c>
      <c r="E109" s="1155" t="s">
        <v>426</v>
      </c>
      <c r="F109" s="1156">
        <v>0</v>
      </c>
      <c r="G109" s="1156">
        <v>3600</v>
      </c>
      <c r="H109" s="1156">
        <v>7019</v>
      </c>
      <c r="I109" s="1156">
        <v>39522</v>
      </c>
      <c r="J109" s="1156">
        <v>0</v>
      </c>
      <c r="K109" s="1156">
        <v>509397</v>
      </c>
      <c r="L109" s="1157">
        <v>0</v>
      </c>
      <c r="M109" s="1157">
        <v>0</v>
      </c>
      <c r="N109" s="1157">
        <v>0</v>
      </c>
      <c r="O109" s="1157">
        <v>1162678</v>
      </c>
      <c r="P109" s="1157">
        <v>26620</v>
      </c>
      <c r="Q109" s="1157">
        <v>258521</v>
      </c>
      <c r="R109" s="1157">
        <v>0</v>
      </c>
      <c r="S109" s="1157">
        <v>1360931</v>
      </c>
      <c r="T109" s="1157">
        <v>0</v>
      </c>
      <c r="U109" s="1157">
        <v>0</v>
      </c>
      <c r="V109" s="1157">
        <v>65292285</v>
      </c>
      <c r="W109" s="1157">
        <v>303516</v>
      </c>
      <c r="X109" s="1157">
        <v>1290507</v>
      </c>
      <c r="Y109" s="1157">
        <v>2427841</v>
      </c>
      <c r="Z109" s="1157">
        <v>0</v>
      </c>
      <c r="AA109" s="1157">
        <v>36000</v>
      </c>
      <c r="AB109" s="1157">
        <v>8315</v>
      </c>
      <c r="AC109" s="1157">
        <v>1051378</v>
      </c>
      <c r="AD109" s="1157">
        <v>26085</v>
      </c>
      <c r="AE109" s="1157">
        <v>102180</v>
      </c>
      <c r="AF109" s="1157">
        <v>0</v>
      </c>
      <c r="AG109" s="1157">
        <v>42941</v>
      </c>
      <c r="AH109" s="1157">
        <v>20022960</v>
      </c>
      <c r="AI109" s="1157">
        <v>0</v>
      </c>
      <c r="AJ109" s="1157">
        <v>43211</v>
      </c>
      <c r="AK109" s="1157">
        <v>2077220</v>
      </c>
      <c r="AL109" s="1157">
        <v>0</v>
      </c>
      <c r="AM109" s="1157">
        <v>0</v>
      </c>
      <c r="AN109" s="1157">
        <v>0</v>
      </c>
      <c r="AO109" s="1157">
        <v>1056297</v>
      </c>
      <c r="AP109" s="1157">
        <v>0</v>
      </c>
      <c r="AQ109" s="1157">
        <v>19752</v>
      </c>
      <c r="AR109" s="1157">
        <v>0</v>
      </c>
      <c r="AS109" s="1157">
        <v>531716</v>
      </c>
      <c r="AT109" s="1157">
        <v>101327</v>
      </c>
      <c r="AU109" s="1157">
        <v>11334</v>
      </c>
      <c r="AV109" s="1157">
        <v>64710</v>
      </c>
      <c r="AW109" s="1157">
        <v>0</v>
      </c>
      <c r="AX109" s="1157">
        <v>1633628</v>
      </c>
      <c r="AY109" s="1157">
        <v>0</v>
      </c>
      <c r="AZ109" s="1157">
        <v>0</v>
      </c>
      <c r="BA109" s="1157">
        <v>781013</v>
      </c>
      <c r="BB109" s="1157">
        <v>9312</v>
      </c>
      <c r="BC109" s="1157">
        <v>0</v>
      </c>
      <c r="BD109" s="1157">
        <v>0</v>
      </c>
      <c r="BE109" s="1157">
        <v>0</v>
      </c>
      <c r="BF109" s="1157">
        <v>87900</v>
      </c>
      <c r="BG109" s="1157">
        <v>0</v>
      </c>
      <c r="BH109" s="1157">
        <v>0</v>
      </c>
      <c r="BI109" s="1157">
        <v>3778</v>
      </c>
      <c r="BJ109" s="1157">
        <v>0</v>
      </c>
      <c r="BK109" s="1157">
        <v>0</v>
      </c>
      <c r="BL109" s="1157">
        <v>17099</v>
      </c>
      <c r="BM109" s="1157">
        <v>190985</v>
      </c>
      <c r="BN109" s="1157">
        <v>0</v>
      </c>
      <c r="BO109" s="1157">
        <v>35152</v>
      </c>
      <c r="BP109" s="1157">
        <v>124416</v>
      </c>
      <c r="BQ109" s="1157">
        <v>21260</v>
      </c>
      <c r="BR109" s="1157">
        <v>93965</v>
      </c>
      <c r="BS109" s="1157">
        <v>298687</v>
      </c>
      <c r="BT109" s="1157">
        <v>0</v>
      </c>
      <c r="BU109" s="1157">
        <v>619250</v>
      </c>
      <c r="BV109" s="1157">
        <v>28222</v>
      </c>
      <c r="BW109" s="1157">
        <v>129116</v>
      </c>
      <c r="BX109" s="1157">
        <v>0</v>
      </c>
      <c r="BY109" s="1157">
        <v>0</v>
      </c>
      <c r="BZ109" s="1157">
        <v>1198</v>
      </c>
      <c r="CA109" s="1157">
        <v>0</v>
      </c>
      <c r="CB109" s="1157">
        <v>33583</v>
      </c>
      <c r="CC109" s="1148">
        <v>0</v>
      </c>
      <c r="CD109" s="1148">
        <v>87858</v>
      </c>
      <c r="CE109" s="1148">
        <v>0</v>
      </c>
      <c r="CF109" s="1148">
        <v>0</v>
      </c>
    </row>
    <row r="110" spans="1:84" s="1148" customFormat="1" x14ac:dyDescent="0.3">
      <c r="A110" s="1153">
        <v>344</v>
      </c>
      <c r="B110" s="1154">
        <v>344</v>
      </c>
      <c r="C110" s="1228">
        <v>344</v>
      </c>
      <c r="D110" s="1146" t="s">
        <v>188</v>
      </c>
      <c r="E110" s="1155" t="s">
        <v>427</v>
      </c>
      <c r="F110" s="1156">
        <v>0</v>
      </c>
      <c r="G110" s="1156">
        <v>0</v>
      </c>
      <c r="H110" s="1156">
        <v>1921</v>
      </c>
      <c r="I110" s="1156">
        <v>12251</v>
      </c>
      <c r="J110" s="1156">
        <v>0</v>
      </c>
      <c r="K110" s="1156">
        <v>14109</v>
      </c>
      <c r="L110" s="1157">
        <v>0</v>
      </c>
      <c r="M110" s="1157">
        <v>0</v>
      </c>
      <c r="N110" s="1157">
        <v>0</v>
      </c>
      <c r="O110" s="1157">
        <v>38421</v>
      </c>
      <c r="P110" s="1157">
        <v>1308</v>
      </c>
      <c r="Q110" s="1157">
        <v>7305</v>
      </c>
      <c r="R110" s="1157">
        <v>0</v>
      </c>
      <c r="S110" s="1157">
        <v>501030</v>
      </c>
      <c r="T110" s="1157">
        <v>0</v>
      </c>
      <c r="U110" s="1157">
        <v>0</v>
      </c>
      <c r="V110" s="1157">
        <v>2067479</v>
      </c>
      <c r="W110" s="1157">
        <v>350909</v>
      </c>
      <c r="X110" s="1157">
        <v>109467</v>
      </c>
      <c r="Y110" s="1157">
        <v>1006023</v>
      </c>
      <c r="Z110" s="1157">
        <v>0</v>
      </c>
      <c r="AA110" s="1157">
        <v>0</v>
      </c>
      <c r="AB110" s="1157">
        <v>75</v>
      </c>
      <c r="AC110" s="1157">
        <v>322503</v>
      </c>
      <c r="AD110" s="1157">
        <v>1324</v>
      </c>
      <c r="AE110" s="1157">
        <v>11078</v>
      </c>
      <c r="AF110" s="1157">
        <v>374</v>
      </c>
      <c r="AG110" s="1157">
        <v>72059</v>
      </c>
      <c r="AH110" s="1157">
        <v>581012</v>
      </c>
      <c r="AI110" s="1157">
        <v>0</v>
      </c>
      <c r="AJ110" s="1157">
        <v>11043</v>
      </c>
      <c r="AK110" s="1157">
        <v>171712</v>
      </c>
      <c r="AL110" s="1157">
        <v>0</v>
      </c>
      <c r="AM110" s="1157">
        <v>0</v>
      </c>
      <c r="AN110" s="1157">
        <v>0</v>
      </c>
      <c r="AO110" s="1157">
        <v>217251</v>
      </c>
      <c r="AP110" s="1157">
        <v>0</v>
      </c>
      <c r="AQ110" s="1157">
        <v>873</v>
      </c>
      <c r="AR110" s="1157">
        <v>0</v>
      </c>
      <c r="AS110" s="1157">
        <v>505074</v>
      </c>
      <c r="AT110" s="1157">
        <v>9707</v>
      </c>
      <c r="AU110" s="1157">
        <v>173</v>
      </c>
      <c r="AV110" s="1157">
        <v>9846</v>
      </c>
      <c r="AW110" s="1157">
        <v>0</v>
      </c>
      <c r="AX110" s="1157">
        <v>73513</v>
      </c>
      <c r="AY110" s="1157">
        <v>86970</v>
      </c>
      <c r="AZ110" s="1157">
        <v>0</v>
      </c>
      <c r="BA110" s="1157">
        <v>293131</v>
      </c>
      <c r="BB110" s="1157">
        <v>1538</v>
      </c>
      <c r="BC110" s="1157">
        <v>0</v>
      </c>
      <c r="BD110" s="1157">
        <v>0</v>
      </c>
      <c r="BE110" s="1157">
        <v>0</v>
      </c>
      <c r="BF110" s="1157">
        <v>0</v>
      </c>
      <c r="BG110" s="1157">
        <v>0</v>
      </c>
      <c r="BH110" s="1157">
        <v>0</v>
      </c>
      <c r="BI110" s="1157">
        <v>0</v>
      </c>
      <c r="BJ110" s="1157">
        <v>0</v>
      </c>
      <c r="BK110" s="1157">
        <v>0</v>
      </c>
      <c r="BL110" s="1157">
        <v>1841</v>
      </c>
      <c r="BM110" s="1157">
        <v>66880</v>
      </c>
      <c r="BN110" s="1157">
        <v>0</v>
      </c>
      <c r="BO110" s="1157">
        <v>3219</v>
      </c>
      <c r="BP110" s="1157">
        <v>33041</v>
      </c>
      <c r="BQ110" s="1157">
        <v>15464</v>
      </c>
      <c r="BR110" s="1157">
        <v>62882</v>
      </c>
      <c r="BS110" s="1157">
        <v>9203</v>
      </c>
      <c r="BT110" s="1157">
        <v>8388</v>
      </c>
      <c r="BU110" s="1157">
        <v>14854</v>
      </c>
      <c r="BV110" s="1157">
        <v>11744</v>
      </c>
      <c r="BW110" s="1157">
        <v>3680</v>
      </c>
      <c r="BX110" s="1157">
        <v>0</v>
      </c>
      <c r="BY110" s="1157">
        <v>0</v>
      </c>
      <c r="BZ110" s="1157">
        <v>1217</v>
      </c>
      <c r="CA110" s="1157">
        <v>0</v>
      </c>
      <c r="CB110" s="1157">
        <v>30218</v>
      </c>
      <c r="CC110" s="1148">
        <v>0</v>
      </c>
      <c r="CD110" s="1148">
        <v>4900</v>
      </c>
      <c r="CE110" s="1148">
        <v>0</v>
      </c>
      <c r="CF110" s="1148">
        <v>0</v>
      </c>
    </row>
    <row r="111" spans="1:84" s="1148" customFormat="1" x14ac:dyDescent="0.3">
      <c r="A111" s="1146">
        <v>346</v>
      </c>
      <c r="B111" s="1154"/>
      <c r="C111" s="1228">
        <v>346</v>
      </c>
      <c r="D111" s="1146" t="s">
        <v>640</v>
      </c>
      <c r="E111" s="1155" t="s">
        <v>428</v>
      </c>
      <c r="F111" s="1156"/>
      <c r="G111" s="1156"/>
      <c r="H111" s="1156"/>
      <c r="I111" s="1156"/>
      <c r="J111" s="1156"/>
      <c r="K111" s="1156"/>
      <c r="L111" s="1157"/>
      <c r="M111" s="1157"/>
      <c r="N111" s="1157"/>
      <c r="O111" s="1157"/>
      <c r="P111" s="1157"/>
      <c r="Q111" s="1157"/>
      <c r="R111" s="1157"/>
      <c r="S111" s="1157"/>
      <c r="T111" s="1157"/>
      <c r="U111" s="1157"/>
      <c r="V111" s="1157"/>
      <c r="W111" s="1157"/>
      <c r="X111" s="1157"/>
      <c r="Y111" s="1157"/>
      <c r="Z111" s="1157"/>
      <c r="AA111" s="1157"/>
      <c r="AB111" s="1157"/>
      <c r="AC111" s="1157"/>
      <c r="AD111" s="1157"/>
      <c r="AE111" s="1157"/>
      <c r="AF111" s="1157"/>
      <c r="AG111" s="1157"/>
      <c r="AH111" s="1157"/>
      <c r="AI111" s="1157"/>
      <c r="AJ111" s="1157"/>
      <c r="AK111" s="1157"/>
      <c r="AL111" s="1157"/>
      <c r="AM111" s="1157"/>
      <c r="AN111" s="1157"/>
      <c r="AO111" s="1157"/>
      <c r="AP111" s="1157"/>
      <c r="AQ111" s="1157"/>
      <c r="AR111" s="1157"/>
      <c r="AS111" s="1157"/>
      <c r="AT111" s="1157"/>
      <c r="AU111" s="1157"/>
      <c r="AV111" s="1157"/>
      <c r="AW111" s="1157"/>
      <c r="AX111" s="1157"/>
      <c r="AY111" s="1157"/>
      <c r="AZ111" s="1157"/>
      <c r="BA111" s="1157"/>
      <c r="BB111" s="1157"/>
      <c r="BC111" s="1157"/>
      <c r="BD111" s="1157"/>
      <c r="BE111" s="1157"/>
      <c r="BF111" s="1157"/>
      <c r="BG111" s="1157"/>
      <c r="BH111" s="1157"/>
      <c r="BI111" s="1157"/>
      <c r="BJ111" s="1157"/>
      <c r="BK111" s="1157"/>
      <c r="BL111" s="1157"/>
      <c r="BM111" s="1157"/>
      <c r="BN111" s="1157"/>
      <c r="BO111" s="1157"/>
      <c r="BP111" s="1157"/>
      <c r="BQ111" s="1157"/>
      <c r="BR111" s="1157"/>
      <c r="BS111" s="1157"/>
      <c r="BT111" s="1157"/>
      <c r="BU111" s="1157"/>
      <c r="BV111" s="1157"/>
      <c r="BW111" s="1157"/>
      <c r="BX111" s="1157"/>
      <c r="BY111" s="1157"/>
      <c r="BZ111" s="1157"/>
      <c r="CA111" s="1157"/>
      <c r="CB111" s="1157"/>
    </row>
    <row r="112" spans="1:84" s="1148" customFormat="1" x14ac:dyDescent="0.3">
      <c r="A112" s="1146">
        <v>347</v>
      </c>
      <c r="B112" s="1154"/>
      <c r="C112" s="1228">
        <v>347</v>
      </c>
      <c r="D112" s="1146" t="s">
        <v>641</v>
      </c>
      <c r="E112" s="1155" t="s">
        <v>429</v>
      </c>
      <c r="F112" s="1156"/>
      <c r="G112" s="1156"/>
      <c r="H112" s="1156"/>
      <c r="I112" s="1156"/>
      <c r="J112" s="1156"/>
      <c r="K112" s="1156"/>
      <c r="L112" s="1157"/>
      <c r="M112" s="1157"/>
      <c r="N112" s="1157"/>
      <c r="O112" s="1157"/>
      <c r="P112" s="1157"/>
      <c r="Q112" s="1157"/>
      <c r="R112" s="1157"/>
      <c r="S112" s="1157"/>
      <c r="T112" s="1157"/>
      <c r="U112" s="1157"/>
      <c r="V112" s="1157"/>
      <c r="W112" s="1157"/>
      <c r="X112" s="1157"/>
      <c r="Y112" s="1157"/>
      <c r="Z112" s="1157"/>
      <c r="AA112" s="1157"/>
      <c r="AB112" s="1157"/>
      <c r="AC112" s="1157"/>
      <c r="AD112" s="1157"/>
      <c r="AE112" s="1157"/>
      <c r="AF112" s="1157"/>
      <c r="AG112" s="1157"/>
      <c r="AH112" s="1157"/>
      <c r="AI112" s="1157"/>
      <c r="AJ112" s="1157"/>
      <c r="AK112" s="1157"/>
      <c r="AL112" s="1157"/>
      <c r="AM112" s="1157"/>
      <c r="AN112" s="1157"/>
      <c r="AO112" s="1157"/>
      <c r="AP112" s="1157"/>
      <c r="AQ112" s="1157"/>
      <c r="AR112" s="1157"/>
      <c r="AS112" s="1157"/>
      <c r="AT112" s="1157"/>
      <c r="AU112" s="1157"/>
      <c r="AV112" s="1157"/>
      <c r="AW112" s="1157"/>
      <c r="AX112" s="1157"/>
      <c r="AY112" s="1157"/>
      <c r="AZ112" s="1157"/>
      <c r="BA112" s="1157"/>
      <c r="BB112" s="1157"/>
      <c r="BC112" s="1157"/>
      <c r="BD112" s="1157"/>
      <c r="BE112" s="1157"/>
      <c r="BF112" s="1157"/>
      <c r="BG112" s="1157"/>
      <c r="BH112" s="1157"/>
      <c r="BI112" s="1157"/>
      <c r="BJ112" s="1157"/>
      <c r="BK112" s="1157"/>
      <c r="BL112" s="1157"/>
      <c r="BM112" s="1157"/>
      <c r="BN112" s="1157"/>
      <c r="BO112" s="1157"/>
      <c r="BP112" s="1157"/>
      <c r="BQ112" s="1157"/>
      <c r="BR112" s="1157"/>
      <c r="BS112" s="1157"/>
      <c r="BT112" s="1157"/>
      <c r="BU112" s="1157"/>
      <c r="BV112" s="1157"/>
      <c r="BW112" s="1157"/>
      <c r="BX112" s="1157"/>
      <c r="BY112" s="1157"/>
      <c r="BZ112" s="1157"/>
      <c r="CA112" s="1157"/>
      <c r="CB112" s="1157"/>
    </row>
    <row r="113" spans="1:84" s="1148" customFormat="1" x14ac:dyDescent="0.3">
      <c r="A113" s="1153">
        <v>349</v>
      </c>
      <c r="B113" s="1154">
        <v>349</v>
      </c>
      <c r="C113" s="1228">
        <v>349</v>
      </c>
      <c r="D113" s="1146" t="s">
        <v>122</v>
      </c>
      <c r="E113" s="1155" t="s">
        <v>430</v>
      </c>
      <c r="F113" s="1156">
        <v>0</v>
      </c>
      <c r="G113" s="1156">
        <v>0</v>
      </c>
      <c r="H113" s="1156">
        <v>141298</v>
      </c>
      <c r="I113" s="1156">
        <v>0</v>
      </c>
      <c r="J113" s="1156">
        <v>0</v>
      </c>
      <c r="K113" s="1156">
        <v>0</v>
      </c>
      <c r="L113" s="1157">
        <v>430048</v>
      </c>
      <c r="M113" s="1157">
        <v>0</v>
      </c>
      <c r="N113" s="1157">
        <v>0</v>
      </c>
      <c r="O113" s="1157">
        <v>0</v>
      </c>
      <c r="P113" s="1157">
        <v>0</v>
      </c>
      <c r="Q113" s="1157">
        <v>3964863</v>
      </c>
      <c r="R113" s="1157">
        <v>0</v>
      </c>
      <c r="S113" s="1157">
        <v>33122846</v>
      </c>
      <c r="T113" s="1157">
        <v>0</v>
      </c>
      <c r="U113" s="1157">
        <v>0</v>
      </c>
      <c r="V113" s="1157">
        <v>66065098</v>
      </c>
      <c r="W113" s="1157">
        <v>18189706</v>
      </c>
      <c r="X113" s="1157">
        <v>21101737</v>
      </c>
      <c r="Y113" s="1157">
        <v>0</v>
      </c>
      <c r="Z113" s="1157">
        <v>22215</v>
      </c>
      <c r="AA113" s="1157">
        <v>8365148</v>
      </c>
      <c r="AB113" s="1157">
        <v>4013511</v>
      </c>
      <c r="AC113" s="1157">
        <v>6206662</v>
      </c>
      <c r="AD113" s="1157">
        <v>8087649</v>
      </c>
      <c r="AE113" s="1157">
        <v>817035</v>
      </c>
      <c r="AF113" s="1157">
        <v>2152659</v>
      </c>
      <c r="AG113" s="1157">
        <v>1715863</v>
      </c>
      <c r="AH113" s="1157">
        <v>1523855</v>
      </c>
      <c r="AI113" s="1157">
        <v>978278</v>
      </c>
      <c r="AJ113" s="1157">
        <v>520216</v>
      </c>
      <c r="AK113" s="1157">
        <v>28993287</v>
      </c>
      <c r="AL113" s="1157">
        <v>29947</v>
      </c>
      <c r="AM113" s="1157">
        <v>863240</v>
      </c>
      <c r="AN113" s="1157">
        <v>0</v>
      </c>
      <c r="AO113" s="1157">
        <v>10163819</v>
      </c>
      <c r="AP113" s="1157">
        <v>0</v>
      </c>
      <c r="AQ113" s="1157">
        <v>1822087</v>
      </c>
      <c r="AR113" s="1157">
        <v>0</v>
      </c>
      <c r="AS113" s="1157">
        <v>0</v>
      </c>
      <c r="AT113" s="1157">
        <v>2047648</v>
      </c>
      <c r="AU113" s="1157">
        <v>0</v>
      </c>
      <c r="AV113" s="1157">
        <v>2352606</v>
      </c>
      <c r="AW113" s="1157">
        <v>0</v>
      </c>
      <c r="AX113" s="1157">
        <v>84992741</v>
      </c>
      <c r="AY113" s="1157">
        <v>0</v>
      </c>
      <c r="AZ113" s="1157">
        <v>1093395</v>
      </c>
      <c r="BA113" s="1157">
        <v>670876</v>
      </c>
      <c r="BB113" s="1157">
        <v>773951</v>
      </c>
      <c r="BC113" s="1157">
        <v>112474</v>
      </c>
      <c r="BD113" s="1157">
        <v>0</v>
      </c>
      <c r="BE113" s="1157">
        <v>227815</v>
      </c>
      <c r="BF113" s="1157">
        <v>20926599</v>
      </c>
      <c r="BG113" s="1157">
        <v>0</v>
      </c>
      <c r="BH113" s="1157">
        <v>562594</v>
      </c>
      <c r="BI113" s="1157">
        <v>5856</v>
      </c>
      <c r="BJ113" s="1157">
        <v>0</v>
      </c>
      <c r="BK113" s="1157">
        <v>102682</v>
      </c>
      <c r="BL113" s="1157">
        <v>0</v>
      </c>
      <c r="BM113" s="1157">
        <v>2697814</v>
      </c>
      <c r="BN113" s="1157">
        <v>0</v>
      </c>
      <c r="BO113" s="1157">
        <v>1092116</v>
      </c>
      <c r="BP113" s="1157">
        <v>2728218</v>
      </c>
      <c r="BQ113" s="1157">
        <v>1122552</v>
      </c>
      <c r="BR113" s="1157">
        <v>106194</v>
      </c>
      <c r="BS113" s="1157">
        <v>0</v>
      </c>
      <c r="BT113" s="1157">
        <v>802481</v>
      </c>
      <c r="BU113" s="1157">
        <v>0</v>
      </c>
      <c r="BV113" s="1157">
        <v>1144553</v>
      </c>
      <c r="BW113" s="1157">
        <v>2673208</v>
      </c>
      <c r="BX113" s="1157">
        <v>0</v>
      </c>
      <c r="BY113" s="1157">
        <v>0</v>
      </c>
      <c r="BZ113" s="1157">
        <v>172190</v>
      </c>
      <c r="CA113" s="1157">
        <v>14622</v>
      </c>
      <c r="CB113" s="1157">
        <v>669245</v>
      </c>
      <c r="CC113" s="1148">
        <v>408174</v>
      </c>
      <c r="CD113" s="1148">
        <v>1272698</v>
      </c>
      <c r="CE113" s="1148">
        <v>0</v>
      </c>
      <c r="CF113" s="1148">
        <v>0</v>
      </c>
    </row>
    <row r="114" spans="1:84" s="1148" customFormat="1" x14ac:dyDescent="0.3">
      <c r="A114" s="1153">
        <v>350</v>
      </c>
      <c r="B114" s="1154">
        <v>350</v>
      </c>
      <c r="C114" s="1228">
        <v>350</v>
      </c>
      <c r="D114" s="1146" t="s">
        <v>231</v>
      </c>
      <c r="E114" s="1155" t="s">
        <v>431</v>
      </c>
      <c r="F114" s="1156">
        <v>0</v>
      </c>
      <c r="G114" s="1156">
        <v>0</v>
      </c>
      <c r="H114" s="1156">
        <v>5725</v>
      </c>
      <c r="I114" s="1156">
        <v>0</v>
      </c>
      <c r="J114" s="1156">
        <v>0</v>
      </c>
      <c r="K114" s="1156">
        <v>0</v>
      </c>
      <c r="L114" s="1157">
        <v>0</v>
      </c>
      <c r="M114" s="1157">
        <v>0</v>
      </c>
      <c r="N114" s="1157">
        <v>0</v>
      </c>
      <c r="O114" s="1157">
        <v>0</v>
      </c>
      <c r="P114" s="1157">
        <v>0</v>
      </c>
      <c r="Q114" s="1157">
        <v>13546</v>
      </c>
      <c r="R114" s="1157">
        <v>0</v>
      </c>
      <c r="S114" s="1157">
        <v>1530158</v>
      </c>
      <c r="T114" s="1157">
        <v>0</v>
      </c>
      <c r="U114" s="1157">
        <v>0</v>
      </c>
      <c r="V114" s="1157">
        <v>7638635</v>
      </c>
      <c r="W114" s="1157">
        <v>255381</v>
      </c>
      <c r="X114" s="1157">
        <v>213879</v>
      </c>
      <c r="Y114" s="1157">
        <v>0</v>
      </c>
      <c r="Z114" s="1157">
        <v>3784</v>
      </c>
      <c r="AA114" s="1157">
        <v>59609</v>
      </c>
      <c r="AB114" s="1157">
        <v>2197</v>
      </c>
      <c r="AC114" s="1157">
        <v>82796</v>
      </c>
      <c r="AD114" s="1157">
        <v>820829</v>
      </c>
      <c r="AE114" s="1157">
        <v>9068</v>
      </c>
      <c r="AF114" s="1157">
        <v>2507</v>
      </c>
      <c r="AG114" s="1157">
        <v>67557</v>
      </c>
      <c r="AH114" s="1157">
        <v>79814</v>
      </c>
      <c r="AI114" s="1157">
        <v>23220</v>
      </c>
      <c r="AJ114" s="1157">
        <v>203</v>
      </c>
      <c r="AK114" s="1157">
        <v>232358</v>
      </c>
      <c r="AL114" s="1157">
        <v>2579</v>
      </c>
      <c r="AM114" s="1157">
        <v>0</v>
      </c>
      <c r="AN114" s="1157">
        <v>0</v>
      </c>
      <c r="AO114" s="1157">
        <v>146324</v>
      </c>
      <c r="AP114" s="1157">
        <v>0</v>
      </c>
      <c r="AQ114" s="1157">
        <v>9980</v>
      </c>
      <c r="AR114" s="1157">
        <v>0</v>
      </c>
      <c r="AS114" s="1157">
        <v>0</v>
      </c>
      <c r="AT114" s="1157">
        <v>100649</v>
      </c>
      <c r="AU114" s="1157">
        <v>0</v>
      </c>
      <c r="AV114" s="1157">
        <v>5608</v>
      </c>
      <c r="AW114" s="1157">
        <v>0</v>
      </c>
      <c r="AX114" s="1157">
        <v>513939</v>
      </c>
      <c r="AY114" s="1157">
        <v>0</v>
      </c>
      <c r="AZ114" s="1157">
        <v>7290</v>
      </c>
      <c r="BA114" s="1157">
        <v>131903</v>
      </c>
      <c r="BB114" s="1157">
        <v>12070</v>
      </c>
      <c r="BC114" s="1157">
        <v>708</v>
      </c>
      <c r="BD114" s="1157">
        <v>0</v>
      </c>
      <c r="BE114" s="1157">
        <v>856</v>
      </c>
      <c r="BF114" s="1157">
        <v>101244</v>
      </c>
      <c r="BG114" s="1157">
        <v>0</v>
      </c>
      <c r="BH114" s="1157">
        <v>28</v>
      </c>
      <c r="BI114" s="1157">
        <v>32</v>
      </c>
      <c r="BJ114" s="1157">
        <v>0</v>
      </c>
      <c r="BK114" s="1157">
        <v>297</v>
      </c>
      <c r="BL114" s="1157">
        <v>0</v>
      </c>
      <c r="BM114" s="1157">
        <v>25679</v>
      </c>
      <c r="BN114" s="1157">
        <v>0</v>
      </c>
      <c r="BO114" s="1157">
        <v>0</v>
      </c>
      <c r="BP114" s="1157">
        <v>90504</v>
      </c>
      <c r="BQ114" s="1157">
        <v>387</v>
      </c>
      <c r="BR114" s="1157">
        <v>1650</v>
      </c>
      <c r="BS114" s="1157">
        <v>0</v>
      </c>
      <c r="BT114" s="1157">
        <v>0</v>
      </c>
      <c r="BU114" s="1157">
        <v>0</v>
      </c>
      <c r="BV114" s="1157">
        <v>8784</v>
      </c>
      <c r="BW114" s="1157">
        <v>10132</v>
      </c>
      <c r="BX114" s="1157">
        <v>0</v>
      </c>
      <c r="BY114" s="1157">
        <v>0</v>
      </c>
      <c r="BZ114" s="1157">
        <v>8697</v>
      </c>
      <c r="CA114" s="1157">
        <v>0</v>
      </c>
      <c r="CB114" s="1157">
        <v>24220</v>
      </c>
      <c r="CC114" s="1148">
        <v>0</v>
      </c>
      <c r="CD114" s="1148">
        <v>26435</v>
      </c>
      <c r="CE114" s="1148">
        <v>0</v>
      </c>
      <c r="CF114" s="1148">
        <v>0</v>
      </c>
    </row>
    <row r="115" spans="1:84" s="1148" customFormat="1" x14ac:dyDescent="0.3">
      <c r="A115" s="1153">
        <v>351</v>
      </c>
      <c r="B115" s="1154">
        <v>351</v>
      </c>
      <c r="C115" s="1228">
        <v>351</v>
      </c>
      <c r="D115" s="1146" t="s">
        <v>232</v>
      </c>
      <c r="E115" s="1155" t="s">
        <v>432</v>
      </c>
      <c r="F115" s="1156">
        <v>0</v>
      </c>
      <c r="G115" s="1156">
        <v>0</v>
      </c>
      <c r="H115" s="1156">
        <v>1786</v>
      </c>
      <c r="I115" s="1156">
        <v>0</v>
      </c>
      <c r="J115" s="1156">
        <v>0</v>
      </c>
      <c r="K115" s="1156">
        <v>0</v>
      </c>
      <c r="L115" s="1157">
        <v>7829</v>
      </c>
      <c r="M115" s="1157">
        <v>0</v>
      </c>
      <c r="N115" s="1157">
        <v>0</v>
      </c>
      <c r="O115" s="1157">
        <v>0</v>
      </c>
      <c r="P115" s="1157">
        <v>0</v>
      </c>
      <c r="Q115" s="1157">
        <v>0</v>
      </c>
      <c r="R115" s="1157">
        <v>0</v>
      </c>
      <c r="S115" s="1157">
        <v>982588</v>
      </c>
      <c r="T115" s="1157">
        <v>0</v>
      </c>
      <c r="U115" s="1157">
        <v>0</v>
      </c>
      <c r="V115" s="1157">
        <v>2531881</v>
      </c>
      <c r="W115" s="1157">
        <v>354538</v>
      </c>
      <c r="X115" s="1157">
        <v>385170</v>
      </c>
      <c r="Y115" s="1157">
        <v>0</v>
      </c>
      <c r="Z115" s="1157">
        <v>0</v>
      </c>
      <c r="AA115" s="1157">
        <v>241709</v>
      </c>
      <c r="AB115" s="1157">
        <v>38763</v>
      </c>
      <c r="AC115" s="1157">
        <v>105760</v>
      </c>
      <c r="AD115" s="1157">
        <v>322852</v>
      </c>
      <c r="AE115" s="1157">
        <v>19480</v>
      </c>
      <c r="AF115" s="1157">
        <v>49864</v>
      </c>
      <c r="AG115" s="1157">
        <v>0</v>
      </c>
      <c r="AH115" s="1157">
        <v>651</v>
      </c>
      <c r="AI115" s="1157">
        <v>1245166</v>
      </c>
      <c r="AJ115" s="1157">
        <v>12265</v>
      </c>
      <c r="AK115" s="1157">
        <v>675178</v>
      </c>
      <c r="AL115" s="1157">
        <v>0</v>
      </c>
      <c r="AM115" s="1157">
        <v>33485</v>
      </c>
      <c r="AN115" s="1157">
        <v>0</v>
      </c>
      <c r="AO115" s="1157">
        <v>224212</v>
      </c>
      <c r="AP115" s="1157">
        <v>0</v>
      </c>
      <c r="AQ115" s="1157">
        <v>42011</v>
      </c>
      <c r="AR115" s="1157">
        <v>0</v>
      </c>
      <c r="AS115" s="1157">
        <v>0</v>
      </c>
      <c r="AT115" s="1157">
        <v>21197</v>
      </c>
      <c r="AU115" s="1157">
        <v>0</v>
      </c>
      <c r="AV115" s="1157">
        <v>33558</v>
      </c>
      <c r="AW115" s="1157">
        <v>0</v>
      </c>
      <c r="AX115" s="1157">
        <v>6710323</v>
      </c>
      <c r="AY115" s="1157">
        <v>0</v>
      </c>
      <c r="AZ115" s="1157">
        <v>0</v>
      </c>
      <c r="BA115" s="1157">
        <v>0</v>
      </c>
      <c r="BB115" s="1157">
        <v>33408</v>
      </c>
      <c r="BC115" s="1157">
        <v>0</v>
      </c>
      <c r="BD115" s="1157">
        <v>0</v>
      </c>
      <c r="BE115" s="1157">
        <v>0</v>
      </c>
      <c r="BF115" s="1157">
        <v>124552</v>
      </c>
      <c r="BG115" s="1157">
        <v>0</v>
      </c>
      <c r="BH115" s="1157">
        <v>0</v>
      </c>
      <c r="BI115" s="1157">
        <v>0</v>
      </c>
      <c r="BJ115" s="1157">
        <v>0</v>
      </c>
      <c r="BK115" s="1157">
        <v>0</v>
      </c>
      <c r="BL115" s="1157">
        <v>0</v>
      </c>
      <c r="BM115" s="1157">
        <v>36120</v>
      </c>
      <c r="BN115" s="1157">
        <v>0</v>
      </c>
      <c r="BO115" s="1157">
        <v>16649</v>
      </c>
      <c r="BP115" s="1157">
        <v>108642</v>
      </c>
      <c r="BQ115" s="1157">
        <v>30969</v>
      </c>
      <c r="BR115" s="1157">
        <v>0</v>
      </c>
      <c r="BS115" s="1157">
        <v>0</v>
      </c>
      <c r="BT115" s="1157">
        <v>8159</v>
      </c>
      <c r="BU115" s="1157">
        <v>0</v>
      </c>
      <c r="BV115" s="1157">
        <v>27215</v>
      </c>
      <c r="BW115" s="1157">
        <v>19901</v>
      </c>
      <c r="BX115" s="1157">
        <v>0</v>
      </c>
      <c r="BY115" s="1157">
        <v>0</v>
      </c>
      <c r="BZ115" s="1157">
        <v>0</v>
      </c>
      <c r="CA115" s="1157">
        <v>0</v>
      </c>
      <c r="CB115" s="1157">
        <v>30218</v>
      </c>
      <c r="CC115" s="1148">
        <v>9524</v>
      </c>
      <c r="CD115" s="1148">
        <v>42527</v>
      </c>
      <c r="CE115" s="1148">
        <v>0</v>
      </c>
      <c r="CF115" s="1148">
        <v>0</v>
      </c>
    </row>
    <row r="116" spans="1:84" s="1148" customFormat="1" x14ac:dyDescent="0.3">
      <c r="A116" s="1153">
        <v>352</v>
      </c>
      <c r="B116" s="1154">
        <v>352</v>
      </c>
      <c r="C116" s="1228">
        <v>352</v>
      </c>
      <c r="D116" s="1146" t="s">
        <v>234</v>
      </c>
      <c r="E116" s="1155" t="s">
        <v>433</v>
      </c>
      <c r="F116" s="1156">
        <v>0</v>
      </c>
      <c r="G116" s="1156">
        <v>0</v>
      </c>
      <c r="H116" s="1156">
        <v>0</v>
      </c>
      <c r="I116" s="1156">
        <v>0</v>
      </c>
      <c r="J116" s="1156">
        <v>0</v>
      </c>
      <c r="K116" s="1156">
        <v>0</v>
      </c>
      <c r="L116" s="1157">
        <v>10000</v>
      </c>
      <c r="M116" s="1157">
        <v>0</v>
      </c>
      <c r="N116" s="1157">
        <v>0</v>
      </c>
      <c r="O116" s="1157">
        <v>0</v>
      </c>
      <c r="P116" s="1157">
        <v>0</v>
      </c>
      <c r="Q116" s="1157">
        <v>0</v>
      </c>
      <c r="R116" s="1157">
        <v>0</v>
      </c>
      <c r="S116" s="1157">
        <v>0</v>
      </c>
      <c r="T116" s="1157">
        <v>0</v>
      </c>
      <c r="U116" s="1157">
        <v>0</v>
      </c>
      <c r="V116" s="1157">
        <v>0</v>
      </c>
      <c r="W116" s="1157">
        <v>0</v>
      </c>
      <c r="X116" s="1157">
        <v>0</v>
      </c>
      <c r="Y116" s="1157">
        <v>0</v>
      </c>
      <c r="Z116" s="1157">
        <v>0</v>
      </c>
      <c r="AA116" s="1157">
        <v>0</v>
      </c>
      <c r="AB116" s="1157">
        <v>66173</v>
      </c>
      <c r="AC116" s="1157">
        <v>746000</v>
      </c>
      <c r="AD116" s="1157">
        <v>0</v>
      </c>
      <c r="AE116" s="1157">
        <v>0</v>
      </c>
      <c r="AF116" s="1157">
        <v>0</v>
      </c>
      <c r="AG116" s="1157">
        <v>0</v>
      </c>
      <c r="AH116" s="1157">
        <v>0</v>
      </c>
      <c r="AI116" s="1157">
        <v>0</v>
      </c>
      <c r="AJ116" s="1157">
        <v>0</v>
      </c>
      <c r="AK116" s="1157">
        <v>0</v>
      </c>
      <c r="AL116" s="1157">
        <v>0</v>
      </c>
      <c r="AM116" s="1157">
        <v>0</v>
      </c>
      <c r="AN116" s="1157">
        <v>0</v>
      </c>
      <c r="AO116" s="1157">
        <v>124800</v>
      </c>
      <c r="AP116" s="1157">
        <v>0</v>
      </c>
      <c r="AQ116" s="1157">
        <v>0</v>
      </c>
      <c r="AR116" s="1157">
        <v>0</v>
      </c>
      <c r="AS116" s="1157">
        <v>0</v>
      </c>
      <c r="AT116" s="1157">
        <v>0</v>
      </c>
      <c r="AU116" s="1157">
        <v>0</v>
      </c>
      <c r="AV116" s="1157">
        <v>0</v>
      </c>
      <c r="AW116" s="1157">
        <v>0</v>
      </c>
      <c r="AX116" s="1157">
        <v>289800</v>
      </c>
      <c r="AY116" s="1157">
        <v>0</v>
      </c>
      <c r="AZ116" s="1157">
        <v>0</v>
      </c>
      <c r="BA116" s="1157">
        <v>0</v>
      </c>
      <c r="BB116" s="1157">
        <v>39200</v>
      </c>
      <c r="BC116" s="1157">
        <v>0</v>
      </c>
      <c r="BD116" s="1157">
        <v>0</v>
      </c>
      <c r="BE116" s="1157">
        <v>0</v>
      </c>
      <c r="BF116" s="1157">
        <v>0</v>
      </c>
      <c r="BG116" s="1157">
        <v>0</v>
      </c>
      <c r="BH116" s="1157">
        <v>0</v>
      </c>
      <c r="BI116" s="1157">
        <v>0</v>
      </c>
      <c r="BJ116" s="1157">
        <v>0</v>
      </c>
      <c r="BK116" s="1157">
        <v>0</v>
      </c>
      <c r="BL116" s="1157">
        <v>0</v>
      </c>
      <c r="BM116" s="1157">
        <v>0</v>
      </c>
      <c r="BN116" s="1157">
        <v>0</v>
      </c>
      <c r="BO116" s="1157">
        <v>0</v>
      </c>
      <c r="BP116" s="1157">
        <v>0</v>
      </c>
      <c r="BQ116" s="1157">
        <v>0</v>
      </c>
      <c r="BR116" s="1157">
        <v>0</v>
      </c>
      <c r="BS116" s="1157">
        <v>0</v>
      </c>
      <c r="BT116" s="1157">
        <v>0</v>
      </c>
      <c r="BU116" s="1157">
        <v>0</v>
      </c>
      <c r="BV116" s="1157">
        <v>0</v>
      </c>
      <c r="BW116" s="1157">
        <v>48500</v>
      </c>
      <c r="BX116" s="1157">
        <v>0</v>
      </c>
      <c r="BY116" s="1157">
        <v>0</v>
      </c>
      <c r="BZ116" s="1157">
        <v>88765</v>
      </c>
      <c r="CA116" s="1157">
        <v>0</v>
      </c>
      <c r="CB116" s="1157">
        <v>80776</v>
      </c>
      <c r="CC116" s="1148">
        <v>0</v>
      </c>
      <c r="CD116" s="1148">
        <v>0</v>
      </c>
      <c r="CE116" s="1148">
        <v>0</v>
      </c>
      <c r="CF116" s="1148">
        <v>0</v>
      </c>
    </row>
    <row r="117" spans="1:84" s="1148" customFormat="1" x14ac:dyDescent="0.3">
      <c r="A117" s="1153">
        <v>353</v>
      </c>
      <c r="B117" s="1154">
        <v>353</v>
      </c>
      <c r="C117" s="1228">
        <v>353</v>
      </c>
      <c r="D117" s="1146" t="s">
        <v>235</v>
      </c>
      <c r="E117" s="1155" t="s">
        <v>434</v>
      </c>
      <c r="F117" s="1156">
        <v>0</v>
      </c>
      <c r="G117" s="1156">
        <v>0</v>
      </c>
      <c r="H117" s="1156">
        <v>0</v>
      </c>
      <c r="I117" s="1156">
        <v>0</v>
      </c>
      <c r="J117" s="1156">
        <v>0</v>
      </c>
      <c r="K117" s="1156">
        <v>0</v>
      </c>
      <c r="L117" s="1157">
        <v>0</v>
      </c>
      <c r="M117" s="1157">
        <v>0</v>
      </c>
      <c r="N117" s="1157">
        <v>0</v>
      </c>
      <c r="O117" s="1157">
        <v>0</v>
      </c>
      <c r="P117" s="1157">
        <v>0</v>
      </c>
      <c r="Q117" s="1157">
        <v>0</v>
      </c>
      <c r="R117" s="1157">
        <v>0</v>
      </c>
      <c r="S117" s="1157">
        <v>23667</v>
      </c>
      <c r="T117" s="1157">
        <v>0</v>
      </c>
      <c r="U117" s="1157">
        <v>0</v>
      </c>
      <c r="V117" s="1157">
        <v>0</v>
      </c>
      <c r="W117" s="1157">
        <v>3427200</v>
      </c>
      <c r="X117" s="1157">
        <v>0</v>
      </c>
      <c r="Y117" s="1157">
        <v>0</v>
      </c>
      <c r="Z117" s="1157">
        <v>0</v>
      </c>
      <c r="AA117" s="1157">
        <v>349691</v>
      </c>
      <c r="AB117" s="1157">
        <v>68818</v>
      </c>
      <c r="AC117" s="1157">
        <v>0</v>
      </c>
      <c r="AD117" s="1157">
        <v>100000</v>
      </c>
      <c r="AE117" s="1157">
        <v>2500</v>
      </c>
      <c r="AF117" s="1157">
        <v>0</v>
      </c>
      <c r="AG117" s="1157">
        <v>0</v>
      </c>
      <c r="AH117" s="1157">
        <v>0</v>
      </c>
      <c r="AI117" s="1157">
        <v>118519</v>
      </c>
      <c r="AJ117" s="1157">
        <v>0</v>
      </c>
      <c r="AK117" s="1157">
        <v>0</v>
      </c>
      <c r="AL117" s="1157">
        <v>0</v>
      </c>
      <c r="AM117" s="1157">
        <v>0</v>
      </c>
      <c r="AN117" s="1157">
        <v>0</v>
      </c>
      <c r="AO117" s="1157">
        <v>0</v>
      </c>
      <c r="AP117" s="1157">
        <v>0</v>
      </c>
      <c r="AQ117" s="1157">
        <v>0</v>
      </c>
      <c r="AR117" s="1157">
        <v>0</v>
      </c>
      <c r="AS117" s="1157">
        <v>0</v>
      </c>
      <c r="AT117" s="1157">
        <v>0</v>
      </c>
      <c r="AU117" s="1157">
        <v>0</v>
      </c>
      <c r="AV117" s="1157">
        <v>0</v>
      </c>
      <c r="AW117" s="1157">
        <v>0</v>
      </c>
      <c r="AX117" s="1157">
        <v>453000</v>
      </c>
      <c r="AY117" s="1157">
        <v>0</v>
      </c>
      <c r="AZ117" s="1157">
        <v>0</v>
      </c>
      <c r="BA117" s="1157">
        <v>0</v>
      </c>
      <c r="BB117" s="1157">
        <v>0</v>
      </c>
      <c r="BC117" s="1157">
        <v>0</v>
      </c>
      <c r="BD117" s="1157">
        <v>0</v>
      </c>
      <c r="BE117" s="1157">
        <v>0</v>
      </c>
      <c r="BF117" s="1157">
        <v>225950</v>
      </c>
      <c r="BG117" s="1157">
        <v>0</v>
      </c>
      <c r="BH117" s="1157">
        <v>0</v>
      </c>
      <c r="BI117" s="1157">
        <v>0</v>
      </c>
      <c r="BJ117" s="1157">
        <v>0</v>
      </c>
      <c r="BK117" s="1157">
        <v>0</v>
      </c>
      <c r="BL117" s="1157">
        <v>0</v>
      </c>
      <c r="BM117" s="1157">
        <v>0</v>
      </c>
      <c r="BN117" s="1157">
        <v>0</v>
      </c>
      <c r="BO117" s="1157">
        <v>0</v>
      </c>
      <c r="BP117" s="1157">
        <v>0</v>
      </c>
      <c r="BQ117" s="1157">
        <v>0</v>
      </c>
      <c r="BR117" s="1157">
        <v>0</v>
      </c>
      <c r="BS117" s="1157">
        <v>0</v>
      </c>
      <c r="BT117" s="1157">
        <v>79919</v>
      </c>
      <c r="BU117" s="1157">
        <v>0</v>
      </c>
      <c r="BV117" s="1157">
        <v>0</v>
      </c>
      <c r="BW117" s="1157">
        <v>224630</v>
      </c>
      <c r="BX117" s="1157">
        <v>0</v>
      </c>
      <c r="BY117" s="1157">
        <v>0</v>
      </c>
      <c r="BZ117" s="1157">
        <v>0</v>
      </c>
      <c r="CA117" s="1157">
        <v>0</v>
      </c>
      <c r="CB117" s="1157">
        <v>0</v>
      </c>
      <c r="CC117" s="1148">
        <v>0</v>
      </c>
      <c r="CD117" s="1148">
        <v>0</v>
      </c>
      <c r="CE117" s="1148">
        <v>0</v>
      </c>
      <c r="CF117" s="1148">
        <v>0</v>
      </c>
    </row>
    <row r="118" spans="1:84" s="1148" customFormat="1" x14ac:dyDescent="0.3">
      <c r="A118" s="1153">
        <v>356</v>
      </c>
      <c r="B118" s="1154">
        <v>356</v>
      </c>
      <c r="C118" s="1228">
        <v>356</v>
      </c>
      <c r="D118" s="1146" t="s">
        <v>552</v>
      </c>
      <c r="E118" s="1155" t="s">
        <v>435</v>
      </c>
      <c r="F118" s="1156">
        <v>0</v>
      </c>
      <c r="G118" s="1156">
        <v>0</v>
      </c>
      <c r="H118" s="1156">
        <v>0</v>
      </c>
      <c r="I118" s="1156">
        <v>0</v>
      </c>
      <c r="J118" s="1156">
        <v>0</v>
      </c>
      <c r="K118" s="1156">
        <v>0</v>
      </c>
      <c r="L118" s="1157">
        <v>0</v>
      </c>
      <c r="M118" s="1157">
        <v>0</v>
      </c>
      <c r="N118" s="1157">
        <v>0</v>
      </c>
      <c r="O118" s="1157">
        <v>0</v>
      </c>
      <c r="P118" s="1157">
        <v>0</v>
      </c>
      <c r="Q118" s="1157">
        <v>0</v>
      </c>
      <c r="R118" s="1157">
        <v>0</v>
      </c>
      <c r="S118" s="1157">
        <v>131521470</v>
      </c>
      <c r="T118" s="1157">
        <v>0</v>
      </c>
      <c r="U118" s="1157">
        <v>0</v>
      </c>
      <c r="V118" s="1157">
        <v>0</v>
      </c>
      <c r="W118" s="1157">
        <v>0</v>
      </c>
      <c r="X118" s="1157">
        <v>26425968</v>
      </c>
      <c r="Y118" s="1157">
        <v>0</v>
      </c>
      <c r="Z118" s="1157">
        <v>0</v>
      </c>
      <c r="AA118" s="1157">
        <v>0</v>
      </c>
      <c r="AB118" s="1157">
        <v>0</v>
      </c>
      <c r="AC118" s="1157">
        <v>0</v>
      </c>
      <c r="AD118" s="1157">
        <v>0</v>
      </c>
      <c r="AE118" s="1157">
        <v>0</v>
      </c>
      <c r="AF118" s="1157">
        <v>0</v>
      </c>
      <c r="AG118" s="1157">
        <v>0</v>
      </c>
      <c r="AH118" s="1157">
        <v>0</v>
      </c>
      <c r="AI118" s="1157">
        <v>0</v>
      </c>
      <c r="AJ118" s="1157">
        <v>0</v>
      </c>
      <c r="AK118" s="1157">
        <v>75133362</v>
      </c>
      <c r="AL118" s="1157">
        <v>0</v>
      </c>
      <c r="AM118" s="1157">
        <v>0</v>
      </c>
      <c r="AN118" s="1157">
        <v>0</v>
      </c>
      <c r="AO118" s="1157">
        <v>27092160</v>
      </c>
      <c r="AP118" s="1157">
        <v>0</v>
      </c>
      <c r="AQ118" s="1157">
        <v>0</v>
      </c>
      <c r="AR118" s="1157">
        <v>0</v>
      </c>
      <c r="AS118" s="1157">
        <v>0</v>
      </c>
      <c r="AT118" s="1157">
        <v>0</v>
      </c>
      <c r="AU118" s="1157">
        <v>0</v>
      </c>
      <c r="AV118" s="1157">
        <v>0</v>
      </c>
      <c r="AW118" s="1157">
        <v>0</v>
      </c>
      <c r="AX118" s="1157">
        <v>0</v>
      </c>
      <c r="AY118" s="1157">
        <v>0</v>
      </c>
      <c r="AZ118" s="1157">
        <v>0</v>
      </c>
      <c r="BA118" s="1157">
        <v>0</v>
      </c>
      <c r="BB118" s="1157">
        <v>0</v>
      </c>
      <c r="BC118" s="1157">
        <v>0</v>
      </c>
      <c r="BD118" s="1157">
        <v>0</v>
      </c>
      <c r="BE118" s="1157">
        <v>0</v>
      </c>
      <c r="BF118" s="1157">
        <v>0</v>
      </c>
      <c r="BG118" s="1157">
        <v>0</v>
      </c>
      <c r="BH118" s="1157">
        <v>0</v>
      </c>
      <c r="BI118" s="1157">
        <v>0</v>
      </c>
      <c r="BJ118" s="1157">
        <v>0</v>
      </c>
      <c r="BK118" s="1157">
        <v>0</v>
      </c>
      <c r="BL118" s="1157">
        <v>0</v>
      </c>
      <c r="BM118" s="1157">
        <v>0</v>
      </c>
      <c r="BN118" s="1157">
        <v>0</v>
      </c>
      <c r="BO118" s="1157">
        <v>0</v>
      </c>
      <c r="BP118" s="1157">
        <v>0</v>
      </c>
      <c r="BQ118" s="1157">
        <v>0</v>
      </c>
      <c r="BR118" s="1157">
        <v>0</v>
      </c>
      <c r="BS118" s="1157">
        <v>0</v>
      </c>
      <c r="BT118" s="1157">
        <v>1454713</v>
      </c>
      <c r="BU118" s="1157">
        <v>19770118</v>
      </c>
      <c r="BV118" s="1157">
        <v>0</v>
      </c>
      <c r="BW118" s="1157">
        <v>0</v>
      </c>
      <c r="BX118" s="1157">
        <v>0</v>
      </c>
      <c r="BY118" s="1157">
        <v>0</v>
      </c>
      <c r="BZ118" s="1157">
        <v>0</v>
      </c>
      <c r="CA118" s="1157">
        <v>0</v>
      </c>
      <c r="CB118" s="1157">
        <v>0</v>
      </c>
      <c r="CC118" s="1148">
        <v>0</v>
      </c>
      <c r="CD118" s="1148">
        <v>0</v>
      </c>
      <c r="CE118" s="1148">
        <v>0</v>
      </c>
      <c r="CF118" s="1148">
        <v>0</v>
      </c>
    </row>
    <row r="119" spans="1:84" s="1148" customFormat="1" x14ac:dyDescent="0.3">
      <c r="A119" s="1153">
        <v>357</v>
      </c>
      <c r="B119" s="1154">
        <v>357</v>
      </c>
      <c r="C119" s="1228">
        <v>357</v>
      </c>
      <c r="D119" s="1146" t="s">
        <v>553</v>
      </c>
      <c r="E119" s="1155" t="s">
        <v>436</v>
      </c>
      <c r="F119" s="1156">
        <v>0</v>
      </c>
      <c r="G119" s="1156">
        <v>0</v>
      </c>
      <c r="H119" s="1156">
        <v>0</v>
      </c>
      <c r="I119" s="1156">
        <v>0</v>
      </c>
      <c r="J119" s="1156">
        <v>0</v>
      </c>
      <c r="K119" s="1156">
        <v>0</v>
      </c>
      <c r="L119" s="1157">
        <v>0</v>
      </c>
      <c r="M119" s="1157">
        <v>0</v>
      </c>
      <c r="N119" s="1157">
        <v>0</v>
      </c>
      <c r="O119" s="1157">
        <v>0</v>
      </c>
      <c r="P119" s="1157">
        <v>0</v>
      </c>
      <c r="Q119" s="1157">
        <v>0</v>
      </c>
      <c r="R119" s="1157">
        <v>0</v>
      </c>
      <c r="S119" s="1157">
        <v>51043879</v>
      </c>
      <c r="T119" s="1157">
        <v>0</v>
      </c>
      <c r="U119" s="1157">
        <v>0</v>
      </c>
      <c r="V119" s="1157">
        <v>0</v>
      </c>
      <c r="W119" s="1157">
        <v>0</v>
      </c>
      <c r="X119" s="1157">
        <v>16831377</v>
      </c>
      <c r="Y119" s="1157">
        <v>0</v>
      </c>
      <c r="Z119" s="1157">
        <v>0</v>
      </c>
      <c r="AA119" s="1157">
        <v>0</v>
      </c>
      <c r="AB119" s="1157">
        <v>0</v>
      </c>
      <c r="AC119" s="1157">
        <v>0</v>
      </c>
      <c r="AD119" s="1157">
        <v>0</v>
      </c>
      <c r="AE119" s="1157">
        <v>0</v>
      </c>
      <c r="AF119" s="1157">
        <v>0</v>
      </c>
      <c r="AG119" s="1157">
        <v>0</v>
      </c>
      <c r="AH119" s="1157">
        <v>0</v>
      </c>
      <c r="AI119" s="1157">
        <v>0</v>
      </c>
      <c r="AJ119" s="1157">
        <v>0</v>
      </c>
      <c r="AK119" s="1157">
        <v>48952094</v>
      </c>
      <c r="AL119" s="1157">
        <v>0</v>
      </c>
      <c r="AM119" s="1157">
        <v>0</v>
      </c>
      <c r="AN119" s="1157">
        <v>0</v>
      </c>
      <c r="AO119" s="1157">
        <v>14209796</v>
      </c>
      <c r="AP119" s="1157">
        <v>0</v>
      </c>
      <c r="AQ119" s="1157">
        <v>0</v>
      </c>
      <c r="AR119" s="1157">
        <v>0</v>
      </c>
      <c r="AS119" s="1157">
        <v>0</v>
      </c>
      <c r="AT119" s="1157">
        <v>0</v>
      </c>
      <c r="AU119" s="1157">
        <v>0</v>
      </c>
      <c r="AV119" s="1157">
        <v>0</v>
      </c>
      <c r="AW119" s="1157">
        <v>0</v>
      </c>
      <c r="AX119" s="1157">
        <v>0</v>
      </c>
      <c r="AY119" s="1157">
        <v>0</v>
      </c>
      <c r="AZ119" s="1157">
        <v>0</v>
      </c>
      <c r="BA119" s="1157">
        <v>0</v>
      </c>
      <c r="BB119" s="1157">
        <v>0</v>
      </c>
      <c r="BC119" s="1157">
        <v>0</v>
      </c>
      <c r="BD119" s="1157">
        <v>0</v>
      </c>
      <c r="BE119" s="1157">
        <v>0</v>
      </c>
      <c r="BF119" s="1157">
        <v>0</v>
      </c>
      <c r="BG119" s="1157">
        <v>0</v>
      </c>
      <c r="BH119" s="1157">
        <v>0</v>
      </c>
      <c r="BI119" s="1157">
        <v>0</v>
      </c>
      <c r="BJ119" s="1157">
        <v>0</v>
      </c>
      <c r="BK119" s="1157">
        <v>0</v>
      </c>
      <c r="BL119" s="1157">
        <v>0</v>
      </c>
      <c r="BM119" s="1157">
        <v>0</v>
      </c>
      <c r="BN119" s="1157">
        <v>0</v>
      </c>
      <c r="BO119" s="1157">
        <v>0</v>
      </c>
      <c r="BP119" s="1157">
        <v>0</v>
      </c>
      <c r="BQ119" s="1157">
        <v>0</v>
      </c>
      <c r="BR119" s="1157">
        <v>0</v>
      </c>
      <c r="BS119" s="1157">
        <v>0</v>
      </c>
      <c r="BT119" s="1157">
        <v>1261573</v>
      </c>
      <c r="BU119" s="1157">
        <v>10420907</v>
      </c>
      <c r="BV119" s="1157">
        <v>0</v>
      </c>
      <c r="BW119" s="1157">
        <v>0</v>
      </c>
      <c r="BX119" s="1157">
        <v>0</v>
      </c>
      <c r="BY119" s="1157">
        <v>0</v>
      </c>
      <c r="BZ119" s="1157">
        <v>0</v>
      </c>
      <c r="CA119" s="1157">
        <v>0</v>
      </c>
      <c r="CB119" s="1157">
        <v>0</v>
      </c>
      <c r="CC119" s="1148">
        <v>0</v>
      </c>
      <c r="CD119" s="1148">
        <v>0</v>
      </c>
      <c r="CE119" s="1148">
        <v>0</v>
      </c>
      <c r="CF119" s="1148">
        <v>0</v>
      </c>
    </row>
    <row r="120" spans="1:84" s="1148" customFormat="1" x14ac:dyDescent="0.3">
      <c r="A120" s="1153">
        <v>359</v>
      </c>
      <c r="B120" s="1154">
        <v>359</v>
      </c>
      <c r="C120" s="1228">
        <v>359</v>
      </c>
      <c r="D120" s="1146" t="s">
        <v>256</v>
      </c>
      <c r="E120" s="1155" t="s">
        <v>437</v>
      </c>
      <c r="F120" s="1156">
        <v>0</v>
      </c>
      <c r="G120" s="1156">
        <v>0</v>
      </c>
      <c r="H120" s="1156">
        <v>0</v>
      </c>
      <c r="I120" s="1156">
        <v>0</v>
      </c>
      <c r="J120" s="1156">
        <v>0</v>
      </c>
      <c r="K120" s="1156">
        <v>0</v>
      </c>
      <c r="L120" s="1157">
        <v>0</v>
      </c>
      <c r="M120" s="1157">
        <v>0</v>
      </c>
      <c r="N120" s="1157">
        <v>0</v>
      </c>
      <c r="O120" s="1157">
        <v>0</v>
      </c>
      <c r="P120" s="1157">
        <v>0</v>
      </c>
      <c r="Q120" s="1157">
        <v>0</v>
      </c>
      <c r="R120" s="1157">
        <v>0</v>
      </c>
      <c r="S120" s="1157">
        <v>15597038</v>
      </c>
      <c r="T120" s="1157">
        <v>0</v>
      </c>
      <c r="U120" s="1157">
        <v>0</v>
      </c>
      <c r="V120" s="1157">
        <v>0</v>
      </c>
      <c r="W120" s="1157">
        <v>0</v>
      </c>
      <c r="X120" s="1157">
        <v>218485</v>
      </c>
      <c r="Y120" s="1157">
        <v>0</v>
      </c>
      <c r="Z120" s="1157">
        <v>0</v>
      </c>
      <c r="AA120" s="1157">
        <v>0</v>
      </c>
      <c r="AB120" s="1157">
        <v>0</v>
      </c>
      <c r="AC120" s="1157">
        <v>0</v>
      </c>
      <c r="AD120" s="1157">
        <v>0</v>
      </c>
      <c r="AE120" s="1157">
        <v>0</v>
      </c>
      <c r="AF120" s="1157">
        <v>0</v>
      </c>
      <c r="AG120" s="1157">
        <v>0</v>
      </c>
      <c r="AH120" s="1157">
        <v>0</v>
      </c>
      <c r="AI120" s="1157">
        <v>0</v>
      </c>
      <c r="AJ120" s="1157">
        <v>0</v>
      </c>
      <c r="AK120" s="1157">
        <v>7001244</v>
      </c>
      <c r="AL120" s="1157">
        <v>0</v>
      </c>
      <c r="AM120" s="1157">
        <v>0</v>
      </c>
      <c r="AN120" s="1157">
        <v>0</v>
      </c>
      <c r="AO120" s="1157">
        <v>4142023</v>
      </c>
      <c r="AP120" s="1157">
        <v>0</v>
      </c>
      <c r="AQ120" s="1157">
        <v>0</v>
      </c>
      <c r="AR120" s="1157">
        <v>0</v>
      </c>
      <c r="AS120" s="1157">
        <v>0</v>
      </c>
      <c r="AT120" s="1157">
        <v>0</v>
      </c>
      <c r="AU120" s="1157">
        <v>0</v>
      </c>
      <c r="AV120" s="1157">
        <v>0</v>
      </c>
      <c r="AW120" s="1157">
        <v>0</v>
      </c>
      <c r="AX120" s="1157">
        <v>0</v>
      </c>
      <c r="AY120" s="1157">
        <v>0</v>
      </c>
      <c r="AZ120" s="1157">
        <v>0</v>
      </c>
      <c r="BA120" s="1157">
        <v>0</v>
      </c>
      <c r="BB120" s="1157">
        <v>0</v>
      </c>
      <c r="BC120" s="1157">
        <v>0</v>
      </c>
      <c r="BD120" s="1157">
        <v>0</v>
      </c>
      <c r="BE120" s="1157">
        <v>0</v>
      </c>
      <c r="BF120" s="1157">
        <v>0</v>
      </c>
      <c r="BG120" s="1157">
        <v>0</v>
      </c>
      <c r="BH120" s="1157">
        <v>0</v>
      </c>
      <c r="BI120" s="1157">
        <v>0</v>
      </c>
      <c r="BJ120" s="1157">
        <v>0</v>
      </c>
      <c r="BK120" s="1157">
        <v>0</v>
      </c>
      <c r="BL120" s="1157">
        <v>0</v>
      </c>
      <c r="BM120" s="1157">
        <v>0</v>
      </c>
      <c r="BN120" s="1157">
        <v>0</v>
      </c>
      <c r="BO120" s="1157">
        <v>0</v>
      </c>
      <c r="BP120" s="1157">
        <v>0</v>
      </c>
      <c r="BQ120" s="1157">
        <v>0</v>
      </c>
      <c r="BR120" s="1157">
        <v>0</v>
      </c>
      <c r="BS120" s="1157">
        <v>0</v>
      </c>
      <c r="BT120" s="1157">
        <v>29903</v>
      </c>
      <c r="BU120" s="1157">
        <v>0</v>
      </c>
      <c r="BV120" s="1157">
        <v>0</v>
      </c>
      <c r="BW120" s="1157">
        <v>0</v>
      </c>
      <c r="BX120" s="1157">
        <v>0</v>
      </c>
      <c r="BY120" s="1157">
        <v>0</v>
      </c>
      <c r="BZ120" s="1157">
        <v>0</v>
      </c>
      <c r="CA120" s="1157">
        <v>0</v>
      </c>
      <c r="CB120" s="1157">
        <v>0</v>
      </c>
      <c r="CC120" s="1148">
        <v>0</v>
      </c>
      <c r="CD120" s="1148">
        <v>0</v>
      </c>
      <c r="CE120" s="1148">
        <v>0</v>
      </c>
      <c r="CF120" s="1148">
        <v>0</v>
      </c>
    </row>
    <row r="121" spans="1:84" s="1148" customFormat="1" x14ac:dyDescent="0.3">
      <c r="A121" s="1153">
        <v>360</v>
      </c>
      <c r="B121" s="1154">
        <v>360</v>
      </c>
      <c r="C121" s="1228">
        <v>360</v>
      </c>
      <c r="D121" s="1146" t="s">
        <v>125</v>
      </c>
      <c r="E121" s="1155" t="s">
        <v>438</v>
      </c>
      <c r="F121" s="1156">
        <v>0</v>
      </c>
      <c r="G121" s="1156">
        <v>0</v>
      </c>
      <c r="H121" s="1156">
        <v>0</v>
      </c>
      <c r="I121" s="1156">
        <v>0</v>
      </c>
      <c r="J121" s="1156">
        <v>0</v>
      </c>
      <c r="K121" s="1156">
        <v>0</v>
      </c>
      <c r="L121" s="1157">
        <v>0</v>
      </c>
      <c r="M121" s="1157">
        <v>0</v>
      </c>
      <c r="N121" s="1157">
        <v>0</v>
      </c>
      <c r="O121" s="1157">
        <v>0</v>
      </c>
      <c r="P121" s="1157">
        <v>0</v>
      </c>
      <c r="Q121" s="1157">
        <v>0</v>
      </c>
      <c r="R121" s="1157">
        <v>0</v>
      </c>
      <c r="S121" s="1157">
        <v>24116654</v>
      </c>
      <c r="T121" s="1157">
        <v>0</v>
      </c>
      <c r="U121" s="1157">
        <v>0</v>
      </c>
      <c r="V121" s="1157">
        <v>0</v>
      </c>
      <c r="W121" s="1157">
        <v>0</v>
      </c>
      <c r="X121" s="1157">
        <v>5630947</v>
      </c>
      <c r="Y121" s="1157">
        <v>0</v>
      </c>
      <c r="Z121" s="1157">
        <v>0</v>
      </c>
      <c r="AA121" s="1157">
        <v>0</v>
      </c>
      <c r="AB121" s="1157">
        <v>0</v>
      </c>
      <c r="AC121" s="1157">
        <v>0</v>
      </c>
      <c r="AD121" s="1157">
        <v>0</v>
      </c>
      <c r="AE121" s="1157">
        <v>0</v>
      </c>
      <c r="AF121" s="1157">
        <v>0</v>
      </c>
      <c r="AG121" s="1157">
        <v>0</v>
      </c>
      <c r="AH121" s="1157">
        <v>0</v>
      </c>
      <c r="AI121" s="1157">
        <v>0</v>
      </c>
      <c r="AJ121" s="1157">
        <v>0</v>
      </c>
      <c r="AK121" s="1157">
        <v>15103742</v>
      </c>
      <c r="AL121" s="1157">
        <v>0</v>
      </c>
      <c r="AM121" s="1157">
        <v>0</v>
      </c>
      <c r="AN121" s="1157">
        <v>0</v>
      </c>
      <c r="AO121" s="1157">
        <v>6066542</v>
      </c>
      <c r="AP121" s="1157">
        <v>0</v>
      </c>
      <c r="AQ121" s="1157">
        <v>0</v>
      </c>
      <c r="AR121" s="1157">
        <v>0</v>
      </c>
      <c r="AS121" s="1157">
        <v>0</v>
      </c>
      <c r="AT121" s="1157">
        <v>0</v>
      </c>
      <c r="AU121" s="1157">
        <v>0</v>
      </c>
      <c r="AV121" s="1157">
        <v>0</v>
      </c>
      <c r="AW121" s="1157">
        <v>0</v>
      </c>
      <c r="AX121" s="1157">
        <v>0</v>
      </c>
      <c r="AY121" s="1157">
        <v>0</v>
      </c>
      <c r="AZ121" s="1157">
        <v>0</v>
      </c>
      <c r="BA121" s="1157">
        <v>0</v>
      </c>
      <c r="BB121" s="1157">
        <v>0</v>
      </c>
      <c r="BC121" s="1157">
        <v>0</v>
      </c>
      <c r="BD121" s="1157">
        <v>0</v>
      </c>
      <c r="BE121" s="1157">
        <v>0</v>
      </c>
      <c r="BF121" s="1157">
        <v>0</v>
      </c>
      <c r="BG121" s="1157">
        <v>0</v>
      </c>
      <c r="BH121" s="1157">
        <v>0</v>
      </c>
      <c r="BI121" s="1157">
        <v>0</v>
      </c>
      <c r="BJ121" s="1157">
        <v>0</v>
      </c>
      <c r="BK121" s="1157">
        <v>0</v>
      </c>
      <c r="BL121" s="1157">
        <v>0</v>
      </c>
      <c r="BM121" s="1157">
        <v>0</v>
      </c>
      <c r="BN121" s="1157">
        <v>0</v>
      </c>
      <c r="BO121" s="1157">
        <v>0</v>
      </c>
      <c r="BP121" s="1157">
        <v>0</v>
      </c>
      <c r="BQ121" s="1157">
        <v>0</v>
      </c>
      <c r="BR121" s="1157">
        <v>0</v>
      </c>
      <c r="BS121" s="1157">
        <v>0</v>
      </c>
      <c r="BT121" s="1157">
        <v>308770</v>
      </c>
      <c r="BU121" s="1157">
        <v>1533660</v>
      </c>
      <c r="BV121" s="1157">
        <v>0</v>
      </c>
      <c r="BW121" s="1157">
        <v>0</v>
      </c>
      <c r="BX121" s="1157">
        <v>0</v>
      </c>
      <c r="BY121" s="1157">
        <v>0</v>
      </c>
      <c r="BZ121" s="1157">
        <v>0</v>
      </c>
      <c r="CA121" s="1157">
        <v>0</v>
      </c>
      <c r="CB121" s="1157">
        <v>0</v>
      </c>
      <c r="CC121" s="1148">
        <v>0</v>
      </c>
      <c r="CD121" s="1148">
        <v>0</v>
      </c>
      <c r="CE121" s="1148">
        <v>0</v>
      </c>
      <c r="CF121" s="1148">
        <v>0</v>
      </c>
    </row>
    <row r="122" spans="1:84" s="1148" customFormat="1" x14ac:dyDescent="0.3">
      <c r="A122" s="1153">
        <v>361</v>
      </c>
      <c r="B122" s="1154">
        <v>361</v>
      </c>
      <c r="C122" s="1228">
        <v>361</v>
      </c>
      <c r="D122" s="1146" t="s">
        <v>106</v>
      </c>
      <c r="E122" s="1155" t="s">
        <v>439</v>
      </c>
      <c r="F122" s="1156">
        <v>0</v>
      </c>
      <c r="G122" s="1156">
        <v>0</v>
      </c>
      <c r="H122" s="1156">
        <v>0</v>
      </c>
      <c r="I122" s="1156">
        <v>0</v>
      </c>
      <c r="J122" s="1156">
        <v>0</v>
      </c>
      <c r="K122" s="1156">
        <v>0</v>
      </c>
      <c r="L122" s="1157">
        <v>0</v>
      </c>
      <c r="M122" s="1157">
        <v>0</v>
      </c>
      <c r="N122" s="1157">
        <v>0</v>
      </c>
      <c r="O122" s="1157">
        <v>0</v>
      </c>
      <c r="P122" s="1157">
        <v>0</v>
      </c>
      <c r="Q122" s="1157">
        <v>0</v>
      </c>
      <c r="R122" s="1157">
        <v>0</v>
      </c>
      <c r="S122" s="1157">
        <v>72824344</v>
      </c>
      <c r="T122" s="1157">
        <v>0</v>
      </c>
      <c r="U122" s="1157">
        <v>0</v>
      </c>
      <c r="V122" s="1157">
        <v>0</v>
      </c>
      <c r="W122" s="1157">
        <v>0</v>
      </c>
      <c r="X122" s="1157">
        <v>15245505</v>
      </c>
      <c r="Y122" s="1157">
        <v>0</v>
      </c>
      <c r="Z122" s="1157">
        <v>0</v>
      </c>
      <c r="AA122" s="1157">
        <v>0</v>
      </c>
      <c r="AB122" s="1157">
        <v>0</v>
      </c>
      <c r="AC122" s="1157">
        <v>0</v>
      </c>
      <c r="AD122" s="1157">
        <v>0</v>
      </c>
      <c r="AE122" s="1157">
        <v>0</v>
      </c>
      <c r="AF122" s="1157">
        <v>0</v>
      </c>
      <c r="AG122" s="1157">
        <v>0</v>
      </c>
      <c r="AH122" s="1157">
        <v>0</v>
      </c>
      <c r="AI122" s="1157">
        <v>0</v>
      </c>
      <c r="AJ122" s="1157">
        <v>0</v>
      </c>
      <c r="AK122" s="1157">
        <v>21395591</v>
      </c>
      <c r="AL122" s="1157">
        <v>0</v>
      </c>
      <c r="AM122" s="1157">
        <v>0</v>
      </c>
      <c r="AN122" s="1157">
        <v>0</v>
      </c>
      <c r="AO122" s="1157">
        <v>9452548</v>
      </c>
      <c r="AP122" s="1157">
        <v>0</v>
      </c>
      <c r="AQ122" s="1157">
        <v>0</v>
      </c>
      <c r="AR122" s="1157">
        <v>0</v>
      </c>
      <c r="AS122" s="1157">
        <v>0</v>
      </c>
      <c r="AT122" s="1157">
        <v>0</v>
      </c>
      <c r="AU122" s="1157">
        <v>0</v>
      </c>
      <c r="AV122" s="1157">
        <v>0</v>
      </c>
      <c r="AW122" s="1157">
        <v>0</v>
      </c>
      <c r="AX122" s="1157">
        <v>0</v>
      </c>
      <c r="AY122" s="1157">
        <v>0</v>
      </c>
      <c r="AZ122" s="1157">
        <v>0</v>
      </c>
      <c r="BA122" s="1157">
        <v>0</v>
      </c>
      <c r="BB122" s="1157">
        <v>0</v>
      </c>
      <c r="BC122" s="1157">
        <v>0</v>
      </c>
      <c r="BD122" s="1157">
        <v>0</v>
      </c>
      <c r="BE122" s="1157">
        <v>0</v>
      </c>
      <c r="BF122" s="1157">
        <v>0</v>
      </c>
      <c r="BG122" s="1157">
        <v>0</v>
      </c>
      <c r="BH122" s="1157">
        <v>0</v>
      </c>
      <c r="BI122" s="1157">
        <v>0</v>
      </c>
      <c r="BJ122" s="1157">
        <v>0</v>
      </c>
      <c r="BK122" s="1157">
        <v>0</v>
      </c>
      <c r="BL122" s="1157">
        <v>0</v>
      </c>
      <c r="BM122" s="1157">
        <v>0</v>
      </c>
      <c r="BN122" s="1157">
        <v>0</v>
      </c>
      <c r="BO122" s="1157">
        <v>0</v>
      </c>
      <c r="BP122" s="1157">
        <v>0</v>
      </c>
      <c r="BQ122" s="1157">
        <v>0</v>
      </c>
      <c r="BR122" s="1157">
        <v>0</v>
      </c>
      <c r="BS122" s="1157">
        <v>0</v>
      </c>
      <c r="BT122" s="1157">
        <v>1013326</v>
      </c>
      <c r="BU122" s="1157">
        <v>4945846</v>
      </c>
      <c r="BV122" s="1157">
        <v>0</v>
      </c>
      <c r="BW122" s="1157">
        <v>0</v>
      </c>
      <c r="BX122" s="1157">
        <v>0</v>
      </c>
      <c r="BY122" s="1157">
        <v>0</v>
      </c>
      <c r="BZ122" s="1157">
        <v>0</v>
      </c>
      <c r="CA122" s="1157">
        <v>0</v>
      </c>
      <c r="CB122" s="1157">
        <v>0</v>
      </c>
      <c r="CC122" s="1148">
        <v>0</v>
      </c>
      <c r="CD122" s="1148">
        <v>0</v>
      </c>
      <c r="CE122" s="1148">
        <v>0</v>
      </c>
      <c r="CF122" s="1148">
        <v>0</v>
      </c>
    </row>
    <row r="123" spans="1:84" s="1148" customFormat="1" x14ac:dyDescent="0.3">
      <c r="A123" s="1153">
        <v>362</v>
      </c>
      <c r="B123" s="1154">
        <v>362</v>
      </c>
      <c r="C123" s="1228">
        <v>362</v>
      </c>
      <c r="D123" s="1146" t="s">
        <v>107</v>
      </c>
      <c r="E123" s="1155" t="s">
        <v>440</v>
      </c>
      <c r="F123" s="1156">
        <v>0</v>
      </c>
      <c r="G123" s="1156">
        <v>0</v>
      </c>
      <c r="H123" s="1156">
        <v>0</v>
      </c>
      <c r="I123" s="1156">
        <v>0</v>
      </c>
      <c r="J123" s="1156">
        <v>0</v>
      </c>
      <c r="K123" s="1156">
        <v>0</v>
      </c>
      <c r="L123" s="1157">
        <v>0</v>
      </c>
      <c r="M123" s="1157">
        <v>0</v>
      </c>
      <c r="N123" s="1157">
        <v>0</v>
      </c>
      <c r="O123" s="1157">
        <v>0</v>
      </c>
      <c r="P123" s="1157">
        <v>0</v>
      </c>
      <c r="Q123" s="1157">
        <v>0</v>
      </c>
      <c r="R123" s="1157">
        <v>0</v>
      </c>
      <c r="S123" s="1157">
        <v>145953346</v>
      </c>
      <c r="T123" s="1157">
        <v>0</v>
      </c>
      <c r="U123" s="1157">
        <v>0</v>
      </c>
      <c r="V123" s="1157">
        <v>0</v>
      </c>
      <c r="W123" s="1157">
        <v>0</v>
      </c>
      <c r="X123" s="1157">
        <v>24677560</v>
      </c>
      <c r="Y123" s="1157">
        <v>0</v>
      </c>
      <c r="Z123" s="1157">
        <v>0</v>
      </c>
      <c r="AA123" s="1157">
        <v>0</v>
      </c>
      <c r="AB123" s="1157">
        <v>0</v>
      </c>
      <c r="AC123" s="1157">
        <v>0</v>
      </c>
      <c r="AD123" s="1157">
        <v>0</v>
      </c>
      <c r="AE123" s="1157">
        <v>0</v>
      </c>
      <c r="AF123" s="1157">
        <v>0</v>
      </c>
      <c r="AG123" s="1157">
        <v>0</v>
      </c>
      <c r="AH123" s="1157">
        <v>0</v>
      </c>
      <c r="AI123" s="1157">
        <v>0</v>
      </c>
      <c r="AJ123" s="1157">
        <v>0</v>
      </c>
      <c r="AK123" s="1157">
        <v>50208485</v>
      </c>
      <c r="AL123" s="1157">
        <v>0</v>
      </c>
      <c r="AM123" s="1157">
        <v>0</v>
      </c>
      <c r="AN123" s="1157">
        <v>0</v>
      </c>
      <c r="AO123" s="1157">
        <v>18510289</v>
      </c>
      <c r="AP123" s="1157">
        <v>0</v>
      </c>
      <c r="AQ123" s="1157">
        <v>0</v>
      </c>
      <c r="AR123" s="1157">
        <v>0</v>
      </c>
      <c r="AS123" s="1157">
        <v>0</v>
      </c>
      <c r="AT123" s="1157">
        <v>0</v>
      </c>
      <c r="AU123" s="1157">
        <v>0</v>
      </c>
      <c r="AV123" s="1157">
        <v>0</v>
      </c>
      <c r="AW123" s="1157">
        <v>0</v>
      </c>
      <c r="AX123" s="1157">
        <v>0</v>
      </c>
      <c r="AY123" s="1157">
        <v>0</v>
      </c>
      <c r="AZ123" s="1157">
        <v>0</v>
      </c>
      <c r="BA123" s="1157">
        <v>0</v>
      </c>
      <c r="BB123" s="1157">
        <v>0</v>
      </c>
      <c r="BC123" s="1157">
        <v>0</v>
      </c>
      <c r="BD123" s="1157">
        <v>0</v>
      </c>
      <c r="BE123" s="1157">
        <v>0</v>
      </c>
      <c r="BF123" s="1157">
        <v>0</v>
      </c>
      <c r="BG123" s="1157">
        <v>0</v>
      </c>
      <c r="BH123" s="1157">
        <v>0</v>
      </c>
      <c r="BI123" s="1157">
        <v>0</v>
      </c>
      <c r="BJ123" s="1157">
        <v>0</v>
      </c>
      <c r="BK123" s="1157">
        <v>0</v>
      </c>
      <c r="BL123" s="1157">
        <v>0</v>
      </c>
      <c r="BM123" s="1157">
        <v>0</v>
      </c>
      <c r="BN123" s="1157">
        <v>0</v>
      </c>
      <c r="BO123" s="1157">
        <v>0</v>
      </c>
      <c r="BP123" s="1157">
        <v>0</v>
      </c>
      <c r="BQ123" s="1157">
        <v>0</v>
      </c>
      <c r="BR123" s="1157">
        <v>0</v>
      </c>
      <c r="BS123" s="1157">
        <v>0</v>
      </c>
      <c r="BT123" s="1157">
        <v>1188163</v>
      </c>
      <c r="BU123" s="1157">
        <v>18872099</v>
      </c>
      <c r="BV123" s="1157">
        <v>0</v>
      </c>
      <c r="BW123" s="1157">
        <v>0</v>
      </c>
      <c r="BX123" s="1157">
        <v>0</v>
      </c>
      <c r="BY123" s="1157">
        <v>0</v>
      </c>
      <c r="BZ123" s="1157">
        <v>0</v>
      </c>
      <c r="CA123" s="1157">
        <v>0</v>
      </c>
      <c r="CB123" s="1157">
        <v>0</v>
      </c>
      <c r="CC123" s="1148">
        <v>0</v>
      </c>
      <c r="CD123" s="1148">
        <v>0</v>
      </c>
      <c r="CE123" s="1148">
        <v>0</v>
      </c>
      <c r="CF123" s="1148">
        <v>0</v>
      </c>
    </row>
    <row r="124" spans="1:84" s="1148" customFormat="1" x14ac:dyDescent="0.3">
      <c r="A124" s="1153">
        <v>363</v>
      </c>
      <c r="B124" s="1154">
        <v>363</v>
      </c>
      <c r="C124" s="1228">
        <v>363</v>
      </c>
      <c r="D124" s="1146" t="s">
        <v>242</v>
      </c>
      <c r="E124" s="1155" t="s">
        <v>441</v>
      </c>
      <c r="F124" s="1156">
        <v>0</v>
      </c>
      <c r="G124" s="1156">
        <v>0</v>
      </c>
      <c r="H124" s="1156">
        <v>0</v>
      </c>
      <c r="I124" s="1156">
        <v>0</v>
      </c>
      <c r="J124" s="1156">
        <v>0</v>
      </c>
      <c r="K124" s="1156">
        <v>0</v>
      </c>
      <c r="L124" s="1157">
        <v>0</v>
      </c>
      <c r="M124" s="1157">
        <v>0</v>
      </c>
      <c r="N124" s="1157">
        <v>0</v>
      </c>
      <c r="O124" s="1157">
        <v>0</v>
      </c>
      <c r="P124" s="1157">
        <v>0</v>
      </c>
      <c r="Q124" s="1157">
        <v>0</v>
      </c>
      <c r="R124" s="1157">
        <v>0</v>
      </c>
      <c r="S124" s="1157">
        <v>2253528</v>
      </c>
      <c r="T124" s="1157">
        <v>0</v>
      </c>
      <c r="U124" s="1157">
        <v>0</v>
      </c>
      <c r="V124" s="1157">
        <v>0</v>
      </c>
      <c r="W124" s="1157">
        <v>0</v>
      </c>
      <c r="X124" s="1157">
        <v>173797</v>
      </c>
      <c r="Y124" s="1157">
        <v>0</v>
      </c>
      <c r="Z124" s="1157">
        <v>0</v>
      </c>
      <c r="AA124" s="1157">
        <v>0</v>
      </c>
      <c r="AB124" s="1157">
        <v>0</v>
      </c>
      <c r="AC124" s="1157">
        <v>0</v>
      </c>
      <c r="AD124" s="1157">
        <v>0</v>
      </c>
      <c r="AE124" s="1157">
        <v>0</v>
      </c>
      <c r="AF124" s="1157">
        <v>0</v>
      </c>
      <c r="AG124" s="1157">
        <v>0</v>
      </c>
      <c r="AH124" s="1157">
        <v>0</v>
      </c>
      <c r="AI124" s="1157">
        <v>0</v>
      </c>
      <c r="AJ124" s="1157">
        <v>0</v>
      </c>
      <c r="AK124" s="1157">
        <v>287916</v>
      </c>
      <c r="AL124" s="1157">
        <v>0</v>
      </c>
      <c r="AM124" s="1157">
        <v>0</v>
      </c>
      <c r="AN124" s="1157">
        <v>0</v>
      </c>
      <c r="AO124" s="1157">
        <v>2910056</v>
      </c>
      <c r="AP124" s="1157">
        <v>0</v>
      </c>
      <c r="AQ124" s="1157">
        <v>0</v>
      </c>
      <c r="AR124" s="1157">
        <v>0</v>
      </c>
      <c r="AS124" s="1157">
        <v>0</v>
      </c>
      <c r="AT124" s="1157">
        <v>0</v>
      </c>
      <c r="AU124" s="1157">
        <v>0</v>
      </c>
      <c r="AV124" s="1157">
        <v>0</v>
      </c>
      <c r="AW124" s="1157">
        <v>0</v>
      </c>
      <c r="AX124" s="1157">
        <v>0</v>
      </c>
      <c r="AY124" s="1157">
        <v>0</v>
      </c>
      <c r="AZ124" s="1157">
        <v>0</v>
      </c>
      <c r="BA124" s="1157">
        <v>0</v>
      </c>
      <c r="BB124" s="1157">
        <v>0</v>
      </c>
      <c r="BC124" s="1157">
        <v>0</v>
      </c>
      <c r="BD124" s="1157">
        <v>0</v>
      </c>
      <c r="BE124" s="1157">
        <v>0</v>
      </c>
      <c r="BF124" s="1157">
        <v>0</v>
      </c>
      <c r="BG124" s="1157">
        <v>0</v>
      </c>
      <c r="BH124" s="1157">
        <v>0</v>
      </c>
      <c r="BI124" s="1157">
        <v>0</v>
      </c>
      <c r="BJ124" s="1157">
        <v>0</v>
      </c>
      <c r="BK124" s="1157">
        <v>0</v>
      </c>
      <c r="BL124" s="1157">
        <v>0</v>
      </c>
      <c r="BM124" s="1157">
        <v>0</v>
      </c>
      <c r="BN124" s="1157">
        <v>0</v>
      </c>
      <c r="BO124" s="1157">
        <v>0</v>
      </c>
      <c r="BP124" s="1157">
        <v>0</v>
      </c>
      <c r="BQ124" s="1157">
        <v>0</v>
      </c>
      <c r="BR124" s="1157">
        <v>0</v>
      </c>
      <c r="BS124" s="1157">
        <v>0</v>
      </c>
      <c r="BT124" s="1157">
        <v>35</v>
      </c>
      <c r="BU124" s="1157">
        <v>1785345</v>
      </c>
      <c r="BV124" s="1157">
        <v>0</v>
      </c>
      <c r="BW124" s="1157">
        <v>0</v>
      </c>
      <c r="BX124" s="1157">
        <v>0</v>
      </c>
      <c r="BY124" s="1157">
        <v>0</v>
      </c>
      <c r="BZ124" s="1157">
        <v>0</v>
      </c>
      <c r="CA124" s="1157">
        <v>0</v>
      </c>
      <c r="CB124" s="1157">
        <v>0</v>
      </c>
      <c r="CC124" s="1148">
        <v>0</v>
      </c>
      <c r="CD124" s="1148">
        <v>0</v>
      </c>
      <c r="CE124" s="1148">
        <v>0</v>
      </c>
      <c r="CF124" s="1148">
        <v>0</v>
      </c>
    </row>
    <row r="125" spans="1:84" s="1148" customFormat="1" x14ac:dyDescent="0.3">
      <c r="A125" s="1153">
        <v>364</v>
      </c>
      <c r="B125" s="1154">
        <v>364</v>
      </c>
      <c r="C125" s="1228">
        <v>364</v>
      </c>
      <c r="D125" s="1146" t="s">
        <v>243</v>
      </c>
      <c r="E125" s="1155" t="s">
        <v>442</v>
      </c>
      <c r="F125" s="1156">
        <v>0</v>
      </c>
      <c r="G125" s="1156">
        <v>0</v>
      </c>
      <c r="H125" s="1156">
        <v>0</v>
      </c>
      <c r="I125" s="1156">
        <v>0</v>
      </c>
      <c r="J125" s="1156">
        <v>0</v>
      </c>
      <c r="K125" s="1156">
        <v>0</v>
      </c>
      <c r="L125" s="1157">
        <v>0</v>
      </c>
      <c r="M125" s="1157">
        <v>0</v>
      </c>
      <c r="N125" s="1157">
        <v>0</v>
      </c>
      <c r="O125" s="1157">
        <v>0</v>
      </c>
      <c r="P125" s="1157">
        <v>0</v>
      </c>
      <c r="Q125" s="1157">
        <v>0</v>
      </c>
      <c r="R125" s="1157">
        <v>0</v>
      </c>
      <c r="S125" s="1157">
        <v>623816</v>
      </c>
      <c r="T125" s="1157">
        <v>0</v>
      </c>
      <c r="U125" s="1157">
        <v>0</v>
      </c>
      <c r="V125" s="1157">
        <v>0</v>
      </c>
      <c r="W125" s="1157">
        <v>0</v>
      </c>
      <c r="X125" s="1157">
        <v>6460</v>
      </c>
      <c r="Y125" s="1157">
        <v>0</v>
      </c>
      <c r="Z125" s="1157">
        <v>0</v>
      </c>
      <c r="AA125" s="1157">
        <v>0</v>
      </c>
      <c r="AB125" s="1157">
        <v>0</v>
      </c>
      <c r="AC125" s="1157">
        <v>0</v>
      </c>
      <c r="AD125" s="1157">
        <v>0</v>
      </c>
      <c r="AE125" s="1157">
        <v>0</v>
      </c>
      <c r="AF125" s="1157">
        <v>0</v>
      </c>
      <c r="AG125" s="1157">
        <v>0</v>
      </c>
      <c r="AH125" s="1157">
        <v>0</v>
      </c>
      <c r="AI125" s="1157">
        <v>0</v>
      </c>
      <c r="AJ125" s="1157">
        <v>0</v>
      </c>
      <c r="AK125" s="1157">
        <v>160564</v>
      </c>
      <c r="AL125" s="1157">
        <v>0</v>
      </c>
      <c r="AM125" s="1157">
        <v>0</v>
      </c>
      <c r="AN125" s="1157">
        <v>0</v>
      </c>
      <c r="AO125" s="1157">
        <v>126699</v>
      </c>
      <c r="AP125" s="1157">
        <v>0</v>
      </c>
      <c r="AQ125" s="1157">
        <v>0</v>
      </c>
      <c r="AR125" s="1157">
        <v>0</v>
      </c>
      <c r="AS125" s="1157">
        <v>0</v>
      </c>
      <c r="AT125" s="1157">
        <v>0</v>
      </c>
      <c r="AU125" s="1157">
        <v>0</v>
      </c>
      <c r="AV125" s="1157">
        <v>0</v>
      </c>
      <c r="AW125" s="1157">
        <v>0</v>
      </c>
      <c r="AX125" s="1157">
        <v>0</v>
      </c>
      <c r="AY125" s="1157">
        <v>0</v>
      </c>
      <c r="AZ125" s="1157">
        <v>0</v>
      </c>
      <c r="BA125" s="1157">
        <v>0</v>
      </c>
      <c r="BB125" s="1157">
        <v>0</v>
      </c>
      <c r="BC125" s="1157">
        <v>0</v>
      </c>
      <c r="BD125" s="1157">
        <v>0</v>
      </c>
      <c r="BE125" s="1157">
        <v>0</v>
      </c>
      <c r="BF125" s="1157">
        <v>0</v>
      </c>
      <c r="BG125" s="1157">
        <v>0</v>
      </c>
      <c r="BH125" s="1157">
        <v>0</v>
      </c>
      <c r="BI125" s="1157">
        <v>0</v>
      </c>
      <c r="BJ125" s="1157">
        <v>0</v>
      </c>
      <c r="BK125" s="1157">
        <v>0</v>
      </c>
      <c r="BL125" s="1157">
        <v>0</v>
      </c>
      <c r="BM125" s="1157">
        <v>0</v>
      </c>
      <c r="BN125" s="1157">
        <v>0</v>
      </c>
      <c r="BO125" s="1157">
        <v>0</v>
      </c>
      <c r="BP125" s="1157">
        <v>0</v>
      </c>
      <c r="BQ125" s="1157">
        <v>0</v>
      </c>
      <c r="BR125" s="1157">
        <v>0</v>
      </c>
      <c r="BS125" s="1157">
        <v>0</v>
      </c>
      <c r="BT125" s="1157">
        <v>1454</v>
      </c>
      <c r="BU125" s="1157">
        <v>0</v>
      </c>
      <c r="BV125" s="1157">
        <v>0</v>
      </c>
      <c r="BW125" s="1157">
        <v>0</v>
      </c>
      <c r="BX125" s="1157">
        <v>0</v>
      </c>
      <c r="BY125" s="1157">
        <v>0</v>
      </c>
      <c r="BZ125" s="1157">
        <v>0</v>
      </c>
      <c r="CA125" s="1157">
        <v>0</v>
      </c>
      <c r="CB125" s="1157">
        <v>0</v>
      </c>
      <c r="CC125" s="1148">
        <v>0</v>
      </c>
      <c r="CD125" s="1148">
        <v>0</v>
      </c>
      <c r="CE125" s="1148">
        <v>0</v>
      </c>
      <c r="CF125" s="1148">
        <v>0</v>
      </c>
    </row>
    <row r="126" spans="1:84" s="1148" customFormat="1" x14ac:dyDescent="0.3">
      <c r="A126" s="1153">
        <v>365</v>
      </c>
      <c r="B126" s="1154">
        <v>365</v>
      </c>
      <c r="C126" s="1228">
        <v>365</v>
      </c>
      <c r="D126" s="1146" t="s">
        <v>245</v>
      </c>
      <c r="E126" s="1155" t="s">
        <v>443</v>
      </c>
      <c r="F126" s="1156">
        <v>0</v>
      </c>
      <c r="G126" s="1156">
        <v>0</v>
      </c>
      <c r="H126" s="1156">
        <v>0</v>
      </c>
      <c r="I126" s="1156">
        <v>0</v>
      </c>
      <c r="J126" s="1156">
        <v>0</v>
      </c>
      <c r="K126" s="1156">
        <v>0</v>
      </c>
      <c r="L126" s="1157">
        <v>0</v>
      </c>
      <c r="M126" s="1157">
        <v>0</v>
      </c>
      <c r="N126" s="1157">
        <v>0</v>
      </c>
      <c r="O126" s="1157">
        <v>0</v>
      </c>
      <c r="P126" s="1157">
        <v>0</v>
      </c>
      <c r="Q126" s="1157">
        <v>0</v>
      </c>
      <c r="R126" s="1157">
        <v>0</v>
      </c>
      <c r="S126" s="1157">
        <v>0</v>
      </c>
      <c r="T126" s="1157">
        <v>0</v>
      </c>
      <c r="U126" s="1157">
        <v>0</v>
      </c>
      <c r="V126" s="1157">
        <v>0</v>
      </c>
      <c r="W126" s="1157">
        <v>0</v>
      </c>
      <c r="X126" s="1157">
        <v>0</v>
      </c>
      <c r="Y126" s="1157">
        <v>0</v>
      </c>
      <c r="Z126" s="1157">
        <v>0</v>
      </c>
      <c r="AA126" s="1157">
        <v>0</v>
      </c>
      <c r="AB126" s="1157">
        <v>0</v>
      </c>
      <c r="AC126" s="1157">
        <v>0</v>
      </c>
      <c r="AD126" s="1157">
        <v>0</v>
      </c>
      <c r="AE126" s="1157">
        <v>0</v>
      </c>
      <c r="AF126" s="1157">
        <v>0</v>
      </c>
      <c r="AG126" s="1157">
        <v>0</v>
      </c>
      <c r="AH126" s="1157">
        <v>0</v>
      </c>
      <c r="AI126" s="1157">
        <v>0</v>
      </c>
      <c r="AJ126" s="1157">
        <v>0</v>
      </c>
      <c r="AK126" s="1157">
        <v>0</v>
      </c>
      <c r="AL126" s="1157">
        <v>0</v>
      </c>
      <c r="AM126" s="1157">
        <v>0</v>
      </c>
      <c r="AN126" s="1157">
        <v>0</v>
      </c>
      <c r="AO126" s="1157">
        <v>61600</v>
      </c>
      <c r="AP126" s="1157">
        <v>0</v>
      </c>
      <c r="AQ126" s="1157">
        <v>0</v>
      </c>
      <c r="AR126" s="1157">
        <v>0</v>
      </c>
      <c r="AS126" s="1157">
        <v>0</v>
      </c>
      <c r="AT126" s="1157">
        <v>0</v>
      </c>
      <c r="AU126" s="1157">
        <v>0</v>
      </c>
      <c r="AV126" s="1157">
        <v>0</v>
      </c>
      <c r="AW126" s="1157">
        <v>0</v>
      </c>
      <c r="AX126" s="1157">
        <v>0</v>
      </c>
      <c r="AY126" s="1157">
        <v>0</v>
      </c>
      <c r="AZ126" s="1157">
        <v>0</v>
      </c>
      <c r="BA126" s="1157">
        <v>0</v>
      </c>
      <c r="BB126" s="1157">
        <v>0</v>
      </c>
      <c r="BC126" s="1157">
        <v>0</v>
      </c>
      <c r="BD126" s="1157">
        <v>0</v>
      </c>
      <c r="BE126" s="1157">
        <v>0</v>
      </c>
      <c r="BF126" s="1157">
        <v>0</v>
      </c>
      <c r="BG126" s="1157">
        <v>0</v>
      </c>
      <c r="BH126" s="1157">
        <v>0</v>
      </c>
      <c r="BI126" s="1157">
        <v>0</v>
      </c>
      <c r="BJ126" s="1157">
        <v>0</v>
      </c>
      <c r="BK126" s="1157">
        <v>0</v>
      </c>
      <c r="BL126" s="1157">
        <v>0</v>
      </c>
      <c r="BM126" s="1157">
        <v>0</v>
      </c>
      <c r="BN126" s="1157">
        <v>0</v>
      </c>
      <c r="BO126" s="1157">
        <v>0</v>
      </c>
      <c r="BP126" s="1157">
        <v>0</v>
      </c>
      <c r="BQ126" s="1157">
        <v>0</v>
      </c>
      <c r="BR126" s="1157">
        <v>0</v>
      </c>
      <c r="BS126" s="1157">
        <v>0</v>
      </c>
      <c r="BT126" s="1157">
        <v>0</v>
      </c>
      <c r="BU126" s="1157">
        <v>0</v>
      </c>
      <c r="BV126" s="1157">
        <v>0</v>
      </c>
      <c r="BW126" s="1157">
        <v>0</v>
      </c>
      <c r="BX126" s="1157">
        <v>0</v>
      </c>
      <c r="BY126" s="1157">
        <v>0</v>
      </c>
      <c r="BZ126" s="1157">
        <v>0</v>
      </c>
      <c r="CA126" s="1157">
        <v>0</v>
      </c>
      <c r="CB126" s="1157">
        <v>0</v>
      </c>
      <c r="CC126" s="1148">
        <v>0</v>
      </c>
      <c r="CD126" s="1148">
        <v>0</v>
      </c>
      <c r="CE126" s="1148">
        <v>0</v>
      </c>
      <c r="CF126" s="1148">
        <v>0</v>
      </c>
    </row>
    <row r="127" spans="1:84" s="1148" customFormat="1" x14ac:dyDescent="0.3">
      <c r="A127" s="1153">
        <v>366</v>
      </c>
      <c r="B127" s="1154">
        <v>366</v>
      </c>
      <c r="C127" s="1228">
        <v>366</v>
      </c>
      <c r="D127" s="1146" t="s">
        <v>536</v>
      </c>
      <c r="E127" s="1155" t="s">
        <v>444</v>
      </c>
      <c r="F127" s="1156">
        <v>0</v>
      </c>
      <c r="G127" s="1156">
        <v>0</v>
      </c>
      <c r="H127" s="1156">
        <v>0</v>
      </c>
      <c r="I127" s="1156">
        <v>0</v>
      </c>
      <c r="J127" s="1156">
        <v>0</v>
      </c>
      <c r="K127" s="1156">
        <v>0</v>
      </c>
      <c r="L127" s="1157">
        <v>0</v>
      </c>
      <c r="M127" s="1157">
        <v>0</v>
      </c>
      <c r="N127" s="1157">
        <v>0</v>
      </c>
      <c r="O127" s="1157">
        <v>0</v>
      </c>
      <c r="P127" s="1157">
        <v>0</v>
      </c>
      <c r="Q127" s="1157">
        <v>0</v>
      </c>
      <c r="R127" s="1157">
        <v>0</v>
      </c>
      <c r="S127" s="1157">
        <v>568904</v>
      </c>
      <c r="T127" s="1157">
        <v>0</v>
      </c>
      <c r="U127" s="1157">
        <v>0</v>
      </c>
      <c r="V127" s="1157">
        <v>0</v>
      </c>
      <c r="W127" s="1157">
        <v>0</v>
      </c>
      <c r="X127" s="1157">
        <v>743202</v>
      </c>
      <c r="Y127" s="1157">
        <v>0</v>
      </c>
      <c r="Z127" s="1157">
        <v>0</v>
      </c>
      <c r="AA127" s="1157">
        <v>0</v>
      </c>
      <c r="AB127" s="1157">
        <v>0</v>
      </c>
      <c r="AC127" s="1157">
        <v>0</v>
      </c>
      <c r="AD127" s="1157">
        <v>0</v>
      </c>
      <c r="AE127" s="1157">
        <v>0</v>
      </c>
      <c r="AF127" s="1157">
        <v>0</v>
      </c>
      <c r="AG127" s="1157">
        <v>0</v>
      </c>
      <c r="AH127" s="1157">
        <v>0</v>
      </c>
      <c r="AI127" s="1157">
        <v>0</v>
      </c>
      <c r="AJ127" s="1157">
        <v>0</v>
      </c>
      <c r="AK127" s="1157">
        <v>2644000</v>
      </c>
      <c r="AL127" s="1157">
        <v>0</v>
      </c>
      <c r="AM127" s="1157">
        <v>0</v>
      </c>
      <c r="AN127" s="1157">
        <v>0</v>
      </c>
      <c r="AO127" s="1157">
        <v>535950</v>
      </c>
      <c r="AP127" s="1157">
        <v>0</v>
      </c>
      <c r="AQ127" s="1157">
        <v>0</v>
      </c>
      <c r="AR127" s="1157">
        <v>0</v>
      </c>
      <c r="AS127" s="1157">
        <v>0</v>
      </c>
      <c r="AT127" s="1157">
        <v>0</v>
      </c>
      <c r="AU127" s="1157">
        <v>0</v>
      </c>
      <c r="AV127" s="1157">
        <v>0</v>
      </c>
      <c r="AW127" s="1157">
        <v>0</v>
      </c>
      <c r="AX127" s="1157">
        <v>0</v>
      </c>
      <c r="AY127" s="1157">
        <v>0</v>
      </c>
      <c r="AZ127" s="1157">
        <v>0</v>
      </c>
      <c r="BA127" s="1157">
        <v>0</v>
      </c>
      <c r="BB127" s="1157">
        <v>0</v>
      </c>
      <c r="BC127" s="1157">
        <v>0</v>
      </c>
      <c r="BD127" s="1157">
        <v>0</v>
      </c>
      <c r="BE127" s="1157">
        <v>0</v>
      </c>
      <c r="BF127" s="1157">
        <v>0</v>
      </c>
      <c r="BG127" s="1157">
        <v>0</v>
      </c>
      <c r="BH127" s="1157">
        <v>0</v>
      </c>
      <c r="BI127" s="1157">
        <v>0</v>
      </c>
      <c r="BJ127" s="1157">
        <v>0</v>
      </c>
      <c r="BK127" s="1157">
        <v>0</v>
      </c>
      <c r="BL127" s="1157">
        <v>0</v>
      </c>
      <c r="BM127" s="1157">
        <v>0</v>
      </c>
      <c r="BN127" s="1157">
        <v>0</v>
      </c>
      <c r="BO127" s="1157">
        <v>0</v>
      </c>
      <c r="BP127" s="1157">
        <v>0</v>
      </c>
      <c r="BQ127" s="1157">
        <v>0</v>
      </c>
      <c r="BR127" s="1157">
        <v>0</v>
      </c>
      <c r="BS127" s="1157">
        <v>0</v>
      </c>
      <c r="BT127" s="1157">
        <v>354292</v>
      </c>
      <c r="BU127" s="1157">
        <v>33022</v>
      </c>
      <c r="BV127" s="1157">
        <v>0</v>
      </c>
      <c r="BW127" s="1157">
        <v>0</v>
      </c>
      <c r="BX127" s="1157">
        <v>0</v>
      </c>
      <c r="BY127" s="1157">
        <v>0</v>
      </c>
      <c r="BZ127" s="1157">
        <v>0</v>
      </c>
      <c r="CA127" s="1157">
        <v>0</v>
      </c>
      <c r="CB127" s="1157">
        <v>0</v>
      </c>
      <c r="CC127" s="1148">
        <v>0</v>
      </c>
      <c r="CD127" s="1148">
        <v>0</v>
      </c>
      <c r="CE127" s="1148">
        <v>0</v>
      </c>
      <c r="CF127" s="1148">
        <v>0</v>
      </c>
    </row>
    <row r="128" spans="1:84" s="1148" customFormat="1" x14ac:dyDescent="0.3">
      <c r="A128" s="1146">
        <v>367</v>
      </c>
      <c r="B128" s="1154"/>
      <c r="C128" s="1228">
        <v>367</v>
      </c>
      <c r="D128" s="1146" t="s">
        <v>642</v>
      </c>
      <c r="E128" s="1155" t="s">
        <v>445</v>
      </c>
      <c r="F128" s="1156"/>
      <c r="G128" s="1156"/>
      <c r="H128" s="1156"/>
      <c r="I128" s="1156"/>
      <c r="J128" s="1156"/>
      <c r="K128" s="1156"/>
      <c r="L128" s="1157"/>
      <c r="M128" s="1157"/>
      <c r="N128" s="1157"/>
      <c r="O128" s="1157"/>
      <c r="P128" s="1157"/>
      <c r="Q128" s="1157"/>
      <c r="R128" s="1157"/>
      <c r="S128" s="1157"/>
      <c r="T128" s="1157"/>
      <c r="U128" s="1157"/>
      <c r="V128" s="1157"/>
      <c r="W128" s="1157"/>
      <c r="X128" s="1157"/>
      <c r="Y128" s="1157"/>
      <c r="Z128" s="1157"/>
      <c r="AA128" s="1157"/>
      <c r="AB128" s="1157"/>
      <c r="AC128" s="1157"/>
      <c r="AD128" s="1157"/>
      <c r="AE128" s="1157"/>
      <c r="AF128" s="1157"/>
      <c r="AG128" s="1157"/>
      <c r="AH128" s="1157"/>
      <c r="AI128" s="1157"/>
      <c r="AJ128" s="1157"/>
      <c r="AK128" s="1157"/>
      <c r="AL128" s="1157"/>
      <c r="AM128" s="1157"/>
      <c r="AN128" s="1157"/>
      <c r="AO128" s="1157"/>
      <c r="AP128" s="1157"/>
      <c r="AQ128" s="1157"/>
      <c r="AR128" s="1157"/>
      <c r="AS128" s="1157"/>
      <c r="AT128" s="1157"/>
      <c r="AU128" s="1157"/>
      <c r="AV128" s="1157"/>
      <c r="AW128" s="1157"/>
      <c r="AX128" s="1157"/>
      <c r="AY128" s="1157"/>
      <c r="AZ128" s="1157"/>
      <c r="BA128" s="1157"/>
      <c r="BB128" s="1157"/>
      <c r="BC128" s="1157"/>
      <c r="BD128" s="1157"/>
      <c r="BE128" s="1157"/>
      <c r="BF128" s="1157"/>
      <c r="BG128" s="1157"/>
      <c r="BH128" s="1157"/>
      <c r="BI128" s="1157"/>
      <c r="BJ128" s="1157"/>
      <c r="BK128" s="1157"/>
      <c r="BL128" s="1157"/>
      <c r="BM128" s="1157"/>
      <c r="BN128" s="1157"/>
      <c r="BO128" s="1157"/>
      <c r="BP128" s="1157"/>
      <c r="BQ128" s="1157"/>
      <c r="BR128" s="1157"/>
      <c r="BS128" s="1157"/>
      <c r="BT128" s="1157"/>
      <c r="BU128" s="1157"/>
      <c r="BV128" s="1157"/>
      <c r="BW128" s="1157"/>
      <c r="BX128" s="1157"/>
      <c r="BY128" s="1157"/>
      <c r="BZ128" s="1157"/>
      <c r="CA128" s="1157"/>
      <c r="CB128" s="1157"/>
    </row>
    <row r="129" spans="1:84" s="1148" customFormat="1" x14ac:dyDescent="0.3">
      <c r="A129" s="1153">
        <v>368</v>
      </c>
      <c r="B129" s="1154">
        <v>368</v>
      </c>
      <c r="C129" s="1228">
        <v>368</v>
      </c>
      <c r="D129" s="1146" t="s">
        <v>200</v>
      </c>
      <c r="E129" s="1155" t="s">
        <v>446</v>
      </c>
      <c r="F129" s="1156">
        <v>0</v>
      </c>
      <c r="G129" s="1156">
        <v>0</v>
      </c>
      <c r="H129" s="1156">
        <v>0</v>
      </c>
      <c r="I129" s="1156">
        <v>0</v>
      </c>
      <c r="J129" s="1156">
        <v>0</v>
      </c>
      <c r="K129" s="1156">
        <v>0</v>
      </c>
      <c r="L129" s="1157">
        <v>0</v>
      </c>
      <c r="M129" s="1157">
        <v>0</v>
      </c>
      <c r="N129" s="1157">
        <v>0</v>
      </c>
      <c r="O129" s="1157">
        <v>322382</v>
      </c>
      <c r="P129" s="1157">
        <v>0</v>
      </c>
      <c r="Q129" s="1157">
        <v>0</v>
      </c>
      <c r="R129" s="1157">
        <v>0</v>
      </c>
      <c r="S129" s="1157">
        <v>1154</v>
      </c>
      <c r="T129" s="1157">
        <v>0</v>
      </c>
      <c r="U129" s="1157">
        <v>0</v>
      </c>
      <c r="V129" s="1157">
        <v>131258</v>
      </c>
      <c r="W129" s="1157">
        <v>0</v>
      </c>
      <c r="X129" s="1157">
        <v>0</v>
      </c>
      <c r="Y129" s="1157">
        <v>0</v>
      </c>
      <c r="Z129" s="1157">
        <v>0</v>
      </c>
      <c r="AA129" s="1157">
        <v>5687</v>
      </c>
      <c r="AB129" s="1157">
        <v>0</v>
      </c>
      <c r="AC129" s="1157">
        <v>14745</v>
      </c>
      <c r="AD129" s="1157">
        <v>0</v>
      </c>
      <c r="AE129" s="1157">
        <v>0</v>
      </c>
      <c r="AF129" s="1157">
        <v>0</v>
      </c>
      <c r="AG129" s="1157">
        <v>0</v>
      </c>
      <c r="AH129" s="1157">
        <v>10037</v>
      </c>
      <c r="AI129" s="1157">
        <v>0</v>
      </c>
      <c r="AJ129" s="1157">
        <v>0</v>
      </c>
      <c r="AK129" s="1157">
        <v>0</v>
      </c>
      <c r="AL129" s="1157">
        <v>0</v>
      </c>
      <c r="AM129" s="1157">
        <v>0</v>
      </c>
      <c r="AN129" s="1157">
        <v>0</v>
      </c>
      <c r="AO129" s="1157">
        <v>30900</v>
      </c>
      <c r="AP129" s="1157">
        <v>0</v>
      </c>
      <c r="AQ129" s="1157">
        <v>0</v>
      </c>
      <c r="AR129" s="1157">
        <v>0</v>
      </c>
      <c r="AS129" s="1157">
        <v>0</v>
      </c>
      <c r="AT129" s="1157">
        <v>0</v>
      </c>
      <c r="AU129" s="1157">
        <v>0</v>
      </c>
      <c r="AV129" s="1157">
        <v>0</v>
      </c>
      <c r="AW129" s="1157">
        <v>0</v>
      </c>
      <c r="AX129" s="1157">
        <v>101375</v>
      </c>
      <c r="AY129" s="1157">
        <v>12904</v>
      </c>
      <c r="AZ129" s="1157">
        <v>33000</v>
      </c>
      <c r="BA129" s="1157">
        <v>146825</v>
      </c>
      <c r="BB129" s="1157">
        <v>0</v>
      </c>
      <c r="BC129" s="1157">
        <v>0</v>
      </c>
      <c r="BD129" s="1157">
        <v>0</v>
      </c>
      <c r="BE129" s="1157">
        <v>2775</v>
      </c>
      <c r="BF129" s="1157">
        <v>0</v>
      </c>
      <c r="BG129" s="1157">
        <v>0</v>
      </c>
      <c r="BH129" s="1157">
        <v>0</v>
      </c>
      <c r="BI129" s="1157">
        <v>0</v>
      </c>
      <c r="BJ129" s="1157">
        <v>0</v>
      </c>
      <c r="BK129" s="1157">
        <v>0</v>
      </c>
      <c r="BL129" s="1157">
        <v>0</v>
      </c>
      <c r="BM129" s="1157">
        <v>0</v>
      </c>
      <c r="BN129" s="1157">
        <v>0</v>
      </c>
      <c r="BO129" s="1157">
        <v>0</v>
      </c>
      <c r="BP129" s="1157">
        <v>21000</v>
      </c>
      <c r="BQ129" s="1157">
        <v>0</v>
      </c>
      <c r="BR129" s="1157">
        <v>0</v>
      </c>
      <c r="BS129" s="1157">
        <v>0</v>
      </c>
      <c r="BT129" s="1157">
        <v>0</v>
      </c>
      <c r="BU129" s="1157">
        <v>0</v>
      </c>
      <c r="BV129" s="1157">
        <v>0</v>
      </c>
      <c r="BW129" s="1157">
        <v>1502287</v>
      </c>
      <c r="BX129" s="1157">
        <v>0</v>
      </c>
      <c r="BY129" s="1157">
        <v>0</v>
      </c>
      <c r="BZ129" s="1157">
        <v>0</v>
      </c>
      <c r="CA129" s="1157">
        <v>0</v>
      </c>
      <c r="CB129" s="1157">
        <v>0</v>
      </c>
      <c r="CC129" s="1148">
        <v>0</v>
      </c>
      <c r="CD129" s="1148">
        <v>0</v>
      </c>
      <c r="CE129" s="1148">
        <v>0</v>
      </c>
      <c r="CF129" s="1148">
        <v>0</v>
      </c>
    </row>
    <row r="130" spans="1:84" s="1148" customFormat="1" x14ac:dyDescent="0.3">
      <c r="A130" s="1153">
        <v>369</v>
      </c>
      <c r="B130" s="1154">
        <v>369</v>
      </c>
      <c r="C130" s="1228">
        <v>369</v>
      </c>
      <c r="D130" s="1146" t="s">
        <v>205</v>
      </c>
      <c r="E130" s="1155" t="s">
        <v>447</v>
      </c>
      <c r="F130" s="1156">
        <v>0</v>
      </c>
      <c r="G130" s="1156">
        <v>39288</v>
      </c>
      <c r="H130" s="1156">
        <v>351989</v>
      </c>
      <c r="I130" s="1156">
        <v>906366</v>
      </c>
      <c r="J130" s="1156">
        <v>1460981</v>
      </c>
      <c r="K130" s="1156">
        <v>1338886</v>
      </c>
      <c r="L130" s="1157">
        <v>8609</v>
      </c>
      <c r="M130" s="1157">
        <v>275847</v>
      </c>
      <c r="N130" s="1157">
        <v>57327</v>
      </c>
      <c r="O130" s="1157">
        <v>4620279</v>
      </c>
      <c r="P130" s="1157">
        <v>249147</v>
      </c>
      <c r="Q130" s="1157">
        <v>1143396</v>
      </c>
      <c r="R130" s="1157">
        <v>9892</v>
      </c>
      <c r="S130" s="1157">
        <v>13799933</v>
      </c>
      <c r="T130" s="1157">
        <v>0</v>
      </c>
      <c r="U130" s="1157">
        <v>5125</v>
      </c>
      <c r="V130" s="1157">
        <v>20513968</v>
      </c>
      <c r="W130" s="1157">
        <v>5923365</v>
      </c>
      <c r="X130" s="1157">
        <v>3935861</v>
      </c>
      <c r="Y130" s="1157">
        <v>10044967</v>
      </c>
      <c r="Z130" s="1157">
        <v>188040</v>
      </c>
      <c r="AA130" s="1157">
        <v>5005923</v>
      </c>
      <c r="AB130" s="1157">
        <v>518016</v>
      </c>
      <c r="AC130" s="1157">
        <v>4703836</v>
      </c>
      <c r="AD130" s="1157">
        <v>1551883</v>
      </c>
      <c r="AE130" s="1157">
        <v>1074240</v>
      </c>
      <c r="AF130" s="1157">
        <v>801016</v>
      </c>
      <c r="AG130" s="1157">
        <v>1237165</v>
      </c>
      <c r="AH130" s="1157">
        <v>9968344</v>
      </c>
      <c r="AI130" s="1157">
        <v>1909464</v>
      </c>
      <c r="AJ130" s="1157">
        <v>1143089</v>
      </c>
      <c r="AK130" s="1157">
        <v>12617576</v>
      </c>
      <c r="AL130" s="1157">
        <v>393615</v>
      </c>
      <c r="AM130" s="1157">
        <v>533179</v>
      </c>
      <c r="AN130" s="1157">
        <v>0</v>
      </c>
      <c r="AO130" s="1157">
        <v>2532985</v>
      </c>
      <c r="AP130" s="1157">
        <v>0</v>
      </c>
      <c r="AQ130" s="1157">
        <v>399059</v>
      </c>
      <c r="AR130" s="1157">
        <v>35777</v>
      </c>
      <c r="AS130" s="1157">
        <v>1883500</v>
      </c>
      <c r="AT130" s="1157">
        <v>2112907</v>
      </c>
      <c r="AU130" s="1157">
        <v>331988</v>
      </c>
      <c r="AV130" s="1157">
        <v>919675</v>
      </c>
      <c r="AW130" s="1157">
        <v>0</v>
      </c>
      <c r="AX130" s="1157">
        <v>4496487</v>
      </c>
      <c r="AY130" s="1157">
        <v>778752</v>
      </c>
      <c r="AZ130" s="1157">
        <v>822177</v>
      </c>
      <c r="BA130" s="1157">
        <v>1136758</v>
      </c>
      <c r="BB130" s="1157">
        <v>500676</v>
      </c>
      <c r="BC130" s="1157">
        <v>804346</v>
      </c>
      <c r="BD130" s="1157">
        <v>30669</v>
      </c>
      <c r="BE130" s="1157">
        <v>22151</v>
      </c>
      <c r="BF130" s="1157">
        <v>1013327</v>
      </c>
      <c r="BG130" s="1157">
        <v>75971</v>
      </c>
      <c r="BH130" s="1157">
        <v>47740</v>
      </c>
      <c r="BI130" s="1157">
        <v>46655</v>
      </c>
      <c r="BJ130" s="1157">
        <v>42535</v>
      </c>
      <c r="BK130" s="1157">
        <v>132797</v>
      </c>
      <c r="BL130" s="1157">
        <v>114825</v>
      </c>
      <c r="BM130" s="1157">
        <v>554941</v>
      </c>
      <c r="BN130" s="1157">
        <v>0</v>
      </c>
      <c r="BO130" s="1157">
        <v>712931</v>
      </c>
      <c r="BP130" s="1157">
        <v>616514</v>
      </c>
      <c r="BQ130" s="1157">
        <v>377770</v>
      </c>
      <c r="BR130" s="1157">
        <v>1084223</v>
      </c>
      <c r="BS130" s="1157">
        <v>6728878</v>
      </c>
      <c r="BT130" s="1157">
        <v>437971</v>
      </c>
      <c r="BU130" s="1157">
        <v>5669905</v>
      </c>
      <c r="BV130" s="1157">
        <v>363979</v>
      </c>
      <c r="BW130" s="1157">
        <v>677347</v>
      </c>
      <c r="BX130" s="1157">
        <v>270205</v>
      </c>
      <c r="BY130" s="1157">
        <v>0</v>
      </c>
      <c r="BZ130" s="1157">
        <v>769853</v>
      </c>
      <c r="CA130" s="1157">
        <v>14377</v>
      </c>
      <c r="CB130" s="1157">
        <v>167445</v>
      </c>
      <c r="CC130" s="1148">
        <v>79764</v>
      </c>
      <c r="CD130" s="1148">
        <v>318197</v>
      </c>
      <c r="CE130" s="1148">
        <v>0</v>
      </c>
      <c r="CF130" s="1148">
        <v>39653</v>
      </c>
    </row>
    <row r="131" spans="1:84" s="1148" customFormat="1" x14ac:dyDescent="0.3">
      <c r="A131" s="1153">
        <v>370</v>
      </c>
      <c r="B131" s="1154">
        <v>370</v>
      </c>
      <c r="C131" s="1228">
        <v>370</v>
      </c>
      <c r="D131" s="1146" t="s">
        <v>207</v>
      </c>
      <c r="E131" s="1155" t="s">
        <v>448</v>
      </c>
      <c r="F131" s="1156">
        <v>0</v>
      </c>
      <c r="G131" s="1156">
        <v>3600</v>
      </c>
      <c r="H131" s="1156">
        <v>8940</v>
      </c>
      <c r="I131" s="1156">
        <v>52167</v>
      </c>
      <c r="J131" s="1156">
        <v>0</v>
      </c>
      <c r="K131" s="1156">
        <v>523506</v>
      </c>
      <c r="L131" s="1157">
        <v>0</v>
      </c>
      <c r="M131" s="1157">
        <v>0</v>
      </c>
      <c r="N131" s="1157">
        <v>0</v>
      </c>
      <c r="O131" s="1157">
        <v>842130</v>
      </c>
      <c r="P131" s="1157">
        <v>27928</v>
      </c>
      <c r="Q131" s="1157">
        <v>265825</v>
      </c>
      <c r="R131" s="1157">
        <v>0</v>
      </c>
      <c r="S131" s="1157">
        <v>1567027</v>
      </c>
      <c r="T131" s="1157">
        <v>0</v>
      </c>
      <c r="U131" s="1157">
        <v>0</v>
      </c>
      <c r="V131" s="1157">
        <v>70708316</v>
      </c>
      <c r="W131" s="1157">
        <v>703942</v>
      </c>
      <c r="X131" s="1157">
        <v>1399974</v>
      </c>
      <c r="Y131" s="1157">
        <v>3492066</v>
      </c>
      <c r="Z131" s="1157">
        <v>0</v>
      </c>
      <c r="AA131" s="1157">
        <v>36000</v>
      </c>
      <c r="AB131" s="1157">
        <v>8390</v>
      </c>
      <c r="AC131" s="1157">
        <v>1340888</v>
      </c>
      <c r="AD131" s="1157">
        <v>27409</v>
      </c>
      <c r="AE131" s="1157">
        <v>113166</v>
      </c>
      <c r="AF131" s="1157">
        <v>9862</v>
      </c>
      <c r="AG131" s="1157">
        <v>115405</v>
      </c>
      <c r="AH131" s="1157">
        <v>20849451</v>
      </c>
      <c r="AI131" s="1157">
        <v>0</v>
      </c>
      <c r="AJ131" s="1157">
        <v>54254</v>
      </c>
      <c r="AK131" s="1157">
        <v>2249061</v>
      </c>
      <c r="AL131" s="1157">
        <v>0</v>
      </c>
      <c r="AM131" s="1157">
        <v>0</v>
      </c>
      <c r="AN131" s="1157">
        <v>0</v>
      </c>
      <c r="AO131" s="1157">
        <v>1275254</v>
      </c>
      <c r="AP131" s="1157">
        <v>0</v>
      </c>
      <c r="AQ131" s="1157">
        <v>20135</v>
      </c>
      <c r="AR131" s="1157">
        <v>0</v>
      </c>
      <c r="AS131" s="1157">
        <v>135464</v>
      </c>
      <c r="AT131" s="1157">
        <v>111033</v>
      </c>
      <c r="AU131" s="1157">
        <v>11507</v>
      </c>
      <c r="AV131" s="1157">
        <v>74556</v>
      </c>
      <c r="AW131" s="1157">
        <v>0</v>
      </c>
      <c r="AX131" s="1157">
        <v>1707141</v>
      </c>
      <c r="AY131" s="1157">
        <v>277200</v>
      </c>
      <c r="AZ131" s="1157">
        <v>0</v>
      </c>
      <c r="BA131" s="1157">
        <v>939773</v>
      </c>
      <c r="BB131" s="1157">
        <v>10840</v>
      </c>
      <c r="BC131" s="1157">
        <v>0</v>
      </c>
      <c r="BD131" s="1157">
        <v>0</v>
      </c>
      <c r="BE131" s="1157">
        <v>0</v>
      </c>
      <c r="BF131" s="1157">
        <v>87900</v>
      </c>
      <c r="BG131" s="1157">
        <v>0</v>
      </c>
      <c r="BH131" s="1157">
        <v>0</v>
      </c>
      <c r="BI131" s="1157">
        <v>0</v>
      </c>
      <c r="BJ131" s="1157">
        <v>0</v>
      </c>
      <c r="BK131" s="1157">
        <v>0</v>
      </c>
      <c r="BL131" s="1157">
        <v>18940</v>
      </c>
      <c r="BM131" s="1157">
        <v>257865</v>
      </c>
      <c r="BN131" s="1157">
        <v>0</v>
      </c>
      <c r="BO131" s="1157">
        <v>38370</v>
      </c>
      <c r="BP131" s="1157">
        <v>156349</v>
      </c>
      <c r="BQ131" s="1157">
        <v>36724</v>
      </c>
      <c r="BR131" s="1157">
        <v>156847</v>
      </c>
      <c r="BS131" s="1157">
        <v>310833</v>
      </c>
      <c r="BT131" s="1157">
        <v>0</v>
      </c>
      <c r="BU131" s="1157">
        <v>638580</v>
      </c>
      <c r="BV131" s="1157">
        <v>39968</v>
      </c>
      <c r="BW131" s="1157">
        <v>132976</v>
      </c>
      <c r="BX131" s="1157">
        <v>0</v>
      </c>
      <c r="BY131" s="1157">
        <v>0</v>
      </c>
      <c r="BZ131" s="1157">
        <v>1198</v>
      </c>
      <c r="CA131" s="1157">
        <v>0</v>
      </c>
      <c r="CB131" s="1157">
        <v>0</v>
      </c>
      <c r="CC131" s="1148">
        <v>0</v>
      </c>
      <c r="CD131" s="1148">
        <v>92758</v>
      </c>
      <c r="CE131" s="1148">
        <v>0</v>
      </c>
      <c r="CF131" s="1148">
        <v>0</v>
      </c>
    </row>
    <row r="132" spans="1:84" s="1148" customFormat="1" x14ac:dyDescent="0.3">
      <c r="A132" s="1153">
        <v>371</v>
      </c>
      <c r="B132" s="1154">
        <v>371</v>
      </c>
      <c r="C132" s="1228">
        <v>371</v>
      </c>
      <c r="D132" s="1146" t="s">
        <v>262</v>
      </c>
      <c r="E132" s="1155" t="s">
        <v>449</v>
      </c>
      <c r="F132" s="1156">
        <v>0</v>
      </c>
      <c r="G132" s="1156">
        <v>0</v>
      </c>
      <c r="H132" s="1156">
        <v>0</v>
      </c>
      <c r="I132" s="1156">
        <v>0</v>
      </c>
      <c r="J132" s="1156">
        <v>0</v>
      </c>
      <c r="K132" s="1156">
        <v>0</v>
      </c>
      <c r="L132" s="1157">
        <v>0</v>
      </c>
      <c r="M132" s="1157">
        <v>0</v>
      </c>
      <c r="N132" s="1157">
        <v>0</v>
      </c>
      <c r="O132" s="1157">
        <v>0</v>
      </c>
      <c r="P132" s="1157">
        <v>0</v>
      </c>
      <c r="Q132" s="1157">
        <v>0</v>
      </c>
      <c r="R132" s="1157">
        <v>0</v>
      </c>
      <c r="S132" s="1157">
        <v>0</v>
      </c>
      <c r="T132" s="1157">
        <v>0</v>
      </c>
      <c r="U132" s="1157">
        <v>0</v>
      </c>
      <c r="V132" s="1157">
        <v>0</v>
      </c>
      <c r="W132" s="1157">
        <v>0</v>
      </c>
      <c r="X132" s="1157">
        <v>0</v>
      </c>
      <c r="Y132" s="1157">
        <v>0</v>
      </c>
      <c r="Z132" s="1157">
        <v>0</v>
      </c>
      <c r="AA132" s="1157">
        <v>0</v>
      </c>
      <c r="AB132" s="1157">
        <v>0</v>
      </c>
      <c r="AC132" s="1157">
        <v>0</v>
      </c>
      <c r="AD132" s="1157">
        <v>0</v>
      </c>
      <c r="AE132" s="1157">
        <v>0</v>
      </c>
      <c r="AF132" s="1157">
        <v>0</v>
      </c>
      <c r="AG132" s="1157">
        <v>0</v>
      </c>
      <c r="AH132" s="1157">
        <v>0</v>
      </c>
      <c r="AI132" s="1157">
        <v>0</v>
      </c>
      <c r="AJ132" s="1157">
        <v>0</v>
      </c>
      <c r="AK132" s="1157">
        <v>0</v>
      </c>
      <c r="AL132" s="1157">
        <v>0</v>
      </c>
      <c r="AM132" s="1157">
        <v>0</v>
      </c>
      <c r="AN132" s="1157">
        <v>0</v>
      </c>
      <c r="AO132" s="1157">
        <v>0</v>
      </c>
      <c r="AP132" s="1157">
        <v>0</v>
      </c>
      <c r="AQ132" s="1157">
        <v>0</v>
      </c>
      <c r="AR132" s="1157">
        <v>0</v>
      </c>
      <c r="AS132" s="1157">
        <v>0</v>
      </c>
      <c r="AT132" s="1157">
        <v>0</v>
      </c>
      <c r="AU132" s="1157">
        <v>0</v>
      </c>
      <c r="AV132" s="1157">
        <v>0</v>
      </c>
      <c r="AW132" s="1157">
        <v>0</v>
      </c>
      <c r="AX132" s="1157">
        <v>0</v>
      </c>
      <c r="AY132" s="1157">
        <v>0</v>
      </c>
      <c r="AZ132" s="1157">
        <v>0</v>
      </c>
      <c r="BA132" s="1157">
        <v>0</v>
      </c>
      <c r="BB132" s="1157">
        <v>0</v>
      </c>
      <c r="BC132" s="1157">
        <v>0</v>
      </c>
      <c r="BD132" s="1157">
        <v>0</v>
      </c>
      <c r="BE132" s="1157">
        <v>0</v>
      </c>
      <c r="BF132" s="1157">
        <v>0</v>
      </c>
      <c r="BG132" s="1157">
        <v>0</v>
      </c>
      <c r="BH132" s="1157">
        <v>0</v>
      </c>
      <c r="BI132" s="1157">
        <v>0</v>
      </c>
      <c r="BJ132" s="1157">
        <v>0</v>
      </c>
      <c r="BK132" s="1157">
        <v>0</v>
      </c>
      <c r="BL132" s="1157">
        <v>0</v>
      </c>
      <c r="BM132" s="1157">
        <v>0</v>
      </c>
      <c r="BN132" s="1157">
        <v>0</v>
      </c>
      <c r="BO132" s="1157">
        <v>0</v>
      </c>
      <c r="BP132" s="1157">
        <v>0</v>
      </c>
      <c r="BQ132" s="1157">
        <v>0</v>
      </c>
      <c r="BR132" s="1157">
        <v>0</v>
      </c>
      <c r="BS132" s="1157">
        <v>0</v>
      </c>
      <c r="BT132" s="1157">
        <v>0</v>
      </c>
      <c r="BU132" s="1157">
        <v>0</v>
      </c>
      <c r="BV132" s="1157">
        <v>0</v>
      </c>
      <c r="BW132" s="1157">
        <v>0</v>
      </c>
      <c r="BX132" s="1157">
        <v>0</v>
      </c>
      <c r="BY132" s="1157">
        <v>0</v>
      </c>
      <c r="BZ132" s="1157">
        <v>0</v>
      </c>
      <c r="CA132" s="1157">
        <v>0</v>
      </c>
      <c r="CB132" s="1157">
        <v>0</v>
      </c>
      <c r="CC132" s="1148">
        <v>0</v>
      </c>
      <c r="CD132" s="1148">
        <v>0</v>
      </c>
      <c r="CE132" s="1148">
        <v>0</v>
      </c>
      <c r="CF132" s="1148">
        <v>0</v>
      </c>
    </row>
    <row r="133" spans="1:84" s="1148" customFormat="1" x14ac:dyDescent="0.3">
      <c r="A133" s="1153">
        <v>373</v>
      </c>
      <c r="B133" s="1154">
        <v>373</v>
      </c>
      <c r="C133" s="1228">
        <v>373</v>
      </c>
      <c r="D133" s="1146" t="s">
        <v>549</v>
      </c>
      <c r="E133" s="1155" t="s">
        <v>450</v>
      </c>
      <c r="F133" s="1156">
        <v>0</v>
      </c>
      <c r="G133" s="1156">
        <v>80798</v>
      </c>
      <c r="H133" s="1156">
        <v>1012913</v>
      </c>
      <c r="I133" s="1156">
        <v>5906604</v>
      </c>
      <c r="J133" s="1156">
        <v>465044</v>
      </c>
      <c r="K133" s="1156">
        <v>1384704</v>
      </c>
      <c r="L133" s="1157">
        <v>55032</v>
      </c>
      <c r="M133" s="1157">
        <v>263324</v>
      </c>
      <c r="N133" s="1157">
        <v>311209</v>
      </c>
      <c r="O133" s="1157">
        <v>22734526</v>
      </c>
      <c r="P133" s="1157">
        <v>325071</v>
      </c>
      <c r="Q133" s="1157">
        <v>7569597</v>
      </c>
      <c r="R133" s="1157">
        <v>81587</v>
      </c>
      <c r="S133" s="1157">
        <v>83669779</v>
      </c>
      <c r="T133" s="1157">
        <v>0</v>
      </c>
      <c r="U133" s="1157">
        <v>188585</v>
      </c>
      <c r="V133" s="1157">
        <v>83695704</v>
      </c>
      <c r="W133" s="1157">
        <v>14483767</v>
      </c>
      <c r="X133" s="1157">
        <v>81737471</v>
      </c>
      <c r="Y133" s="1157">
        <v>47254799</v>
      </c>
      <c r="Z133" s="1157">
        <v>265413</v>
      </c>
      <c r="AA133" s="1157">
        <v>31705344</v>
      </c>
      <c r="AB133" s="1157">
        <v>1589423</v>
      </c>
      <c r="AC133" s="1157">
        <v>11264144</v>
      </c>
      <c r="AD133" s="1157">
        <v>7915147</v>
      </c>
      <c r="AE133" s="1157">
        <v>2979633</v>
      </c>
      <c r="AF133" s="1157">
        <v>0</v>
      </c>
      <c r="AG133" s="1157">
        <v>3554149</v>
      </c>
      <c r="AH133" s="1157">
        <v>66417519</v>
      </c>
      <c r="AI133" s="1157">
        <v>7288099</v>
      </c>
      <c r="AJ133" s="1157">
        <v>1359346</v>
      </c>
      <c r="AK133" s="1157">
        <v>42162691</v>
      </c>
      <c r="AL133" s="1157">
        <v>1101545</v>
      </c>
      <c r="AM133" s="1157">
        <v>1083550</v>
      </c>
      <c r="AN133" s="1157">
        <v>0</v>
      </c>
      <c r="AO133" s="1157">
        <v>21886951</v>
      </c>
      <c r="AP133" s="1157">
        <v>0</v>
      </c>
      <c r="AQ133" s="1157">
        <v>474421</v>
      </c>
      <c r="AR133" s="1157">
        <v>105281</v>
      </c>
      <c r="AS133" s="1157">
        <v>11724231</v>
      </c>
      <c r="AT133" s="1157">
        <v>11243812</v>
      </c>
      <c r="AU133" s="1157">
        <v>348533</v>
      </c>
      <c r="AV133" s="1157">
        <v>2288170</v>
      </c>
      <c r="AW133" s="1157">
        <v>0</v>
      </c>
      <c r="AX133" s="1157">
        <v>14358700</v>
      </c>
      <c r="AY133" s="1157">
        <v>2251685</v>
      </c>
      <c r="AZ133" s="1157">
        <v>2584730</v>
      </c>
      <c r="BA133" s="1157">
        <v>4390008</v>
      </c>
      <c r="BB133" s="1157">
        <v>1634840</v>
      </c>
      <c r="BC133" s="1157">
        <v>548484</v>
      </c>
      <c r="BD133" s="1157">
        <v>17991</v>
      </c>
      <c r="BE133" s="1157">
        <v>19586</v>
      </c>
      <c r="BF133" s="1157">
        <v>11888447</v>
      </c>
      <c r="BG133" s="1157">
        <v>236513</v>
      </c>
      <c r="BH133" s="1157">
        <v>262868</v>
      </c>
      <c r="BI133" s="1157">
        <v>209758</v>
      </c>
      <c r="BJ133" s="1157">
        <v>127071</v>
      </c>
      <c r="BK133" s="1157">
        <v>366752</v>
      </c>
      <c r="BL133" s="1157">
        <v>30962</v>
      </c>
      <c r="BM133" s="1157">
        <v>4216152</v>
      </c>
      <c r="BN133" s="1157">
        <v>0</v>
      </c>
      <c r="BO133" s="1157">
        <v>3282256</v>
      </c>
      <c r="BP133" s="1157">
        <v>4607776</v>
      </c>
      <c r="BQ133" s="1157">
        <v>1539090</v>
      </c>
      <c r="BR133" s="1157">
        <v>2462289</v>
      </c>
      <c r="BS133" s="1157">
        <v>24048411</v>
      </c>
      <c r="BT133" s="1157">
        <v>1597627</v>
      </c>
      <c r="BU133" s="1157">
        <v>16914133</v>
      </c>
      <c r="BV133" s="1157">
        <v>1686326</v>
      </c>
      <c r="BW133" s="1157">
        <v>3722143</v>
      </c>
      <c r="BX133" s="1157">
        <v>932919</v>
      </c>
      <c r="BY133" s="1157">
        <v>0</v>
      </c>
      <c r="BZ133" s="1157">
        <v>566486</v>
      </c>
      <c r="CA133" s="1157">
        <v>69286</v>
      </c>
      <c r="CB133" s="1157">
        <v>227389</v>
      </c>
      <c r="CC133" s="1148">
        <v>55363</v>
      </c>
      <c r="CD133" s="1148">
        <v>1419728</v>
      </c>
      <c r="CE133" s="1148">
        <v>0</v>
      </c>
      <c r="CF133" s="1148">
        <v>133653</v>
      </c>
    </row>
    <row r="134" spans="1:84" s="1148" customFormat="1" x14ac:dyDescent="0.3">
      <c r="A134" s="1153">
        <v>375</v>
      </c>
      <c r="B134" s="1154">
        <v>375</v>
      </c>
      <c r="C134" s="1228">
        <v>375</v>
      </c>
      <c r="D134" s="1146" t="s">
        <v>222</v>
      </c>
      <c r="E134" s="1155" t="s">
        <v>451</v>
      </c>
      <c r="F134" s="1156">
        <v>0</v>
      </c>
      <c r="G134" s="1156">
        <v>0</v>
      </c>
      <c r="H134" s="1156">
        <v>661727</v>
      </c>
      <c r="I134" s="1156">
        <v>0</v>
      </c>
      <c r="J134" s="1156">
        <v>0</v>
      </c>
      <c r="K134" s="1156">
        <v>0</v>
      </c>
      <c r="L134" s="1157">
        <v>51424</v>
      </c>
      <c r="M134" s="1157">
        <v>0</v>
      </c>
      <c r="N134" s="1157">
        <v>0</v>
      </c>
      <c r="O134" s="1157">
        <v>0</v>
      </c>
      <c r="P134" s="1157">
        <v>0</v>
      </c>
      <c r="Q134" s="1157">
        <v>-920862</v>
      </c>
      <c r="R134" s="1157">
        <v>0</v>
      </c>
      <c r="S134" s="1157">
        <v>38775212</v>
      </c>
      <c r="T134" s="1157">
        <v>0</v>
      </c>
      <c r="U134" s="1157">
        <v>0</v>
      </c>
      <c r="V134" s="1157">
        <v>51209734</v>
      </c>
      <c r="W134" s="1157">
        <v>6928202</v>
      </c>
      <c r="X134" s="1157">
        <v>14919537</v>
      </c>
      <c r="Y134" s="1157">
        <v>0</v>
      </c>
      <c r="Z134" s="1157">
        <v>308487</v>
      </c>
      <c r="AA134" s="1157">
        <v>4159768</v>
      </c>
      <c r="AB134" s="1157">
        <v>1591702</v>
      </c>
      <c r="AC134" s="1157">
        <v>12558176</v>
      </c>
      <c r="AD134" s="1157">
        <v>673025</v>
      </c>
      <c r="AE134" s="1157">
        <v>937531</v>
      </c>
      <c r="AF134" s="1157">
        <v>642128</v>
      </c>
      <c r="AG134" s="1157">
        <v>1983428</v>
      </c>
      <c r="AH134" s="1157">
        <v>2788535</v>
      </c>
      <c r="AI134" s="1157">
        <v>1682230</v>
      </c>
      <c r="AJ134" s="1157">
        <v>130491</v>
      </c>
      <c r="AK134" s="1157">
        <v>85901104</v>
      </c>
      <c r="AL134" s="1157">
        <v>815748</v>
      </c>
      <c r="AM134" s="1157">
        <v>390678</v>
      </c>
      <c r="AN134" s="1157">
        <v>0</v>
      </c>
      <c r="AO134" s="1157">
        <v>2377332</v>
      </c>
      <c r="AP134" s="1157">
        <v>0</v>
      </c>
      <c r="AQ134" s="1157">
        <v>-16111</v>
      </c>
      <c r="AR134" s="1157">
        <v>0</v>
      </c>
      <c r="AS134" s="1157">
        <v>0</v>
      </c>
      <c r="AT134" s="1157">
        <v>3683393</v>
      </c>
      <c r="AU134" s="1157">
        <v>0</v>
      </c>
      <c r="AV134" s="1157">
        <v>367137</v>
      </c>
      <c r="AW134" s="1157">
        <v>0</v>
      </c>
      <c r="AX134" s="1157">
        <v>32890670</v>
      </c>
      <c r="AY134" s="1157">
        <v>0</v>
      </c>
      <c r="AZ134" s="1157">
        <v>2415130</v>
      </c>
      <c r="BA134" s="1157">
        <v>5360193</v>
      </c>
      <c r="BB134" s="1157">
        <v>949664</v>
      </c>
      <c r="BC134" s="1157">
        <v>158788</v>
      </c>
      <c r="BD134" s="1157">
        <v>0</v>
      </c>
      <c r="BE134" s="1157">
        <v>-21613</v>
      </c>
      <c r="BF134" s="1157">
        <v>12356524</v>
      </c>
      <c r="BG134" s="1157">
        <v>0</v>
      </c>
      <c r="BH134" s="1157">
        <v>99466</v>
      </c>
      <c r="BI134" s="1157">
        <v>103787</v>
      </c>
      <c r="BJ134" s="1157">
        <v>0</v>
      </c>
      <c r="BK134" s="1157">
        <v>285427</v>
      </c>
      <c r="BL134" s="1157">
        <v>0</v>
      </c>
      <c r="BM134" s="1157">
        <v>1707042</v>
      </c>
      <c r="BN134" s="1157">
        <v>0</v>
      </c>
      <c r="BO134" s="1157">
        <v>142611</v>
      </c>
      <c r="BP134" s="1157">
        <v>949686</v>
      </c>
      <c r="BQ134" s="1157">
        <v>614924</v>
      </c>
      <c r="BR134" s="1157">
        <v>956916</v>
      </c>
      <c r="BS134" s="1157">
        <v>0</v>
      </c>
      <c r="BT134" s="1157">
        <v>329962</v>
      </c>
      <c r="BU134" s="1157">
        <v>0</v>
      </c>
      <c r="BV134" s="1157">
        <v>605642</v>
      </c>
      <c r="BW134" s="1157">
        <v>3377931</v>
      </c>
      <c r="BX134" s="1157">
        <v>0</v>
      </c>
      <c r="BY134" s="1157">
        <v>0</v>
      </c>
      <c r="BZ134" s="1157">
        <v>1117074</v>
      </c>
      <c r="CA134" s="1157">
        <v>1670</v>
      </c>
      <c r="CB134" s="1157">
        <v>231318</v>
      </c>
      <c r="CC134" s="1148">
        <v>27032</v>
      </c>
      <c r="CD134" s="1148">
        <v>420198</v>
      </c>
      <c r="CE134" s="1148">
        <v>0</v>
      </c>
      <c r="CF134" s="1148">
        <v>14151</v>
      </c>
    </row>
    <row r="135" spans="1:84" s="1148" customFormat="1" x14ac:dyDescent="0.3">
      <c r="A135" s="1153">
        <v>376</v>
      </c>
      <c r="B135" s="1154">
        <v>376</v>
      </c>
      <c r="C135" s="1228">
        <v>376</v>
      </c>
      <c r="D135" s="1146" t="s">
        <v>108</v>
      </c>
      <c r="E135" s="1155" t="s">
        <v>452</v>
      </c>
      <c r="F135" s="1156">
        <v>0</v>
      </c>
      <c r="G135" s="1156">
        <v>0</v>
      </c>
      <c r="H135" s="1156">
        <v>0</v>
      </c>
      <c r="I135" s="1156">
        <v>0</v>
      </c>
      <c r="J135" s="1156">
        <v>2</v>
      </c>
      <c r="K135" s="1156">
        <v>0</v>
      </c>
      <c r="L135" s="1157">
        <v>0</v>
      </c>
      <c r="M135" s="1157">
        <v>0</v>
      </c>
      <c r="N135" s="1157">
        <v>0</v>
      </c>
      <c r="O135" s="1157">
        <v>0</v>
      </c>
      <c r="P135" s="1157">
        <v>0</v>
      </c>
      <c r="Q135" s="1157">
        <v>0</v>
      </c>
      <c r="R135" s="1157">
        <v>0</v>
      </c>
      <c r="S135" s="1157">
        <v>0</v>
      </c>
      <c r="T135" s="1157">
        <v>0</v>
      </c>
      <c r="U135" s="1157">
        <v>0</v>
      </c>
      <c r="V135" s="1157">
        <v>0</v>
      </c>
      <c r="W135" s="1157">
        <v>0</v>
      </c>
      <c r="X135" s="1157">
        <v>0</v>
      </c>
      <c r="Y135" s="1157">
        <v>0</v>
      </c>
      <c r="Z135" s="1157">
        <v>0</v>
      </c>
      <c r="AA135" s="1157">
        <v>0</v>
      </c>
      <c r="AB135" s="1157">
        <v>0</v>
      </c>
      <c r="AC135" s="1157">
        <v>0</v>
      </c>
      <c r="AD135" s="1157">
        <v>0</v>
      </c>
      <c r="AE135" s="1157">
        <v>0</v>
      </c>
      <c r="AF135" s="1157">
        <v>0</v>
      </c>
      <c r="AG135" s="1157">
        <v>0</v>
      </c>
      <c r="AH135" s="1157">
        <v>0</v>
      </c>
      <c r="AI135" s="1157">
        <v>0</v>
      </c>
      <c r="AJ135" s="1157">
        <v>23891</v>
      </c>
      <c r="AK135" s="1157">
        <v>2430879</v>
      </c>
      <c r="AL135" s="1157">
        <v>0</v>
      </c>
      <c r="AM135" s="1157">
        <v>0</v>
      </c>
      <c r="AN135" s="1157">
        <v>0</v>
      </c>
      <c r="AO135" s="1157">
        <v>569083</v>
      </c>
      <c r="AP135" s="1157">
        <v>0</v>
      </c>
      <c r="AQ135" s="1157">
        <v>0</v>
      </c>
      <c r="AR135" s="1157">
        <v>0</v>
      </c>
      <c r="AS135" s="1157">
        <v>0</v>
      </c>
      <c r="AT135" s="1157">
        <v>0</v>
      </c>
      <c r="AU135" s="1157">
        <v>0</v>
      </c>
      <c r="AV135" s="1157">
        <v>0</v>
      </c>
      <c r="AW135" s="1157">
        <v>0</v>
      </c>
      <c r="AX135" s="1157">
        <v>0</v>
      </c>
      <c r="AY135" s="1157">
        <v>0</v>
      </c>
      <c r="AZ135" s="1157">
        <v>-2</v>
      </c>
      <c r="BA135" s="1157">
        <v>0</v>
      </c>
      <c r="BB135" s="1157">
        <v>0</v>
      </c>
      <c r="BC135" s="1157">
        <v>0</v>
      </c>
      <c r="BD135" s="1157">
        <v>0</v>
      </c>
      <c r="BE135" s="1157">
        <v>0</v>
      </c>
      <c r="BF135" s="1157">
        <v>0</v>
      </c>
      <c r="BG135" s="1157">
        <v>0</v>
      </c>
      <c r="BH135" s="1157">
        <v>-701</v>
      </c>
      <c r="BI135" s="1157">
        <v>1</v>
      </c>
      <c r="BJ135" s="1157">
        <v>0</v>
      </c>
      <c r="BK135" s="1157">
        <v>0</v>
      </c>
      <c r="BL135" s="1157">
        <v>0</v>
      </c>
      <c r="BM135" s="1157">
        <v>0</v>
      </c>
      <c r="BN135" s="1157">
        <v>0</v>
      </c>
      <c r="BO135" s="1157">
        <v>0</v>
      </c>
      <c r="BP135" s="1157">
        <v>0</v>
      </c>
      <c r="BQ135" s="1157">
        <v>0</v>
      </c>
      <c r="BR135" s="1157">
        <v>0</v>
      </c>
      <c r="BS135" s="1157">
        <v>0</v>
      </c>
      <c r="BT135" s="1157">
        <v>0</v>
      </c>
      <c r="BU135" s="1157">
        <v>0</v>
      </c>
      <c r="BV135" s="1157">
        <v>0</v>
      </c>
      <c r="BW135" s="1157">
        <v>0</v>
      </c>
      <c r="BX135" s="1157">
        <v>0</v>
      </c>
      <c r="BY135" s="1157">
        <v>0</v>
      </c>
      <c r="BZ135" s="1157">
        <v>0</v>
      </c>
      <c r="CA135" s="1157">
        <v>0</v>
      </c>
      <c r="CB135" s="1157">
        <v>0</v>
      </c>
      <c r="CC135" s="1148">
        <v>0</v>
      </c>
      <c r="CD135" s="1148">
        <v>0</v>
      </c>
      <c r="CE135" s="1148">
        <v>0</v>
      </c>
      <c r="CF135" s="1148">
        <v>0</v>
      </c>
    </row>
    <row r="136" spans="1:84" s="1148" customFormat="1" x14ac:dyDescent="0.3">
      <c r="A136" s="1153">
        <v>377</v>
      </c>
      <c r="B136" s="1154">
        <v>377</v>
      </c>
      <c r="C136" s="1228">
        <v>377</v>
      </c>
      <c r="D136" s="1146" t="s">
        <v>109</v>
      </c>
      <c r="E136" s="1155" t="s">
        <v>453</v>
      </c>
      <c r="F136" s="1156">
        <v>0</v>
      </c>
      <c r="G136" s="1156">
        <v>0</v>
      </c>
      <c r="H136" s="1156">
        <v>0</v>
      </c>
      <c r="I136" s="1156">
        <v>0</v>
      </c>
      <c r="J136" s="1156">
        <v>0</v>
      </c>
      <c r="K136" s="1156">
        <v>0</v>
      </c>
      <c r="L136" s="1157">
        <v>0</v>
      </c>
      <c r="M136" s="1157">
        <v>0</v>
      </c>
      <c r="N136" s="1157">
        <v>0</v>
      </c>
      <c r="O136" s="1157">
        <v>0</v>
      </c>
      <c r="P136" s="1157">
        <v>0</v>
      </c>
      <c r="Q136" s="1157">
        <v>-1</v>
      </c>
      <c r="R136" s="1157">
        <v>0</v>
      </c>
      <c r="S136" s="1157">
        <v>0</v>
      </c>
      <c r="T136" s="1157">
        <v>0</v>
      </c>
      <c r="U136" s="1157">
        <v>0</v>
      </c>
      <c r="V136" s="1157">
        <v>0</v>
      </c>
      <c r="W136" s="1157">
        <v>0</v>
      </c>
      <c r="X136" s="1157">
        <v>0</v>
      </c>
      <c r="Y136" s="1157">
        <v>0</v>
      </c>
      <c r="Z136" s="1157">
        <v>0</v>
      </c>
      <c r="AA136" s="1157">
        <v>0</v>
      </c>
      <c r="AB136" s="1157">
        <v>0</v>
      </c>
      <c r="AC136" s="1157">
        <v>0</v>
      </c>
      <c r="AD136" s="1157">
        <v>0</v>
      </c>
      <c r="AE136" s="1157">
        <v>0</v>
      </c>
      <c r="AF136" s="1157">
        <v>0</v>
      </c>
      <c r="AG136" s="1157">
        <v>0</v>
      </c>
      <c r="AH136" s="1157">
        <v>0</v>
      </c>
      <c r="AI136" s="1157">
        <v>0</v>
      </c>
      <c r="AJ136" s="1157">
        <v>0</v>
      </c>
      <c r="AK136" s="1157">
        <v>-6000</v>
      </c>
      <c r="AL136" s="1157">
        <v>0</v>
      </c>
      <c r="AM136" s="1157">
        <v>0</v>
      </c>
      <c r="AN136" s="1157">
        <v>0</v>
      </c>
      <c r="AO136" s="1157">
        <v>201690</v>
      </c>
      <c r="AP136" s="1157">
        <v>0</v>
      </c>
      <c r="AQ136" s="1157">
        <v>0</v>
      </c>
      <c r="AR136" s="1157">
        <v>0</v>
      </c>
      <c r="AS136" s="1157">
        <v>0</v>
      </c>
      <c r="AT136" s="1157">
        <v>0</v>
      </c>
      <c r="AU136" s="1157">
        <v>0</v>
      </c>
      <c r="AV136" s="1157">
        <v>0</v>
      </c>
      <c r="AW136" s="1157">
        <v>0</v>
      </c>
      <c r="AX136" s="1157">
        <v>0</v>
      </c>
      <c r="AY136" s="1157">
        <v>0</v>
      </c>
      <c r="AZ136" s="1157">
        <v>0</v>
      </c>
      <c r="BA136" s="1157">
        <v>0</v>
      </c>
      <c r="BB136" s="1157">
        <v>0</v>
      </c>
      <c r="BC136" s="1157">
        <v>0</v>
      </c>
      <c r="BD136" s="1157">
        <v>0</v>
      </c>
      <c r="BE136" s="1157">
        <v>0</v>
      </c>
      <c r="BF136" s="1157">
        <v>0</v>
      </c>
      <c r="BG136" s="1157">
        <v>0</v>
      </c>
      <c r="BH136" s="1157">
        <v>0</v>
      </c>
      <c r="BI136" s="1157">
        <v>0</v>
      </c>
      <c r="BJ136" s="1157">
        <v>0</v>
      </c>
      <c r="BK136" s="1157">
        <v>0</v>
      </c>
      <c r="BL136" s="1157">
        <v>0</v>
      </c>
      <c r="BM136" s="1157">
        <v>0</v>
      </c>
      <c r="BN136" s="1157">
        <v>0</v>
      </c>
      <c r="BO136" s="1157">
        <v>0</v>
      </c>
      <c r="BP136" s="1157">
        <v>0</v>
      </c>
      <c r="BQ136" s="1157">
        <v>110</v>
      </c>
      <c r="BR136" s="1157">
        <v>0</v>
      </c>
      <c r="BS136" s="1157">
        <v>0</v>
      </c>
      <c r="BT136" s="1157">
        <v>0</v>
      </c>
      <c r="BU136" s="1157">
        <v>0</v>
      </c>
      <c r="BV136" s="1157">
        <v>0</v>
      </c>
      <c r="BW136" s="1157">
        <v>0</v>
      </c>
      <c r="BX136" s="1157">
        <v>0</v>
      </c>
      <c r="BY136" s="1157">
        <v>0</v>
      </c>
      <c r="BZ136" s="1157">
        <v>0</v>
      </c>
      <c r="CA136" s="1157">
        <v>0</v>
      </c>
      <c r="CB136" s="1157">
        <v>0</v>
      </c>
      <c r="CC136" s="1148">
        <v>0</v>
      </c>
      <c r="CD136" s="1148">
        <v>0</v>
      </c>
      <c r="CE136" s="1148">
        <v>0</v>
      </c>
      <c r="CF136" s="1148">
        <v>2</v>
      </c>
    </row>
    <row r="137" spans="1:84" s="1148" customFormat="1" x14ac:dyDescent="0.3">
      <c r="A137" s="1153">
        <v>378</v>
      </c>
      <c r="B137" s="1154">
        <v>378</v>
      </c>
      <c r="C137" s="1228">
        <v>378</v>
      </c>
      <c r="D137" s="1146" t="s">
        <v>110</v>
      </c>
      <c r="E137" s="1155" t="s">
        <v>454</v>
      </c>
      <c r="F137" s="1156">
        <v>0</v>
      </c>
      <c r="G137" s="1156">
        <v>0</v>
      </c>
      <c r="H137" s="1156">
        <v>0</v>
      </c>
      <c r="I137" s="1156">
        <v>0</v>
      </c>
      <c r="J137" s="1156">
        <v>0</v>
      </c>
      <c r="K137" s="1156">
        <v>0</v>
      </c>
      <c r="L137" s="1157">
        <v>0</v>
      </c>
      <c r="M137" s="1157">
        <v>0</v>
      </c>
      <c r="N137" s="1157">
        <v>0</v>
      </c>
      <c r="O137" s="1157">
        <v>0</v>
      </c>
      <c r="P137" s="1157">
        <v>0</v>
      </c>
      <c r="Q137" s="1157">
        <v>0</v>
      </c>
      <c r="R137" s="1157">
        <v>0</v>
      </c>
      <c r="S137" s="1157">
        <v>0</v>
      </c>
      <c r="T137" s="1157">
        <v>0</v>
      </c>
      <c r="U137" s="1157">
        <v>0</v>
      </c>
      <c r="V137" s="1157">
        <v>0</v>
      </c>
      <c r="W137" s="1157">
        <v>0</v>
      </c>
      <c r="X137" s="1157">
        <v>0</v>
      </c>
      <c r="Y137" s="1157">
        <v>0</v>
      </c>
      <c r="Z137" s="1157">
        <v>0</v>
      </c>
      <c r="AA137" s="1157">
        <v>0</v>
      </c>
      <c r="AB137" s="1157">
        <v>0</v>
      </c>
      <c r="AC137" s="1157">
        <v>0</v>
      </c>
      <c r="AD137" s="1157">
        <v>0</v>
      </c>
      <c r="AE137" s="1157">
        <v>0</v>
      </c>
      <c r="AF137" s="1157">
        <v>0</v>
      </c>
      <c r="AG137" s="1157">
        <v>0</v>
      </c>
      <c r="AH137" s="1157">
        <v>0</v>
      </c>
      <c r="AI137" s="1157">
        <v>0</v>
      </c>
      <c r="AJ137" s="1157">
        <v>0</v>
      </c>
      <c r="AK137" s="1157">
        <v>-351204</v>
      </c>
      <c r="AL137" s="1157">
        <v>0</v>
      </c>
      <c r="AM137" s="1157">
        <v>0</v>
      </c>
      <c r="AN137" s="1157">
        <v>0</v>
      </c>
      <c r="AO137" s="1157">
        <v>496840</v>
      </c>
      <c r="AP137" s="1157">
        <v>0</v>
      </c>
      <c r="AQ137" s="1157">
        <v>0</v>
      </c>
      <c r="AR137" s="1157">
        <v>0</v>
      </c>
      <c r="AS137" s="1157">
        <v>0</v>
      </c>
      <c r="AT137" s="1157">
        <v>0</v>
      </c>
      <c r="AU137" s="1157">
        <v>0</v>
      </c>
      <c r="AV137" s="1157">
        <v>0</v>
      </c>
      <c r="AW137" s="1157">
        <v>0</v>
      </c>
      <c r="AX137" s="1157">
        <v>0</v>
      </c>
      <c r="AY137" s="1157">
        <v>0</v>
      </c>
      <c r="AZ137" s="1157">
        <v>0</v>
      </c>
      <c r="BA137" s="1157">
        <v>0</v>
      </c>
      <c r="BB137" s="1157">
        <v>0</v>
      </c>
      <c r="BC137" s="1157">
        <v>0</v>
      </c>
      <c r="BD137" s="1157">
        <v>0</v>
      </c>
      <c r="BE137" s="1157">
        <v>0</v>
      </c>
      <c r="BF137" s="1157">
        <v>0</v>
      </c>
      <c r="BG137" s="1157">
        <v>0</v>
      </c>
      <c r="BH137" s="1157">
        <v>0</v>
      </c>
      <c r="BI137" s="1157">
        <v>0</v>
      </c>
      <c r="BJ137" s="1157">
        <v>0</v>
      </c>
      <c r="BK137" s="1157">
        <v>0</v>
      </c>
      <c r="BL137" s="1157">
        <v>0</v>
      </c>
      <c r="BM137" s="1157">
        <v>0</v>
      </c>
      <c r="BN137" s="1157">
        <v>0</v>
      </c>
      <c r="BO137" s="1157">
        <v>0</v>
      </c>
      <c r="BP137" s="1157">
        <v>0</v>
      </c>
      <c r="BQ137" s="1157">
        <v>0</v>
      </c>
      <c r="BR137" s="1157">
        <v>0</v>
      </c>
      <c r="BS137" s="1157">
        <v>0</v>
      </c>
      <c r="BT137" s="1157">
        <v>0</v>
      </c>
      <c r="BU137" s="1157">
        <v>0</v>
      </c>
      <c r="BV137" s="1157">
        <v>0</v>
      </c>
      <c r="BW137" s="1157">
        <v>0</v>
      </c>
      <c r="BX137" s="1157">
        <v>0</v>
      </c>
      <c r="BY137" s="1157">
        <v>0</v>
      </c>
      <c r="BZ137" s="1157">
        <v>0</v>
      </c>
      <c r="CA137" s="1157">
        <v>0</v>
      </c>
      <c r="CB137" s="1157">
        <v>0</v>
      </c>
      <c r="CC137" s="1148">
        <v>0</v>
      </c>
      <c r="CD137" s="1148">
        <v>0</v>
      </c>
      <c r="CE137" s="1148">
        <v>0</v>
      </c>
      <c r="CF137" s="1148">
        <v>0</v>
      </c>
    </row>
    <row r="138" spans="1:84" s="1148" customFormat="1" x14ac:dyDescent="0.3">
      <c r="A138" s="1153">
        <v>379</v>
      </c>
      <c r="B138" s="1154">
        <v>379</v>
      </c>
      <c r="C138" s="1228">
        <v>379</v>
      </c>
      <c r="D138" s="1146" t="s">
        <v>118</v>
      </c>
      <c r="E138" s="1155" t="s">
        <v>455</v>
      </c>
      <c r="F138" s="1156">
        <v>0</v>
      </c>
      <c r="G138" s="1156">
        <v>168915</v>
      </c>
      <c r="H138" s="1156">
        <v>1042381</v>
      </c>
      <c r="I138" s="1156">
        <v>4646306</v>
      </c>
      <c r="J138" s="1156">
        <v>5698821</v>
      </c>
      <c r="K138" s="1156">
        <v>4550410</v>
      </c>
      <c r="L138" s="1157">
        <v>119116</v>
      </c>
      <c r="M138" s="1157">
        <v>973881</v>
      </c>
      <c r="N138" s="1157">
        <v>1029911</v>
      </c>
      <c r="O138" s="1157">
        <v>10590509</v>
      </c>
      <c r="P138" s="1157">
        <v>722578</v>
      </c>
      <c r="Q138" s="1157">
        <v>7490844</v>
      </c>
      <c r="R138" s="1157">
        <v>306679</v>
      </c>
      <c r="S138" s="1157">
        <v>40621994</v>
      </c>
      <c r="T138" s="1157">
        <v>0</v>
      </c>
      <c r="U138" s="1157">
        <v>208770</v>
      </c>
      <c r="V138" s="1157">
        <v>71397912</v>
      </c>
      <c r="W138" s="1157">
        <v>9403281</v>
      </c>
      <c r="X138" s="1157">
        <v>23393484</v>
      </c>
      <c r="Y138" s="1157">
        <v>33269451</v>
      </c>
      <c r="Z138" s="1157">
        <v>372051</v>
      </c>
      <c r="AA138" s="1157">
        <v>14361809</v>
      </c>
      <c r="AB138" s="1157">
        <v>1700827</v>
      </c>
      <c r="AC138" s="1157">
        <v>15705884</v>
      </c>
      <c r="AD138" s="1157">
        <v>1840200</v>
      </c>
      <c r="AE138" s="1157">
        <v>2032725</v>
      </c>
      <c r="AF138" s="1157">
        <v>1673893</v>
      </c>
      <c r="AG138" s="1157">
        <v>3624061</v>
      </c>
      <c r="AH138" s="1157">
        <v>20645490</v>
      </c>
      <c r="AI138" s="1157">
        <v>5728143</v>
      </c>
      <c r="AJ138" s="1157">
        <v>1453896</v>
      </c>
      <c r="AK138" s="1157">
        <v>23676165</v>
      </c>
      <c r="AL138" s="1157">
        <v>2951782</v>
      </c>
      <c r="AM138" s="1157">
        <v>886458</v>
      </c>
      <c r="AN138" s="1157">
        <v>0</v>
      </c>
      <c r="AO138" s="1157">
        <v>11768629</v>
      </c>
      <c r="AP138" s="1157">
        <v>0</v>
      </c>
      <c r="AQ138" s="1157">
        <v>436740</v>
      </c>
      <c r="AR138" s="1157">
        <v>89885</v>
      </c>
      <c r="AS138" s="1157">
        <v>3926354</v>
      </c>
      <c r="AT138" s="1157">
        <v>54200106</v>
      </c>
      <c r="AU138" s="1157">
        <v>666289</v>
      </c>
      <c r="AV138" s="1157">
        <v>2011481</v>
      </c>
      <c r="AW138" s="1157">
        <v>0</v>
      </c>
      <c r="AX138" s="1157">
        <v>17205610</v>
      </c>
      <c r="AY138" s="1157">
        <v>3817136</v>
      </c>
      <c r="AZ138" s="1157">
        <v>1874648</v>
      </c>
      <c r="BA138" s="1157">
        <v>20472156</v>
      </c>
      <c r="BB138" s="1157">
        <v>2218427</v>
      </c>
      <c r="BC138" s="1157">
        <v>1548523</v>
      </c>
      <c r="BD138" s="1157">
        <v>108917</v>
      </c>
      <c r="BE138" s="1157">
        <v>557452</v>
      </c>
      <c r="BF138" s="1157">
        <v>7005561</v>
      </c>
      <c r="BG138" s="1157">
        <v>552309</v>
      </c>
      <c r="BH138" s="1157">
        <v>835687</v>
      </c>
      <c r="BI138" s="1157">
        <v>302481</v>
      </c>
      <c r="BJ138" s="1157">
        <v>316530</v>
      </c>
      <c r="BK138" s="1157">
        <v>531360</v>
      </c>
      <c r="BL138" s="1157">
        <v>351226</v>
      </c>
      <c r="BM138" s="1157">
        <v>2716001</v>
      </c>
      <c r="BN138" s="1157">
        <v>0</v>
      </c>
      <c r="BO138" s="1157">
        <v>615931</v>
      </c>
      <c r="BP138" s="1157">
        <v>3253122</v>
      </c>
      <c r="BQ138" s="1157">
        <v>1155990</v>
      </c>
      <c r="BR138" s="1157">
        <v>2223741</v>
      </c>
      <c r="BS138" s="1157">
        <v>12422088</v>
      </c>
      <c r="BT138" s="1157">
        <v>688507</v>
      </c>
      <c r="BU138" s="1157">
        <v>21902565</v>
      </c>
      <c r="BV138" s="1157">
        <v>932353</v>
      </c>
      <c r="BW138" s="1157">
        <v>6490398</v>
      </c>
      <c r="BX138" s="1157">
        <v>1082063</v>
      </c>
      <c r="BY138" s="1157">
        <v>0</v>
      </c>
      <c r="BZ138" s="1157">
        <v>2170242</v>
      </c>
      <c r="CA138" s="1157">
        <v>346665</v>
      </c>
      <c r="CB138" s="1157">
        <v>880929</v>
      </c>
      <c r="CC138" s="1148">
        <v>206916</v>
      </c>
      <c r="CD138" s="1148">
        <v>540830</v>
      </c>
      <c r="CE138" s="1148">
        <v>0</v>
      </c>
      <c r="CF138" s="1148">
        <v>390298</v>
      </c>
    </row>
    <row r="139" spans="1:84" s="1148" customFormat="1" x14ac:dyDescent="0.3">
      <c r="A139" s="1153">
        <v>380</v>
      </c>
      <c r="B139" s="1154">
        <v>380</v>
      </c>
      <c r="C139" s="1228">
        <v>380</v>
      </c>
      <c r="D139" s="1146" t="s">
        <v>121</v>
      </c>
      <c r="E139" s="1155" t="s">
        <v>456</v>
      </c>
      <c r="F139" s="1156">
        <v>0</v>
      </c>
      <c r="G139" s="1156">
        <v>822</v>
      </c>
      <c r="H139" s="1156">
        <v>29683</v>
      </c>
      <c r="I139" s="1156">
        <v>41385</v>
      </c>
      <c r="J139" s="1156">
        <v>13859</v>
      </c>
      <c r="K139" s="1156">
        <v>48690</v>
      </c>
      <c r="L139" s="1157">
        <v>3126</v>
      </c>
      <c r="M139" s="1157">
        <v>529</v>
      </c>
      <c r="N139" s="1157">
        <v>3620</v>
      </c>
      <c r="O139" s="1157">
        <v>165173</v>
      </c>
      <c r="P139" s="1157">
        <v>1874</v>
      </c>
      <c r="Q139" s="1157">
        <v>65986</v>
      </c>
      <c r="R139" s="1157">
        <v>702</v>
      </c>
      <c r="S139" s="1157">
        <v>1803121</v>
      </c>
      <c r="T139" s="1157">
        <v>0</v>
      </c>
      <c r="U139" s="1157">
        <v>0</v>
      </c>
      <c r="V139" s="1157">
        <v>738135</v>
      </c>
      <c r="W139" s="1157">
        <v>0</v>
      </c>
      <c r="X139" s="1157">
        <v>199115</v>
      </c>
      <c r="Y139" s="1157">
        <v>51307</v>
      </c>
      <c r="Z139" s="1157">
        <v>58722</v>
      </c>
      <c r="AA139" s="1157">
        <v>204904</v>
      </c>
      <c r="AB139" s="1157">
        <v>59577</v>
      </c>
      <c r="AC139" s="1157">
        <v>565836</v>
      </c>
      <c r="AD139" s="1157">
        <v>118833</v>
      </c>
      <c r="AE139" s="1157">
        <v>7893</v>
      </c>
      <c r="AF139" s="1157">
        <v>76555</v>
      </c>
      <c r="AG139" s="1157">
        <v>84300</v>
      </c>
      <c r="AH139" s="1157">
        <v>11511</v>
      </c>
      <c r="AI139" s="1157">
        <v>151191</v>
      </c>
      <c r="AJ139" s="1157">
        <v>28813</v>
      </c>
      <c r="AK139" s="1157">
        <v>304148</v>
      </c>
      <c r="AL139" s="1157">
        <v>1387</v>
      </c>
      <c r="AM139" s="1157">
        <v>9780</v>
      </c>
      <c r="AN139" s="1157">
        <v>0</v>
      </c>
      <c r="AO139" s="1157">
        <v>417085</v>
      </c>
      <c r="AP139" s="1157">
        <v>0</v>
      </c>
      <c r="AQ139" s="1157">
        <v>38077</v>
      </c>
      <c r="AR139" s="1157">
        <v>0</v>
      </c>
      <c r="AS139" s="1157">
        <v>56895</v>
      </c>
      <c r="AT139" s="1157">
        <v>34564566</v>
      </c>
      <c r="AU139" s="1157">
        <v>21746</v>
      </c>
      <c r="AV139" s="1157">
        <v>51853</v>
      </c>
      <c r="AW139" s="1157">
        <v>0</v>
      </c>
      <c r="AX139" s="1157">
        <v>70843</v>
      </c>
      <c r="AY139" s="1157">
        <v>9162</v>
      </c>
      <c r="AZ139" s="1157">
        <v>44430</v>
      </c>
      <c r="BA139" s="1157">
        <v>142114</v>
      </c>
      <c r="BB139" s="1157">
        <v>11917</v>
      </c>
      <c r="BC139" s="1157">
        <v>63303</v>
      </c>
      <c r="BD139" s="1157">
        <v>0</v>
      </c>
      <c r="BE139" s="1157">
        <v>728</v>
      </c>
      <c r="BF139" s="1157">
        <v>127043</v>
      </c>
      <c r="BG139" s="1157">
        <v>1287</v>
      </c>
      <c r="BH139" s="1157">
        <v>36484</v>
      </c>
      <c r="BI139" s="1157">
        <v>47174</v>
      </c>
      <c r="BJ139" s="1157">
        <v>1008</v>
      </c>
      <c r="BK139" s="1157">
        <v>15695</v>
      </c>
      <c r="BL139" s="1157">
        <v>4065</v>
      </c>
      <c r="BM139" s="1157">
        <v>159736</v>
      </c>
      <c r="BN139" s="1157">
        <v>0</v>
      </c>
      <c r="BO139" s="1157">
        <v>13287</v>
      </c>
      <c r="BP139" s="1157">
        <v>360822</v>
      </c>
      <c r="BQ139" s="1157">
        <v>2774</v>
      </c>
      <c r="BR139" s="1157">
        <v>3273</v>
      </c>
      <c r="BS139" s="1157">
        <v>19659</v>
      </c>
      <c r="BT139" s="1157">
        <v>60266</v>
      </c>
      <c r="BU139" s="1157">
        <v>118381</v>
      </c>
      <c r="BV139" s="1157">
        <v>14455</v>
      </c>
      <c r="BW139" s="1157">
        <v>97656</v>
      </c>
      <c r="BX139" s="1157">
        <v>7160</v>
      </c>
      <c r="BY139" s="1157">
        <v>0</v>
      </c>
      <c r="BZ139" s="1157">
        <v>44763</v>
      </c>
      <c r="CA139" s="1157">
        <v>80</v>
      </c>
      <c r="CB139" s="1157">
        <v>18069</v>
      </c>
      <c r="CC139" s="1148">
        <v>1515</v>
      </c>
      <c r="CD139" s="1148">
        <v>5973</v>
      </c>
      <c r="CE139" s="1148">
        <v>0</v>
      </c>
      <c r="CF139" s="1148">
        <v>3332</v>
      </c>
    </row>
    <row r="140" spans="1:84" s="1148" customFormat="1" x14ac:dyDescent="0.3">
      <c r="A140" s="1153">
        <v>381</v>
      </c>
      <c r="B140" s="1154">
        <v>381</v>
      </c>
      <c r="C140" s="1228">
        <v>381</v>
      </c>
      <c r="D140" s="1146" t="s">
        <v>113</v>
      </c>
      <c r="E140" s="1155" t="s">
        <v>457</v>
      </c>
      <c r="F140" s="1156">
        <v>0</v>
      </c>
      <c r="G140" s="1156">
        <v>0</v>
      </c>
      <c r="H140" s="1156">
        <v>4205101</v>
      </c>
      <c r="I140" s="1156">
        <v>0</v>
      </c>
      <c r="J140" s="1156">
        <v>0</v>
      </c>
      <c r="K140" s="1156">
        <v>0</v>
      </c>
      <c r="L140" s="1157">
        <v>2448466</v>
      </c>
      <c r="M140" s="1157">
        <v>0</v>
      </c>
      <c r="N140" s="1157">
        <v>0</v>
      </c>
      <c r="O140" s="1157">
        <v>0</v>
      </c>
      <c r="P140" s="1157">
        <v>0</v>
      </c>
      <c r="Q140" s="1157">
        <v>17454023</v>
      </c>
      <c r="R140" s="1157">
        <v>0</v>
      </c>
      <c r="S140" s="1157">
        <v>146925761</v>
      </c>
      <c r="T140" s="1157">
        <v>0</v>
      </c>
      <c r="U140" s="1157">
        <v>0</v>
      </c>
      <c r="V140" s="1157">
        <v>203821685</v>
      </c>
      <c r="W140" s="1157">
        <v>63857102</v>
      </c>
      <c r="X140" s="1157">
        <v>81749076</v>
      </c>
      <c r="Y140" s="1157">
        <v>0</v>
      </c>
      <c r="Z140" s="1157">
        <v>3441272</v>
      </c>
      <c r="AA140" s="1157">
        <v>46633854</v>
      </c>
      <c r="AB140" s="1157">
        <v>14076416</v>
      </c>
      <c r="AC140" s="1157">
        <v>39093510</v>
      </c>
      <c r="AD140" s="1157">
        <v>26153463</v>
      </c>
      <c r="AE140" s="1157">
        <v>4499006</v>
      </c>
      <c r="AF140" s="1157">
        <v>7315731</v>
      </c>
      <c r="AG140" s="1157">
        <v>15326163</v>
      </c>
      <c r="AH140" s="1157">
        <v>10804664</v>
      </c>
      <c r="AI140" s="1157">
        <v>10437728</v>
      </c>
      <c r="AJ140" s="1157">
        <v>4101409</v>
      </c>
      <c r="AK140" s="1157">
        <v>134967920</v>
      </c>
      <c r="AL140" s="1157">
        <v>2366918</v>
      </c>
      <c r="AM140" s="1157">
        <v>4625135</v>
      </c>
      <c r="AN140" s="1157">
        <v>0</v>
      </c>
      <c r="AO140" s="1157">
        <v>33568883</v>
      </c>
      <c r="AP140" s="1157">
        <v>0</v>
      </c>
      <c r="AQ140" s="1157">
        <v>2733318</v>
      </c>
      <c r="AR140" s="1157">
        <v>0</v>
      </c>
      <c r="AS140" s="1157">
        <v>0</v>
      </c>
      <c r="AT140" s="1157">
        <v>21132276</v>
      </c>
      <c r="AU140" s="1157">
        <v>0</v>
      </c>
      <c r="AV140" s="1157">
        <v>12181614</v>
      </c>
      <c r="AW140" s="1157">
        <v>0</v>
      </c>
      <c r="AX140" s="1157">
        <v>136939171</v>
      </c>
      <c r="AY140" s="1157">
        <v>0</v>
      </c>
      <c r="AZ140" s="1157">
        <v>7850590</v>
      </c>
      <c r="BA140" s="1157">
        <v>11712173</v>
      </c>
      <c r="BB140" s="1157">
        <v>6798388</v>
      </c>
      <c r="BC140" s="1157">
        <v>1357031</v>
      </c>
      <c r="BD140" s="1157">
        <v>0</v>
      </c>
      <c r="BE140" s="1157">
        <v>845554</v>
      </c>
      <c r="BF140" s="1157">
        <v>51151524</v>
      </c>
      <c r="BG140" s="1157">
        <v>0</v>
      </c>
      <c r="BH140" s="1157">
        <v>3217220</v>
      </c>
      <c r="BI140" s="1157">
        <v>2364791</v>
      </c>
      <c r="BJ140" s="1157">
        <v>0</v>
      </c>
      <c r="BK140" s="1157">
        <v>3234721</v>
      </c>
      <c r="BL140" s="1157">
        <v>0</v>
      </c>
      <c r="BM140" s="1157">
        <v>17892920</v>
      </c>
      <c r="BN140" s="1157">
        <v>0</v>
      </c>
      <c r="BO140" s="1157">
        <v>7177760</v>
      </c>
      <c r="BP140" s="1157">
        <v>4401892</v>
      </c>
      <c r="BQ140" s="1157">
        <v>2930653</v>
      </c>
      <c r="BR140" s="1157">
        <v>1628057</v>
      </c>
      <c r="BS140" s="1157">
        <v>0</v>
      </c>
      <c r="BT140" s="1157">
        <v>5698265</v>
      </c>
      <c r="BU140" s="1157">
        <v>0</v>
      </c>
      <c r="BV140" s="1157">
        <v>7382908</v>
      </c>
      <c r="BW140" s="1157">
        <v>17242216</v>
      </c>
      <c r="BX140" s="1157">
        <v>0</v>
      </c>
      <c r="BY140" s="1157">
        <v>0</v>
      </c>
      <c r="BZ140" s="1157">
        <v>3379499</v>
      </c>
      <c r="CA140" s="1157">
        <v>647595</v>
      </c>
      <c r="CB140" s="1157">
        <v>4441510</v>
      </c>
      <c r="CC140" s="1148">
        <v>4725396</v>
      </c>
      <c r="CD140" s="1148">
        <v>4180447</v>
      </c>
      <c r="CE140" s="1148">
        <v>0</v>
      </c>
      <c r="CF140" s="1148">
        <v>806496</v>
      </c>
    </row>
    <row r="141" spans="1:84" s="1148" customFormat="1" x14ac:dyDescent="0.3">
      <c r="A141" s="1153">
        <v>382</v>
      </c>
      <c r="B141" s="1154">
        <v>382</v>
      </c>
      <c r="C141" s="1228">
        <v>382</v>
      </c>
      <c r="D141" s="1146" t="s">
        <v>114</v>
      </c>
      <c r="E141" s="1155" t="s">
        <v>458</v>
      </c>
      <c r="F141" s="1156">
        <v>0</v>
      </c>
      <c r="G141" s="1156">
        <v>0</v>
      </c>
      <c r="H141" s="1156">
        <v>0</v>
      </c>
      <c r="I141" s="1156">
        <v>0</v>
      </c>
      <c r="J141" s="1156">
        <v>0</v>
      </c>
      <c r="K141" s="1156">
        <v>0</v>
      </c>
      <c r="L141" s="1157">
        <v>0</v>
      </c>
      <c r="M141" s="1157">
        <v>0</v>
      </c>
      <c r="N141" s="1157">
        <v>0</v>
      </c>
      <c r="O141" s="1157">
        <v>0</v>
      </c>
      <c r="P141" s="1157">
        <v>0</v>
      </c>
      <c r="Q141" s="1157">
        <v>0</v>
      </c>
      <c r="R141" s="1157">
        <v>0</v>
      </c>
      <c r="S141" s="1157">
        <v>170070000</v>
      </c>
      <c r="T141" s="1157">
        <v>0</v>
      </c>
      <c r="U141" s="1157">
        <v>0</v>
      </c>
      <c r="V141" s="1157">
        <v>0</v>
      </c>
      <c r="W141" s="1157">
        <v>0</v>
      </c>
      <c r="X141" s="1157">
        <v>30308507</v>
      </c>
      <c r="Y141" s="1157">
        <v>0</v>
      </c>
      <c r="Z141" s="1157">
        <v>0</v>
      </c>
      <c r="AA141" s="1157">
        <v>0</v>
      </c>
      <c r="AB141" s="1157">
        <v>0</v>
      </c>
      <c r="AC141" s="1157">
        <v>0</v>
      </c>
      <c r="AD141" s="1157">
        <v>0</v>
      </c>
      <c r="AE141" s="1157">
        <v>0</v>
      </c>
      <c r="AF141" s="1157">
        <v>0</v>
      </c>
      <c r="AG141" s="1157">
        <v>0</v>
      </c>
      <c r="AH141" s="1157">
        <v>0</v>
      </c>
      <c r="AI141" s="1157">
        <v>0</v>
      </c>
      <c r="AJ141" s="1157">
        <v>0</v>
      </c>
      <c r="AK141" s="1157">
        <v>65312227</v>
      </c>
      <c r="AL141" s="1157">
        <v>0</v>
      </c>
      <c r="AM141" s="1157">
        <v>0</v>
      </c>
      <c r="AN141" s="1157">
        <v>0</v>
      </c>
      <c r="AO141" s="1157">
        <v>24576831</v>
      </c>
      <c r="AP141" s="1157">
        <v>0</v>
      </c>
      <c r="AQ141" s="1157">
        <v>0</v>
      </c>
      <c r="AR141" s="1157">
        <v>0</v>
      </c>
      <c r="AS141" s="1157">
        <v>0</v>
      </c>
      <c r="AT141" s="1157">
        <v>0</v>
      </c>
      <c r="AU141" s="1157">
        <v>0</v>
      </c>
      <c r="AV141" s="1157">
        <v>0</v>
      </c>
      <c r="AW141" s="1157">
        <v>0</v>
      </c>
      <c r="AX141" s="1157">
        <v>0</v>
      </c>
      <c r="AY141" s="1157">
        <v>0</v>
      </c>
      <c r="AZ141" s="1157">
        <v>0</v>
      </c>
      <c r="BA141" s="1157">
        <v>0</v>
      </c>
      <c r="BB141" s="1157">
        <v>0</v>
      </c>
      <c r="BC141" s="1157">
        <v>0</v>
      </c>
      <c r="BD141" s="1157">
        <v>0</v>
      </c>
      <c r="BE141" s="1157">
        <v>0</v>
      </c>
      <c r="BF141" s="1157">
        <v>0</v>
      </c>
      <c r="BG141" s="1157">
        <v>0</v>
      </c>
      <c r="BH141" s="1157">
        <v>0</v>
      </c>
      <c r="BI141" s="1157">
        <v>0</v>
      </c>
      <c r="BJ141" s="1157">
        <v>0</v>
      </c>
      <c r="BK141" s="1157">
        <v>0</v>
      </c>
      <c r="BL141" s="1157">
        <v>0</v>
      </c>
      <c r="BM141" s="1157">
        <v>0</v>
      </c>
      <c r="BN141" s="1157">
        <v>0</v>
      </c>
      <c r="BO141" s="1157">
        <v>0</v>
      </c>
      <c r="BP141" s="1157">
        <v>0</v>
      </c>
      <c r="BQ141" s="1157">
        <v>0</v>
      </c>
      <c r="BR141" s="1157">
        <v>0</v>
      </c>
      <c r="BS141" s="1157">
        <v>0</v>
      </c>
      <c r="BT141" s="1157">
        <v>1496933</v>
      </c>
      <c r="BU141" s="1157">
        <v>20405759</v>
      </c>
      <c r="BV141" s="1157">
        <v>0</v>
      </c>
      <c r="BW141" s="1157">
        <v>0</v>
      </c>
      <c r="BX141" s="1157">
        <v>0</v>
      </c>
      <c r="BY141" s="1157">
        <v>0</v>
      </c>
      <c r="BZ141" s="1157">
        <v>0</v>
      </c>
      <c r="CA141" s="1157">
        <v>0</v>
      </c>
      <c r="CB141" s="1157">
        <v>0</v>
      </c>
      <c r="CC141" s="1148">
        <v>0</v>
      </c>
      <c r="CD141" s="1148">
        <v>0</v>
      </c>
      <c r="CE141" s="1148">
        <v>0</v>
      </c>
      <c r="CF141" s="1148">
        <v>0</v>
      </c>
    </row>
    <row r="142" spans="1:84" s="1148" customFormat="1" x14ac:dyDescent="0.3">
      <c r="A142" s="1153">
        <v>383</v>
      </c>
      <c r="B142" s="1154">
        <v>383</v>
      </c>
      <c r="C142" s="1228">
        <v>383</v>
      </c>
      <c r="D142" s="1146" t="s">
        <v>221</v>
      </c>
      <c r="E142" s="1155" t="s">
        <v>459</v>
      </c>
      <c r="F142" s="1156">
        <v>0</v>
      </c>
      <c r="G142" s="1156">
        <v>0</v>
      </c>
      <c r="H142" s="1156">
        <v>0</v>
      </c>
      <c r="I142" s="1156">
        <v>0</v>
      </c>
      <c r="J142" s="1156">
        <v>0</v>
      </c>
      <c r="K142" s="1156">
        <v>0</v>
      </c>
      <c r="L142" s="1157">
        <v>0</v>
      </c>
      <c r="M142" s="1157">
        <v>0</v>
      </c>
      <c r="N142" s="1157">
        <v>0</v>
      </c>
      <c r="O142" s="1157">
        <v>0</v>
      </c>
      <c r="P142" s="1157">
        <v>0</v>
      </c>
      <c r="Q142" s="1157">
        <v>0</v>
      </c>
      <c r="R142" s="1157">
        <v>0</v>
      </c>
      <c r="S142" s="1157">
        <v>0</v>
      </c>
      <c r="T142" s="1157">
        <v>0</v>
      </c>
      <c r="U142" s="1157">
        <v>0</v>
      </c>
      <c r="V142" s="1157">
        <v>0</v>
      </c>
      <c r="W142" s="1157">
        <v>0</v>
      </c>
      <c r="X142" s="1157">
        <v>0</v>
      </c>
      <c r="Y142" s="1157">
        <v>0</v>
      </c>
      <c r="Z142" s="1157">
        <v>0</v>
      </c>
      <c r="AA142" s="1157">
        <v>38600</v>
      </c>
      <c r="AB142" s="1157">
        <v>0</v>
      </c>
      <c r="AC142" s="1157">
        <v>0</v>
      </c>
      <c r="AD142" s="1157">
        <v>0</v>
      </c>
      <c r="AE142" s="1157">
        <v>0</v>
      </c>
      <c r="AF142" s="1157">
        <v>0</v>
      </c>
      <c r="AG142" s="1157">
        <v>0</v>
      </c>
      <c r="AH142" s="1157">
        <v>0</v>
      </c>
      <c r="AI142" s="1157">
        <v>0</v>
      </c>
      <c r="AJ142" s="1157">
        <v>0</v>
      </c>
      <c r="AK142" s="1157">
        <v>0</v>
      </c>
      <c r="AL142" s="1157">
        <v>0</v>
      </c>
      <c r="AM142" s="1157">
        <v>0</v>
      </c>
      <c r="AN142" s="1157">
        <v>0</v>
      </c>
      <c r="AO142" s="1157">
        <v>0</v>
      </c>
      <c r="AP142" s="1157">
        <v>0</v>
      </c>
      <c r="AQ142" s="1157">
        <v>0</v>
      </c>
      <c r="AR142" s="1157">
        <v>0</v>
      </c>
      <c r="AS142" s="1157">
        <v>0</v>
      </c>
      <c r="AT142" s="1157">
        <v>0</v>
      </c>
      <c r="AU142" s="1157">
        <v>0</v>
      </c>
      <c r="AV142" s="1157">
        <v>56678</v>
      </c>
      <c r="AW142" s="1157">
        <v>0</v>
      </c>
      <c r="AX142" s="1157">
        <v>43822</v>
      </c>
      <c r="AY142" s="1157">
        <v>0</v>
      </c>
      <c r="AZ142" s="1157">
        <v>0</v>
      </c>
      <c r="BA142" s="1157">
        <v>0</v>
      </c>
      <c r="BB142" s="1157">
        <v>0</v>
      </c>
      <c r="BC142" s="1157">
        <v>0</v>
      </c>
      <c r="BD142" s="1157">
        <v>0</v>
      </c>
      <c r="BE142" s="1157">
        <v>0</v>
      </c>
      <c r="BF142" s="1157">
        <v>805231</v>
      </c>
      <c r="BG142" s="1157">
        <v>0</v>
      </c>
      <c r="BH142" s="1157">
        <v>0</v>
      </c>
      <c r="BI142" s="1157">
        <v>0</v>
      </c>
      <c r="BJ142" s="1157">
        <v>0</v>
      </c>
      <c r="BK142" s="1157">
        <v>0</v>
      </c>
      <c r="BL142" s="1157">
        <v>0</v>
      </c>
      <c r="BM142" s="1157">
        <v>0</v>
      </c>
      <c r="BN142" s="1157">
        <v>0</v>
      </c>
      <c r="BO142" s="1157">
        <v>0</v>
      </c>
      <c r="BP142" s="1157">
        <v>15757</v>
      </c>
      <c r="BQ142" s="1157">
        <v>0</v>
      </c>
      <c r="BR142" s="1157">
        <v>8817</v>
      </c>
      <c r="BS142" s="1157">
        <v>0</v>
      </c>
      <c r="BT142" s="1157">
        <v>0</v>
      </c>
      <c r="BU142" s="1157">
        <v>0</v>
      </c>
      <c r="BV142" s="1157">
        <v>0</v>
      </c>
      <c r="BW142" s="1157">
        <v>0</v>
      </c>
      <c r="BX142" s="1157">
        <v>0</v>
      </c>
      <c r="BY142" s="1157">
        <v>0</v>
      </c>
      <c r="BZ142" s="1157">
        <v>0</v>
      </c>
      <c r="CA142" s="1157">
        <v>0</v>
      </c>
      <c r="CB142" s="1157">
        <v>0</v>
      </c>
      <c r="CC142" s="1148">
        <v>6081</v>
      </c>
      <c r="CD142" s="1148">
        <v>0</v>
      </c>
      <c r="CE142" s="1148">
        <v>0</v>
      </c>
      <c r="CF142" s="1148">
        <v>0</v>
      </c>
    </row>
    <row r="143" spans="1:84" s="1148" customFormat="1" x14ac:dyDescent="0.3">
      <c r="A143" s="1153">
        <v>384</v>
      </c>
      <c r="B143" s="1154">
        <v>384</v>
      </c>
      <c r="C143" s="1228">
        <v>384</v>
      </c>
      <c r="D143" s="1146" t="s">
        <v>124</v>
      </c>
      <c r="E143" s="1155" t="s">
        <v>460</v>
      </c>
      <c r="F143" s="1156">
        <v>0</v>
      </c>
      <c r="G143" s="1156">
        <v>0</v>
      </c>
      <c r="H143" s="1156">
        <v>0</v>
      </c>
      <c r="I143" s="1156">
        <v>0</v>
      </c>
      <c r="J143" s="1156">
        <v>0</v>
      </c>
      <c r="K143" s="1156">
        <v>0</v>
      </c>
      <c r="L143" s="1157">
        <v>0</v>
      </c>
      <c r="M143" s="1157">
        <v>0</v>
      </c>
      <c r="N143" s="1157">
        <v>0</v>
      </c>
      <c r="O143" s="1157">
        <v>0</v>
      </c>
      <c r="P143" s="1157">
        <v>0</v>
      </c>
      <c r="Q143" s="1157">
        <v>0</v>
      </c>
      <c r="R143" s="1157">
        <v>0</v>
      </c>
      <c r="S143" s="1157">
        <v>0</v>
      </c>
      <c r="T143" s="1157">
        <v>0</v>
      </c>
      <c r="U143" s="1157">
        <v>0</v>
      </c>
      <c r="V143" s="1157">
        <v>0</v>
      </c>
      <c r="W143" s="1157">
        <v>0</v>
      </c>
      <c r="X143" s="1157">
        <v>0</v>
      </c>
      <c r="Y143" s="1157">
        <v>0</v>
      </c>
      <c r="Z143" s="1157">
        <v>0</v>
      </c>
      <c r="AA143" s="1157">
        <v>0</v>
      </c>
      <c r="AB143" s="1157">
        <v>0</v>
      </c>
      <c r="AC143" s="1157">
        <v>0</v>
      </c>
      <c r="AD143" s="1157">
        <v>0</v>
      </c>
      <c r="AE143" s="1157">
        <v>0</v>
      </c>
      <c r="AF143" s="1157">
        <v>0</v>
      </c>
      <c r="AG143" s="1157">
        <v>0</v>
      </c>
      <c r="AH143" s="1157">
        <v>0</v>
      </c>
      <c r="AI143" s="1157">
        <v>0</v>
      </c>
      <c r="AJ143" s="1157">
        <v>0</v>
      </c>
      <c r="AK143" s="1157">
        <v>0</v>
      </c>
      <c r="AL143" s="1157">
        <v>0</v>
      </c>
      <c r="AM143" s="1157">
        <v>0</v>
      </c>
      <c r="AN143" s="1157">
        <v>0</v>
      </c>
      <c r="AO143" s="1157">
        <v>0</v>
      </c>
      <c r="AP143" s="1157">
        <v>0</v>
      </c>
      <c r="AQ143" s="1157">
        <v>0</v>
      </c>
      <c r="AR143" s="1157">
        <v>0</v>
      </c>
      <c r="AS143" s="1157">
        <v>0</v>
      </c>
      <c r="AT143" s="1157">
        <v>0</v>
      </c>
      <c r="AU143" s="1157">
        <v>0</v>
      </c>
      <c r="AV143" s="1157">
        <v>0</v>
      </c>
      <c r="AW143" s="1157">
        <v>0</v>
      </c>
      <c r="AX143" s="1157">
        <v>0</v>
      </c>
      <c r="AY143" s="1157">
        <v>0</v>
      </c>
      <c r="AZ143" s="1157">
        <v>0</v>
      </c>
      <c r="BA143" s="1157">
        <v>0</v>
      </c>
      <c r="BB143" s="1157">
        <v>0</v>
      </c>
      <c r="BC143" s="1157">
        <v>0</v>
      </c>
      <c r="BD143" s="1157">
        <v>0</v>
      </c>
      <c r="BE143" s="1157">
        <v>0</v>
      </c>
      <c r="BF143" s="1157">
        <v>0</v>
      </c>
      <c r="BG143" s="1157">
        <v>0</v>
      </c>
      <c r="BH143" s="1157">
        <v>0</v>
      </c>
      <c r="BI143" s="1157">
        <v>0</v>
      </c>
      <c r="BJ143" s="1157">
        <v>0</v>
      </c>
      <c r="BK143" s="1157">
        <v>0</v>
      </c>
      <c r="BL143" s="1157">
        <v>0</v>
      </c>
      <c r="BM143" s="1157">
        <v>0</v>
      </c>
      <c r="BN143" s="1157">
        <v>0</v>
      </c>
      <c r="BO143" s="1157">
        <v>0</v>
      </c>
      <c r="BP143" s="1157">
        <v>0</v>
      </c>
      <c r="BQ143" s="1157">
        <v>0</v>
      </c>
      <c r="BR143" s="1157">
        <v>0</v>
      </c>
      <c r="BS143" s="1157">
        <v>0</v>
      </c>
      <c r="BT143" s="1157">
        <v>0</v>
      </c>
      <c r="BU143" s="1157">
        <v>0</v>
      </c>
      <c r="BV143" s="1157">
        <v>0</v>
      </c>
      <c r="BW143" s="1157">
        <v>0</v>
      </c>
      <c r="BX143" s="1157">
        <v>0</v>
      </c>
      <c r="BY143" s="1157">
        <v>0</v>
      </c>
      <c r="BZ143" s="1157">
        <v>0</v>
      </c>
      <c r="CA143" s="1157">
        <v>0</v>
      </c>
      <c r="CB143" s="1157">
        <v>0</v>
      </c>
      <c r="CC143" s="1148">
        <v>0</v>
      </c>
      <c r="CD143" s="1148">
        <v>0</v>
      </c>
      <c r="CE143" s="1148">
        <v>0</v>
      </c>
      <c r="CF143" s="1148">
        <v>0</v>
      </c>
    </row>
    <row r="144" spans="1:84" s="1148" customFormat="1" x14ac:dyDescent="0.3">
      <c r="A144" s="1153">
        <v>385</v>
      </c>
      <c r="B144" s="1154">
        <v>385</v>
      </c>
      <c r="C144" s="1228">
        <v>385</v>
      </c>
      <c r="D144" s="1146" t="s">
        <v>115</v>
      </c>
      <c r="E144" s="1155" t="s">
        <v>461</v>
      </c>
      <c r="F144" s="1156">
        <v>0</v>
      </c>
      <c r="G144" s="1156">
        <v>334379</v>
      </c>
      <c r="H144" s="1156">
        <v>1936327</v>
      </c>
      <c r="I144" s="1156">
        <v>11455450</v>
      </c>
      <c r="J144" s="1156">
        <v>8501857</v>
      </c>
      <c r="K144" s="1156">
        <v>10676625</v>
      </c>
      <c r="L144" s="1157">
        <v>129053</v>
      </c>
      <c r="M144" s="1157">
        <v>2692020</v>
      </c>
      <c r="N144" s="1157">
        <v>1390429</v>
      </c>
      <c r="O144" s="1157">
        <v>69205321</v>
      </c>
      <c r="P144" s="1157">
        <v>1246665</v>
      </c>
      <c r="Q144" s="1157">
        <v>14494348</v>
      </c>
      <c r="R144" s="1157">
        <v>472979</v>
      </c>
      <c r="S144" s="1157">
        <v>145238388</v>
      </c>
      <c r="T144" s="1157">
        <v>0</v>
      </c>
      <c r="U144" s="1157">
        <v>318761</v>
      </c>
      <c r="V144" s="1157">
        <v>212688317</v>
      </c>
      <c r="W144" s="1157">
        <v>66130429</v>
      </c>
      <c r="X144" s="1157">
        <v>61622696</v>
      </c>
      <c r="Y144" s="1157">
        <v>227533270</v>
      </c>
      <c r="Z144" s="1157">
        <v>609533</v>
      </c>
      <c r="AA144" s="1157">
        <v>44151029</v>
      </c>
      <c r="AB144" s="1157">
        <v>3414396</v>
      </c>
      <c r="AC144" s="1157">
        <v>48114678</v>
      </c>
      <c r="AD144" s="1157">
        <v>6013345</v>
      </c>
      <c r="AE144" s="1157">
        <v>5898033</v>
      </c>
      <c r="AF144" s="1157">
        <v>3054071</v>
      </c>
      <c r="AG144" s="1157">
        <v>7617128</v>
      </c>
      <c r="AH144" s="1157">
        <v>76800720</v>
      </c>
      <c r="AI144" s="1157">
        <v>14227198</v>
      </c>
      <c r="AJ144" s="1157">
        <v>3853001</v>
      </c>
      <c r="AK144" s="1157">
        <v>98830043</v>
      </c>
      <c r="AL144" s="1157">
        <v>7570782</v>
      </c>
      <c r="AM144" s="1157">
        <v>3736463</v>
      </c>
      <c r="AN144" s="1157">
        <v>0</v>
      </c>
      <c r="AO144" s="1157">
        <v>34692493</v>
      </c>
      <c r="AP144" s="1157">
        <v>0</v>
      </c>
      <c r="AQ144" s="1157">
        <v>815915</v>
      </c>
      <c r="AR144" s="1157">
        <v>186788</v>
      </c>
      <c r="AS144" s="1157">
        <v>42462837</v>
      </c>
      <c r="AT144" s="1157">
        <v>98265854</v>
      </c>
      <c r="AU144" s="1157">
        <v>864050</v>
      </c>
      <c r="AV144" s="1157">
        <v>4967746</v>
      </c>
      <c r="AW144" s="1157">
        <v>0</v>
      </c>
      <c r="AX144" s="1157">
        <v>56741273</v>
      </c>
      <c r="AY144" s="1157">
        <v>12149724</v>
      </c>
      <c r="AZ144" s="1157">
        <v>5119114</v>
      </c>
      <c r="BA144" s="1157">
        <v>40997349</v>
      </c>
      <c r="BB144" s="1157">
        <v>4198810</v>
      </c>
      <c r="BC144" s="1157">
        <v>3043624</v>
      </c>
      <c r="BD144" s="1157">
        <v>160304</v>
      </c>
      <c r="BE144" s="1157">
        <v>816901</v>
      </c>
      <c r="BF144" s="1157">
        <v>14685669</v>
      </c>
      <c r="BG144" s="1157">
        <v>858110</v>
      </c>
      <c r="BH144" s="1157">
        <v>995494</v>
      </c>
      <c r="BI144" s="1157">
        <v>388145</v>
      </c>
      <c r="BJ144" s="1157">
        <v>410129</v>
      </c>
      <c r="BK144" s="1157">
        <v>822895</v>
      </c>
      <c r="BL144" s="1157">
        <v>663296</v>
      </c>
      <c r="BM144" s="1157">
        <v>9805716</v>
      </c>
      <c r="BN144" s="1157">
        <v>0</v>
      </c>
      <c r="BO144" s="1157">
        <v>3119080</v>
      </c>
      <c r="BP144" s="1157">
        <v>19724831</v>
      </c>
      <c r="BQ144" s="1157">
        <v>2415028</v>
      </c>
      <c r="BR144" s="1157">
        <v>5389989</v>
      </c>
      <c r="BS144" s="1157">
        <v>41893857</v>
      </c>
      <c r="BT144" s="1157">
        <v>1594854</v>
      </c>
      <c r="BU144" s="1157">
        <v>55408421</v>
      </c>
      <c r="BV144" s="1157">
        <v>2144992</v>
      </c>
      <c r="BW144" s="1157">
        <v>13708899</v>
      </c>
      <c r="BX144" s="1157">
        <v>5618460</v>
      </c>
      <c r="BY144" s="1157">
        <v>0</v>
      </c>
      <c r="BZ144" s="1157">
        <v>2644150</v>
      </c>
      <c r="CA144" s="1157">
        <v>679372</v>
      </c>
      <c r="CB144" s="1157">
        <v>1484849</v>
      </c>
      <c r="CC144" s="1148">
        <v>268118</v>
      </c>
      <c r="CD144" s="1148">
        <v>1620146</v>
      </c>
      <c r="CE144" s="1148">
        <v>0</v>
      </c>
      <c r="CF144" s="1148">
        <v>456020</v>
      </c>
    </row>
    <row r="145" spans="1:84" s="1148" customFormat="1" x14ac:dyDescent="0.3">
      <c r="A145" s="1153">
        <v>386</v>
      </c>
      <c r="B145" s="1154">
        <v>386</v>
      </c>
      <c r="C145" s="1228">
        <v>386</v>
      </c>
      <c r="D145" s="1146" t="s">
        <v>194</v>
      </c>
      <c r="E145" s="1155" t="s">
        <v>462</v>
      </c>
      <c r="F145" s="1156">
        <v>0</v>
      </c>
      <c r="G145" s="1156">
        <v>0</v>
      </c>
      <c r="H145" s="1156">
        <v>0</v>
      </c>
      <c r="I145" s="1156">
        <v>0</v>
      </c>
      <c r="J145" s="1156">
        <v>0</v>
      </c>
      <c r="K145" s="1156">
        <v>0</v>
      </c>
      <c r="L145" s="1157">
        <v>0</v>
      </c>
      <c r="M145" s="1157">
        <v>0</v>
      </c>
      <c r="N145" s="1157">
        <v>0</v>
      </c>
      <c r="O145" s="1157">
        <v>0</v>
      </c>
      <c r="P145" s="1157">
        <v>0</v>
      </c>
      <c r="Q145" s="1157">
        <v>0</v>
      </c>
      <c r="R145" s="1157">
        <v>0</v>
      </c>
      <c r="S145" s="1157">
        <v>3810097</v>
      </c>
      <c r="T145" s="1157">
        <v>0</v>
      </c>
      <c r="U145" s="1157">
        <v>0</v>
      </c>
      <c r="V145" s="1157">
        <v>0</v>
      </c>
      <c r="W145" s="1157">
        <v>3427200</v>
      </c>
      <c r="X145" s="1157">
        <v>743202</v>
      </c>
      <c r="Y145" s="1157">
        <v>984250</v>
      </c>
      <c r="Z145" s="1157">
        <v>0</v>
      </c>
      <c r="AA145" s="1157">
        <v>349691</v>
      </c>
      <c r="AB145" s="1157">
        <v>29895</v>
      </c>
      <c r="AC145" s="1157">
        <v>0</v>
      </c>
      <c r="AD145" s="1157">
        <v>100000</v>
      </c>
      <c r="AE145" s="1157">
        <v>2500</v>
      </c>
      <c r="AF145" s="1157">
        <v>0</v>
      </c>
      <c r="AG145" s="1157">
        <v>0</v>
      </c>
      <c r="AH145" s="1157">
        <v>0</v>
      </c>
      <c r="AI145" s="1157">
        <v>118519</v>
      </c>
      <c r="AJ145" s="1157">
        <v>0</v>
      </c>
      <c r="AK145" s="1157">
        <v>3812885</v>
      </c>
      <c r="AL145" s="1157">
        <v>0</v>
      </c>
      <c r="AM145" s="1157">
        <v>0</v>
      </c>
      <c r="AN145" s="1157">
        <v>0</v>
      </c>
      <c r="AO145" s="1157">
        <v>535950</v>
      </c>
      <c r="AP145" s="1157">
        <v>0</v>
      </c>
      <c r="AQ145" s="1157">
        <v>0</v>
      </c>
      <c r="AR145" s="1157">
        <v>0</v>
      </c>
      <c r="AS145" s="1157">
        <v>0</v>
      </c>
      <c r="AT145" s="1157">
        <v>0</v>
      </c>
      <c r="AU145" s="1157">
        <v>0</v>
      </c>
      <c r="AV145" s="1157">
        <v>0</v>
      </c>
      <c r="AW145" s="1157">
        <v>0</v>
      </c>
      <c r="AX145" s="1157">
        <v>2071465</v>
      </c>
      <c r="AY145" s="1157">
        <v>0</v>
      </c>
      <c r="AZ145" s="1157">
        <v>0</v>
      </c>
      <c r="BA145" s="1157">
        <v>0</v>
      </c>
      <c r="BB145" s="1157">
        <v>0</v>
      </c>
      <c r="BC145" s="1157">
        <v>0</v>
      </c>
      <c r="BD145" s="1157">
        <v>0</v>
      </c>
      <c r="BE145" s="1157">
        <v>0</v>
      </c>
      <c r="BF145" s="1157">
        <v>225950</v>
      </c>
      <c r="BG145" s="1157">
        <v>0</v>
      </c>
      <c r="BH145" s="1157">
        <v>0</v>
      </c>
      <c r="BI145" s="1157">
        <v>0</v>
      </c>
      <c r="BJ145" s="1157">
        <v>0</v>
      </c>
      <c r="BK145" s="1157">
        <v>0</v>
      </c>
      <c r="BL145" s="1157">
        <v>0</v>
      </c>
      <c r="BM145" s="1157">
        <v>0</v>
      </c>
      <c r="BN145" s="1157">
        <v>0</v>
      </c>
      <c r="BO145" s="1157">
        <v>0</v>
      </c>
      <c r="BP145" s="1157">
        <v>0</v>
      </c>
      <c r="BQ145" s="1157">
        <v>0</v>
      </c>
      <c r="BR145" s="1157">
        <v>0</v>
      </c>
      <c r="BS145" s="1157">
        <v>0</v>
      </c>
      <c r="BT145" s="1157">
        <v>434211</v>
      </c>
      <c r="BU145" s="1157">
        <v>46428</v>
      </c>
      <c r="BV145" s="1157">
        <v>0</v>
      </c>
      <c r="BW145" s="1157">
        <v>176130</v>
      </c>
      <c r="BX145" s="1157">
        <v>0</v>
      </c>
      <c r="BY145" s="1157">
        <v>0</v>
      </c>
      <c r="BZ145" s="1157">
        <v>0</v>
      </c>
      <c r="CA145" s="1157">
        <v>0</v>
      </c>
      <c r="CB145" s="1157">
        <v>80776</v>
      </c>
      <c r="CC145" s="1148">
        <v>0</v>
      </c>
      <c r="CD145" s="1148">
        <v>0</v>
      </c>
      <c r="CE145" s="1148">
        <v>0</v>
      </c>
      <c r="CF145" s="1148">
        <v>0</v>
      </c>
    </row>
    <row r="146" spans="1:84" s="1148" customFormat="1" x14ac:dyDescent="0.3">
      <c r="A146" s="1153">
        <v>387</v>
      </c>
      <c r="B146" s="1154">
        <v>387</v>
      </c>
      <c r="C146" s="1228">
        <v>387</v>
      </c>
      <c r="D146" s="1146" t="s">
        <v>195</v>
      </c>
      <c r="E146" s="1155" t="s">
        <v>463</v>
      </c>
      <c r="F146" s="1156">
        <v>0</v>
      </c>
      <c r="G146" s="1156">
        <v>0</v>
      </c>
      <c r="H146" s="1156">
        <v>0</v>
      </c>
      <c r="I146" s="1156">
        <v>0</v>
      </c>
      <c r="J146" s="1156">
        <v>0</v>
      </c>
      <c r="K146" s="1156">
        <v>0</v>
      </c>
      <c r="L146" s="1157">
        <v>10000</v>
      </c>
      <c r="M146" s="1157">
        <v>0</v>
      </c>
      <c r="N146" s="1157">
        <v>0</v>
      </c>
      <c r="O146" s="1157">
        <v>0</v>
      </c>
      <c r="P146" s="1157">
        <v>0</v>
      </c>
      <c r="Q146" s="1157">
        <v>0</v>
      </c>
      <c r="R146" s="1157">
        <v>0</v>
      </c>
      <c r="S146" s="1157">
        <v>6233012</v>
      </c>
      <c r="T146" s="1157">
        <v>0</v>
      </c>
      <c r="U146" s="1157">
        <v>0</v>
      </c>
      <c r="V146" s="1157">
        <v>0</v>
      </c>
      <c r="W146" s="1157">
        <v>0</v>
      </c>
      <c r="X146" s="1157">
        <v>0</v>
      </c>
      <c r="Y146" s="1157">
        <v>0</v>
      </c>
      <c r="Z146" s="1157">
        <v>0</v>
      </c>
      <c r="AA146" s="1157">
        <v>0</v>
      </c>
      <c r="AB146" s="1157">
        <v>27250</v>
      </c>
      <c r="AC146" s="1157">
        <v>746000</v>
      </c>
      <c r="AD146" s="1157">
        <v>0</v>
      </c>
      <c r="AE146" s="1157">
        <v>0</v>
      </c>
      <c r="AF146" s="1157">
        <v>0</v>
      </c>
      <c r="AG146" s="1157">
        <v>0</v>
      </c>
      <c r="AH146" s="1157">
        <v>0</v>
      </c>
      <c r="AI146" s="1157">
        <v>0</v>
      </c>
      <c r="AJ146" s="1157">
        <v>0</v>
      </c>
      <c r="AK146" s="1157">
        <v>1203885</v>
      </c>
      <c r="AL146" s="1157">
        <v>0</v>
      </c>
      <c r="AM146" s="1157">
        <v>0</v>
      </c>
      <c r="AN146" s="1157">
        <v>0</v>
      </c>
      <c r="AO146" s="1157">
        <v>186400</v>
      </c>
      <c r="AP146" s="1157">
        <v>0</v>
      </c>
      <c r="AQ146" s="1157">
        <v>0</v>
      </c>
      <c r="AR146" s="1157">
        <v>0</v>
      </c>
      <c r="AS146" s="1157">
        <v>0</v>
      </c>
      <c r="AT146" s="1157">
        <v>0</v>
      </c>
      <c r="AU146" s="1157">
        <v>0</v>
      </c>
      <c r="AV146" s="1157">
        <v>0</v>
      </c>
      <c r="AW146" s="1157">
        <v>0</v>
      </c>
      <c r="AX146" s="1157">
        <v>2368265</v>
      </c>
      <c r="AY146" s="1157">
        <v>0</v>
      </c>
      <c r="AZ146" s="1157">
        <v>0</v>
      </c>
      <c r="BA146" s="1157">
        <v>0</v>
      </c>
      <c r="BB146" s="1157">
        <v>39200</v>
      </c>
      <c r="BC146" s="1157">
        <v>0</v>
      </c>
      <c r="BD146" s="1157">
        <v>0</v>
      </c>
      <c r="BE146" s="1157">
        <v>0</v>
      </c>
      <c r="BF146" s="1157">
        <v>0</v>
      </c>
      <c r="BG146" s="1157">
        <v>0</v>
      </c>
      <c r="BH146" s="1157">
        <v>0</v>
      </c>
      <c r="BI146" s="1157">
        <v>0</v>
      </c>
      <c r="BJ146" s="1157">
        <v>0</v>
      </c>
      <c r="BK146" s="1157">
        <v>0</v>
      </c>
      <c r="BL146" s="1157">
        <v>0</v>
      </c>
      <c r="BM146" s="1157">
        <v>0</v>
      </c>
      <c r="BN146" s="1157">
        <v>0</v>
      </c>
      <c r="BO146" s="1157">
        <v>0</v>
      </c>
      <c r="BP146" s="1157">
        <v>0</v>
      </c>
      <c r="BQ146" s="1157">
        <v>0</v>
      </c>
      <c r="BR146" s="1157">
        <v>0</v>
      </c>
      <c r="BS146" s="1157">
        <v>0</v>
      </c>
      <c r="BT146" s="1157">
        <v>0</v>
      </c>
      <c r="BU146" s="1157">
        <v>0</v>
      </c>
      <c r="BV146" s="1157">
        <v>0</v>
      </c>
      <c r="BW146" s="1157">
        <v>0</v>
      </c>
      <c r="BX146" s="1157">
        <v>0</v>
      </c>
      <c r="BY146" s="1157">
        <v>0</v>
      </c>
      <c r="BZ146" s="1157">
        <v>88765</v>
      </c>
      <c r="CA146" s="1157">
        <v>0</v>
      </c>
      <c r="CB146" s="1157">
        <v>0</v>
      </c>
      <c r="CC146" s="1148">
        <v>0</v>
      </c>
      <c r="CD146" s="1148">
        <v>0</v>
      </c>
      <c r="CE146" s="1148">
        <v>0</v>
      </c>
      <c r="CF146" s="1148">
        <v>0</v>
      </c>
    </row>
    <row r="147" spans="1:84" s="1148" customFormat="1" x14ac:dyDescent="0.3">
      <c r="A147" s="1153">
        <v>388</v>
      </c>
      <c r="B147" s="1154">
        <v>388</v>
      </c>
      <c r="C147" s="1228">
        <v>388</v>
      </c>
      <c r="D147" s="1146" t="s">
        <v>189</v>
      </c>
      <c r="E147" s="1155" t="s">
        <v>464</v>
      </c>
      <c r="F147" s="1156">
        <v>0</v>
      </c>
      <c r="G147" s="1156">
        <v>46466</v>
      </c>
      <c r="H147" s="1156">
        <v>807819</v>
      </c>
      <c r="I147" s="1156">
        <v>1943233</v>
      </c>
      <c r="J147" s="1156">
        <v>935901</v>
      </c>
      <c r="K147" s="1156">
        <v>3536562</v>
      </c>
      <c r="L147" s="1157">
        <v>60655</v>
      </c>
      <c r="M147" s="1157">
        <v>312976</v>
      </c>
      <c r="N147" s="1157">
        <v>188080</v>
      </c>
      <c r="O147" s="1157">
        <v>16359090</v>
      </c>
      <c r="P147" s="1157">
        <v>523321</v>
      </c>
      <c r="Q147" s="1157">
        <v>5670690</v>
      </c>
      <c r="R147" s="1157">
        <v>65570</v>
      </c>
      <c r="S147" s="1157">
        <v>45598519</v>
      </c>
      <c r="T147" s="1157">
        <v>0</v>
      </c>
      <c r="U147" s="1157">
        <v>42886</v>
      </c>
      <c r="V147" s="1157">
        <v>69135668</v>
      </c>
      <c r="W147" s="1157">
        <v>17636419</v>
      </c>
      <c r="X147" s="1157">
        <v>23995630</v>
      </c>
      <c r="Y147" s="1157">
        <v>31315512</v>
      </c>
      <c r="Z147" s="1157">
        <v>296208</v>
      </c>
      <c r="AA147" s="1157">
        <v>14614710</v>
      </c>
      <c r="AB147" s="1157">
        <v>1105804</v>
      </c>
      <c r="AC147" s="1157">
        <v>11663104</v>
      </c>
      <c r="AD147" s="1157">
        <v>4244168</v>
      </c>
      <c r="AE147" s="1157">
        <v>1674251</v>
      </c>
      <c r="AF147" s="1157">
        <v>1981669</v>
      </c>
      <c r="AG147" s="1157">
        <v>2556901</v>
      </c>
      <c r="AH147" s="1157">
        <v>24333255</v>
      </c>
      <c r="AI147" s="1157">
        <v>5347711</v>
      </c>
      <c r="AJ147" s="1157">
        <v>1500358</v>
      </c>
      <c r="AK147" s="1157">
        <v>40598557</v>
      </c>
      <c r="AL147" s="1157">
        <v>400072</v>
      </c>
      <c r="AM147" s="1157">
        <v>920246</v>
      </c>
      <c r="AN147" s="1157">
        <v>0</v>
      </c>
      <c r="AO147" s="1157">
        <v>14584555</v>
      </c>
      <c r="AP147" s="1157">
        <v>0</v>
      </c>
      <c r="AQ147" s="1157">
        <v>841293</v>
      </c>
      <c r="AR147" s="1157">
        <v>51652</v>
      </c>
      <c r="AS147" s="1157">
        <v>14788522</v>
      </c>
      <c r="AT147" s="1157">
        <v>7189354</v>
      </c>
      <c r="AU147" s="1157">
        <v>452304</v>
      </c>
      <c r="AV147" s="1157">
        <v>2446824</v>
      </c>
      <c r="AW147" s="1157">
        <v>0</v>
      </c>
      <c r="AX147" s="1157">
        <v>14730545</v>
      </c>
      <c r="AY147" s="1157">
        <v>1528096</v>
      </c>
      <c r="AZ147" s="1157">
        <v>1747446</v>
      </c>
      <c r="BA147" s="1157">
        <v>7261632</v>
      </c>
      <c r="BB147" s="1157">
        <v>1024089</v>
      </c>
      <c r="BC147" s="1157">
        <v>1501746</v>
      </c>
      <c r="BD147" s="1157">
        <v>25075</v>
      </c>
      <c r="BE147" s="1157">
        <v>199759</v>
      </c>
      <c r="BF147" s="1157">
        <v>9696856</v>
      </c>
      <c r="BG147" s="1157">
        <v>127981</v>
      </c>
      <c r="BH147" s="1157">
        <v>375588</v>
      </c>
      <c r="BI147" s="1157">
        <v>143469</v>
      </c>
      <c r="BJ147" s="1157">
        <v>69689</v>
      </c>
      <c r="BK147" s="1157">
        <v>255196</v>
      </c>
      <c r="BL147" s="1157">
        <v>84131</v>
      </c>
      <c r="BM147" s="1157">
        <v>3370353</v>
      </c>
      <c r="BN147" s="1157">
        <v>0</v>
      </c>
      <c r="BO147" s="1157">
        <v>2018163</v>
      </c>
      <c r="BP147" s="1157">
        <v>20558897</v>
      </c>
      <c r="BQ147" s="1157">
        <v>1120893</v>
      </c>
      <c r="BR147" s="1157">
        <v>1418922</v>
      </c>
      <c r="BS147" s="1157">
        <v>18676257</v>
      </c>
      <c r="BT147" s="1157">
        <v>1358300</v>
      </c>
      <c r="BU147" s="1157">
        <v>12395891</v>
      </c>
      <c r="BV147" s="1157">
        <v>619187</v>
      </c>
      <c r="BW147" s="1157">
        <v>5305312</v>
      </c>
      <c r="BX147" s="1157">
        <v>714854</v>
      </c>
      <c r="BY147" s="1157">
        <v>0</v>
      </c>
      <c r="BZ147" s="1157">
        <v>935282</v>
      </c>
      <c r="CA147" s="1157">
        <v>122482</v>
      </c>
      <c r="CB147" s="1157">
        <v>378218</v>
      </c>
      <c r="CC147" s="1148">
        <v>89446</v>
      </c>
      <c r="CD147" s="1148">
        <v>1050626</v>
      </c>
      <c r="CE147" s="1148">
        <v>0</v>
      </c>
      <c r="CF147" s="1148">
        <v>50716</v>
      </c>
    </row>
    <row r="148" spans="1:84" s="1148" customFormat="1" x14ac:dyDescent="0.3">
      <c r="A148" s="1153">
        <v>389</v>
      </c>
      <c r="B148" s="1154">
        <v>389</v>
      </c>
      <c r="C148" s="1228">
        <v>389</v>
      </c>
      <c r="D148" s="1146" t="s">
        <v>196</v>
      </c>
      <c r="E148" s="1155" t="s">
        <v>465</v>
      </c>
      <c r="F148" s="1156">
        <v>0</v>
      </c>
      <c r="G148" s="1156">
        <v>0</v>
      </c>
      <c r="H148" s="1156">
        <v>0</v>
      </c>
      <c r="I148" s="1156">
        <v>0</v>
      </c>
      <c r="J148" s="1156">
        <v>0</v>
      </c>
      <c r="K148" s="1156">
        <v>0</v>
      </c>
      <c r="L148" s="1157">
        <v>0</v>
      </c>
      <c r="M148" s="1157">
        <v>0</v>
      </c>
      <c r="N148" s="1157">
        <v>0</v>
      </c>
      <c r="O148" s="1157">
        <v>0</v>
      </c>
      <c r="P148" s="1157">
        <v>0</v>
      </c>
      <c r="Q148" s="1157">
        <v>0</v>
      </c>
      <c r="R148" s="1157">
        <v>0</v>
      </c>
      <c r="S148" s="1157">
        <v>0</v>
      </c>
      <c r="T148" s="1157">
        <v>0</v>
      </c>
      <c r="U148" s="1157">
        <v>0</v>
      </c>
      <c r="V148" s="1157">
        <v>25049352</v>
      </c>
      <c r="W148" s="1157">
        <v>0</v>
      </c>
      <c r="X148" s="1157">
        <v>0</v>
      </c>
      <c r="Y148" s="1157">
        <v>0</v>
      </c>
      <c r="Z148" s="1157">
        <v>0</v>
      </c>
      <c r="AA148" s="1157">
        <v>0</v>
      </c>
      <c r="AB148" s="1157">
        <v>0</v>
      </c>
      <c r="AC148" s="1157">
        <v>0</v>
      </c>
      <c r="AD148" s="1157">
        <v>0</v>
      </c>
      <c r="AE148" s="1157">
        <v>0</v>
      </c>
      <c r="AF148" s="1157">
        <v>0</v>
      </c>
      <c r="AG148" s="1157">
        <v>0</v>
      </c>
      <c r="AH148" s="1157">
        <v>0</v>
      </c>
      <c r="AI148" s="1157">
        <v>22408</v>
      </c>
      <c r="AJ148" s="1157">
        <v>0</v>
      </c>
      <c r="AK148" s="1157">
        <v>0</v>
      </c>
      <c r="AL148" s="1157">
        <v>0</v>
      </c>
      <c r="AM148" s="1157">
        <v>0</v>
      </c>
      <c r="AN148" s="1157">
        <v>0</v>
      </c>
      <c r="AO148" s="1157">
        <v>0</v>
      </c>
      <c r="AP148" s="1157">
        <v>0</v>
      </c>
      <c r="AQ148" s="1157">
        <v>0</v>
      </c>
      <c r="AR148" s="1157">
        <v>0</v>
      </c>
      <c r="AS148" s="1157">
        <v>0</v>
      </c>
      <c r="AT148" s="1157">
        <v>0</v>
      </c>
      <c r="AU148" s="1157">
        <v>-37738</v>
      </c>
      <c r="AV148" s="1157">
        <v>0</v>
      </c>
      <c r="AW148" s="1157">
        <v>0</v>
      </c>
      <c r="AX148" s="1157">
        <v>0</v>
      </c>
      <c r="AY148" s="1157">
        <v>0</v>
      </c>
      <c r="AZ148" s="1157">
        <v>0</v>
      </c>
      <c r="BA148" s="1157">
        <v>0</v>
      </c>
      <c r="BB148" s="1157">
        <v>0</v>
      </c>
      <c r="BC148" s="1157">
        <v>0</v>
      </c>
      <c r="BD148" s="1157">
        <v>0</v>
      </c>
      <c r="BE148" s="1157">
        <v>0</v>
      </c>
      <c r="BF148" s="1157">
        <v>0</v>
      </c>
      <c r="BG148" s="1157">
        <v>0</v>
      </c>
      <c r="BH148" s="1157">
        <v>0</v>
      </c>
      <c r="BI148" s="1157">
        <v>0</v>
      </c>
      <c r="BJ148" s="1157">
        <v>0</v>
      </c>
      <c r="BK148" s="1157">
        <v>0</v>
      </c>
      <c r="BL148" s="1157">
        <v>0</v>
      </c>
      <c r="BM148" s="1157">
        <v>0</v>
      </c>
      <c r="BN148" s="1157">
        <v>0</v>
      </c>
      <c r="BO148" s="1157">
        <v>0</v>
      </c>
      <c r="BP148" s="1157">
        <v>0</v>
      </c>
      <c r="BQ148" s="1157">
        <v>0</v>
      </c>
      <c r="BR148" s="1157">
        <v>0</v>
      </c>
      <c r="BS148" s="1157">
        <v>0</v>
      </c>
      <c r="BT148" s="1157">
        <v>0</v>
      </c>
      <c r="BU148" s="1157">
        <v>0</v>
      </c>
      <c r="BV148" s="1157">
        <v>0</v>
      </c>
      <c r="BW148" s="1157">
        <v>0</v>
      </c>
      <c r="BX148" s="1157">
        <v>0</v>
      </c>
      <c r="BY148" s="1157">
        <v>0</v>
      </c>
      <c r="BZ148" s="1157">
        <v>0</v>
      </c>
      <c r="CA148" s="1157">
        <v>0</v>
      </c>
      <c r="CB148" s="1157">
        <v>0</v>
      </c>
      <c r="CC148" s="1148">
        <v>0</v>
      </c>
      <c r="CD148" s="1148">
        <v>0</v>
      </c>
      <c r="CE148" s="1148">
        <v>0</v>
      </c>
      <c r="CF148" s="1148">
        <v>0</v>
      </c>
    </row>
    <row r="149" spans="1:84" s="1148" customFormat="1" x14ac:dyDescent="0.3">
      <c r="A149" s="1153">
        <v>391</v>
      </c>
      <c r="B149" s="1154">
        <v>391</v>
      </c>
      <c r="C149" s="1228">
        <v>391</v>
      </c>
      <c r="D149" s="1146" t="s">
        <v>201</v>
      </c>
      <c r="E149" s="1155" t="s">
        <v>466</v>
      </c>
      <c r="F149" s="1156">
        <v>0</v>
      </c>
      <c r="G149" s="1156">
        <v>4165</v>
      </c>
      <c r="H149" s="1156">
        <v>64380</v>
      </c>
      <c r="I149" s="1156">
        <v>378715</v>
      </c>
      <c r="J149" s="1156">
        <v>216000</v>
      </c>
      <c r="K149" s="1156">
        <v>268574</v>
      </c>
      <c r="L149" s="1157">
        <v>5932</v>
      </c>
      <c r="M149" s="1157">
        <v>60332</v>
      </c>
      <c r="N149" s="1157">
        <v>18972</v>
      </c>
      <c r="O149" s="1157">
        <v>1483923</v>
      </c>
      <c r="P149" s="1157">
        <v>61945</v>
      </c>
      <c r="Q149" s="1157">
        <v>1901986</v>
      </c>
      <c r="R149" s="1157">
        <v>11083</v>
      </c>
      <c r="S149" s="1157">
        <v>7716619</v>
      </c>
      <c r="T149" s="1157">
        <v>0</v>
      </c>
      <c r="U149" s="1157">
        <v>3897</v>
      </c>
      <c r="V149" s="1157">
        <v>13155237</v>
      </c>
      <c r="W149" s="1157">
        <v>2881562</v>
      </c>
      <c r="X149" s="1157">
        <v>1726620</v>
      </c>
      <c r="Y149" s="1157">
        <v>7593866</v>
      </c>
      <c r="Z149" s="1157">
        <v>37429</v>
      </c>
      <c r="AA149" s="1157">
        <v>2304245</v>
      </c>
      <c r="AB149" s="1157">
        <v>126648</v>
      </c>
      <c r="AC149" s="1157">
        <v>1065411</v>
      </c>
      <c r="AD149" s="1157">
        <v>460021</v>
      </c>
      <c r="AE149" s="1157">
        <v>136212</v>
      </c>
      <c r="AF149" s="1157">
        <v>262940</v>
      </c>
      <c r="AG149" s="1157">
        <v>45134</v>
      </c>
      <c r="AH149" s="1157">
        <v>3440378</v>
      </c>
      <c r="AI149" s="1157">
        <v>271359</v>
      </c>
      <c r="AJ149" s="1157">
        <v>223676</v>
      </c>
      <c r="AK149" s="1157">
        <v>11226460</v>
      </c>
      <c r="AL149" s="1157">
        <v>80683</v>
      </c>
      <c r="AM149" s="1157">
        <v>84141</v>
      </c>
      <c r="AN149" s="1157">
        <v>0</v>
      </c>
      <c r="AO149" s="1157">
        <v>2217878</v>
      </c>
      <c r="AP149" s="1157">
        <v>0</v>
      </c>
      <c r="AQ149" s="1157">
        <v>100854</v>
      </c>
      <c r="AR149" s="1157">
        <v>1028</v>
      </c>
      <c r="AS149" s="1157">
        <v>340419</v>
      </c>
      <c r="AT149" s="1157">
        <v>1004902</v>
      </c>
      <c r="AU149" s="1157">
        <v>78655</v>
      </c>
      <c r="AV149" s="1157">
        <v>509605</v>
      </c>
      <c r="AW149" s="1157">
        <v>0</v>
      </c>
      <c r="AX149" s="1157">
        <v>465873</v>
      </c>
      <c r="AY149" s="1157">
        <v>197811</v>
      </c>
      <c r="AZ149" s="1157">
        <v>822322</v>
      </c>
      <c r="BA149" s="1157">
        <v>448042</v>
      </c>
      <c r="BB149" s="1157">
        <v>103571</v>
      </c>
      <c r="BC149" s="1157">
        <v>73211</v>
      </c>
      <c r="BD149" s="1157">
        <v>0</v>
      </c>
      <c r="BE149" s="1157">
        <v>231660</v>
      </c>
      <c r="BF149" s="1157">
        <v>759293</v>
      </c>
      <c r="BG149" s="1157">
        <v>13605</v>
      </c>
      <c r="BH149" s="1157">
        <v>99903</v>
      </c>
      <c r="BI149" s="1157">
        <v>6315</v>
      </c>
      <c r="BJ149" s="1157">
        <v>6479</v>
      </c>
      <c r="BK149" s="1157">
        <v>25476</v>
      </c>
      <c r="BL149" s="1157">
        <v>17399</v>
      </c>
      <c r="BM149" s="1157">
        <v>394328</v>
      </c>
      <c r="BN149" s="1157">
        <v>0</v>
      </c>
      <c r="BO149" s="1157">
        <v>577021</v>
      </c>
      <c r="BP149" s="1157">
        <v>421506</v>
      </c>
      <c r="BQ149" s="1157">
        <v>103667</v>
      </c>
      <c r="BR149" s="1157">
        <v>162704</v>
      </c>
      <c r="BS149" s="1157">
        <v>2233881</v>
      </c>
      <c r="BT149" s="1157">
        <v>77328</v>
      </c>
      <c r="BU149" s="1157">
        <v>618503</v>
      </c>
      <c r="BV149" s="1157">
        <v>57247</v>
      </c>
      <c r="BW149" s="1157">
        <v>649570</v>
      </c>
      <c r="BX149" s="1157">
        <v>67766</v>
      </c>
      <c r="BY149" s="1157">
        <v>0</v>
      </c>
      <c r="BZ149" s="1157">
        <v>127803</v>
      </c>
      <c r="CA149" s="1157">
        <v>19765</v>
      </c>
      <c r="CB149" s="1157">
        <v>24272</v>
      </c>
      <c r="CC149" s="1148">
        <v>12419</v>
      </c>
      <c r="CD149" s="1148">
        <v>80761</v>
      </c>
      <c r="CE149" s="1148">
        <v>0</v>
      </c>
      <c r="CF149" s="1148">
        <v>3406</v>
      </c>
    </row>
    <row r="150" spans="1:84" s="1148" customFormat="1" x14ac:dyDescent="0.3">
      <c r="A150" s="1153">
        <v>500</v>
      </c>
      <c r="B150" s="1154">
        <v>500</v>
      </c>
      <c r="C150" s="1228">
        <v>500</v>
      </c>
      <c r="D150" s="1146" t="s">
        <v>183</v>
      </c>
      <c r="E150" s="1155" t="s">
        <v>467</v>
      </c>
      <c r="F150" s="1156">
        <v>0</v>
      </c>
      <c r="G150" s="1156">
        <v>39765</v>
      </c>
      <c r="H150" s="1156">
        <v>130747</v>
      </c>
      <c r="I150" s="1156">
        <v>253255</v>
      </c>
      <c r="J150" s="1156">
        <v>0</v>
      </c>
      <c r="K150" s="1156">
        <v>20192</v>
      </c>
      <c r="L150" s="1157">
        <v>0</v>
      </c>
      <c r="M150" s="1157">
        <v>0</v>
      </c>
      <c r="N150" s="1157">
        <v>4363</v>
      </c>
      <c r="O150" s="1157">
        <v>1180347</v>
      </c>
      <c r="P150" s="1157">
        <v>101837</v>
      </c>
      <c r="Q150" s="1157">
        <v>600790</v>
      </c>
      <c r="R150" s="1157">
        <v>0</v>
      </c>
      <c r="S150" s="1157">
        <v>3635276</v>
      </c>
      <c r="T150" s="1157">
        <v>0</v>
      </c>
      <c r="U150" s="1157">
        <v>0</v>
      </c>
      <c r="V150" s="1157">
        <v>20983577</v>
      </c>
      <c r="W150" s="1157">
        <v>574490</v>
      </c>
      <c r="X150" s="1157">
        <v>1504834</v>
      </c>
      <c r="Y150" s="1157">
        <v>16405908</v>
      </c>
      <c r="Z150" s="1157">
        <v>139854</v>
      </c>
      <c r="AA150" s="1157">
        <v>1343641</v>
      </c>
      <c r="AB150" s="1157">
        <v>74286</v>
      </c>
      <c r="AC150" s="1157">
        <v>1700087</v>
      </c>
      <c r="AD150" s="1157">
        <v>217342</v>
      </c>
      <c r="AE150" s="1157">
        <v>66308</v>
      </c>
      <c r="AF150" s="1157">
        <v>67262</v>
      </c>
      <c r="AG150" s="1157">
        <v>377025</v>
      </c>
      <c r="AH150" s="1157">
        <v>8631858</v>
      </c>
      <c r="AI150" s="1157">
        <v>276576</v>
      </c>
      <c r="AJ150" s="1157">
        <v>566780</v>
      </c>
      <c r="AK150" s="1157">
        <v>1286805</v>
      </c>
      <c r="AL150" s="1157">
        <v>161008</v>
      </c>
      <c r="AM150" s="1157">
        <v>3926</v>
      </c>
      <c r="AN150" s="1157">
        <v>0</v>
      </c>
      <c r="AO150" s="1157">
        <v>885374</v>
      </c>
      <c r="AP150" s="1157">
        <v>0</v>
      </c>
      <c r="AQ150" s="1157">
        <v>8000</v>
      </c>
      <c r="AR150" s="1157">
        <v>0</v>
      </c>
      <c r="AS150" s="1157">
        <v>4588090</v>
      </c>
      <c r="AT150" s="1157">
        <v>142408</v>
      </c>
      <c r="AU150" s="1157">
        <v>72916</v>
      </c>
      <c r="AV150" s="1157">
        <v>257005</v>
      </c>
      <c r="AW150" s="1157">
        <v>0</v>
      </c>
      <c r="AX150" s="1157">
        <v>929536</v>
      </c>
      <c r="AY150" s="1157">
        <v>15164</v>
      </c>
      <c r="AZ150" s="1157">
        <v>218084</v>
      </c>
      <c r="BA150" s="1157">
        <v>2545021</v>
      </c>
      <c r="BB150" s="1157">
        <v>56775</v>
      </c>
      <c r="BC150" s="1157">
        <v>434989</v>
      </c>
      <c r="BD150" s="1157">
        <v>0</v>
      </c>
      <c r="BE150" s="1157">
        <v>211227</v>
      </c>
      <c r="BF150" s="1157">
        <v>292238</v>
      </c>
      <c r="BG150" s="1157">
        <v>36401</v>
      </c>
      <c r="BH150" s="1157">
        <v>19611</v>
      </c>
      <c r="BI150" s="1157">
        <v>22973</v>
      </c>
      <c r="BJ150" s="1157">
        <v>0</v>
      </c>
      <c r="BK150" s="1157">
        <v>39646</v>
      </c>
      <c r="BL150" s="1157">
        <v>62458</v>
      </c>
      <c r="BM150" s="1157">
        <v>261328</v>
      </c>
      <c r="BN150" s="1157">
        <v>0</v>
      </c>
      <c r="BO150" s="1157">
        <v>711</v>
      </c>
      <c r="BP150" s="1157">
        <v>117094</v>
      </c>
      <c r="BQ150" s="1157">
        <v>122068</v>
      </c>
      <c r="BR150" s="1157">
        <v>175022</v>
      </c>
      <c r="BS150" s="1157">
        <v>0</v>
      </c>
      <c r="BT150" s="1157">
        <v>184973</v>
      </c>
      <c r="BU150" s="1157">
        <v>384632</v>
      </c>
      <c r="BV150" s="1157">
        <v>418485</v>
      </c>
      <c r="BW150" s="1157">
        <v>1713286</v>
      </c>
      <c r="BX150" s="1157">
        <v>0</v>
      </c>
      <c r="BY150" s="1157">
        <v>0</v>
      </c>
      <c r="BZ150" s="1157">
        <v>284378</v>
      </c>
      <c r="CA150" s="1157">
        <v>128480</v>
      </c>
      <c r="CB150" s="1157">
        <v>32121</v>
      </c>
      <c r="CC150" s="1148">
        <v>21479</v>
      </c>
      <c r="CD150" s="1148">
        <v>43242</v>
      </c>
      <c r="CE150" s="1148">
        <v>0</v>
      </c>
      <c r="CF150" s="1148">
        <v>19830</v>
      </c>
    </row>
    <row r="151" spans="1:84" s="1148" customFormat="1" x14ac:dyDescent="0.3">
      <c r="A151" s="1146">
        <v>501</v>
      </c>
      <c r="B151" s="1154"/>
      <c r="C151" s="1228">
        <v>501</v>
      </c>
      <c r="D151" s="1146" t="s">
        <v>185</v>
      </c>
      <c r="E151" s="1155" t="s">
        <v>468</v>
      </c>
      <c r="F151" s="1156">
        <v>0</v>
      </c>
      <c r="G151" s="1156">
        <v>0</v>
      </c>
      <c r="H151" s="1156">
        <v>0</v>
      </c>
      <c r="I151" s="1156">
        <v>0</v>
      </c>
      <c r="J151" s="1156">
        <v>0</v>
      </c>
      <c r="K151" s="1156">
        <v>0</v>
      </c>
      <c r="L151" s="1157">
        <v>0</v>
      </c>
      <c r="M151" s="1157">
        <v>0</v>
      </c>
      <c r="N151" s="1157">
        <v>0</v>
      </c>
      <c r="O151" s="1157">
        <v>0</v>
      </c>
      <c r="P151" s="1157">
        <v>0</v>
      </c>
      <c r="Q151" s="1157">
        <v>0</v>
      </c>
      <c r="R151" s="1157">
        <v>0</v>
      </c>
      <c r="S151" s="1157">
        <v>0</v>
      </c>
      <c r="T151" s="1157">
        <v>0</v>
      </c>
      <c r="U151" s="1157">
        <v>0</v>
      </c>
      <c r="V151" s="1157">
        <v>0</v>
      </c>
      <c r="W151" s="1157">
        <v>0</v>
      </c>
      <c r="X151" s="1157">
        <v>0</v>
      </c>
      <c r="Y151" s="1157">
        <v>0</v>
      </c>
      <c r="Z151" s="1157">
        <v>0</v>
      </c>
      <c r="AA151" s="1157">
        <v>0</v>
      </c>
      <c r="AB151" s="1157">
        <v>0</v>
      </c>
      <c r="AC151" s="1157">
        <v>0</v>
      </c>
      <c r="AD151" s="1157">
        <v>0</v>
      </c>
      <c r="AE151" s="1157">
        <v>0</v>
      </c>
      <c r="AF151" s="1157">
        <v>0</v>
      </c>
      <c r="AG151" s="1157">
        <v>0</v>
      </c>
      <c r="AH151" s="1157">
        <v>0</v>
      </c>
      <c r="AI151" s="1157">
        <v>0</v>
      </c>
      <c r="AJ151" s="1157">
        <v>0</v>
      </c>
      <c r="AK151" s="1157">
        <v>0</v>
      </c>
      <c r="AL151" s="1157">
        <v>0</v>
      </c>
      <c r="AM151" s="1157">
        <v>0</v>
      </c>
      <c r="AN151" s="1157">
        <v>0</v>
      </c>
      <c r="AO151" s="1157">
        <v>0</v>
      </c>
      <c r="AP151" s="1157">
        <v>0</v>
      </c>
      <c r="AQ151" s="1157">
        <v>0</v>
      </c>
      <c r="AR151" s="1157">
        <v>0</v>
      </c>
      <c r="AS151" s="1157">
        <v>0</v>
      </c>
      <c r="AT151" s="1157">
        <v>0</v>
      </c>
      <c r="AU151" s="1157">
        <v>0</v>
      </c>
      <c r="AV151" s="1157">
        <v>0</v>
      </c>
      <c r="AW151" s="1157">
        <v>0</v>
      </c>
      <c r="AX151" s="1157">
        <v>0</v>
      </c>
      <c r="AY151" s="1157">
        <v>0</v>
      </c>
      <c r="AZ151" s="1157">
        <v>0</v>
      </c>
      <c r="BA151" s="1157">
        <v>0</v>
      </c>
      <c r="BB151" s="1157">
        <v>0</v>
      </c>
      <c r="BC151" s="1157">
        <v>0</v>
      </c>
      <c r="BD151" s="1157">
        <v>0</v>
      </c>
      <c r="BE151" s="1157">
        <v>0</v>
      </c>
      <c r="BF151" s="1157">
        <v>0</v>
      </c>
      <c r="BG151" s="1157">
        <v>0</v>
      </c>
      <c r="BH151" s="1157">
        <v>0</v>
      </c>
      <c r="BI151" s="1157">
        <v>0</v>
      </c>
      <c r="BJ151" s="1157">
        <v>0</v>
      </c>
      <c r="BK151" s="1157">
        <v>0</v>
      </c>
      <c r="BL151" s="1157">
        <v>0</v>
      </c>
      <c r="BM151" s="1157">
        <v>0</v>
      </c>
      <c r="BN151" s="1157">
        <v>0</v>
      </c>
      <c r="BO151" s="1157">
        <v>0</v>
      </c>
      <c r="BP151" s="1157">
        <v>0</v>
      </c>
      <c r="BQ151" s="1157">
        <v>0</v>
      </c>
      <c r="BR151" s="1157">
        <v>0</v>
      </c>
      <c r="BS151" s="1157">
        <v>0</v>
      </c>
      <c r="BT151" s="1157">
        <v>0</v>
      </c>
      <c r="BU151" s="1157">
        <v>0</v>
      </c>
      <c r="BV151" s="1157">
        <v>0</v>
      </c>
      <c r="BW151" s="1157">
        <v>0</v>
      </c>
      <c r="BX151" s="1157">
        <v>0</v>
      </c>
      <c r="BY151" s="1157">
        <v>0</v>
      </c>
      <c r="BZ151" s="1157">
        <v>0</v>
      </c>
      <c r="CA151" s="1157">
        <v>0</v>
      </c>
      <c r="CB151" s="1157">
        <v>0</v>
      </c>
      <c r="CC151" s="1148">
        <v>0</v>
      </c>
      <c r="CD151" s="1148">
        <v>0</v>
      </c>
      <c r="CE151" s="1148">
        <v>0</v>
      </c>
      <c r="CF151" s="1148">
        <v>0</v>
      </c>
    </row>
    <row r="152" spans="1:84" s="1148" customFormat="1" x14ac:dyDescent="0.3">
      <c r="A152" s="1153">
        <v>502</v>
      </c>
      <c r="B152" s="1154">
        <v>502</v>
      </c>
      <c r="C152" s="1228">
        <v>502</v>
      </c>
      <c r="D152" s="1146" t="s">
        <v>186</v>
      </c>
      <c r="E152" s="1155" t="s">
        <v>469</v>
      </c>
      <c r="F152" s="1156">
        <v>0</v>
      </c>
      <c r="G152" s="1156">
        <v>0</v>
      </c>
      <c r="H152" s="1156">
        <v>643895</v>
      </c>
      <c r="I152" s="1156">
        <v>0</v>
      </c>
      <c r="J152" s="1156">
        <v>0</v>
      </c>
      <c r="K152" s="1156">
        <v>0</v>
      </c>
      <c r="L152" s="1157">
        <v>0</v>
      </c>
      <c r="M152" s="1157">
        <v>0</v>
      </c>
      <c r="N152" s="1157">
        <v>0</v>
      </c>
      <c r="O152" s="1157">
        <v>0</v>
      </c>
      <c r="P152" s="1157">
        <v>0</v>
      </c>
      <c r="Q152" s="1157">
        <v>684974</v>
      </c>
      <c r="R152" s="1157">
        <v>0</v>
      </c>
      <c r="S152" s="1157">
        <v>154385366</v>
      </c>
      <c r="T152" s="1157">
        <v>0</v>
      </c>
      <c r="U152" s="1157">
        <v>0</v>
      </c>
      <c r="V152" s="1157">
        <v>43813411</v>
      </c>
      <c r="W152" s="1157">
        <v>7574551</v>
      </c>
      <c r="X152" s="1157">
        <v>32038104</v>
      </c>
      <c r="Y152" s="1157">
        <v>1529994</v>
      </c>
      <c r="Z152" s="1157">
        <v>310556</v>
      </c>
      <c r="AA152" s="1157">
        <v>3915611</v>
      </c>
      <c r="AB152" s="1157">
        <v>1326587</v>
      </c>
      <c r="AC152" s="1157">
        <v>13433836</v>
      </c>
      <c r="AD152" s="1157">
        <v>858030</v>
      </c>
      <c r="AE152" s="1157">
        <v>817853</v>
      </c>
      <c r="AF152" s="1157">
        <v>621929</v>
      </c>
      <c r="AG152" s="1157">
        <v>2736088</v>
      </c>
      <c r="AH152" s="1157">
        <v>2970180</v>
      </c>
      <c r="AI152" s="1157">
        <v>1758968</v>
      </c>
      <c r="AJ152" s="1157">
        <v>118201</v>
      </c>
      <c r="AK152" s="1157">
        <v>35781419</v>
      </c>
      <c r="AL152" s="1157">
        <v>709657</v>
      </c>
      <c r="AM152" s="1157">
        <v>357007</v>
      </c>
      <c r="AN152" s="1157">
        <v>0</v>
      </c>
      <c r="AO152" s="1157">
        <v>10909573</v>
      </c>
      <c r="AP152" s="1157">
        <v>0</v>
      </c>
      <c r="AQ152" s="1157">
        <v>27278</v>
      </c>
      <c r="AR152" s="1157">
        <v>0</v>
      </c>
      <c r="AS152" s="1157">
        <v>0</v>
      </c>
      <c r="AT152" s="1157">
        <v>4048499</v>
      </c>
      <c r="AU152" s="1157">
        <v>0</v>
      </c>
      <c r="AV152" s="1157">
        <v>497507</v>
      </c>
      <c r="AW152" s="1157">
        <v>0</v>
      </c>
      <c r="AX152" s="1157">
        <v>0</v>
      </c>
      <c r="AY152" s="1157">
        <v>0</v>
      </c>
      <c r="AZ152" s="1157">
        <v>1734184</v>
      </c>
      <c r="BA152" s="1157">
        <v>4982928</v>
      </c>
      <c r="BB152" s="1157">
        <v>877992</v>
      </c>
      <c r="BC152" s="1157">
        <v>166851</v>
      </c>
      <c r="BD152" s="1157">
        <v>0</v>
      </c>
      <c r="BE152" s="1157">
        <v>184704</v>
      </c>
      <c r="BF152" s="1157">
        <v>12886444</v>
      </c>
      <c r="BG152" s="1157">
        <v>0</v>
      </c>
      <c r="BH152" s="1157">
        <v>139873</v>
      </c>
      <c r="BI152" s="1157">
        <v>87129</v>
      </c>
      <c r="BJ152" s="1157">
        <v>0</v>
      </c>
      <c r="BK152" s="1157">
        <v>249833</v>
      </c>
      <c r="BL152" s="1157">
        <v>0</v>
      </c>
      <c r="BM152" s="1157">
        <v>2898973</v>
      </c>
      <c r="BN152" s="1157">
        <v>0</v>
      </c>
      <c r="BO152" s="1157">
        <v>116274</v>
      </c>
      <c r="BP152" s="1157">
        <v>878856</v>
      </c>
      <c r="BQ152" s="1157">
        <v>567025</v>
      </c>
      <c r="BR152" s="1157">
        <v>957950</v>
      </c>
      <c r="BS152" s="1157">
        <v>0</v>
      </c>
      <c r="BT152" s="1157">
        <v>0</v>
      </c>
      <c r="BU152" s="1157">
        <v>6560515</v>
      </c>
      <c r="BV152" s="1157">
        <v>545410</v>
      </c>
      <c r="BW152" s="1157">
        <v>4347966</v>
      </c>
      <c r="BX152" s="1157">
        <v>0</v>
      </c>
      <c r="BY152" s="1157">
        <v>0</v>
      </c>
      <c r="BZ152" s="1157">
        <v>1180018</v>
      </c>
      <c r="CA152" s="1157">
        <v>3129</v>
      </c>
      <c r="CB152" s="1157">
        <v>241980</v>
      </c>
      <c r="CC152" s="1148">
        <v>15546</v>
      </c>
      <c r="CD152" s="1148">
        <v>278536</v>
      </c>
      <c r="CE152" s="1148">
        <v>0</v>
      </c>
      <c r="CF152" s="1148">
        <v>3472</v>
      </c>
    </row>
    <row r="153" spans="1:84" s="1148" customFormat="1" x14ac:dyDescent="0.3">
      <c r="A153" s="1153">
        <v>503</v>
      </c>
      <c r="B153" s="1154">
        <v>503</v>
      </c>
      <c r="C153" s="1228">
        <v>503</v>
      </c>
      <c r="D153" s="1146" t="s">
        <v>187</v>
      </c>
      <c r="E153" s="1155" t="s">
        <v>470</v>
      </c>
      <c r="F153" s="1156">
        <v>0</v>
      </c>
      <c r="G153" s="1156">
        <v>0</v>
      </c>
      <c r="H153" s="1156">
        <v>65902</v>
      </c>
      <c r="I153" s="1156">
        <v>0</v>
      </c>
      <c r="J153" s="1156">
        <v>0</v>
      </c>
      <c r="K153" s="1156">
        <v>0</v>
      </c>
      <c r="L153" s="1157">
        <v>2751</v>
      </c>
      <c r="M153" s="1157">
        <v>0</v>
      </c>
      <c r="N153" s="1157">
        <v>0</v>
      </c>
      <c r="O153" s="1157">
        <v>0</v>
      </c>
      <c r="P153" s="1157">
        <v>0</v>
      </c>
      <c r="Q153" s="1157">
        <v>119530</v>
      </c>
      <c r="R153" s="1157">
        <v>0</v>
      </c>
      <c r="S153" s="1157">
        <v>2578622</v>
      </c>
      <c r="T153" s="1157">
        <v>0</v>
      </c>
      <c r="U153" s="1157">
        <v>0</v>
      </c>
      <c r="V153" s="1157">
        <v>17842148</v>
      </c>
      <c r="W153" s="1157">
        <v>127119</v>
      </c>
      <c r="X153" s="1157">
        <v>835702</v>
      </c>
      <c r="Y153" s="1157">
        <v>0</v>
      </c>
      <c r="Z153" s="1157">
        <v>0</v>
      </c>
      <c r="AA153" s="1157">
        <v>49390</v>
      </c>
      <c r="AB153" s="1157">
        <v>160000</v>
      </c>
      <c r="AC153" s="1157">
        <v>2049711</v>
      </c>
      <c r="AD153" s="1157">
        <v>190392</v>
      </c>
      <c r="AE153" s="1157">
        <v>105050</v>
      </c>
      <c r="AF153" s="1157">
        <v>125740</v>
      </c>
      <c r="AG153" s="1157">
        <v>146818</v>
      </c>
      <c r="AH153" s="1157">
        <v>472431</v>
      </c>
      <c r="AI153" s="1157">
        <v>166001</v>
      </c>
      <c r="AJ153" s="1157">
        <v>0</v>
      </c>
      <c r="AK153" s="1157">
        <v>2523132</v>
      </c>
      <c r="AL153" s="1157">
        <v>13502</v>
      </c>
      <c r="AM153" s="1157">
        <v>13200</v>
      </c>
      <c r="AN153" s="1157">
        <v>0</v>
      </c>
      <c r="AO153" s="1157">
        <v>543431</v>
      </c>
      <c r="AP153" s="1157">
        <v>0</v>
      </c>
      <c r="AQ153" s="1157">
        <v>89243</v>
      </c>
      <c r="AR153" s="1157">
        <v>0</v>
      </c>
      <c r="AS153" s="1157">
        <v>0</v>
      </c>
      <c r="AT153" s="1157">
        <v>74701</v>
      </c>
      <c r="AU153" s="1157">
        <v>0</v>
      </c>
      <c r="AV153" s="1157">
        <v>32760</v>
      </c>
      <c r="AW153" s="1157">
        <v>0</v>
      </c>
      <c r="AX153" s="1157">
        <v>0</v>
      </c>
      <c r="AY153" s="1157">
        <v>0</v>
      </c>
      <c r="AZ153" s="1157">
        <v>23468</v>
      </c>
      <c r="BA153" s="1157">
        <v>227426</v>
      </c>
      <c r="BB153" s="1157">
        <v>31710</v>
      </c>
      <c r="BC153" s="1157">
        <v>24857</v>
      </c>
      <c r="BD153" s="1157">
        <v>0</v>
      </c>
      <c r="BE153" s="1157">
        <v>9135</v>
      </c>
      <c r="BF153" s="1157">
        <v>0</v>
      </c>
      <c r="BG153" s="1157">
        <v>0</v>
      </c>
      <c r="BH153" s="1157">
        <v>1324</v>
      </c>
      <c r="BI153" s="1157">
        <v>5856</v>
      </c>
      <c r="BJ153" s="1157">
        <v>0</v>
      </c>
      <c r="BK153" s="1157">
        <v>20790</v>
      </c>
      <c r="BL153" s="1157">
        <v>0</v>
      </c>
      <c r="BM153" s="1157">
        <v>0</v>
      </c>
      <c r="BN153" s="1157">
        <v>0</v>
      </c>
      <c r="BO153" s="1157">
        <v>39807</v>
      </c>
      <c r="BP153" s="1157">
        <v>3858</v>
      </c>
      <c r="BQ153" s="1157">
        <v>110165</v>
      </c>
      <c r="BR153" s="1157">
        <v>80037</v>
      </c>
      <c r="BS153" s="1157">
        <v>0</v>
      </c>
      <c r="BT153" s="1157">
        <v>0</v>
      </c>
      <c r="BU153" s="1157">
        <v>243530</v>
      </c>
      <c r="BV153" s="1157">
        <v>64042</v>
      </c>
      <c r="BW153" s="1157">
        <v>175724</v>
      </c>
      <c r="BX153" s="1157">
        <v>0</v>
      </c>
      <c r="BY153" s="1157">
        <v>0</v>
      </c>
      <c r="BZ153" s="1157">
        <v>37161</v>
      </c>
      <c r="CA153" s="1157">
        <v>0</v>
      </c>
      <c r="CB153" s="1157">
        <v>42294</v>
      </c>
      <c r="CC153" s="1148">
        <v>11087</v>
      </c>
      <c r="CD153" s="1148">
        <v>101429</v>
      </c>
      <c r="CE153" s="1148">
        <v>0</v>
      </c>
      <c r="CF153" s="1148">
        <v>0</v>
      </c>
    </row>
    <row r="154" spans="1:84" s="1148" customFormat="1" x14ac:dyDescent="0.3">
      <c r="A154" s="1153">
        <v>504</v>
      </c>
      <c r="B154" s="1154">
        <v>504</v>
      </c>
      <c r="C154" s="1228">
        <v>504</v>
      </c>
      <c r="D154" s="1146" t="s">
        <v>191</v>
      </c>
      <c r="E154" s="1155" t="s">
        <v>471</v>
      </c>
      <c r="F154" s="1156">
        <v>0</v>
      </c>
      <c r="G154" s="1156">
        <v>6443</v>
      </c>
      <c r="H154" s="1156">
        <v>28764</v>
      </c>
      <c r="I154" s="1156">
        <v>91786</v>
      </c>
      <c r="J154" s="1156">
        <v>0</v>
      </c>
      <c r="K154" s="1156">
        <v>3691</v>
      </c>
      <c r="L154" s="1157">
        <v>0</v>
      </c>
      <c r="M154" s="1157">
        <v>0</v>
      </c>
      <c r="N154" s="1157">
        <v>57327</v>
      </c>
      <c r="O154" s="1157">
        <v>1450820</v>
      </c>
      <c r="P154" s="1157">
        <v>0</v>
      </c>
      <c r="Q154" s="1157">
        <v>616092</v>
      </c>
      <c r="R154" s="1157">
        <v>0</v>
      </c>
      <c r="S154" s="1157">
        <v>3403930</v>
      </c>
      <c r="T154" s="1157">
        <v>0</v>
      </c>
      <c r="U154" s="1157">
        <v>5125</v>
      </c>
      <c r="V154" s="1157">
        <v>3682166</v>
      </c>
      <c r="W154" s="1157">
        <v>1588157</v>
      </c>
      <c r="X154" s="1157">
        <v>749741</v>
      </c>
      <c r="Y154" s="1157">
        <v>643010</v>
      </c>
      <c r="Z154" s="1157">
        <v>49059</v>
      </c>
      <c r="AA154" s="1157">
        <v>504646</v>
      </c>
      <c r="AB154" s="1157">
        <v>48181</v>
      </c>
      <c r="AC154" s="1157">
        <v>162649</v>
      </c>
      <c r="AD154" s="1157">
        <v>134850</v>
      </c>
      <c r="AE154" s="1157">
        <v>674655</v>
      </c>
      <c r="AF154" s="1157">
        <v>154902</v>
      </c>
      <c r="AG154" s="1157">
        <v>236463</v>
      </c>
      <c r="AH154" s="1157">
        <v>956481</v>
      </c>
      <c r="AI154" s="1157">
        <v>793375</v>
      </c>
      <c r="AJ154" s="1157">
        <v>377996</v>
      </c>
      <c r="AK154" s="1157">
        <v>11524680</v>
      </c>
      <c r="AL154" s="1157">
        <v>269404</v>
      </c>
      <c r="AM154" s="1157">
        <v>25280</v>
      </c>
      <c r="AN154" s="1157">
        <v>0</v>
      </c>
      <c r="AO154" s="1157">
        <v>942559</v>
      </c>
      <c r="AP154" s="1157">
        <v>0</v>
      </c>
      <c r="AQ154" s="1157">
        <v>74128</v>
      </c>
      <c r="AR154" s="1157">
        <v>500</v>
      </c>
      <c r="AS154" s="1157">
        <v>8217760</v>
      </c>
      <c r="AT154" s="1157">
        <v>183045</v>
      </c>
      <c r="AU154" s="1157">
        <v>35656</v>
      </c>
      <c r="AV154" s="1157">
        <v>77485</v>
      </c>
      <c r="AW154" s="1157">
        <v>0</v>
      </c>
      <c r="AX154" s="1157">
        <v>7937864</v>
      </c>
      <c r="AY154" s="1157">
        <v>7924</v>
      </c>
      <c r="AZ154" s="1157">
        <v>83726</v>
      </c>
      <c r="BA154" s="1157">
        <v>1402677</v>
      </c>
      <c r="BB154" s="1157">
        <v>304689</v>
      </c>
      <c r="BC154" s="1157">
        <v>938246</v>
      </c>
      <c r="BD154" s="1157">
        <v>0</v>
      </c>
      <c r="BE154" s="1157">
        <v>0</v>
      </c>
      <c r="BF154" s="1157">
        <v>336810</v>
      </c>
      <c r="BG154" s="1157">
        <v>6397</v>
      </c>
      <c r="BH154" s="1157">
        <v>17027</v>
      </c>
      <c r="BI154" s="1157">
        <v>38877</v>
      </c>
      <c r="BJ154" s="1157">
        <v>8069</v>
      </c>
      <c r="BK154" s="1157">
        <v>16217</v>
      </c>
      <c r="BL154" s="1157">
        <v>50114</v>
      </c>
      <c r="BM154" s="1157">
        <v>433713</v>
      </c>
      <c r="BN154" s="1157">
        <v>0</v>
      </c>
      <c r="BO154" s="1157">
        <v>43583</v>
      </c>
      <c r="BP154" s="1157">
        <v>444673</v>
      </c>
      <c r="BQ154" s="1157">
        <v>52099</v>
      </c>
      <c r="BR154" s="1157">
        <v>295070</v>
      </c>
      <c r="BS154" s="1157">
        <v>581759</v>
      </c>
      <c r="BT154" s="1157">
        <v>62583</v>
      </c>
      <c r="BU154" s="1157">
        <v>1889188</v>
      </c>
      <c r="BV154" s="1157">
        <v>237903</v>
      </c>
      <c r="BW154" s="1157">
        <v>376560</v>
      </c>
      <c r="BX154" s="1157">
        <v>0</v>
      </c>
      <c r="BY154" s="1157">
        <v>0</v>
      </c>
      <c r="BZ154" s="1157">
        <v>23229</v>
      </c>
      <c r="CA154" s="1157">
        <v>14377</v>
      </c>
      <c r="CB154" s="1157">
        <v>23757</v>
      </c>
      <c r="CC154" s="1148">
        <v>7084</v>
      </c>
      <c r="CD154" s="1148">
        <v>87424</v>
      </c>
      <c r="CE154" s="1148">
        <v>0</v>
      </c>
      <c r="CF154" s="1148">
        <v>4029</v>
      </c>
    </row>
    <row r="155" spans="1:84" s="1148" customFormat="1" x14ac:dyDescent="0.3">
      <c r="A155" s="1153">
        <v>505</v>
      </c>
      <c r="B155" s="1154">
        <v>505</v>
      </c>
      <c r="C155" s="1228">
        <v>505</v>
      </c>
      <c r="D155" s="1146" t="s">
        <v>192</v>
      </c>
      <c r="E155" s="1155" t="s">
        <v>472</v>
      </c>
      <c r="F155" s="1156">
        <v>0</v>
      </c>
      <c r="G155" s="1156">
        <v>0</v>
      </c>
      <c r="H155" s="1156">
        <v>87500</v>
      </c>
      <c r="I155" s="1156">
        <v>945120</v>
      </c>
      <c r="J155" s="1156">
        <v>0</v>
      </c>
      <c r="K155" s="1156">
        <v>0</v>
      </c>
      <c r="L155" s="1157">
        <v>0</v>
      </c>
      <c r="M155" s="1157">
        <v>0</v>
      </c>
      <c r="N155" s="1157">
        <v>0</v>
      </c>
      <c r="O155" s="1157">
        <v>0</v>
      </c>
      <c r="P155" s="1157">
        <v>15662</v>
      </c>
      <c r="Q155" s="1157">
        <v>0</v>
      </c>
      <c r="R155" s="1157">
        <v>0</v>
      </c>
      <c r="S155" s="1157">
        <v>192163</v>
      </c>
      <c r="T155" s="1157">
        <v>0</v>
      </c>
      <c r="U155" s="1157">
        <v>0</v>
      </c>
      <c r="V155" s="1157">
        <v>0</v>
      </c>
      <c r="W155" s="1157">
        <v>838920</v>
      </c>
      <c r="X155" s="1157">
        <v>2466301</v>
      </c>
      <c r="Y155" s="1157">
        <v>734947</v>
      </c>
      <c r="Z155" s="1157">
        <v>0</v>
      </c>
      <c r="AA155" s="1157">
        <v>47393</v>
      </c>
      <c r="AB155" s="1157">
        <v>79419</v>
      </c>
      <c r="AC155" s="1157">
        <v>987987</v>
      </c>
      <c r="AD155" s="1157">
        <v>38144</v>
      </c>
      <c r="AE155" s="1157">
        <v>0</v>
      </c>
      <c r="AF155" s="1157">
        <v>0</v>
      </c>
      <c r="AG155" s="1157">
        <v>37432</v>
      </c>
      <c r="AH155" s="1157">
        <v>8090118</v>
      </c>
      <c r="AI155" s="1157">
        <v>0</v>
      </c>
      <c r="AJ155" s="1157">
        <v>0</v>
      </c>
      <c r="AK155" s="1157">
        <v>1430049</v>
      </c>
      <c r="AL155" s="1157">
        <v>0</v>
      </c>
      <c r="AM155" s="1157">
        <v>0</v>
      </c>
      <c r="AN155" s="1157">
        <v>0</v>
      </c>
      <c r="AO155" s="1157">
        <v>24990</v>
      </c>
      <c r="AP155" s="1157">
        <v>0</v>
      </c>
      <c r="AQ155" s="1157">
        <v>74000</v>
      </c>
      <c r="AR155" s="1157">
        <v>0</v>
      </c>
      <c r="AS155" s="1157">
        <v>0</v>
      </c>
      <c r="AT155" s="1157">
        <v>319800</v>
      </c>
      <c r="AU155" s="1157">
        <v>0</v>
      </c>
      <c r="AV155" s="1157">
        <v>1056327</v>
      </c>
      <c r="AW155" s="1157">
        <v>0</v>
      </c>
      <c r="AX155" s="1157">
        <v>0</v>
      </c>
      <c r="AY155" s="1157">
        <v>15535</v>
      </c>
      <c r="AZ155" s="1157">
        <v>0</v>
      </c>
      <c r="BA155" s="1157">
        <v>0</v>
      </c>
      <c r="BB155" s="1157">
        <v>0</v>
      </c>
      <c r="BC155" s="1157">
        <v>0</v>
      </c>
      <c r="BD155" s="1157">
        <v>0</v>
      </c>
      <c r="BE155" s="1157">
        <v>0</v>
      </c>
      <c r="BF155" s="1157">
        <v>139372</v>
      </c>
      <c r="BG155" s="1157">
        <v>0</v>
      </c>
      <c r="BH155" s="1157">
        <v>0</v>
      </c>
      <c r="BI155" s="1157">
        <v>60000</v>
      </c>
      <c r="BJ155" s="1157">
        <v>0</v>
      </c>
      <c r="BK155" s="1157">
        <v>0</v>
      </c>
      <c r="BL155" s="1157">
        <v>0</v>
      </c>
      <c r="BM155" s="1157">
        <v>0</v>
      </c>
      <c r="BN155" s="1157">
        <v>0</v>
      </c>
      <c r="BO155" s="1157">
        <v>18608</v>
      </c>
      <c r="BP155" s="1157">
        <v>16287956</v>
      </c>
      <c r="BQ155" s="1157">
        <v>0</v>
      </c>
      <c r="BR155" s="1157">
        <v>0</v>
      </c>
      <c r="BS155" s="1157">
        <v>516976</v>
      </c>
      <c r="BT155" s="1157">
        <v>0</v>
      </c>
      <c r="BU155" s="1157">
        <v>136265</v>
      </c>
      <c r="BV155" s="1157">
        <v>0</v>
      </c>
      <c r="BW155" s="1157">
        <v>23000</v>
      </c>
      <c r="BX155" s="1157">
        <v>74809</v>
      </c>
      <c r="BY155" s="1157">
        <v>0</v>
      </c>
      <c r="BZ155" s="1157">
        <v>60774</v>
      </c>
      <c r="CA155" s="1157">
        <v>0</v>
      </c>
      <c r="CB155" s="1157">
        <v>0</v>
      </c>
      <c r="CC155" s="1148">
        <v>0</v>
      </c>
      <c r="CD155" s="1148">
        <v>0</v>
      </c>
      <c r="CE155" s="1148">
        <v>0</v>
      </c>
      <c r="CF155" s="1148">
        <v>0</v>
      </c>
    </row>
    <row r="156" spans="1:84" s="1148" customFormat="1" x14ac:dyDescent="0.3">
      <c r="A156" s="1153">
        <v>506</v>
      </c>
      <c r="B156" s="1154">
        <v>506</v>
      </c>
      <c r="C156" s="1228">
        <v>506</v>
      </c>
      <c r="D156" s="1146" t="s">
        <v>198</v>
      </c>
      <c r="E156" s="1155" t="s">
        <v>473</v>
      </c>
      <c r="F156" s="1156">
        <v>0</v>
      </c>
      <c r="G156" s="1156">
        <v>124095</v>
      </c>
      <c r="H156" s="1156">
        <v>817571</v>
      </c>
      <c r="I156" s="1156">
        <v>3972951</v>
      </c>
      <c r="J156" s="1156">
        <v>5467943</v>
      </c>
      <c r="K156" s="1156">
        <v>4212954</v>
      </c>
      <c r="L156" s="1157">
        <v>110058</v>
      </c>
      <c r="M156" s="1157">
        <v>913010</v>
      </c>
      <c r="N156" s="1157">
        <v>1002956</v>
      </c>
      <c r="O156" s="1157">
        <v>7782726</v>
      </c>
      <c r="P156" s="1157">
        <v>556922</v>
      </c>
      <c r="Q156" s="1157">
        <v>4922082</v>
      </c>
      <c r="R156" s="1157">
        <v>294894</v>
      </c>
      <c r="S156" s="1157">
        <v>31430238</v>
      </c>
      <c r="T156" s="1157">
        <v>0</v>
      </c>
      <c r="U156" s="1157">
        <v>196617</v>
      </c>
      <c r="V156" s="1157">
        <v>38734607</v>
      </c>
      <c r="W156" s="1157">
        <v>6105426</v>
      </c>
      <c r="X156" s="1157">
        <v>20434293</v>
      </c>
      <c r="Y156" s="1157">
        <v>23658834</v>
      </c>
      <c r="Z156" s="1157">
        <v>136046</v>
      </c>
      <c r="AA156" s="1157">
        <v>11776154</v>
      </c>
      <c r="AB156" s="1157">
        <v>1436422</v>
      </c>
      <c r="AC156" s="1157">
        <v>12320947</v>
      </c>
      <c r="AD156" s="1157">
        <v>1029004</v>
      </c>
      <c r="AE156" s="1157">
        <v>1822312</v>
      </c>
      <c r="AF156" s="1157">
        <v>1243273</v>
      </c>
      <c r="AG156" s="1157">
        <v>3117602</v>
      </c>
      <c r="AH156" s="1157">
        <v>9677840</v>
      </c>
      <c r="AI156" s="1157">
        <v>5138465</v>
      </c>
      <c r="AJ156" s="1157">
        <v>634627</v>
      </c>
      <c r="AK156" s="1157">
        <v>9812606</v>
      </c>
      <c r="AL156" s="1157">
        <v>2715354</v>
      </c>
      <c r="AM156" s="1157">
        <v>782853</v>
      </c>
      <c r="AN156" s="1157">
        <v>0</v>
      </c>
      <c r="AO156" s="1157">
        <v>8896584</v>
      </c>
      <c r="AP156" s="1157">
        <v>0</v>
      </c>
      <c r="AQ156" s="1157">
        <v>289809</v>
      </c>
      <c r="AR156" s="1157">
        <v>88857</v>
      </c>
      <c r="AS156" s="1157">
        <v>3503803</v>
      </c>
      <c r="AT156" s="1157">
        <v>18153018</v>
      </c>
      <c r="AU156" s="1157">
        <v>492972</v>
      </c>
      <c r="AV156" s="1157">
        <v>1193295</v>
      </c>
      <c r="AW156" s="1157">
        <v>0</v>
      </c>
      <c r="AX156" s="1157">
        <v>15746061</v>
      </c>
      <c r="AY156" s="1157">
        <v>3594999</v>
      </c>
      <c r="AZ156" s="1157">
        <v>756812</v>
      </c>
      <c r="BA156" s="1157">
        <v>19654204</v>
      </c>
      <c r="BB156" s="1157">
        <v>2046165</v>
      </c>
      <c r="BC156" s="1157">
        <v>504480</v>
      </c>
      <c r="BD156" s="1157">
        <v>108917</v>
      </c>
      <c r="BE156" s="1157">
        <v>319362</v>
      </c>
      <c r="BF156" s="1157">
        <v>5822890</v>
      </c>
      <c r="BG156" s="1157">
        <v>496845</v>
      </c>
      <c r="BH156" s="1157">
        <v>679689</v>
      </c>
      <c r="BI156" s="1157">
        <v>239380</v>
      </c>
      <c r="BJ156" s="1157">
        <v>309043</v>
      </c>
      <c r="BK156" s="1157">
        <v>450543</v>
      </c>
      <c r="BL156" s="1157">
        <v>267304</v>
      </c>
      <c r="BM156" s="1157">
        <v>2157459</v>
      </c>
      <c r="BN156" s="1157">
        <v>0</v>
      </c>
      <c r="BO156" s="1157">
        <v>24912</v>
      </c>
      <c r="BP156" s="1157">
        <v>2298860</v>
      </c>
      <c r="BQ156" s="1157">
        <v>957553</v>
      </c>
      <c r="BR156" s="1157">
        <v>1882742</v>
      </c>
      <c r="BS156" s="1157">
        <v>10480331</v>
      </c>
      <c r="BT156" s="1157">
        <v>357491</v>
      </c>
      <c r="BU156" s="1157">
        <v>20774396</v>
      </c>
      <c r="BV156" s="1157">
        <v>713827</v>
      </c>
      <c r="BW156" s="1157">
        <v>4059630</v>
      </c>
      <c r="BX156" s="1157">
        <v>1006787</v>
      </c>
      <c r="BY156" s="1157">
        <v>0</v>
      </c>
      <c r="BZ156" s="1157">
        <v>1713298</v>
      </c>
      <c r="CA156" s="1157">
        <v>198340</v>
      </c>
      <c r="CB156" s="1157">
        <v>806466</v>
      </c>
      <c r="CC156" s="1148">
        <v>171503</v>
      </c>
      <c r="CD156" s="1148">
        <v>383000</v>
      </c>
      <c r="CE156" s="1148">
        <v>0</v>
      </c>
      <c r="CF156" s="1148">
        <v>366360</v>
      </c>
    </row>
    <row r="157" spans="1:84" s="1148" customFormat="1" x14ac:dyDescent="0.3">
      <c r="A157" s="1153">
        <v>507</v>
      </c>
      <c r="B157" s="1154">
        <v>507</v>
      </c>
      <c r="C157" s="1228">
        <v>507</v>
      </c>
      <c r="D157" s="1146" t="s">
        <v>216</v>
      </c>
      <c r="E157" s="1155" t="s">
        <v>474</v>
      </c>
      <c r="F157" s="1156">
        <v>0</v>
      </c>
      <c r="G157" s="1156">
        <v>0</v>
      </c>
      <c r="H157" s="1156">
        <v>0</v>
      </c>
      <c r="I157" s="1156">
        <v>0</v>
      </c>
      <c r="J157" s="1156">
        <v>1</v>
      </c>
      <c r="K157" s="1156">
        <v>0</v>
      </c>
      <c r="L157" s="1157">
        <v>0</v>
      </c>
      <c r="M157" s="1157">
        <v>0</v>
      </c>
      <c r="N157" s="1157">
        <v>1</v>
      </c>
      <c r="O157" s="1157">
        <v>0</v>
      </c>
      <c r="P157" s="1157">
        <v>0</v>
      </c>
      <c r="Q157" s="1157">
        <v>0</v>
      </c>
      <c r="R157" s="1157">
        <v>0</v>
      </c>
      <c r="S157" s="1157">
        <v>0</v>
      </c>
      <c r="T157" s="1157">
        <v>0</v>
      </c>
      <c r="U157" s="1157">
        <v>0</v>
      </c>
      <c r="V157" s="1157">
        <v>0</v>
      </c>
      <c r="W157" s="1157">
        <v>0</v>
      </c>
      <c r="X157" s="1157">
        <v>0</v>
      </c>
      <c r="Y157" s="1157">
        <v>0</v>
      </c>
      <c r="Z157" s="1157">
        <v>0</v>
      </c>
      <c r="AA157" s="1157">
        <v>0</v>
      </c>
      <c r="AB157" s="1157">
        <v>0</v>
      </c>
      <c r="AC157" s="1157">
        <v>0</v>
      </c>
      <c r="AD157" s="1157">
        <v>0</v>
      </c>
      <c r="AE157" s="1157">
        <v>0</v>
      </c>
      <c r="AF157" s="1157">
        <v>-17670</v>
      </c>
      <c r="AG157" s="1157">
        <v>0</v>
      </c>
      <c r="AH157" s="1157">
        <v>-1</v>
      </c>
      <c r="AI157" s="1157">
        <v>0</v>
      </c>
      <c r="AJ157" s="1157">
        <v>0</v>
      </c>
      <c r="AK157" s="1157">
        <v>184826</v>
      </c>
      <c r="AL157" s="1157">
        <v>0</v>
      </c>
      <c r="AM157" s="1157">
        <v>0</v>
      </c>
      <c r="AN157" s="1157">
        <v>0</v>
      </c>
      <c r="AO157" s="1157">
        <v>569083</v>
      </c>
      <c r="AP157" s="1157">
        <v>0</v>
      </c>
      <c r="AQ157" s="1157">
        <v>0</v>
      </c>
      <c r="AR157" s="1157">
        <v>0</v>
      </c>
      <c r="AS157" s="1157">
        <v>0</v>
      </c>
      <c r="AT157" s="1157">
        <v>0</v>
      </c>
      <c r="AU157" s="1157">
        <v>0</v>
      </c>
      <c r="AV157" s="1157">
        <v>0</v>
      </c>
      <c r="AW157" s="1157">
        <v>0</v>
      </c>
      <c r="AX157" s="1157">
        <v>0</v>
      </c>
      <c r="AY157" s="1157">
        <v>0</v>
      </c>
      <c r="AZ157" s="1157">
        <v>-1</v>
      </c>
      <c r="BA157" s="1157">
        <v>0</v>
      </c>
      <c r="BB157" s="1157">
        <v>0</v>
      </c>
      <c r="BC157" s="1157">
        <v>0</v>
      </c>
      <c r="BD157" s="1157">
        <v>0</v>
      </c>
      <c r="BE157" s="1157">
        <v>0</v>
      </c>
      <c r="BF157" s="1157">
        <v>0</v>
      </c>
      <c r="BG157" s="1157">
        <v>0</v>
      </c>
      <c r="BH157" s="1157">
        <v>0</v>
      </c>
      <c r="BI157" s="1157">
        <v>0</v>
      </c>
      <c r="BJ157" s="1157">
        <v>0</v>
      </c>
      <c r="BK157" s="1157">
        <v>0</v>
      </c>
      <c r="BL157" s="1157">
        <v>0</v>
      </c>
      <c r="BM157" s="1157">
        <v>0</v>
      </c>
      <c r="BN157" s="1157">
        <v>0</v>
      </c>
      <c r="BO157" s="1157">
        <v>0</v>
      </c>
      <c r="BP157" s="1157">
        <v>0</v>
      </c>
      <c r="BQ157" s="1157">
        <v>0</v>
      </c>
      <c r="BR157" s="1157">
        <v>0</v>
      </c>
      <c r="BS157" s="1157">
        <v>0</v>
      </c>
      <c r="BT157" s="1157">
        <v>0</v>
      </c>
      <c r="BU157" s="1157">
        <v>0</v>
      </c>
      <c r="BV157" s="1157">
        <v>0</v>
      </c>
      <c r="BW157" s="1157">
        <v>0</v>
      </c>
      <c r="BX157" s="1157">
        <v>0</v>
      </c>
      <c r="BY157" s="1157">
        <v>0</v>
      </c>
      <c r="BZ157" s="1157">
        <v>0</v>
      </c>
      <c r="CA157" s="1157">
        <v>0</v>
      </c>
      <c r="CB157" s="1157">
        <v>0</v>
      </c>
      <c r="CC157" s="1148">
        <v>0</v>
      </c>
      <c r="CD157" s="1148">
        <v>0</v>
      </c>
      <c r="CE157" s="1148">
        <v>0</v>
      </c>
      <c r="CF157" s="1148">
        <v>0</v>
      </c>
    </row>
    <row r="158" spans="1:84" s="1148" customFormat="1" x14ac:dyDescent="0.3">
      <c r="A158" s="1153">
        <v>508</v>
      </c>
      <c r="B158" s="1154">
        <v>508</v>
      </c>
      <c r="C158" s="1228">
        <v>508</v>
      </c>
      <c r="D158" s="1146" t="s">
        <v>213</v>
      </c>
      <c r="E158" s="1155" t="s">
        <v>475</v>
      </c>
      <c r="F158" s="1156">
        <v>0</v>
      </c>
      <c r="G158" s="1156">
        <v>0</v>
      </c>
      <c r="H158" s="1156">
        <v>0</v>
      </c>
      <c r="I158" s="1156">
        <v>0</v>
      </c>
      <c r="J158" s="1156">
        <v>0</v>
      </c>
      <c r="K158" s="1156">
        <v>0</v>
      </c>
      <c r="L158" s="1157">
        <v>0</v>
      </c>
      <c r="M158" s="1157">
        <v>0</v>
      </c>
      <c r="N158" s="1157">
        <v>0</v>
      </c>
      <c r="O158" s="1157">
        <v>0</v>
      </c>
      <c r="P158" s="1157">
        <v>0</v>
      </c>
      <c r="Q158" s="1157">
        <v>0</v>
      </c>
      <c r="R158" s="1157">
        <v>0</v>
      </c>
      <c r="S158" s="1157">
        <v>0</v>
      </c>
      <c r="T158" s="1157">
        <v>0</v>
      </c>
      <c r="U158" s="1157">
        <v>0</v>
      </c>
      <c r="V158" s="1157">
        <v>0</v>
      </c>
      <c r="W158" s="1157">
        <v>0</v>
      </c>
      <c r="X158" s="1157">
        <v>0</v>
      </c>
      <c r="Y158" s="1157">
        <v>0</v>
      </c>
      <c r="Z158" s="1157">
        <v>0</v>
      </c>
      <c r="AA158" s="1157">
        <v>0</v>
      </c>
      <c r="AB158" s="1157">
        <v>0</v>
      </c>
      <c r="AC158" s="1157">
        <v>0</v>
      </c>
      <c r="AD158" s="1157">
        <v>0</v>
      </c>
      <c r="AE158" s="1157">
        <v>0</v>
      </c>
      <c r="AF158" s="1157">
        <v>0</v>
      </c>
      <c r="AG158" s="1157">
        <v>0</v>
      </c>
      <c r="AH158" s="1157">
        <v>0</v>
      </c>
      <c r="AI158" s="1157">
        <v>0</v>
      </c>
      <c r="AJ158" s="1157">
        <v>0</v>
      </c>
      <c r="AK158" s="1157">
        <v>0</v>
      </c>
      <c r="AL158" s="1157">
        <v>0</v>
      </c>
      <c r="AM158" s="1157">
        <v>0</v>
      </c>
      <c r="AN158" s="1157">
        <v>0</v>
      </c>
      <c r="AO158" s="1157">
        <v>0</v>
      </c>
      <c r="AP158" s="1157">
        <v>0</v>
      </c>
      <c r="AQ158" s="1157">
        <v>0</v>
      </c>
      <c r="AR158" s="1157">
        <v>0</v>
      </c>
      <c r="AS158" s="1157">
        <v>0</v>
      </c>
      <c r="AT158" s="1157">
        <v>0</v>
      </c>
      <c r="AU158" s="1157">
        <v>0</v>
      </c>
      <c r="AV158" s="1157">
        <v>0</v>
      </c>
      <c r="AW158" s="1157">
        <v>0</v>
      </c>
      <c r="AX158" s="1157">
        <v>0</v>
      </c>
      <c r="AY158" s="1157">
        <v>0</v>
      </c>
      <c r="AZ158" s="1157">
        <v>0</v>
      </c>
      <c r="BA158" s="1157">
        <v>0</v>
      </c>
      <c r="BB158" s="1157">
        <v>0</v>
      </c>
      <c r="BC158" s="1157">
        <v>0</v>
      </c>
      <c r="BD158" s="1157">
        <v>0</v>
      </c>
      <c r="BE158" s="1157">
        <v>0</v>
      </c>
      <c r="BF158" s="1157">
        <v>0</v>
      </c>
      <c r="BG158" s="1157">
        <v>0</v>
      </c>
      <c r="BH158" s="1157">
        <v>0</v>
      </c>
      <c r="BI158" s="1157">
        <v>0</v>
      </c>
      <c r="BJ158" s="1157">
        <v>0</v>
      </c>
      <c r="BK158" s="1157">
        <v>0</v>
      </c>
      <c r="BL158" s="1157">
        <v>0</v>
      </c>
      <c r="BM158" s="1157">
        <v>0</v>
      </c>
      <c r="BN158" s="1157">
        <v>0</v>
      </c>
      <c r="BO158" s="1157">
        <v>0</v>
      </c>
      <c r="BP158" s="1157">
        <v>0</v>
      </c>
      <c r="BQ158" s="1157">
        <v>0</v>
      </c>
      <c r="BR158" s="1157">
        <v>0</v>
      </c>
      <c r="BS158" s="1157">
        <v>0</v>
      </c>
      <c r="BT158" s="1157">
        <v>0</v>
      </c>
      <c r="BU158" s="1157">
        <v>0</v>
      </c>
      <c r="BV158" s="1157">
        <v>0</v>
      </c>
      <c r="BW158" s="1157">
        <v>0</v>
      </c>
      <c r="BX158" s="1157">
        <v>0</v>
      </c>
      <c r="BY158" s="1157">
        <v>0</v>
      </c>
      <c r="BZ158" s="1157">
        <v>0</v>
      </c>
      <c r="CA158" s="1157">
        <v>0</v>
      </c>
      <c r="CB158" s="1157">
        <v>0</v>
      </c>
      <c r="CC158" s="1148">
        <v>0</v>
      </c>
      <c r="CD158" s="1148">
        <v>0</v>
      </c>
      <c r="CE158" s="1148">
        <v>0</v>
      </c>
      <c r="CF158" s="1148">
        <v>0</v>
      </c>
    </row>
    <row r="159" spans="1:84" s="1148" customFormat="1" x14ac:dyDescent="0.3">
      <c r="A159" s="1153">
        <v>509</v>
      </c>
      <c r="B159" s="1154">
        <v>509</v>
      </c>
      <c r="C159" s="1228">
        <v>509</v>
      </c>
      <c r="D159" s="1146" t="s">
        <v>214</v>
      </c>
      <c r="E159" s="1155" t="s">
        <v>476</v>
      </c>
      <c r="F159" s="1156">
        <v>0</v>
      </c>
      <c r="G159" s="1156">
        <v>0</v>
      </c>
      <c r="H159" s="1156">
        <v>0</v>
      </c>
      <c r="I159" s="1156">
        <v>0</v>
      </c>
      <c r="J159" s="1156">
        <v>0</v>
      </c>
      <c r="K159" s="1156">
        <v>0</v>
      </c>
      <c r="L159" s="1157">
        <v>0</v>
      </c>
      <c r="M159" s="1157">
        <v>0</v>
      </c>
      <c r="N159" s="1157">
        <v>0</v>
      </c>
      <c r="O159" s="1157">
        <v>0</v>
      </c>
      <c r="P159" s="1157">
        <v>0</v>
      </c>
      <c r="Q159" s="1157">
        <v>0</v>
      </c>
      <c r="R159" s="1157">
        <v>0</v>
      </c>
      <c r="S159" s="1157">
        <v>0</v>
      </c>
      <c r="T159" s="1157">
        <v>0</v>
      </c>
      <c r="U159" s="1157">
        <v>0</v>
      </c>
      <c r="V159" s="1157">
        <v>0</v>
      </c>
      <c r="W159" s="1157">
        <v>0</v>
      </c>
      <c r="X159" s="1157">
        <v>0</v>
      </c>
      <c r="Y159" s="1157">
        <v>0</v>
      </c>
      <c r="Z159" s="1157">
        <v>0</v>
      </c>
      <c r="AA159" s="1157">
        <v>0</v>
      </c>
      <c r="AB159" s="1157">
        <v>0</v>
      </c>
      <c r="AC159" s="1157">
        <v>0</v>
      </c>
      <c r="AD159" s="1157">
        <v>0</v>
      </c>
      <c r="AE159" s="1157">
        <v>0</v>
      </c>
      <c r="AF159" s="1157">
        <v>0</v>
      </c>
      <c r="AG159" s="1157">
        <v>0</v>
      </c>
      <c r="AH159" s="1157">
        <v>0</v>
      </c>
      <c r="AI159" s="1157">
        <v>0</v>
      </c>
      <c r="AJ159" s="1157">
        <v>0</v>
      </c>
      <c r="AK159" s="1157">
        <v>0</v>
      </c>
      <c r="AL159" s="1157">
        <v>0</v>
      </c>
      <c r="AM159" s="1157">
        <v>0</v>
      </c>
      <c r="AN159" s="1157">
        <v>0</v>
      </c>
      <c r="AO159" s="1157">
        <v>0</v>
      </c>
      <c r="AP159" s="1157">
        <v>0</v>
      </c>
      <c r="AQ159" s="1157">
        <v>0</v>
      </c>
      <c r="AR159" s="1157">
        <v>0</v>
      </c>
      <c r="AS159" s="1157">
        <v>0</v>
      </c>
      <c r="AT159" s="1157">
        <v>0</v>
      </c>
      <c r="AU159" s="1157">
        <v>0</v>
      </c>
      <c r="AV159" s="1157">
        <v>0</v>
      </c>
      <c r="AW159" s="1157">
        <v>0</v>
      </c>
      <c r="AX159" s="1157">
        <v>0</v>
      </c>
      <c r="AY159" s="1157">
        <v>0</v>
      </c>
      <c r="AZ159" s="1157">
        <v>0</v>
      </c>
      <c r="BA159" s="1157">
        <v>0</v>
      </c>
      <c r="BB159" s="1157">
        <v>0</v>
      </c>
      <c r="BC159" s="1157">
        <v>0</v>
      </c>
      <c r="BD159" s="1157">
        <v>0</v>
      </c>
      <c r="BE159" s="1157">
        <v>0</v>
      </c>
      <c r="BF159" s="1157">
        <v>0</v>
      </c>
      <c r="BG159" s="1157">
        <v>0</v>
      </c>
      <c r="BH159" s="1157">
        <v>0</v>
      </c>
      <c r="BI159" s="1157">
        <v>0</v>
      </c>
      <c r="BJ159" s="1157">
        <v>0</v>
      </c>
      <c r="BK159" s="1157">
        <v>0</v>
      </c>
      <c r="BL159" s="1157">
        <v>0</v>
      </c>
      <c r="BM159" s="1157">
        <v>0</v>
      </c>
      <c r="BN159" s="1157">
        <v>0</v>
      </c>
      <c r="BO159" s="1157">
        <v>0</v>
      </c>
      <c r="BP159" s="1157">
        <v>0</v>
      </c>
      <c r="BQ159" s="1157">
        <v>0</v>
      </c>
      <c r="BR159" s="1157">
        <v>0</v>
      </c>
      <c r="BS159" s="1157">
        <v>0</v>
      </c>
      <c r="BT159" s="1157">
        <v>0</v>
      </c>
      <c r="BU159" s="1157">
        <v>0</v>
      </c>
      <c r="BV159" s="1157">
        <v>0</v>
      </c>
      <c r="BW159" s="1157">
        <v>0</v>
      </c>
      <c r="BX159" s="1157">
        <v>0</v>
      </c>
      <c r="BY159" s="1157">
        <v>0</v>
      </c>
      <c r="BZ159" s="1157">
        <v>0</v>
      </c>
      <c r="CA159" s="1157">
        <v>0</v>
      </c>
      <c r="CB159" s="1157">
        <v>0</v>
      </c>
      <c r="CC159" s="1148">
        <v>0</v>
      </c>
      <c r="CD159" s="1148">
        <v>0</v>
      </c>
      <c r="CE159" s="1148">
        <v>0</v>
      </c>
      <c r="CF159" s="1148">
        <v>0</v>
      </c>
    </row>
    <row r="160" spans="1:84" s="1148" customFormat="1" x14ac:dyDescent="0.3">
      <c r="A160" s="1153">
        <v>510</v>
      </c>
      <c r="B160" s="1154">
        <v>510</v>
      </c>
      <c r="C160" s="1228">
        <v>510</v>
      </c>
      <c r="D160" s="1146" t="s">
        <v>220</v>
      </c>
      <c r="E160" s="1155" t="s">
        <v>477</v>
      </c>
      <c r="F160" s="1156">
        <v>0</v>
      </c>
      <c r="G160" s="1156">
        <v>0</v>
      </c>
      <c r="H160" s="1156">
        <v>0</v>
      </c>
      <c r="I160" s="1156">
        <v>0</v>
      </c>
      <c r="J160" s="1156">
        <v>0</v>
      </c>
      <c r="K160" s="1156">
        <v>0</v>
      </c>
      <c r="L160" s="1157">
        <v>18552</v>
      </c>
      <c r="M160" s="1157">
        <v>0</v>
      </c>
      <c r="N160" s="1157">
        <v>0</v>
      </c>
      <c r="O160" s="1157">
        <v>0</v>
      </c>
      <c r="P160" s="1157">
        <v>0</v>
      </c>
      <c r="Q160" s="1157">
        <v>59702</v>
      </c>
      <c r="R160" s="1157">
        <v>0</v>
      </c>
      <c r="S160" s="1157">
        <v>577904</v>
      </c>
      <c r="T160" s="1157">
        <v>0</v>
      </c>
      <c r="U160" s="1157">
        <v>0</v>
      </c>
      <c r="V160" s="1157">
        <v>476437</v>
      </c>
      <c r="W160" s="1157">
        <v>253538</v>
      </c>
      <c r="X160" s="1157">
        <v>64183</v>
      </c>
      <c r="Y160" s="1157">
        <v>0</v>
      </c>
      <c r="Z160" s="1157">
        <v>0</v>
      </c>
      <c r="AA160" s="1157">
        <v>248770</v>
      </c>
      <c r="AB160" s="1157">
        <v>26299</v>
      </c>
      <c r="AC160" s="1157">
        <v>64296</v>
      </c>
      <c r="AD160" s="1157">
        <v>0</v>
      </c>
      <c r="AE160" s="1157">
        <v>0</v>
      </c>
      <c r="AF160" s="1157">
        <v>0</v>
      </c>
      <c r="AG160" s="1157">
        <v>0</v>
      </c>
      <c r="AH160" s="1157">
        <v>59257</v>
      </c>
      <c r="AI160" s="1157">
        <v>208793</v>
      </c>
      <c r="AJ160" s="1157">
        <v>0</v>
      </c>
      <c r="AK160" s="1157">
        <v>0</v>
      </c>
      <c r="AL160" s="1157">
        <v>0</v>
      </c>
      <c r="AM160" s="1157">
        <v>1121</v>
      </c>
      <c r="AN160" s="1157">
        <v>0</v>
      </c>
      <c r="AO160" s="1157">
        <v>119750</v>
      </c>
      <c r="AP160" s="1157">
        <v>0</v>
      </c>
      <c r="AQ160" s="1157">
        <v>0</v>
      </c>
      <c r="AR160" s="1157">
        <v>0</v>
      </c>
      <c r="AS160" s="1157">
        <v>0</v>
      </c>
      <c r="AT160" s="1157">
        <v>34904</v>
      </c>
      <c r="AU160" s="1157">
        <v>0</v>
      </c>
      <c r="AV160" s="1157">
        <v>82517</v>
      </c>
      <c r="AW160" s="1157">
        <v>0</v>
      </c>
      <c r="AX160" s="1157">
        <v>634974</v>
      </c>
      <c r="AY160" s="1157">
        <v>0</v>
      </c>
      <c r="AZ160" s="1157">
        <v>44333</v>
      </c>
      <c r="BA160" s="1157">
        <v>33944</v>
      </c>
      <c r="BB160" s="1157">
        <v>21959</v>
      </c>
      <c r="BC160" s="1157">
        <v>0</v>
      </c>
      <c r="BD160" s="1157">
        <v>0</v>
      </c>
      <c r="BE160" s="1157">
        <v>568</v>
      </c>
      <c r="BF160" s="1157">
        <v>117776</v>
      </c>
      <c r="BG160" s="1157">
        <v>0</v>
      </c>
      <c r="BH160" s="1157">
        <v>0</v>
      </c>
      <c r="BI160" s="1157">
        <v>0</v>
      </c>
      <c r="BJ160" s="1157">
        <v>0</v>
      </c>
      <c r="BK160" s="1157">
        <v>0</v>
      </c>
      <c r="BL160" s="1157">
        <v>0</v>
      </c>
      <c r="BM160" s="1157">
        <v>66325</v>
      </c>
      <c r="BN160" s="1157">
        <v>0</v>
      </c>
      <c r="BO160" s="1157">
        <v>0</v>
      </c>
      <c r="BP160" s="1157">
        <v>0</v>
      </c>
      <c r="BQ160" s="1157">
        <v>0</v>
      </c>
      <c r="BR160" s="1157">
        <v>0</v>
      </c>
      <c r="BS160" s="1157">
        <v>0</v>
      </c>
      <c r="BT160" s="1157">
        <v>78138</v>
      </c>
      <c r="BU160" s="1157">
        <v>0</v>
      </c>
      <c r="BV160" s="1157">
        <v>6973</v>
      </c>
      <c r="BW160" s="1157">
        <v>0</v>
      </c>
      <c r="BX160" s="1157">
        <v>0</v>
      </c>
      <c r="BY160" s="1157">
        <v>0</v>
      </c>
      <c r="BZ160" s="1157">
        <v>28444</v>
      </c>
      <c r="CA160" s="1157">
        <v>12353</v>
      </c>
      <c r="CB160" s="1157">
        <v>0</v>
      </c>
      <c r="CC160" s="1148">
        <v>0</v>
      </c>
      <c r="CD160" s="1148">
        <v>20308</v>
      </c>
      <c r="CE160" s="1148">
        <v>0</v>
      </c>
      <c r="CF160" s="1148">
        <v>0</v>
      </c>
    </row>
    <row r="161" spans="1:84" s="1148" customFormat="1" x14ac:dyDescent="0.3">
      <c r="A161" s="1153">
        <v>511</v>
      </c>
      <c r="B161" s="1154">
        <v>511</v>
      </c>
      <c r="C161" s="1228">
        <v>511</v>
      </c>
      <c r="D161" s="1146" t="s">
        <v>225</v>
      </c>
      <c r="E161" s="1155" t="s">
        <v>478</v>
      </c>
      <c r="F161" s="1156">
        <v>0</v>
      </c>
      <c r="G161" s="1156">
        <v>0</v>
      </c>
      <c r="H161" s="1156">
        <v>0</v>
      </c>
      <c r="I161" s="1156">
        <v>0</v>
      </c>
      <c r="J161" s="1156">
        <v>0</v>
      </c>
      <c r="K161" s="1156">
        <v>0</v>
      </c>
      <c r="L161" s="1157">
        <v>0</v>
      </c>
      <c r="M161" s="1157">
        <v>0</v>
      </c>
      <c r="N161" s="1157">
        <v>0</v>
      </c>
      <c r="O161" s="1157">
        <v>0</v>
      </c>
      <c r="P161" s="1157">
        <v>0</v>
      </c>
      <c r="Q161" s="1157">
        <v>0</v>
      </c>
      <c r="R161" s="1157">
        <v>0</v>
      </c>
      <c r="S161" s="1157">
        <v>3673285</v>
      </c>
      <c r="T161" s="1157">
        <v>0</v>
      </c>
      <c r="U161" s="1157">
        <v>0</v>
      </c>
      <c r="V161" s="1157">
        <v>0</v>
      </c>
      <c r="W161" s="1157">
        <v>0</v>
      </c>
      <c r="X161" s="1157">
        <v>38767</v>
      </c>
      <c r="Y161" s="1157">
        <v>0</v>
      </c>
      <c r="Z161" s="1157">
        <v>0</v>
      </c>
      <c r="AA161" s="1157">
        <v>0</v>
      </c>
      <c r="AB161" s="1157">
        <v>0</v>
      </c>
      <c r="AC161" s="1157">
        <v>0</v>
      </c>
      <c r="AD161" s="1157">
        <v>0</v>
      </c>
      <c r="AE161" s="1157">
        <v>0</v>
      </c>
      <c r="AF161" s="1157">
        <v>0</v>
      </c>
      <c r="AG161" s="1157">
        <v>0</v>
      </c>
      <c r="AH161" s="1157">
        <v>0</v>
      </c>
      <c r="AI161" s="1157">
        <v>0</v>
      </c>
      <c r="AJ161" s="1157">
        <v>0</v>
      </c>
      <c r="AK161" s="1157">
        <v>2229722</v>
      </c>
      <c r="AL161" s="1157">
        <v>0</v>
      </c>
      <c r="AM161" s="1157">
        <v>0</v>
      </c>
      <c r="AN161" s="1157">
        <v>0</v>
      </c>
      <c r="AO161" s="1157">
        <v>763344</v>
      </c>
      <c r="AP161" s="1157">
        <v>0</v>
      </c>
      <c r="AQ161" s="1157">
        <v>0</v>
      </c>
      <c r="AR161" s="1157">
        <v>0</v>
      </c>
      <c r="AS161" s="1157">
        <v>0</v>
      </c>
      <c r="AT161" s="1157">
        <v>0</v>
      </c>
      <c r="AU161" s="1157">
        <v>0</v>
      </c>
      <c r="AV161" s="1157">
        <v>0</v>
      </c>
      <c r="AW161" s="1157">
        <v>0</v>
      </c>
      <c r="AX161" s="1157">
        <v>0</v>
      </c>
      <c r="AY161" s="1157">
        <v>0</v>
      </c>
      <c r="AZ161" s="1157">
        <v>0</v>
      </c>
      <c r="BA161" s="1157">
        <v>0</v>
      </c>
      <c r="BB161" s="1157">
        <v>0</v>
      </c>
      <c r="BC161" s="1157">
        <v>0</v>
      </c>
      <c r="BD161" s="1157">
        <v>0</v>
      </c>
      <c r="BE161" s="1157">
        <v>0</v>
      </c>
      <c r="BF161" s="1157">
        <v>0</v>
      </c>
      <c r="BG161" s="1157">
        <v>0</v>
      </c>
      <c r="BH161" s="1157">
        <v>0</v>
      </c>
      <c r="BI161" s="1157">
        <v>0</v>
      </c>
      <c r="BJ161" s="1157">
        <v>0</v>
      </c>
      <c r="BK161" s="1157">
        <v>0</v>
      </c>
      <c r="BL161" s="1157">
        <v>0</v>
      </c>
      <c r="BM161" s="1157">
        <v>0</v>
      </c>
      <c r="BN161" s="1157">
        <v>0</v>
      </c>
      <c r="BO161" s="1157">
        <v>0</v>
      </c>
      <c r="BP161" s="1157">
        <v>0</v>
      </c>
      <c r="BQ161" s="1157">
        <v>0</v>
      </c>
      <c r="BR161" s="1157">
        <v>0</v>
      </c>
      <c r="BS161" s="1157">
        <v>0</v>
      </c>
      <c r="BT161" s="1157">
        <v>33482</v>
      </c>
      <c r="BU161" s="1157">
        <v>470599</v>
      </c>
      <c r="BV161" s="1157">
        <v>0</v>
      </c>
      <c r="BW161" s="1157">
        <v>0</v>
      </c>
      <c r="BX161" s="1157">
        <v>0</v>
      </c>
      <c r="BY161" s="1157">
        <v>0</v>
      </c>
      <c r="BZ161" s="1157">
        <v>0</v>
      </c>
      <c r="CA161" s="1157">
        <v>0</v>
      </c>
      <c r="CB161" s="1157">
        <v>0</v>
      </c>
      <c r="CC161" s="1148">
        <v>0</v>
      </c>
      <c r="CD161" s="1148">
        <v>0</v>
      </c>
      <c r="CE161" s="1148">
        <v>0</v>
      </c>
      <c r="CF161" s="1148">
        <v>0</v>
      </c>
    </row>
    <row r="162" spans="1:84" s="1148" customFormat="1" x14ac:dyDescent="0.3">
      <c r="A162" s="1153">
        <v>512</v>
      </c>
      <c r="B162" s="1154">
        <v>512</v>
      </c>
      <c r="C162" s="1228">
        <v>512</v>
      </c>
      <c r="D162" s="1146" t="s">
        <v>252</v>
      </c>
      <c r="E162" s="1155" t="s">
        <v>479</v>
      </c>
      <c r="F162" s="1156">
        <v>0</v>
      </c>
      <c r="G162" s="1156">
        <v>0</v>
      </c>
      <c r="H162" s="1156">
        <v>0</v>
      </c>
      <c r="I162" s="1156">
        <v>0</v>
      </c>
      <c r="J162" s="1156">
        <v>0</v>
      </c>
      <c r="K162" s="1156">
        <v>0</v>
      </c>
      <c r="L162" s="1157">
        <v>0</v>
      </c>
      <c r="M162" s="1157">
        <v>0</v>
      </c>
      <c r="N162" s="1157">
        <v>0</v>
      </c>
      <c r="O162" s="1157">
        <v>90064</v>
      </c>
      <c r="P162" s="1157">
        <v>0</v>
      </c>
      <c r="Q162" s="1157">
        <v>0</v>
      </c>
      <c r="R162" s="1157">
        <v>0</v>
      </c>
      <c r="S162" s="1157">
        <v>0</v>
      </c>
      <c r="T162" s="1157">
        <v>0</v>
      </c>
      <c r="U162" s="1157">
        <v>0</v>
      </c>
      <c r="V162" s="1157">
        <v>47822</v>
      </c>
      <c r="W162" s="1157">
        <v>0</v>
      </c>
      <c r="X162" s="1157">
        <v>0</v>
      </c>
      <c r="Y162" s="1157">
        <v>0</v>
      </c>
      <c r="Z162" s="1157">
        <v>0</v>
      </c>
      <c r="AA162" s="1157">
        <v>32978</v>
      </c>
      <c r="AB162" s="1157">
        <v>0</v>
      </c>
      <c r="AC162" s="1157">
        <v>0</v>
      </c>
      <c r="AD162" s="1157">
        <v>0</v>
      </c>
      <c r="AE162" s="1157">
        <v>0</v>
      </c>
      <c r="AF162" s="1157">
        <v>0</v>
      </c>
      <c r="AG162" s="1157">
        <v>0</v>
      </c>
      <c r="AH162" s="1157">
        <v>0</v>
      </c>
      <c r="AI162" s="1157">
        <v>0</v>
      </c>
      <c r="AJ162" s="1157">
        <v>0</v>
      </c>
      <c r="AK162" s="1157">
        <v>0</v>
      </c>
      <c r="AL162" s="1157">
        <v>0</v>
      </c>
      <c r="AM162" s="1157">
        <v>0</v>
      </c>
      <c r="AN162" s="1157">
        <v>0</v>
      </c>
      <c r="AO162" s="1157">
        <v>0</v>
      </c>
      <c r="AP162" s="1157">
        <v>0</v>
      </c>
      <c r="AQ162" s="1157">
        <v>0</v>
      </c>
      <c r="AR162" s="1157">
        <v>0</v>
      </c>
      <c r="AS162" s="1157">
        <v>0</v>
      </c>
      <c r="AT162" s="1157">
        <v>0</v>
      </c>
      <c r="AU162" s="1157">
        <v>0</v>
      </c>
      <c r="AV162" s="1157">
        <v>0</v>
      </c>
      <c r="AW162" s="1157">
        <v>0</v>
      </c>
      <c r="AX162" s="1157">
        <v>0</v>
      </c>
      <c r="AY162" s="1157">
        <v>0</v>
      </c>
      <c r="AZ162" s="1157">
        <v>0</v>
      </c>
      <c r="BA162" s="1157">
        <v>0</v>
      </c>
      <c r="BB162" s="1157">
        <v>0</v>
      </c>
      <c r="BC162" s="1157">
        <v>0</v>
      </c>
      <c r="BD162" s="1157">
        <v>0</v>
      </c>
      <c r="BE162" s="1157">
        <v>0</v>
      </c>
      <c r="BF162" s="1157">
        <v>0</v>
      </c>
      <c r="BG162" s="1157">
        <v>0</v>
      </c>
      <c r="BH162" s="1157">
        <v>0</v>
      </c>
      <c r="BI162" s="1157">
        <v>0</v>
      </c>
      <c r="BJ162" s="1157">
        <v>0</v>
      </c>
      <c r="BK162" s="1157">
        <v>0</v>
      </c>
      <c r="BL162" s="1157">
        <v>0</v>
      </c>
      <c r="BM162" s="1157">
        <v>0</v>
      </c>
      <c r="BN162" s="1157">
        <v>0</v>
      </c>
      <c r="BO162" s="1157">
        <v>23504</v>
      </c>
      <c r="BP162" s="1157">
        <v>2424</v>
      </c>
      <c r="BQ162" s="1157">
        <v>0</v>
      </c>
      <c r="BR162" s="1157">
        <v>0</v>
      </c>
      <c r="BS162" s="1157">
        <v>0</v>
      </c>
      <c r="BT162" s="1157">
        <v>0</v>
      </c>
      <c r="BU162" s="1157">
        <v>0</v>
      </c>
      <c r="BV162" s="1157">
        <v>0</v>
      </c>
      <c r="BW162" s="1157">
        <v>0</v>
      </c>
      <c r="BX162" s="1157">
        <v>0</v>
      </c>
      <c r="BY162" s="1157">
        <v>0</v>
      </c>
      <c r="BZ162" s="1157">
        <v>0</v>
      </c>
      <c r="CA162" s="1157">
        <v>0</v>
      </c>
      <c r="CB162" s="1157">
        <v>1210</v>
      </c>
      <c r="CC162" s="1148">
        <v>0</v>
      </c>
      <c r="CD162" s="1148">
        <v>0</v>
      </c>
      <c r="CE162" s="1148">
        <v>0</v>
      </c>
      <c r="CF162" s="1148">
        <v>0</v>
      </c>
    </row>
    <row r="163" spans="1:84" s="1148" customFormat="1" x14ac:dyDescent="0.3">
      <c r="A163" s="1153">
        <v>513</v>
      </c>
      <c r="B163" s="1154">
        <v>513</v>
      </c>
      <c r="C163" s="1228">
        <v>513</v>
      </c>
      <c r="D163" s="1146" t="s">
        <v>263</v>
      </c>
      <c r="E163" s="1155" t="s">
        <v>480</v>
      </c>
      <c r="F163" s="1156">
        <v>0</v>
      </c>
      <c r="G163" s="1156">
        <v>0</v>
      </c>
      <c r="H163" s="1156">
        <v>0</v>
      </c>
      <c r="I163" s="1156">
        <v>0</v>
      </c>
      <c r="J163" s="1156">
        <v>0</v>
      </c>
      <c r="K163" s="1156">
        <v>0</v>
      </c>
      <c r="L163" s="1157">
        <v>0</v>
      </c>
      <c r="M163" s="1157">
        <v>0</v>
      </c>
      <c r="N163" s="1157">
        <v>0</v>
      </c>
      <c r="O163" s="1157">
        <v>0</v>
      </c>
      <c r="P163" s="1157">
        <v>0</v>
      </c>
      <c r="Q163" s="1157">
        <v>0</v>
      </c>
      <c r="R163" s="1157">
        <v>0</v>
      </c>
      <c r="S163" s="1157">
        <v>0</v>
      </c>
      <c r="T163" s="1157">
        <v>0</v>
      </c>
      <c r="U163" s="1157">
        <v>0</v>
      </c>
      <c r="V163" s="1157">
        <v>0</v>
      </c>
      <c r="W163" s="1157">
        <v>0</v>
      </c>
      <c r="X163" s="1157">
        <v>0</v>
      </c>
      <c r="Y163" s="1157">
        <v>0</v>
      </c>
      <c r="Z163" s="1157">
        <v>0</v>
      </c>
      <c r="AA163" s="1157">
        <v>0</v>
      </c>
      <c r="AB163" s="1157">
        <v>0</v>
      </c>
      <c r="AC163" s="1157">
        <v>0</v>
      </c>
      <c r="AD163" s="1157">
        <v>0</v>
      </c>
      <c r="AE163" s="1157">
        <v>0</v>
      </c>
      <c r="AF163" s="1157">
        <v>0</v>
      </c>
      <c r="AG163" s="1157">
        <v>0</v>
      </c>
      <c r="AH163" s="1157">
        <v>0</v>
      </c>
      <c r="AI163" s="1157">
        <v>0</v>
      </c>
      <c r="AJ163" s="1157">
        <v>0</v>
      </c>
      <c r="AK163" s="1157">
        <v>0</v>
      </c>
      <c r="AL163" s="1157">
        <v>0</v>
      </c>
      <c r="AM163" s="1157">
        <v>0</v>
      </c>
      <c r="AN163" s="1157">
        <v>0</v>
      </c>
      <c r="AO163" s="1157">
        <v>0</v>
      </c>
      <c r="AP163" s="1157">
        <v>0</v>
      </c>
      <c r="AQ163" s="1157">
        <v>0</v>
      </c>
      <c r="AR163" s="1157">
        <v>0</v>
      </c>
      <c r="AS163" s="1157">
        <v>0</v>
      </c>
      <c r="AT163" s="1157">
        <v>0</v>
      </c>
      <c r="AU163" s="1157">
        <v>0</v>
      </c>
      <c r="AV163" s="1157">
        <v>0</v>
      </c>
      <c r="AW163" s="1157">
        <v>0</v>
      </c>
      <c r="AX163" s="1157">
        <v>0</v>
      </c>
      <c r="AY163" s="1157">
        <v>0</v>
      </c>
      <c r="AZ163" s="1157">
        <v>0</v>
      </c>
      <c r="BA163" s="1157">
        <v>0</v>
      </c>
      <c r="BB163" s="1157">
        <v>0</v>
      </c>
      <c r="BC163" s="1157">
        <v>0</v>
      </c>
      <c r="BD163" s="1157">
        <v>0</v>
      </c>
      <c r="BE163" s="1157">
        <v>0</v>
      </c>
      <c r="BF163" s="1157">
        <v>0</v>
      </c>
      <c r="BG163" s="1157">
        <v>0</v>
      </c>
      <c r="BH163" s="1157">
        <v>0</v>
      </c>
      <c r="BI163" s="1157">
        <v>0</v>
      </c>
      <c r="BJ163" s="1157">
        <v>0</v>
      </c>
      <c r="BK163" s="1157">
        <v>0</v>
      </c>
      <c r="BL163" s="1157">
        <v>0</v>
      </c>
      <c r="BM163" s="1157">
        <v>0</v>
      </c>
      <c r="BN163" s="1157">
        <v>0</v>
      </c>
      <c r="BO163" s="1157">
        <v>0</v>
      </c>
      <c r="BP163" s="1157">
        <v>0</v>
      </c>
      <c r="BQ163" s="1157">
        <v>0</v>
      </c>
      <c r="BR163" s="1157">
        <v>0</v>
      </c>
      <c r="BS163" s="1157">
        <v>0</v>
      </c>
      <c r="BT163" s="1157">
        <v>0</v>
      </c>
      <c r="BU163" s="1157">
        <v>0</v>
      </c>
      <c r="BV163" s="1157">
        <v>0</v>
      </c>
      <c r="BW163" s="1157">
        <v>0</v>
      </c>
      <c r="BX163" s="1157">
        <v>0</v>
      </c>
      <c r="BY163" s="1157">
        <v>0</v>
      </c>
      <c r="BZ163" s="1157">
        <v>0</v>
      </c>
      <c r="CA163" s="1157">
        <v>0</v>
      </c>
      <c r="CB163" s="1157">
        <v>0</v>
      </c>
      <c r="CC163" s="1148">
        <v>0</v>
      </c>
      <c r="CD163" s="1148">
        <v>0</v>
      </c>
      <c r="CE163" s="1148">
        <v>0</v>
      </c>
      <c r="CF163" s="1148">
        <v>0</v>
      </c>
    </row>
    <row r="164" spans="1:84" s="1148" customFormat="1" x14ac:dyDescent="0.3">
      <c r="A164" s="1153">
        <v>514</v>
      </c>
      <c r="B164" s="1154">
        <v>514</v>
      </c>
      <c r="C164" s="1228">
        <v>514</v>
      </c>
      <c r="D164" s="1146" t="s">
        <v>264</v>
      </c>
      <c r="E164" s="1155" t="s">
        <v>481</v>
      </c>
      <c r="F164" s="1156">
        <v>0</v>
      </c>
      <c r="G164" s="1156">
        <v>0</v>
      </c>
      <c r="H164" s="1156">
        <v>0</v>
      </c>
      <c r="I164" s="1156">
        <v>0</v>
      </c>
      <c r="J164" s="1156">
        <v>0</v>
      </c>
      <c r="K164" s="1156">
        <v>0</v>
      </c>
      <c r="L164" s="1157">
        <v>0</v>
      </c>
      <c r="M164" s="1157">
        <v>0</v>
      </c>
      <c r="N164" s="1157">
        <v>0</v>
      </c>
      <c r="O164" s="1157">
        <v>0</v>
      </c>
      <c r="P164" s="1157">
        <v>0</v>
      </c>
      <c r="Q164" s="1157">
        <v>0</v>
      </c>
      <c r="R164" s="1157">
        <v>0</v>
      </c>
      <c r="S164" s="1157">
        <v>545237</v>
      </c>
      <c r="T164" s="1157">
        <v>0</v>
      </c>
      <c r="U164" s="1157">
        <v>0</v>
      </c>
      <c r="V164" s="1157">
        <v>0</v>
      </c>
      <c r="W164" s="1157">
        <v>0</v>
      </c>
      <c r="X164" s="1157">
        <v>743202</v>
      </c>
      <c r="Y164" s="1157">
        <v>0</v>
      </c>
      <c r="Z164" s="1157">
        <v>0</v>
      </c>
      <c r="AA164" s="1157">
        <v>0</v>
      </c>
      <c r="AB164" s="1157">
        <v>0</v>
      </c>
      <c r="AC164" s="1157">
        <v>0</v>
      </c>
      <c r="AD164" s="1157">
        <v>0</v>
      </c>
      <c r="AE164" s="1157">
        <v>0</v>
      </c>
      <c r="AF164" s="1157">
        <v>0</v>
      </c>
      <c r="AG164" s="1157">
        <v>0</v>
      </c>
      <c r="AH164" s="1157">
        <v>0</v>
      </c>
      <c r="AI164" s="1157">
        <v>0</v>
      </c>
      <c r="AJ164" s="1157">
        <v>0</v>
      </c>
      <c r="AK164" s="1157">
        <v>3022397</v>
      </c>
      <c r="AL164" s="1157">
        <v>0</v>
      </c>
      <c r="AM164" s="1157">
        <v>0</v>
      </c>
      <c r="AN164" s="1157">
        <v>0</v>
      </c>
      <c r="AO164" s="1157">
        <v>675650</v>
      </c>
      <c r="AP164" s="1157">
        <v>0</v>
      </c>
      <c r="AQ164" s="1157">
        <v>0</v>
      </c>
      <c r="AR164" s="1157">
        <v>0</v>
      </c>
      <c r="AS164" s="1157">
        <v>0</v>
      </c>
      <c r="AT164" s="1157">
        <v>0</v>
      </c>
      <c r="AU164" s="1157">
        <v>0</v>
      </c>
      <c r="AV164" s="1157">
        <v>0</v>
      </c>
      <c r="AW164" s="1157">
        <v>0</v>
      </c>
      <c r="AX164" s="1157">
        <v>0</v>
      </c>
      <c r="AY164" s="1157">
        <v>0</v>
      </c>
      <c r="AZ164" s="1157">
        <v>0</v>
      </c>
      <c r="BA164" s="1157">
        <v>0</v>
      </c>
      <c r="BB164" s="1157">
        <v>0</v>
      </c>
      <c r="BC164" s="1157">
        <v>0</v>
      </c>
      <c r="BD164" s="1157">
        <v>0</v>
      </c>
      <c r="BE164" s="1157">
        <v>0</v>
      </c>
      <c r="BF164" s="1157">
        <v>0</v>
      </c>
      <c r="BG164" s="1157">
        <v>0</v>
      </c>
      <c r="BH164" s="1157">
        <v>0</v>
      </c>
      <c r="BI164" s="1157">
        <v>0</v>
      </c>
      <c r="BJ164" s="1157">
        <v>0</v>
      </c>
      <c r="BK164" s="1157">
        <v>0</v>
      </c>
      <c r="BL164" s="1157">
        <v>0</v>
      </c>
      <c r="BM164" s="1157">
        <v>0</v>
      </c>
      <c r="BN164" s="1157">
        <v>0</v>
      </c>
      <c r="BO164" s="1157">
        <v>0</v>
      </c>
      <c r="BP164" s="1157">
        <v>0</v>
      </c>
      <c r="BQ164" s="1157">
        <v>0</v>
      </c>
      <c r="BR164" s="1157">
        <v>0</v>
      </c>
      <c r="BS164" s="1157">
        <v>0</v>
      </c>
      <c r="BT164" s="1157">
        <v>354292</v>
      </c>
      <c r="BU164" s="1157">
        <v>33022</v>
      </c>
      <c r="BV164" s="1157">
        <v>0</v>
      </c>
      <c r="BW164" s="1157">
        <v>0</v>
      </c>
      <c r="BX164" s="1157">
        <v>0</v>
      </c>
      <c r="BY164" s="1157">
        <v>0</v>
      </c>
      <c r="BZ164" s="1157">
        <v>0</v>
      </c>
      <c r="CA164" s="1157">
        <v>0</v>
      </c>
      <c r="CB164" s="1157">
        <v>0</v>
      </c>
      <c r="CC164" s="1148">
        <v>0</v>
      </c>
      <c r="CD164" s="1148">
        <v>0</v>
      </c>
      <c r="CE164" s="1148">
        <v>0</v>
      </c>
      <c r="CF164" s="1148">
        <v>0</v>
      </c>
    </row>
    <row r="165" spans="1:84" s="1148" customFormat="1" x14ac:dyDescent="0.3">
      <c r="A165" s="1153">
        <v>515</v>
      </c>
      <c r="B165" s="1154">
        <v>515</v>
      </c>
      <c r="C165" s="1228">
        <v>515</v>
      </c>
      <c r="D165" s="1146" t="s">
        <v>277</v>
      </c>
      <c r="E165" s="1155" t="s">
        <v>482</v>
      </c>
      <c r="F165" s="1156">
        <v>0</v>
      </c>
      <c r="G165" s="1156">
        <v>0</v>
      </c>
      <c r="H165" s="1156">
        <v>0</v>
      </c>
      <c r="I165" s="1156">
        <v>0</v>
      </c>
      <c r="J165" s="1156">
        <v>0</v>
      </c>
      <c r="K165" s="1156">
        <v>0</v>
      </c>
      <c r="L165" s="1157">
        <v>0</v>
      </c>
      <c r="M165" s="1157">
        <v>0</v>
      </c>
      <c r="N165" s="1157">
        <v>0</v>
      </c>
      <c r="O165" s="1157">
        <v>0</v>
      </c>
      <c r="P165" s="1157">
        <v>0</v>
      </c>
      <c r="Q165" s="1157">
        <v>0</v>
      </c>
      <c r="R165" s="1157">
        <v>0</v>
      </c>
      <c r="S165" s="1157">
        <v>39966592</v>
      </c>
      <c r="T165" s="1157">
        <v>0</v>
      </c>
      <c r="U165" s="1157">
        <v>0</v>
      </c>
      <c r="V165" s="1157">
        <v>0</v>
      </c>
      <c r="W165" s="1157">
        <v>6725188</v>
      </c>
      <c r="X165" s="1157">
        <v>14034904</v>
      </c>
      <c r="Y165" s="1157">
        <v>0</v>
      </c>
      <c r="Z165" s="1157">
        <v>0</v>
      </c>
      <c r="AA165" s="1157">
        <v>0</v>
      </c>
      <c r="AB165" s="1157">
        <v>0</v>
      </c>
      <c r="AC165" s="1157">
        <v>18370559</v>
      </c>
      <c r="AD165" s="1157">
        <v>5119437</v>
      </c>
      <c r="AE165" s="1157">
        <v>613604</v>
      </c>
      <c r="AF165" s="1157">
        <v>0</v>
      </c>
      <c r="AG165" s="1157">
        <v>0</v>
      </c>
      <c r="AH165" s="1157">
        <v>3283693</v>
      </c>
      <c r="AI165" s="1157">
        <v>0</v>
      </c>
      <c r="AJ165" s="1157">
        <v>0</v>
      </c>
      <c r="AK165" s="1157">
        <v>75774813</v>
      </c>
      <c r="AL165" s="1157">
        <v>0</v>
      </c>
      <c r="AM165" s="1157">
        <v>0</v>
      </c>
      <c r="AN165" s="1157">
        <v>0</v>
      </c>
      <c r="AO165" s="1157">
        <v>23348498</v>
      </c>
      <c r="AP165" s="1157">
        <v>0</v>
      </c>
      <c r="AQ165" s="1157">
        <v>0</v>
      </c>
      <c r="AR165" s="1157">
        <v>0</v>
      </c>
      <c r="AS165" s="1157">
        <v>0</v>
      </c>
      <c r="AT165" s="1157">
        <v>0</v>
      </c>
      <c r="AU165" s="1157">
        <v>0</v>
      </c>
      <c r="AV165" s="1157">
        <v>0</v>
      </c>
      <c r="AW165" s="1157">
        <v>0</v>
      </c>
      <c r="AX165" s="1157">
        <v>13430340</v>
      </c>
      <c r="AY165" s="1157">
        <v>0</v>
      </c>
      <c r="AZ165" s="1157">
        <v>0</v>
      </c>
      <c r="BA165" s="1157">
        <v>181893</v>
      </c>
      <c r="BB165" s="1157">
        <v>321190</v>
      </c>
      <c r="BC165" s="1157">
        <v>0</v>
      </c>
      <c r="BD165" s="1157">
        <v>0</v>
      </c>
      <c r="BE165" s="1157">
        <v>22408</v>
      </c>
      <c r="BF165" s="1157">
        <v>0</v>
      </c>
      <c r="BG165" s="1157">
        <v>0</v>
      </c>
      <c r="BH165" s="1157">
        <v>0</v>
      </c>
      <c r="BI165" s="1157">
        <v>0</v>
      </c>
      <c r="BJ165" s="1157">
        <v>0</v>
      </c>
      <c r="BK165" s="1157">
        <v>0</v>
      </c>
      <c r="BL165" s="1157">
        <v>0</v>
      </c>
      <c r="BM165" s="1157">
        <v>0</v>
      </c>
      <c r="BN165" s="1157">
        <v>0</v>
      </c>
      <c r="BO165" s="1157">
        <v>0</v>
      </c>
      <c r="BP165" s="1157">
        <v>0</v>
      </c>
      <c r="BQ165" s="1157">
        <v>0</v>
      </c>
      <c r="BR165" s="1157">
        <v>92954</v>
      </c>
      <c r="BS165" s="1157">
        <v>0</v>
      </c>
      <c r="BT165" s="1157">
        <v>0</v>
      </c>
      <c r="BU165" s="1157">
        <v>0</v>
      </c>
      <c r="BV165" s="1157">
        <v>21428</v>
      </c>
      <c r="BW165" s="1157">
        <v>163682</v>
      </c>
      <c r="BX165" s="1157">
        <v>0</v>
      </c>
      <c r="BY165" s="1157">
        <v>0</v>
      </c>
      <c r="BZ165" s="1157">
        <v>121104</v>
      </c>
      <c r="CA165" s="1157">
        <v>0</v>
      </c>
      <c r="CB165" s="1157">
        <v>0</v>
      </c>
      <c r="CC165" s="1148">
        <v>0</v>
      </c>
      <c r="CD165" s="1148">
        <v>0</v>
      </c>
      <c r="CE165" s="1148">
        <v>0</v>
      </c>
      <c r="CF165" s="1148">
        <v>0</v>
      </c>
    </row>
    <row r="166" spans="1:84" s="1148" customFormat="1" x14ac:dyDescent="0.3">
      <c r="A166" s="1153">
        <v>516</v>
      </c>
      <c r="B166" s="1154">
        <v>516</v>
      </c>
      <c r="C166" s="1228">
        <v>516</v>
      </c>
      <c r="D166" s="1146" t="s">
        <v>278</v>
      </c>
      <c r="E166" s="1155" t="s">
        <v>483</v>
      </c>
      <c r="F166" s="1156">
        <v>0</v>
      </c>
      <c r="G166" s="1156">
        <v>0</v>
      </c>
      <c r="H166" s="1156">
        <v>7021698</v>
      </c>
      <c r="I166" s="1156">
        <v>0</v>
      </c>
      <c r="J166" s="1156">
        <v>0</v>
      </c>
      <c r="K166" s="1156">
        <v>0</v>
      </c>
      <c r="L166" s="1157">
        <v>3251767</v>
      </c>
      <c r="M166" s="1157">
        <v>0</v>
      </c>
      <c r="N166" s="1157">
        <v>0</v>
      </c>
      <c r="O166" s="1157">
        <v>0</v>
      </c>
      <c r="P166" s="1157">
        <v>0</v>
      </c>
      <c r="Q166" s="1157">
        <v>27032115</v>
      </c>
      <c r="R166" s="1157">
        <v>0</v>
      </c>
      <c r="S166" s="1157">
        <v>0</v>
      </c>
      <c r="T166" s="1157">
        <v>0</v>
      </c>
      <c r="U166" s="1157">
        <v>0</v>
      </c>
      <c r="V166" s="1157">
        <v>192271311</v>
      </c>
      <c r="W166" s="1157">
        <v>67692408</v>
      </c>
      <c r="X166" s="1157">
        <v>57796600</v>
      </c>
      <c r="Y166" s="1157">
        <v>0</v>
      </c>
      <c r="Z166" s="1157">
        <v>4596966</v>
      </c>
      <c r="AA166" s="1157">
        <v>79537956</v>
      </c>
      <c r="AB166" s="1157">
        <v>16542250</v>
      </c>
      <c r="AC166" s="1157">
        <v>26863028</v>
      </c>
      <c r="AD166" s="1157">
        <v>24726441</v>
      </c>
      <c r="AE166" s="1157">
        <v>4637476</v>
      </c>
      <c r="AF166" s="1157">
        <v>8948545</v>
      </c>
      <c r="AG166" s="1157">
        <v>21540065</v>
      </c>
      <c r="AH166" s="1157">
        <v>0</v>
      </c>
      <c r="AI166" s="1157">
        <v>10039879</v>
      </c>
      <c r="AJ166" s="1157">
        <v>5853459</v>
      </c>
      <c r="AK166" s="1157">
        <v>68681934</v>
      </c>
      <c r="AL166" s="1157">
        <v>2638690</v>
      </c>
      <c r="AM166" s="1157">
        <v>8190424</v>
      </c>
      <c r="AN166" s="1157">
        <v>0</v>
      </c>
      <c r="AO166" s="1157">
        <v>45009247</v>
      </c>
      <c r="AP166" s="1157">
        <v>0</v>
      </c>
      <c r="AQ166" s="1157">
        <v>3850744</v>
      </c>
      <c r="AR166" s="1157">
        <v>0</v>
      </c>
      <c r="AS166" s="1157">
        <v>0</v>
      </c>
      <c r="AT166" s="1157">
        <v>32486843</v>
      </c>
      <c r="AU166" s="1157">
        <v>0</v>
      </c>
      <c r="AV166" s="1157">
        <v>16876327</v>
      </c>
      <c r="AW166" s="1157">
        <v>0</v>
      </c>
      <c r="AX166" s="1157">
        <v>91938905</v>
      </c>
      <c r="AY166" s="1157">
        <v>0</v>
      </c>
      <c r="AZ166" s="1157">
        <v>10210372</v>
      </c>
      <c r="BA166" s="1157">
        <v>5953681</v>
      </c>
      <c r="BB166" s="1157">
        <v>9905123</v>
      </c>
      <c r="BC166" s="1157">
        <v>2403227</v>
      </c>
      <c r="BD166" s="1157">
        <v>0</v>
      </c>
      <c r="BE166" s="1157">
        <v>1121052</v>
      </c>
      <c r="BF166" s="1157">
        <v>37961480</v>
      </c>
      <c r="BG166" s="1157">
        <v>0</v>
      </c>
      <c r="BH166" s="1157">
        <v>4530643</v>
      </c>
      <c r="BI166" s="1157">
        <v>3562489</v>
      </c>
      <c r="BJ166" s="1157">
        <v>0</v>
      </c>
      <c r="BK166" s="1157">
        <v>4513697</v>
      </c>
      <c r="BL166" s="1157">
        <v>0</v>
      </c>
      <c r="BM166" s="1157">
        <v>20510899</v>
      </c>
      <c r="BN166" s="1157">
        <v>0</v>
      </c>
      <c r="BO166" s="1157">
        <v>14582310</v>
      </c>
      <c r="BP166" s="1157">
        <v>4841146</v>
      </c>
      <c r="BQ166" s="1157">
        <v>4636862</v>
      </c>
      <c r="BR166" s="1157">
        <v>1224602</v>
      </c>
      <c r="BS166" s="1157">
        <v>0</v>
      </c>
      <c r="BT166" s="1157">
        <v>10045589</v>
      </c>
      <c r="BU166" s="1157">
        <v>0</v>
      </c>
      <c r="BV166" s="1157">
        <v>10116721</v>
      </c>
      <c r="BW166" s="1157">
        <v>20132172</v>
      </c>
      <c r="BX166" s="1157">
        <v>0</v>
      </c>
      <c r="BY166" s="1157">
        <v>0</v>
      </c>
      <c r="BZ166" s="1157">
        <v>3123718</v>
      </c>
      <c r="CA166" s="1157">
        <v>833000</v>
      </c>
      <c r="CB166" s="1157">
        <v>7016374</v>
      </c>
      <c r="CC166" s="1148">
        <v>6282078</v>
      </c>
      <c r="CD166" s="1148">
        <v>6876057</v>
      </c>
      <c r="CE166" s="1148">
        <v>0</v>
      </c>
      <c r="CF166" s="1148">
        <v>1200807</v>
      </c>
    </row>
    <row r="167" spans="1:84" s="1148" customFormat="1" x14ac:dyDescent="0.3">
      <c r="A167" s="1153">
        <v>517</v>
      </c>
      <c r="B167" s="1154">
        <v>517</v>
      </c>
      <c r="C167" s="1228">
        <v>517</v>
      </c>
      <c r="D167" s="1146" t="s">
        <v>279</v>
      </c>
      <c r="E167" s="1155" t="s">
        <v>484</v>
      </c>
      <c r="F167" s="1156">
        <v>0</v>
      </c>
      <c r="G167" s="1156">
        <v>0</v>
      </c>
      <c r="H167" s="1156">
        <v>0</v>
      </c>
      <c r="I167" s="1156">
        <v>0</v>
      </c>
      <c r="J167" s="1156">
        <v>0</v>
      </c>
      <c r="K167" s="1156">
        <v>0</v>
      </c>
      <c r="L167" s="1157">
        <v>0</v>
      </c>
      <c r="M167" s="1157">
        <v>0</v>
      </c>
      <c r="N167" s="1157">
        <v>0</v>
      </c>
      <c r="O167" s="1157">
        <v>0</v>
      </c>
      <c r="P167" s="1157">
        <v>0</v>
      </c>
      <c r="Q167" s="1157">
        <v>0</v>
      </c>
      <c r="R167" s="1157">
        <v>0</v>
      </c>
      <c r="S167" s="1157">
        <v>85464190</v>
      </c>
      <c r="T167" s="1157">
        <v>0</v>
      </c>
      <c r="U167" s="1157">
        <v>0</v>
      </c>
      <c r="V167" s="1157">
        <v>0</v>
      </c>
      <c r="W167" s="1157">
        <v>0</v>
      </c>
      <c r="X167" s="1157">
        <v>0</v>
      </c>
      <c r="Y167" s="1157">
        <v>0</v>
      </c>
      <c r="Z167" s="1157">
        <v>0</v>
      </c>
      <c r="AA167" s="1157">
        <v>0</v>
      </c>
      <c r="AB167" s="1157">
        <v>0</v>
      </c>
      <c r="AC167" s="1157">
        <v>0</v>
      </c>
      <c r="AD167" s="1157">
        <v>0</v>
      </c>
      <c r="AE167" s="1157">
        <v>0</v>
      </c>
      <c r="AF167" s="1157">
        <v>0</v>
      </c>
      <c r="AG167" s="1157">
        <v>0</v>
      </c>
      <c r="AH167" s="1157">
        <v>3340496</v>
      </c>
      <c r="AI167" s="1157">
        <v>0</v>
      </c>
      <c r="AJ167" s="1157">
        <v>0</v>
      </c>
      <c r="AK167" s="1157">
        <v>0</v>
      </c>
      <c r="AL167" s="1157">
        <v>0</v>
      </c>
      <c r="AM167" s="1157">
        <v>0</v>
      </c>
      <c r="AN167" s="1157">
        <v>0</v>
      </c>
      <c r="AO167" s="1157">
        <v>0</v>
      </c>
      <c r="AP167" s="1157">
        <v>0</v>
      </c>
      <c r="AQ167" s="1157">
        <v>0</v>
      </c>
      <c r="AR167" s="1157">
        <v>0</v>
      </c>
      <c r="AS167" s="1157">
        <v>0</v>
      </c>
      <c r="AT167" s="1157">
        <v>0</v>
      </c>
      <c r="AU167" s="1157">
        <v>0</v>
      </c>
      <c r="AV167" s="1157">
        <v>0</v>
      </c>
      <c r="AW167" s="1157">
        <v>0</v>
      </c>
      <c r="AX167" s="1157">
        <v>0</v>
      </c>
      <c r="AY167" s="1157">
        <v>0</v>
      </c>
      <c r="AZ167" s="1157">
        <v>0</v>
      </c>
      <c r="BA167" s="1157">
        <v>0</v>
      </c>
      <c r="BB167" s="1157">
        <v>0</v>
      </c>
      <c r="BC167" s="1157">
        <v>0</v>
      </c>
      <c r="BD167" s="1157">
        <v>0</v>
      </c>
      <c r="BE167" s="1157">
        <v>0</v>
      </c>
      <c r="BF167" s="1157">
        <v>869269</v>
      </c>
      <c r="BG167" s="1157">
        <v>0</v>
      </c>
      <c r="BH167" s="1157">
        <v>0</v>
      </c>
      <c r="BI167" s="1157">
        <v>0</v>
      </c>
      <c r="BJ167" s="1157">
        <v>0</v>
      </c>
      <c r="BK167" s="1157">
        <v>0</v>
      </c>
      <c r="BL167" s="1157">
        <v>0</v>
      </c>
      <c r="BM167" s="1157">
        <v>0</v>
      </c>
      <c r="BN167" s="1157">
        <v>0</v>
      </c>
      <c r="BO167" s="1157">
        <v>0</v>
      </c>
      <c r="BP167" s="1157">
        <v>0</v>
      </c>
      <c r="BQ167" s="1157">
        <v>0</v>
      </c>
      <c r="BR167" s="1157">
        <v>0</v>
      </c>
      <c r="BS167" s="1157">
        <v>0</v>
      </c>
      <c r="BT167" s="1157">
        <v>0</v>
      </c>
      <c r="BU167" s="1157">
        <v>0</v>
      </c>
      <c r="BV167" s="1157">
        <v>0</v>
      </c>
      <c r="BW167" s="1157">
        <v>0</v>
      </c>
      <c r="BX167" s="1157">
        <v>0</v>
      </c>
      <c r="BY167" s="1157">
        <v>0</v>
      </c>
      <c r="BZ167" s="1157">
        <v>0</v>
      </c>
      <c r="CA167" s="1157">
        <v>0</v>
      </c>
      <c r="CB167" s="1157">
        <v>0</v>
      </c>
      <c r="CC167" s="1148">
        <v>0</v>
      </c>
      <c r="CD167" s="1148">
        <v>0</v>
      </c>
      <c r="CE167" s="1148">
        <v>0</v>
      </c>
      <c r="CF167" s="1148">
        <v>0</v>
      </c>
    </row>
    <row r="168" spans="1:84" s="1148" customFormat="1" x14ac:dyDescent="0.3">
      <c r="A168" s="1153">
        <v>518</v>
      </c>
      <c r="B168" s="1154">
        <v>518</v>
      </c>
      <c r="C168" s="1228">
        <v>518</v>
      </c>
      <c r="D168" s="1146" t="s">
        <v>280</v>
      </c>
      <c r="E168" s="1155" t="s">
        <v>485</v>
      </c>
      <c r="F168" s="1156">
        <v>0</v>
      </c>
      <c r="G168" s="1156">
        <v>0</v>
      </c>
      <c r="H168" s="1156">
        <v>251268</v>
      </c>
      <c r="I168" s="1156">
        <v>0</v>
      </c>
      <c r="J168" s="1156">
        <v>0</v>
      </c>
      <c r="K168" s="1156">
        <v>0</v>
      </c>
      <c r="L168" s="1157">
        <v>10116</v>
      </c>
      <c r="M168" s="1157">
        <v>0</v>
      </c>
      <c r="N168" s="1157">
        <v>0</v>
      </c>
      <c r="O168" s="1157">
        <v>0</v>
      </c>
      <c r="P168" s="1157">
        <v>0</v>
      </c>
      <c r="Q168" s="1157">
        <v>2180723</v>
      </c>
      <c r="R168" s="1157">
        <v>0</v>
      </c>
      <c r="S168" s="1157">
        <v>13246772</v>
      </c>
      <c r="T168" s="1157">
        <v>0</v>
      </c>
      <c r="U168" s="1157">
        <v>0</v>
      </c>
      <c r="V168" s="1157">
        <v>9779848</v>
      </c>
      <c r="W168" s="1157">
        <v>3048157</v>
      </c>
      <c r="X168" s="1157">
        <v>22171803</v>
      </c>
      <c r="Y168" s="1157">
        <v>0</v>
      </c>
      <c r="Z168" s="1157">
        <v>10236</v>
      </c>
      <c r="AA168" s="1157">
        <v>3413716</v>
      </c>
      <c r="AB168" s="1157">
        <v>0</v>
      </c>
      <c r="AC168" s="1157">
        <v>4320162</v>
      </c>
      <c r="AD168" s="1157">
        <v>1224006</v>
      </c>
      <c r="AE168" s="1157">
        <v>231776</v>
      </c>
      <c r="AF168" s="1157">
        <v>801512</v>
      </c>
      <c r="AG168" s="1157">
        <v>890481</v>
      </c>
      <c r="AH168" s="1157">
        <v>6363485</v>
      </c>
      <c r="AI168" s="1157">
        <v>1233477</v>
      </c>
      <c r="AJ168" s="1157">
        <v>1525</v>
      </c>
      <c r="AK168" s="1157">
        <v>9329600</v>
      </c>
      <c r="AL168" s="1157">
        <v>0</v>
      </c>
      <c r="AM168" s="1157">
        <v>299834</v>
      </c>
      <c r="AN168" s="1157">
        <v>0</v>
      </c>
      <c r="AO168" s="1157">
        <v>3145814</v>
      </c>
      <c r="AP168" s="1157">
        <v>0</v>
      </c>
      <c r="AQ168" s="1157">
        <v>170122</v>
      </c>
      <c r="AR168" s="1157">
        <v>0</v>
      </c>
      <c r="AS168" s="1157">
        <v>0</v>
      </c>
      <c r="AT168" s="1157">
        <v>1612914</v>
      </c>
      <c r="AU168" s="1157">
        <v>0</v>
      </c>
      <c r="AV168" s="1157">
        <v>902567</v>
      </c>
      <c r="AW168" s="1157">
        <v>0</v>
      </c>
      <c r="AX168" s="1157">
        <v>24828998</v>
      </c>
      <c r="AY168" s="1157">
        <v>0</v>
      </c>
      <c r="AZ168" s="1157">
        <v>1558410</v>
      </c>
      <c r="BA168" s="1157">
        <v>1109719</v>
      </c>
      <c r="BB168" s="1157">
        <v>497055</v>
      </c>
      <c r="BC168" s="1157">
        <v>97644</v>
      </c>
      <c r="BD168" s="1157">
        <v>0</v>
      </c>
      <c r="BE168" s="1157">
        <v>0</v>
      </c>
      <c r="BF168" s="1157">
        <v>3310642</v>
      </c>
      <c r="BG168" s="1157">
        <v>0</v>
      </c>
      <c r="BH168" s="1157">
        <v>107941</v>
      </c>
      <c r="BI168" s="1157">
        <v>34718</v>
      </c>
      <c r="BJ168" s="1157">
        <v>0</v>
      </c>
      <c r="BK168" s="1157">
        <v>20626</v>
      </c>
      <c r="BL168" s="1157">
        <v>0</v>
      </c>
      <c r="BM168" s="1157">
        <v>3012912</v>
      </c>
      <c r="BN168" s="1157">
        <v>0</v>
      </c>
      <c r="BO168" s="1157">
        <v>327664</v>
      </c>
      <c r="BP168" s="1157">
        <v>219418</v>
      </c>
      <c r="BQ168" s="1157">
        <v>218457</v>
      </c>
      <c r="BR168" s="1157">
        <v>355800</v>
      </c>
      <c r="BS168" s="1157">
        <v>0</v>
      </c>
      <c r="BT168" s="1157">
        <v>123583</v>
      </c>
      <c r="BU168" s="1157">
        <v>0</v>
      </c>
      <c r="BV168" s="1157">
        <v>700630</v>
      </c>
      <c r="BW168" s="1157">
        <v>2424236</v>
      </c>
      <c r="BX168" s="1157">
        <v>0</v>
      </c>
      <c r="BY168" s="1157">
        <v>0</v>
      </c>
      <c r="BZ168" s="1157">
        <v>52168</v>
      </c>
      <c r="CA168" s="1157">
        <v>0</v>
      </c>
      <c r="CB168" s="1157">
        <v>96960</v>
      </c>
      <c r="CC168" s="1148">
        <v>8823</v>
      </c>
      <c r="CD168" s="1148">
        <v>266512</v>
      </c>
      <c r="CE168" s="1148">
        <v>0</v>
      </c>
      <c r="CF168" s="1148">
        <v>0</v>
      </c>
    </row>
    <row r="169" spans="1:84" s="1148" customFormat="1" x14ac:dyDescent="0.3">
      <c r="A169" s="1153">
        <v>519</v>
      </c>
      <c r="B169" s="1154">
        <v>519</v>
      </c>
      <c r="C169" s="1228">
        <v>519</v>
      </c>
      <c r="D169" s="1146" t="s">
        <v>281</v>
      </c>
      <c r="E169" s="1155" t="s">
        <v>486</v>
      </c>
      <c r="F169" s="1156">
        <v>0</v>
      </c>
      <c r="G169" s="1156">
        <v>0</v>
      </c>
      <c r="H169" s="1156">
        <v>0</v>
      </c>
      <c r="I169" s="1156">
        <v>0</v>
      </c>
      <c r="J169" s="1156">
        <v>0</v>
      </c>
      <c r="K169" s="1156">
        <v>0</v>
      </c>
      <c r="L169" s="1157">
        <v>0</v>
      </c>
      <c r="M169" s="1157">
        <v>0</v>
      </c>
      <c r="N169" s="1157">
        <v>0</v>
      </c>
      <c r="O169" s="1157">
        <v>0</v>
      </c>
      <c r="P169" s="1157">
        <v>0</v>
      </c>
      <c r="Q169" s="1157">
        <v>0</v>
      </c>
      <c r="R169" s="1157">
        <v>0</v>
      </c>
      <c r="S169" s="1157">
        <v>776561</v>
      </c>
      <c r="T169" s="1157">
        <v>0</v>
      </c>
      <c r="U169" s="1157">
        <v>0</v>
      </c>
      <c r="V169" s="1157">
        <v>2292667</v>
      </c>
      <c r="W169" s="1157">
        <v>147142</v>
      </c>
      <c r="X169" s="1157">
        <v>193406</v>
      </c>
      <c r="Y169" s="1157">
        <v>0</v>
      </c>
      <c r="Z169" s="1157">
        <v>0</v>
      </c>
      <c r="AA169" s="1157">
        <v>0</v>
      </c>
      <c r="AB169" s="1157">
        <v>0</v>
      </c>
      <c r="AC169" s="1157">
        <v>378397</v>
      </c>
      <c r="AD169" s="1157">
        <v>127986</v>
      </c>
      <c r="AE169" s="1157">
        <v>14545</v>
      </c>
      <c r="AF169" s="1157">
        <v>0</v>
      </c>
      <c r="AG169" s="1157">
        <v>0</v>
      </c>
      <c r="AH169" s="1157">
        <v>42127</v>
      </c>
      <c r="AI169" s="1157">
        <v>0</v>
      </c>
      <c r="AJ169" s="1157">
        <v>0</v>
      </c>
      <c r="AK169" s="1157">
        <v>1918456</v>
      </c>
      <c r="AL169" s="1157">
        <v>0</v>
      </c>
      <c r="AM169" s="1157">
        <v>0</v>
      </c>
      <c r="AN169" s="1157">
        <v>0</v>
      </c>
      <c r="AO169" s="1157">
        <v>421335</v>
      </c>
      <c r="AP169" s="1157">
        <v>0</v>
      </c>
      <c r="AQ169" s="1157">
        <v>0</v>
      </c>
      <c r="AR169" s="1157">
        <v>0</v>
      </c>
      <c r="AS169" s="1157">
        <v>0</v>
      </c>
      <c r="AT169" s="1157">
        <v>0</v>
      </c>
      <c r="AU169" s="1157">
        <v>0</v>
      </c>
      <c r="AV169" s="1157">
        <v>0</v>
      </c>
      <c r="AW169" s="1157">
        <v>0</v>
      </c>
      <c r="AX169" s="1157">
        <v>355077</v>
      </c>
      <c r="AY169" s="1157">
        <v>0</v>
      </c>
      <c r="AZ169" s="1157">
        <v>0</v>
      </c>
      <c r="BA169" s="1157">
        <v>3206</v>
      </c>
      <c r="BB169" s="1157">
        <v>0</v>
      </c>
      <c r="BC169" s="1157">
        <v>0</v>
      </c>
      <c r="BD169" s="1157">
        <v>0</v>
      </c>
      <c r="BE169" s="1157">
        <v>0</v>
      </c>
      <c r="BF169" s="1157">
        <v>0</v>
      </c>
      <c r="BG169" s="1157">
        <v>0</v>
      </c>
      <c r="BH169" s="1157">
        <v>0</v>
      </c>
      <c r="BI169" s="1157">
        <v>0</v>
      </c>
      <c r="BJ169" s="1157">
        <v>0</v>
      </c>
      <c r="BK169" s="1157">
        <v>0</v>
      </c>
      <c r="BL169" s="1157">
        <v>0</v>
      </c>
      <c r="BM169" s="1157">
        <v>0</v>
      </c>
      <c r="BN169" s="1157">
        <v>0</v>
      </c>
      <c r="BO169" s="1157">
        <v>0</v>
      </c>
      <c r="BP169" s="1157">
        <v>0</v>
      </c>
      <c r="BQ169" s="1157">
        <v>0</v>
      </c>
      <c r="BR169" s="1157">
        <v>2324</v>
      </c>
      <c r="BS169" s="1157">
        <v>0</v>
      </c>
      <c r="BT169" s="1157">
        <v>0</v>
      </c>
      <c r="BU169" s="1157">
        <v>0</v>
      </c>
      <c r="BV169" s="1157">
        <v>785</v>
      </c>
      <c r="BW169" s="1157">
        <v>4359</v>
      </c>
      <c r="BX169" s="1157">
        <v>0</v>
      </c>
      <c r="BY169" s="1157">
        <v>0</v>
      </c>
      <c r="BZ169" s="1157">
        <v>4036</v>
      </c>
      <c r="CA169" s="1157">
        <v>0</v>
      </c>
      <c r="CB169" s="1157">
        <v>0</v>
      </c>
      <c r="CC169" s="1148">
        <v>0</v>
      </c>
      <c r="CD169" s="1148">
        <v>0</v>
      </c>
      <c r="CE169" s="1148">
        <v>0</v>
      </c>
      <c r="CF169" s="1148">
        <v>0</v>
      </c>
    </row>
    <row r="170" spans="1:84" s="1148" customFormat="1" x14ac:dyDescent="0.3">
      <c r="A170" s="1153">
        <v>520</v>
      </c>
      <c r="B170" s="1154">
        <v>520</v>
      </c>
      <c r="C170" s="1228">
        <v>520</v>
      </c>
      <c r="D170" s="1146" t="s">
        <v>282</v>
      </c>
      <c r="E170" s="1155" t="s">
        <v>487</v>
      </c>
      <c r="F170" s="1156">
        <v>0</v>
      </c>
      <c r="G170" s="1156">
        <v>0</v>
      </c>
      <c r="H170" s="1156">
        <v>163738</v>
      </c>
      <c r="I170" s="1156">
        <v>0</v>
      </c>
      <c r="J170" s="1156">
        <v>0</v>
      </c>
      <c r="K170" s="1156">
        <v>0</v>
      </c>
      <c r="L170" s="1157">
        <v>64319</v>
      </c>
      <c r="M170" s="1157">
        <v>0</v>
      </c>
      <c r="N170" s="1157">
        <v>0</v>
      </c>
      <c r="O170" s="1157">
        <v>0</v>
      </c>
      <c r="P170" s="1157">
        <v>0</v>
      </c>
      <c r="Q170" s="1157">
        <v>675879</v>
      </c>
      <c r="R170" s="1157">
        <v>0</v>
      </c>
      <c r="S170" s="1157">
        <v>0</v>
      </c>
      <c r="T170" s="1157">
        <v>0</v>
      </c>
      <c r="U170" s="1157">
        <v>0</v>
      </c>
      <c r="V170" s="1157">
        <v>1809307</v>
      </c>
      <c r="W170" s="1157">
        <v>1452284</v>
      </c>
      <c r="X170" s="1157">
        <v>1438514</v>
      </c>
      <c r="Y170" s="1157">
        <v>0</v>
      </c>
      <c r="Z170" s="1157">
        <v>89400</v>
      </c>
      <c r="AA170" s="1157">
        <v>1720525</v>
      </c>
      <c r="AB170" s="1157">
        <v>409869</v>
      </c>
      <c r="AC170" s="1157">
        <v>612128</v>
      </c>
      <c r="AD170" s="1157">
        <v>413649</v>
      </c>
      <c r="AE170" s="1157">
        <v>92750</v>
      </c>
      <c r="AF170" s="1157">
        <v>164287</v>
      </c>
      <c r="AG170" s="1157">
        <v>659421</v>
      </c>
      <c r="AH170" s="1157">
        <v>0</v>
      </c>
      <c r="AI170" s="1157">
        <v>238658</v>
      </c>
      <c r="AJ170" s="1157">
        <v>146337</v>
      </c>
      <c r="AK170" s="1157">
        <v>1446063</v>
      </c>
      <c r="AL170" s="1157">
        <v>67658</v>
      </c>
      <c r="AM170" s="1157">
        <v>215541</v>
      </c>
      <c r="AN170" s="1157">
        <v>0</v>
      </c>
      <c r="AO170" s="1157">
        <v>1352799</v>
      </c>
      <c r="AP170" s="1157">
        <v>0</v>
      </c>
      <c r="AQ170" s="1157">
        <v>45958</v>
      </c>
      <c r="AR170" s="1157">
        <v>0</v>
      </c>
      <c r="AS170" s="1157">
        <v>0</v>
      </c>
      <c r="AT170" s="1157">
        <v>718791</v>
      </c>
      <c r="AU170" s="1157">
        <v>0</v>
      </c>
      <c r="AV170" s="1157">
        <v>329809</v>
      </c>
      <c r="AW170" s="1157">
        <v>0</v>
      </c>
      <c r="AX170" s="1157">
        <v>2405832</v>
      </c>
      <c r="AY170" s="1157">
        <v>0</v>
      </c>
      <c r="AZ170" s="1157">
        <v>204823</v>
      </c>
      <c r="BA170" s="1157">
        <v>91445</v>
      </c>
      <c r="BB170" s="1157">
        <v>196566</v>
      </c>
      <c r="BC170" s="1157">
        <v>38244</v>
      </c>
      <c r="BD170" s="1157">
        <v>0</v>
      </c>
      <c r="BE170" s="1157">
        <v>27233</v>
      </c>
      <c r="BF170" s="1157">
        <v>918519</v>
      </c>
      <c r="BG170" s="1157">
        <v>0</v>
      </c>
      <c r="BH170" s="1157">
        <v>59920</v>
      </c>
      <c r="BI170" s="1157">
        <v>71250</v>
      </c>
      <c r="BJ170" s="1157">
        <v>0</v>
      </c>
      <c r="BK170" s="1157">
        <v>91970</v>
      </c>
      <c r="BL170" s="1157">
        <v>0</v>
      </c>
      <c r="BM170" s="1157">
        <v>400440</v>
      </c>
      <c r="BN170" s="1157">
        <v>0</v>
      </c>
      <c r="BO170" s="1157">
        <v>332303</v>
      </c>
      <c r="BP170" s="1157">
        <v>151797</v>
      </c>
      <c r="BQ170" s="1157">
        <v>95181</v>
      </c>
      <c r="BR170" s="1157">
        <v>24829</v>
      </c>
      <c r="BS170" s="1157">
        <v>0</v>
      </c>
      <c r="BT170" s="1157">
        <v>177238</v>
      </c>
      <c r="BU170" s="1157">
        <v>0</v>
      </c>
      <c r="BV170" s="1157">
        <v>234476</v>
      </c>
      <c r="BW170" s="1157">
        <v>541001</v>
      </c>
      <c r="BX170" s="1157">
        <v>0</v>
      </c>
      <c r="BY170" s="1157">
        <v>0</v>
      </c>
      <c r="BZ170" s="1157">
        <v>62375</v>
      </c>
      <c r="CA170" s="1157">
        <v>18215</v>
      </c>
      <c r="CB170" s="1157">
        <v>167997</v>
      </c>
      <c r="CC170" s="1148">
        <v>154720</v>
      </c>
      <c r="CD170" s="1148">
        <v>152406</v>
      </c>
      <c r="CE170" s="1148">
        <v>0</v>
      </c>
      <c r="CF170" s="1148">
        <v>30020</v>
      </c>
    </row>
    <row r="171" spans="1:84" s="1148" customFormat="1" x14ac:dyDescent="0.3">
      <c r="A171" s="1153">
        <v>521</v>
      </c>
      <c r="B171" s="1154">
        <v>521</v>
      </c>
      <c r="C171" s="1228">
        <v>521</v>
      </c>
      <c r="D171" s="1146" t="s">
        <v>283</v>
      </c>
      <c r="E171" s="1155" t="s">
        <v>488</v>
      </c>
      <c r="F171" s="1156">
        <v>0</v>
      </c>
      <c r="G171" s="1156">
        <v>0</v>
      </c>
      <c r="H171" s="1156">
        <v>0</v>
      </c>
      <c r="I171" s="1156">
        <v>0</v>
      </c>
      <c r="J171" s="1156">
        <v>0</v>
      </c>
      <c r="K171" s="1156">
        <v>0</v>
      </c>
      <c r="L171" s="1157">
        <v>0</v>
      </c>
      <c r="M171" s="1157">
        <v>0</v>
      </c>
      <c r="N171" s="1157">
        <v>0</v>
      </c>
      <c r="O171" s="1157">
        <v>0</v>
      </c>
      <c r="P171" s="1157">
        <v>0</v>
      </c>
      <c r="Q171" s="1157">
        <v>0</v>
      </c>
      <c r="R171" s="1157">
        <v>0</v>
      </c>
      <c r="S171" s="1157">
        <v>1486892</v>
      </c>
      <c r="T171" s="1157">
        <v>0</v>
      </c>
      <c r="U171" s="1157">
        <v>0</v>
      </c>
      <c r="V171" s="1157">
        <v>0</v>
      </c>
      <c r="W171" s="1157">
        <v>0</v>
      </c>
      <c r="X171" s="1157">
        <v>0</v>
      </c>
      <c r="Y171" s="1157">
        <v>0</v>
      </c>
      <c r="Z171" s="1157">
        <v>0</v>
      </c>
      <c r="AA171" s="1157">
        <v>0</v>
      </c>
      <c r="AB171" s="1157">
        <v>0</v>
      </c>
      <c r="AC171" s="1157">
        <v>0</v>
      </c>
      <c r="AD171" s="1157">
        <v>0</v>
      </c>
      <c r="AE171" s="1157">
        <v>0</v>
      </c>
      <c r="AF171" s="1157">
        <v>0</v>
      </c>
      <c r="AG171" s="1157">
        <v>0</v>
      </c>
      <c r="AH171" s="1157">
        <v>94636</v>
      </c>
      <c r="AI171" s="1157">
        <v>0</v>
      </c>
      <c r="AJ171" s="1157">
        <v>0</v>
      </c>
      <c r="AK171" s="1157">
        <v>0</v>
      </c>
      <c r="AL171" s="1157">
        <v>0</v>
      </c>
      <c r="AM171" s="1157">
        <v>0</v>
      </c>
      <c r="AN171" s="1157">
        <v>0</v>
      </c>
      <c r="AO171" s="1157">
        <v>0</v>
      </c>
      <c r="AP171" s="1157">
        <v>0</v>
      </c>
      <c r="AQ171" s="1157">
        <v>0</v>
      </c>
      <c r="AR171" s="1157">
        <v>0</v>
      </c>
      <c r="AS171" s="1157">
        <v>0</v>
      </c>
      <c r="AT171" s="1157">
        <v>0</v>
      </c>
      <c r="AU171" s="1157">
        <v>0</v>
      </c>
      <c r="AV171" s="1157">
        <v>0</v>
      </c>
      <c r="AW171" s="1157">
        <v>0</v>
      </c>
      <c r="AX171" s="1157">
        <v>0</v>
      </c>
      <c r="AY171" s="1157">
        <v>0</v>
      </c>
      <c r="AZ171" s="1157">
        <v>0</v>
      </c>
      <c r="BA171" s="1157">
        <v>0</v>
      </c>
      <c r="BB171" s="1157">
        <v>0</v>
      </c>
      <c r="BC171" s="1157">
        <v>0</v>
      </c>
      <c r="BD171" s="1157">
        <v>0</v>
      </c>
      <c r="BE171" s="1157">
        <v>0</v>
      </c>
      <c r="BF171" s="1157">
        <v>55042</v>
      </c>
      <c r="BG171" s="1157">
        <v>0</v>
      </c>
      <c r="BH171" s="1157">
        <v>0</v>
      </c>
      <c r="BI171" s="1157">
        <v>0</v>
      </c>
      <c r="BJ171" s="1157">
        <v>0</v>
      </c>
      <c r="BK171" s="1157">
        <v>0</v>
      </c>
      <c r="BL171" s="1157">
        <v>0</v>
      </c>
      <c r="BM171" s="1157">
        <v>0</v>
      </c>
      <c r="BN171" s="1157">
        <v>0</v>
      </c>
      <c r="BO171" s="1157">
        <v>0</v>
      </c>
      <c r="BP171" s="1157">
        <v>0</v>
      </c>
      <c r="BQ171" s="1157">
        <v>0</v>
      </c>
      <c r="BR171" s="1157">
        <v>0</v>
      </c>
      <c r="BS171" s="1157">
        <v>0</v>
      </c>
      <c r="BT171" s="1157">
        <v>0</v>
      </c>
      <c r="BU171" s="1157">
        <v>0</v>
      </c>
      <c r="BV171" s="1157">
        <v>0</v>
      </c>
      <c r="BW171" s="1157">
        <v>0</v>
      </c>
      <c r="BX171" s="1157">
        <v>0</v>
      </c>
      <c r="BY171" s="1157">
        <v>0</v>
      </c>
      <c r="BZ171" s="1157">
        <v>0</v>
      </c>
      <c r="CA171" s="1157">
        <v>0</v>
      </c>
      <c r="CB171" s="1157">
        <v>0</v>
      </c>
      <c r="CC171" s="1148">
        <v>0</v>
      </c>
      <c r="CD171" s="1148">
        <v>0</v>
      </c>
      <c r="CE171" s="1148">
        <v>0</v>
      </c>
      <c r="CF171" s="1148">
        <v>0</v>
      </c>
    </row>
    <row r="172" spans="1:84" s="1148" customFormat="1" x14ac:dyDescent="0.3">
      <c r="A172" s="1153">
        <v>522</v>
      </c>
      <c r="B172" s="1154">
        <v>522</v>
      </c>
      <c r="C172" s="1228">
        <v>522</v>
      </c>
      <c r="D172" s="1146" t="s">
        <v>284</v>
      </c>
      <c r="E172" s="1155" t="s">
        <v>489</v>
      </c>
      <c r="F172" s="1156">
        <v>0</v>
      </c>
      <c r="G172" s="1156">
        <v>0</v>
      </c>
      <c r="H172" s="1156">
        <v>13870</v>
      </c>
      <c r="I172" s="1156">
        <v>0</v>
      </c>
      <c r="J172" s="1156">
        <v>0</v>
      </c>
      <c r="K172" s="1156">
        <v>0</v>
      </c>
      <c r="L172" s="1157">
        <v>674</v>
      </c>
      <c r="M172" s="1157">
        <v>0</v>
      </c>
      <c r="N172" s="1157">
        <v>0</v>
      </c>
      <c r="O172" s="1157">
        <v>0</v>
      </c>
      <c r="P172" s="1157">
        <v>0</v>
      </c>
      <c r="Q172" s="1157">
        <v>81859</v>
      </c>
      <c r="R172" s="1157">
        <v>0</v>
      </c>
      <c r="S172" s="1157">
        <v>1087331</v>
      </c>
      <c r="T172" s="1157">
        <v>0</v>
      </c>
      <c r="U172" s="1157">
        <v>0</v>
      </c>
      <c r="V172" s="1157">
        <v>547241</v>
      </c>
      <c r="W172" s="1157">
        <v>178460</v>
      </c>
      <c r="X172" s="1157">
        <v>1057808</v>
      </c>
      <c r="Y172" s="1157">
        <v>0</v>
      </c>
      <c r="Z172" s="1157">
        <v>0</v>
      </c>
      <c r="AA172" s="1157">
        <v>203810</v>
      </c>
      <c r="AB172" s="1157">
        <v>0</v>
      </c>
      <c r="AC172" s="1157">
        <v>183889</v>
      </c>
      <c r="AD172" s="1157">
        <v>39150</v>
      </c>
      <c r="AE172" s="1157">
        <v>21298</v>
      </c>
      <c r="AF172" s="1157">
        <v>58575</v>
      </c>
      <c r="AG172" s="1157">
        <v>68417</v>
      </c>
      <c r="AH172" s="1157">
        <v>216055</v>
      </c>
      <c r="AI172" s="1157">
        <v>74818</v>
      </c>
      <c r="AJ172" s="1157">
        <v>0</v>
      </c>
      <c r="AK172" s="1157">
        <v>592712</v>
      </c>
      <c r="AL172" s="1157">
        <v>0</v>
      </c>
      <c r="AM172" s="1157">
        <v>8894</v>
      </c>
      <c r="AN172" s="1157">
        <v>0</v>
      </c>
      <c r="AO172" s="1157">
        <v>203954</v>
      </c>
      <c r="AP172" s="1157">
        <v>0</v>
      </c>
      <c r="AQ172" s="1157">
        <v>2033</v>
      </c>
      <c r="AR172" s="1157">
        <v>0</v>
      </c>
      <c r="AS172" s="1157">
        <v>0</v>
      </c>
      <c r="AT172" s="1157">
        <v>67841</v>
      </c>
      <c r="AU172" s="1157">
        <v>0</v>
      </c>
      <c r="AV172" s="1157">
        <v>66820</v>
      </c>
      <c r="AW172" s="1157">
        <v>0</v>
      </c>
      <c r="AX172" s="1157">
        <v>1813684</v>
      </c>
      <c r="AY172" s="1157">
        <v>0</v>
      </c>
      <c r="AZ172" s="1157">
        <v>61331</v>
      </c>
      <c r="BA172" s="1157">
        <v>17227</v>
      </c>
      <c r="BB172" s="1157">
        <v>11796</v>
      </c>
      <c r="BC172" s="1157">
        <v>7226</v>
      </c>
      <c r="BD172" s="1157">
        <v>0</v>
      </c>
      <c r="BE172" s="1157">
        <v>0</v>
      </c>
      <c r="BF172" s="1157">
        <v>170823</v>
      </c>
      <c r="BG172" s="1157">
        <v>0</v>
      </c>
      <c r="BH172" s="1157">
        <v>6464</v>
      </c>
      <c r="BI172" s="1157">
        <v>3484</v>
      </c>
      <c r="BJ172" s="1157">
        <v>0</v>
      </c>
      <c r="BK172" s="1157">
        <v>2180</v>
      </c>
      <c r="BL172" s="1157">
        <v>0</v>
      </c>
      <c r="BM172" s="1157">
        <v>107035</v>
      </c>
      <c r="BN172" s="1157">
        <v>0</v>
      </c>
      <c r="BO172" s="1157">
        <v>52723</v>
      </c>
      <c r="BP172" s="1157">
        <v>12764</v>
      </c>
      <c r="BQ172" s="1157">
        <v>1153</v>
      </c>
      <c r="BR172" s="1157">
        <v>15542</v>
      </c>
      <c r="BS172" s="1157">
        <v>0</v>
      </c>
      <c r="BT172" s="1157">
        <v>858</v>
      </c>
      <c r="BU172" s="1157">
        <v>0</v>
      </c>
      <c r="BV172" s="1157">
        <v>36085</v>
      </c>
      <c r="BW172" s="1157">
        <v>53644</v>
      </c>
      <c r="BX172" s="1157">
        <v>0</v>
      </c>
      <c r="BY172" s="1157">
        <v>0</v>
      </c>
      <c r="BZ172" s="1157">
        <v>1121</v>
      </c>
      <c r="CA172" s="1157">
        <v>0</v>
      </c>
      <c r="CB172" s="1157">
        <v>701</v>
      </c>
      <c r="CC172" s="1148">
        <v>480</v>
      </c>
      <c r="CD172" s="1148">
        <v>7210</v>
      </c>
      <c r="CE172" s="1148">
        <v>0</v>
      </c>
      <c r="CF172" s="1148">
        <v>0</v>
      </c>
    </row>
    <row r="173" spans="1:84" s="1148" customFormat="1" x14ac:dyDescent="0.3">
      <c r="A173" s="1153">
        <v>523</v>
      </c>
      <c r="B173" s="1154">
        <v>523</v>
      </c>
      <c r="C173" s="1228">
        <v>523</v>
      </c>
      <c r="D173" s="1146" t="s">
        <v>285</v>
      </c>
      <c r="E173" s="1155" t="s">
        <v>490</v>
      </c>
      <c r="F173" s="1156">
        <v>0</v>
      </c>
      <c r="G173" s="1156">
        <v>0</v>
      </c>
      <c r="H173" s="1156">
        <v>0</v>
      </c>
      <c r="I173" s="1156">
        <v>0</v>
      </c>
      <c r="J173" s="1156">
        <v>0</v>
      </c>
      <c r="K173" s="1156">
        <v>0</v>
      </c>
      <c r="L173" s="1157">
        <v>0</v>
      </c>
      <c r="M173" s="1157">
        <v>0</v>
      </c>
      <c r="N173" s="1157">
        <v>0</v>
      </c>
      <c r="O173" s="1157">
        <v>0</v>
      </c>
      <c r="P173" s="1157">
        <v>0</v>
      </c>
      <c r="Q173" s="1157">
        <v>0</v>
      </c>
      <c r="R173" s="1157">
        <v>0</v>
      </c>
      <c r="S173" s="1157">
        <v>16224578</v>
      </c>
      <c r="T173" s="1157">
        <v>0</v>
      </c>
      <c r="U173" s="1157">
        <v>0</v>
      </c>
      <c r="V173" s="1157">
        <v>35014533</v>
      </c>
      <c r="W173" s="1157">
        <v>1094610</v>
      </c>
      <c r="X173" s="1157">
        <v>10693557</v>
      </c>
      <c r="Y173" s="1157">
        <v>0</v>
      </c>
      <c r="Z173" s="1157">
        <v>0</v>
      </c>
      <c r="AA173" s="1157">
        <v>0</v>
      </c>
      <c r="AB173" s="1157">
        <v>0</v>
      </c>
      <c r="AC173" s="1157">
        <v>11799856</v>
      </c>
      <c r="AD173" s="1157">
        <v>4785602</v>
      </c>
      <c r="AE173" s="1157">
        <v>125641</v>
      </c>
      <c r="AF173" s="1157">
        <v>0</v>
      </c>
      <c r="AG173" s="1157">
        <v>0</v>
      </c>
      <c r="AH173" s="1157">
        <v>2366762</v>
      </c>
      <c r="AI173" s="1157">
        <v>0</v>
      </c>
      <c r="AJ173" s="1157">
        <v>0</v>
      </c>
      <c r="AK173" s="1157">
        <v>28911118</v>
      </c>
      <c r="AL173" s="1157">
        <v>0</v>
      </c>
      <c r="AM173" s="1157">
        <v>0</v>
      </c>
      <c r="AN173" s="1157">
        <v>0</v>
      </c>
      <c r="AO173" s="1157">
        <v>19245753</v>
      </c>
      <c r="AP173" s="1157">
        <v>0</v>
      </c>
      <c r="AQ173" s="1157">
        <v>0</v>
      </c>
      <c r="AR173" s="1157">
        <v>0</v>
      </c>
      <c r="AS173" s="1157">
        <v>0</v>
      </c>
      <c r="AT173" s="1157">
        <v>0</v>
      </c>
      <c r="AU173" s="1157">
        <v>0</v>
      </c>
      <c r="AV173" s="1157">
        <v>0</v>
      </c>
      <c r="AW173" s="1157">
        <v>0</v>
      </c>
      <c r="AX173" s="1157">
        <v>3292837</v>
      </c>
      <c r="AY173" s="1157">
        <v>0</v>
      </c>
      <c r="AZ173" s="1157">
        <v>0</v>
      </c>
      <c r="BA173" s="1157">
        <v>62584</v>
      </c>
      <c r="BB173" s="1157">
        <v>321190</v>
      </c>
      <c r="BC173" s="1157">
        <v>0</v>
      </c>
      <c r="BD173" s="1157">
        <v>0</v>
      </c>
      <c r="BE173" s="1157">
        <v>22408</v>
      </c>
      <c r="BF173" s="1157">
        <v>0</v>
      </c>
      <c r="BG173" s="1157">
        <v>0</v>
      </c>
      <c r="BH173" s="1157">
        <v>0</v>
      </c>
      <c r="BI173" s="1157">
        <v>0</v>
      </c>
      <c r="BJ173" s="1157">
        <v>0</v>
      </c>
      <c r="BK173" s="1157">
        <v>0</v>
      </c>
      <c r="BL173" s="1157">
        <v>0</v>
      </c>
      <c r="BM173" s="1157">
        <v>0</v>
      </c>
      <c r="BN173" s="1157">
        <v>0</v>
      </c>
      <c r="BO173" s="1157">
        <v>0</v>
      </c>
      <c r="BP173" s="1157">
        <v>0</v>
      </c>
      <c r="BQ173" s="1157">
        <v>0</v>
      </c>
      <c r="BR173" s="1157">
        <v>77625</v>
      </c>
      <c r="BS173" s="1157">
        <v>0</v>
      </c>
      <c r="BT173" s="1157">
        <v>0</v>
      </c>
      <c r="BU173" s="1157">
        <v>0</v>
      </c>
      <c r="BV173" s="1157">
        <v>7709</v>
      </c>
      <c r="BW173" s="1157">
        <v>136519</v>
      </c>
      <c r="BX173" s="1157">
        <v>0</v>
      </c>
      <c r="BY173" s="1157">
        <v>0</v>
      </c>
      <c r="BZ173" s="1157">
        <v>70812</v>
      </c>
      <c r="CA173" s="1157">
        <v>0</v>
      </c>
      <c r="CB173" s="1157">
        <v>0</v>
      </c>
      <c r="CC173" s="1148">
        <v>0</v>
      </c>
      <c r="CD173" s="1148">
        <v>0</v>
      </c>
      <c r="CE173" s="1148">
        <v>0</v>
      </c>
      <c r="CF173" s="1148">
        <v>0</v>
      </c>
    </row>
    <row r="174" spans="1:84" s="1148" customFormat="1" x14ac:dyDescent="0.3">
      <c r="A174" s="1153">
        <v>524</v>
      </c>
      <c r="B174" s="1154">
        <v>524</v>
      </c>
      <c r="C174" s="1228">
        <v>524</v>
      </c>
      <c r="D174" s="1146" t="s">
        <v>286</v>
      </c>
      <c r="E174" s="1155" t="s">
        <v>491</v>
      </c>
      <c r="F174" s="1156">
        <v>0</v>
      </c>
      <c r="G174" s="1156">
        <v>0</v>
      </c>
      <c r="H174" s="1156">
        <v>3680450</v>
      </c>
      <c r="I174" s="1156">
        <v>0</v>
      </c>
      <c r="J174" s="1156">
        <v>0</v>
      </c>
      <c r="K174" s="1156">
        <v>0</v>
      </c>
      <c r="L174" s="1157">
        <v>923011</v>
      </c>
      <c r="M174" s="1157">
        <v>0</v>
      </c>
      <c r="N174" s="1157">
        <v>0</v>
      </c>
      <c r="O174" s="1157">
        <v>0</v>
      </c>
      <c r="P174" s="1157">
        <v>0</v>
      </c>
      <c r="Q174" s="1157">
        <v>13629490</v>
      </c>
      <c r="R174" s="1157">
        <v>0</v>
      </c>
      <c r="S174" s="1157">
        <v>0</v>
      </c>
      <c r="T174" s="1157">
        <v>0</v>
      </c>
      <c r="U174" s="1157">
        <v>0</v>
      </c>
      <c r="V174" s="1157">
        <v>49261358</v>
      </c>
      <c r="W174" s="1157">
        <v>24073346</v>
      </c>
      <c r="X174" s="1157">
        <v>26605176</v>
      </c>
      <c r="Y174" s="1157">
        <v>0</v>
      </c>
      <c r="Z174" s="1157">
        <v>1486396</v>
      </c>
      <c r="AA174" s="1157">
        <v>41600248</v>
      </c>
      <c r="AB174" s="1157">
        <v>7490583</v>
      </c>
      <c r="AC174" s="1157">
        <v>13598670</v>
      </c>
      <c r="AD174" s="1157">
        <v>5050538</v>
      </c>
      <c r="AE174" s="1157">
        <v>1909873</v>
      </c>
      <c r="AF174" s="1157">
        <v>3744006</v>
      </c>
      <c r="AG174" s="1157">
        <v>10117743</v>
      </c>
      <c r="AH174" s="1157">
        <v>0</v>
      </c>
      <c r="AI174" s="1157">
        <v>5660265</v>
      </c>
      <c r="AJ174" s="1157">
        <v>1983847</v>
      </c>
      <c r="AK174" s="1157">
        <v>23260130</v>
      </c>
      <c r="AL174" s="1157">
        <v>1137469</v>
      </c>
      <c r="AM174" s="1157">
        <v>4084242</v>
      </c>
      <c r="AN174" s="1157">
        <v>0</v>
      </c>
      <c r="AO174" s="1157">
        <v>21926312</v>
      </c>
      <c r="AP174" s="1157">
        <v>0</v>
      </c>
      <c r="AQ174" s="1157">
        <v>1428681</v>
      </c>
      <c r="AR174" s="1157">
        <v>0</v>
      </c>
      <c r="AS174" s="1157">
        <v>0</v>
      </c>
      <c r="AT174" s="1157">
        <v>16980686</v>
      </c>
      <c r="AU174" s="1157">
        <v>0</v>
      </c>
      <c r="AV174" s="1157">
        <v>7071819</v>
      </c>
      <c r="AW174" s="1157">
        <v>0</v>
      </c>
      <c r="AX174" s="1157">
        <v>23583757</v>
      </c>
      <c r="AY174" s="1157">
        <v>0</v>
      </c>
      <c r="AZ174" s="1157">
        <v>5815977</v>
      </c>
      <c r="BA174" s="1157">
        <v>1863679</v>
      </c>
      <c r="BB174" s="1157">
        <v>4251883</v>
      </c>
      <c r="BC174" s="1157">
        <v>1339187</v>
      </c>
      <c r="BD174" s="1157">
        <v>0</v>
      </c>
      <c r="BE174" s="1157">
        <v>481701</v>
      </c>
      <c r="BF174" s="1157">
        <v>15646272</v>
      </c>
      <c r="BG174" s="1157">
        <v>0</v>
      </c>
      <c r="BH174" s="1157">
        <v>1614008</v>
      </c>
      <c r="BI174" s="1157">
        <v>1327981</v>
      </c>
      <c r="BJ174" s="1157">
        <v>0</v>
      </c>
      <c r="BK174" s="1157">
        <v>1632829</v>
      </c>
      <c r="BL174" s="1157">
        <v>0</v>
      </c>
      <c r="BM174" s="1157">
        <v>7376834</v>
      </c>
      <c r="BN174" s="1157">
        <v>0</v>
      </c>
      <c r="BO174" s="1157">
        <v>9471587</v>
      </c>
      <c r="BP174" s="1157">
        <v>1624446</v>
      </c>
      <c r="BQ174" s="1157">
        <v>2635302</v>
      </c>
      <c r="BR174" s="1157">
        <v>738764</v>
      </c>
      <c r="BS174" s="1157">
        <v>0</v>
      </c>
      <c r="BT174" s="1157">
        <v>5646362</v>
      </c>
      <c r="BU174" s="1157">
        <v>0</v>
      </c>
      <c r="BV174" s="1157">
        <v>4322538</v>
      </c>
      <c r="BW174" s="1157">
        <v>9939144</v>
      </c>
      <c r="BX174" s="1157">
        <v>0</v>
      </c>
      <c r="BY174" s="1157">
        <v>0</v>
      </c>
      <c r="BZ174" s="1157">
        <v>1213598</v>
      </c>
      <c r="CA174" s="1157">
        <v>201697</v>
      </c>
      <c r="CB174" s="1157">
        <v>2909237</v>
      </c>
      <c r="CC174" s="1148">
        <v>1649701</v>
      </c>
      <c r="CD174" s="1148">
        <v>3334418</v>
      </c>
      <c r="CE174" s="1148">
        <v>0</v>
      </c>
      <c r="CF174" s="1148">
        <v>408462</v>
      </c>
    </row>
    <row r="175" spans="1:84" s="1148" customFormat="1" x14ac:dyDescent="0.3">
      <c r="A175" s="1153">
        <v>525</v>
      </c>
      <c r="B175" s="1154">
        <v>525</v>
      </c>
      <c r="C175" s="1228">
        <v>525</v>
      </c>
      <c r="D175" s="1146" t="s">
        <v>287</v>
      </c>
      <c r="E175" s="1155" t="s">
        <v>492</v>
      </c>
      <c r="F175" s="1156">
        <v>0</v>
      </c>
      <c r="G175" s="1156">
        <v>0</v>
      </c>
      <c r="H175" s="1156">
        <v>0</v>
      </c>
      <c r="I175" s="1156">
        <v>0</v>
      </c>
      <c r="J175" s="1156">
        <v>0</v>
      </c>
      <c r="K175" s="1156">
        <v>0</v>
      </c>
      <c r="L175" s="1157">
        <v>0</v>
      </c>
      <c r="M175" s="1157">
        <v>0</v>
      </c>
      <c r="N175" s="1157">
        <v>0</v>
      </c>
      <c r="O175" s="1157">
        <v>0</v>
      </c>
      <c r="P175" s="1157">
        <v>0</v>
      </c>
      <c r="Q175" s="1157">
        <v>0</v>
      </c>
      <c r="R175" s="1157">
        <v>0</v>
      </c>
      <c r="S175" s="1157">
        <v>23360883</v>
      </c>
      <c r="T175" s="1157">
        <v>0</v>
      </c>
      <c r="U175" s="1157">
        <v>0</v>
      </c>
      <c r="V175" s="1157">
        <v>0</v>
      </c>
      <c r="W175" s="1157">
        <v>0</v>
      </c>
      <c r="X175" s="1157">
        <v>0</v>
      </c>
      <c r="Y175" s="1157">
        <v>0</v>
      </c>
      <c r="Z175" s="1157">
        <v>0</v>
      </c>
      <c r="AA175" s="1157">
        <v>0</v>
      </c>
      <c r="AB175" s="1157">
        <v>0</v>
      </c>
      <c r="AC175" s="1157">
        <v>0</v>
      </c>
      <c r="AD175" s="1157">
        <v>0</v>
      </c>
      <c r="AE175" s="1157">
        <v>0</v>
      </c>
      <c r="AF175" s="1157">
        <v>0</v>
      </c>
      <c r="AG175" s="1157">
        <v>0</v>
      </c>
      <c r="AH175" s="1157">
        <v>962431</v>
      </c>
      <c r="AI175" s="1157">
        <v>0</v>
      </c>
      <c r="AJ175" s="1157">
        <v>0</v>
      </c>
      <c r="AK175" s="1157">
        <v>0</v>
      </c>
      <c r="AL175" s="1157">
        <v>0</v>
      </c>
      <c r="AM175" s="1157">
        <v>0</v>
      </c>
      <c r="AN175" s="1157">
        <v>0</v>
      </c>
      <c r="AO175" s="1157">
        <v>0</v>
      </c>
      <c r="AP175" s="1157">
        <v>0</v>
      </c>
      <c r="AQ175" s="1157">
        <v>0</v>
      </c>
      <c r="AR175" s="1157">
        <v>0</v>
      </c>
      <c r="AS175" s="1157">
        <v>0</v>
      </c>
      <c r="AT175" s="1157">
        <v>0</v>
      </c>
      <c r="AU175" s="1157">
        <v>0</v>
      </c>
      <c r="AV175" s="1157">
        <v>0</v>
      </c>
      <c r="AW175" s="1157">
        <v>0</v>
      </c>
      <c r="AX175" s="1157">
        <v>0</v>
      </c>
      <c r="AY175" s="1157">
        <v>0</v>
      </c>
      <c r="AZ175" s="1157">
        <v>0</v>
      </c>
      <c r="BA175" s="1157">
        <v>0</v>
      </c>
      <c r="BB175" s="1157">
        <v>0</v>
      </c>
      <c r="BC175" s="1157">
        <v>0</v>
      </c>
      <c r="BD175" s="1157">
        <v>0</v>
      </c>
      <c r="BE175" s="1157">
        <v>0</v>
      </c>
      <c r="BF175" s="1157">
        <v>113950</v>
      </c>
      <c r="BG175" s="1157">
        <v>0</v>
      </c>
      <c r="BH175" s="1157">
        <v>0</v>
      </c>
      <c r="BI175" s="1157">
        <v>0</v>
      </c>
      <c r="BJ175" s="1157">
        <v>0</v>
      </c>
      <c r="BK175" s="1157">
        <v>0</v>
      </c>
      <c r="BL175" s="1157">
        <v>0</v>
      </c>
      <c r="BM175" s="1157">
        <v>0</v>
      </c>
      <c r="BN175" s="1157">
        <v>0</v>
      </c>
      <c r="BO175" s="1157">
        <v>0</v>
      </c>
      <c r="BP175" s="1157">
        <v>0</v>
      </c>
      <c r="BQ175" s="1157">
        <v>0</v>
      </c>
      <c r="BR175" s="1157">
        <v>0</v>
      </c>
      <c r="BS175" s="1157">
        <v>0</v>
      </c>
      <c r="BT175" s="1157">
        <v>0</v>
      </c>
      <c r="BU175" s="1157">
        <v>0</v>
      </c>
      <c r="BV175" s="1157">
        <v>0</v>
      </c>
      <c r="BW175" s="1157">
        <v>0</v>
      </c>
      <c r="BX175" s="1157">
        <v>0</v>
      </c>
      <c r="BY175" s="1157">
        <v>0</v>
      </c>
      <c r="BZ175" s="1157">
        <v>0</v>
      </c>
      <c r="CA175" s="1157">
        <v>0</v>
      </c>
      <c r="CB175" s="1157">
        <v>0</v>
      </c>
      <c r="CC175" s="1148">
        <v>0</v>
      </c>
      <c r="CD175" s="1148">
        <v>0</v>
      </c>
      <c r="CE175" s="1148">
        <v>0</v>
      </c>
      <c r="CF175" s="1148">
        <v>0</v>
      </c>
    </row>
    <row r="176" spans="1:84" s="1148" customFormat="1" x14ac:dyDescent="0.3">
      <c r="A176" s="1153">
        <v>526</v>
      </c>
      <c r="B176" s="1154">
        <v>526</v>
      </c>
      <c r="C176" s="1228">
        <v>526</v>
      </c>
      <c r="D176" s="1146" t="s">
        <v>288</v>
      </c>
      <c r="E176" s="1155" t="s">
        <v>493</v>
      </c>
      <c r="F176" s="1156">
        <v>0</v>
      </c>
      <c r="G176" s="1156">
        <v>0</v>
      </c>
      <c r="H176" s="1156">
        <v>161004</v>
      </c>
      <c r="I176" s="1156">
        <v>0</v>
      </c>
      <c r="J176" s="1156">
        <v>0</v>
      </c>
      <c r="K176" s="1156">
        <v>0</v>
      </c>
      <c r="L176" s="1157">
        <v>5862</v>
      </c>
      <c r="M176" s="1157">
        <v>0</v>
      </c>
      <c r="N176" s="1157">
        <v>0</v>
      </c>
      <c r="O176" s="1157">
        <v>0</v>
      </c>
      <c r="P176" s="1157">
        <v>0</v>
      </c>
      <c r="Q176" s="1157">
        <v>1739495</v>
      </c>
      <c r="R176" s="1157">
        <v>0</v>
      </c>
      <c r="S176" s="1157">
        <v>8955556</v>
      </c>
      <c r="T176" s="1157">
        <v>0</v>
      </c>
      <c r="U176" s="1157">
        <v>0</v>
      </c>
      <c r="V176" s="1157">
        <v>7153834</v>
      </c>
      <c r="W176" s="1157">
        <v>1957965</v>
      </c>
      <c r="X176" s="1157">
        <v>9696959</v>
      </c>
      <c r="Y176" s="1157">
        <v>0</v>
      </c>
      <c r="Z176" s="1157">
        <v>10236</v>
      </c>
      <c r="AA176" s="1157">
        <v>2534539</v>
      </c>
      <c r="AB176" s="1157">
        <v>0</v>
      </c>
      <c r="AC176" s="1157">
        <v>3078174</v>
      </c>
      <c r="AD176" s="1157">
        <v>1120157</v>
      </c>
      <c r="AE176" s="1157">
        <v>120359</v>
      </c>
      <c r="AF176" s="1157">
        <v>609942</v>
      </c>
      <c r="AG176" s="1157">
        <v>558839</v>
      </c>
      <c r="AH176" s="1157">
        <v>4838910</v>
      </c>
      <c r="AI176" s="1157">
        <v>880601</v>
      </c>
      <c r="AJ176" s="1157">
        <v>1525</v>
      </c>
      <c r="AK176" s="1157">
        <v>7116632</v>
      </c>
      <c r="AL176" s="1157">
        <v>0</v>
      </c>
      <c r="AM176" s="1157">
        <v>275204</v>
      </c>
      <c r="AN176" s="1157">
        <v>0</v>
      </c>
      <c r="AO176" s="1157">
        <v>2146673</v>
      </c>
      <c r="AP176" s="1157">
        <v>0</v>
      </c>
      <c r="AQ176" s="1157">
        <v>119470</v>
      </c>
      <c r="AR176" s="1157">
        <v>0</v>
      </c>
      <c r="AS176" s="1157">
        <v>0</v>
      </c>
      <c r="AT176" s="1157">
        <v>1327480</v>
      </c>
      <c r="AU176" s="1157">
        <v>0</v>
      </c>
      <c r="AV176" s="1157">
        <v>510972</v>
      </c>
      <c r="AW176" s="1157">
        <v>0</v>
      </c>
      <c r="AX176" s="1157">
        <v>12740664</v>
      </c>
      <c r="AY176" s="1157">
        <v>0</v>
      </c>
      <c r="AZ176" s="1157">
        <v>772568</v>
      </c>
      <c r="BA176" s="1157">
        <v>984862</v>
      </c>
      <c r="BB176" s="1157">
        <v>367030</v>
      </c>
      <c r="BC176" s="1157">
        <v>75914</v>
      </c>
      <c r="BD176" s="1157">
        <v>0</v>
      </c>
      <c r="BE176" s="1157">
        <v>0</v>
      </c>
      <c r="BF176" s="1157">
        <v>2652461</v>
      </c>
      <c r="BG176" s="1157">
        <v>0</v>
      </c>
      <c r="BH176" s="1157">
        <v>107938</v>
      </c>
      <c r="BI176" s="1157">
        <v>14079</v>
      </c>
      <c r="BJ176" s="1157">
        <v>0</v>
      </c>
      <c r="BK176" s="1157">
        <v>13552</v>
      </c>
      <c r="BL176" s="1157">
        <v>0</v>
      </c>
      <c r="BM176" s="1157">
        <v>1690176</v>
      </c>
      <c r="BN176" s="1157">
        <v>0</v>
      </c>
      <c r="BO176" s="1157">
        <v>248452</v>
      </c>
      <c r="BP176" s="1157">
        <v>187679</v>
      </c>
      <c r="BQ176" s="1157">
        <v>180467</v>
      </c>
      <c r="BR176" s="1157">
        <v>304120</v>
      </c>
      <c r="BS176" s="1157">
        <v>0</v>
      </c>
      <c r="BT176" s="1157">
        <v>122125</v>
      </c>
      <c r="BU176" s="1157">
        <v>0</v>
      </c>
      <c r="BV176" s="1157">
        <v>283921</v>
      </c>
      <c r="BW176" s="1157">
        <v>2119207</v>
      </c>
      <c r="BX176" s="1157">
        <v>0</v>
      </c>
      <c r="BY176" s="1157">
        <v>0</v>
      </c>
      <c r="BZ176" s="1157">
        <v>43577</v>
      </c>
      <c r="CA176" s="1157">
        <v>0</v>
      </c>
      <c r="CB176" s="1157">
        <v>95519</v>
      </c>
      <c r="CC176" s="1148">
        <v>6010</v>
      </c>
      <c r="CD176" s="1148">
        <v>235798</v>
      </c>
      <c r="CE176" s="1148">
        <v>0</v>
      </c>
      <c r="CF176" s="1148">
        <v>0</v>
      </c>
    </row>
    <row r="177" spans="1:84" s="1148" customFormat="1" x14ac:dyDescent="0.3">
      <c r="A177" s="1153">
        <v>527</v>
      </c>
      <c r="B177" s="1154">
        <v>527</v>
      </c>
      <c r="C177" s="1228">
        <v>527</v>
      </c>
      <c r="D177" s="1146" t="s">
        <v>289</v>
      </c>
      <c r="E177" s="1155" t="s">
        <v>494</v>
      </c>
      <c r="F177" s="1156">
        <v>0</v>
      </c>
      <c r="G177" s="1156">
        <v>0</v>
      </c>
      <c r="H177" s="1156">
        <v>0</v>
      </c>
      <c r="I177" s="1156">
        <v>0</v>
      </c>
      <c r="J177" s="1156">
        <v>0</v>
      </c>
      <c r="K177" s="1156">
        <v>0</v>
      </c>
      <c r="L177" s="1157">
        <v>0</v>
      </c>
      <c r="M177" s="1157">
        <v>0</v>
      </c>
      <c r="N177" s="1157">
        <v>0</v>
      </c>
      <c r="O177" s="1157">
        <v>0</v>
      </c>
      <c r="P177" s="1157">
        <v>0</v>
      </c>
      <c r="Q177" s="1157">
        <v>0</v>
      </c>
      <c r="R177" s="1157">
        <v>0</v>
      </c>
      <c r="S177" s="1157">
        <v>7588548</v>
      </c>
      <c r="T177" s="1157">
        <v>0</v>
      </c>
      <c r="U177" s="1157">
        <v>0</v>
      </c>
      <c r="V177" s="1157">
        <v>0</v>
      </c>
      <c r="W177" s="1157">
        <v>0</v>
      </c>
      <c r="X177" s="1157">
        <v>55950</v>
      </c>
      <c r="Y177" s="1157">
        <v>0</v>
      </c>
      <c r="Z177" s="1157">
        <v>0</v>
      </c>
      <c r="AA177" s="1157">
        <v>0</v>
      </c>
      <c r="AB177" s="1157">
        <v>0</v>
      </c>
      <c r="AC177" s="1157">
        <v>0</v>
      </c>
      <c r="AD177" s="1157">
        <v>0</v>
      </c>
      <c r="AE177" s="1157">
        <v>0</v>
      </c>
      <c r="AF177" s="1157">
        <v>0</v>
      </c>
      <c r="AG177" s="1157">
        <v>0</v>
      </c>
      <c r="AH177" s="1157">
        <v>0</v>
      </c>
      <c r="AI177" s="1157">
        <v>0</v>
      </c>
      <c r="AJ177" s="1157">
        <v>0</v>
      </c>
      <c r="AK177" s="1157">
        <v>9632870</v>
      </c>
      <c r="AL177" s="1157">
        <v>0</v>
      </c>
      <c r="AM177" s="1157">
        <v>0</v>
      </c>
      <c r="AN177" s="1157">
        <v>0</v>
      </c>
      <c r="AO177" s="1157">
        <v>312086</v>
      </c>
      <c r="AP177" s="1157">
        <v>0</v>
      </c>
      <c r="AQ177" s="1157">
        <v>0</v>
      </c>
      <c r="AR177" s="1157">
        <v>0</v>
      </c>
      <c r="AS177" s="1157">
        <v>0</v>
      </c>
      <c r="AT177" s="1157">
        <v>0</v>
      </c>
      <c r="AU177" s="1157">
        <v>0</v>
      </c>
      <c r="AV177" s="1157">
        <v>0</v>
      </c>
      <c r="AW177" s="1157">
        <v>0</v>
      </c>
      <c r="AX177" s="1157">
        <v>0</v>
      </c>
      <c r="AY177" s="1157">
        <v>0</v>
      </c>
      <c r="AZ177" s="1157">
        <v>0</v>
      </c>
      <c r="BA177" s="1157">
        <v>0</v>
      </c>
      <c r="BB177" s="1157">
        <v>0</v>
      </c>
      <c r="BC177" s="1157">
        <v>0</v>
      </c>
      <c r="BD177" s="1157">
        <v>0</v>
      </c>
      <c r="BE177" s="1157">
        <v>0</v>
      </c>
      <c r="BF177" s="1157">
        <v>0</v>
      </c>
      <c r="BG177" s="1157">
        <v>0</v>
      </c>
      <c r="BH177" s="1157">
        <v>0</v>
      </c>
      <c r="BI177" s="1157">
        <v>0</v>
      </c>
      <c r="BJ177" s="1157">
        <v>0</v>
      </c>
      <c r="BK177" s="1157">
        <v>0</v>
      </c>
      <c r="BL177" s="1157">
        <v>0</v>
      </c>
      <c r="BM177" s="1157">
        <v>0</v>
      </c>
      <c r="BN177" s="1157">
        <v>0</v>
      </c>
      <c r="BO177" s="1157">
        <v>0</v>
      </c>
      <c r="BP177" s="1157">
        <v>0</v>
      </c>
      <c r="BQ177" s="1157">
        <v>0</v>
      </c>
      <c r="BR177" s="1157">
        <v>0</v>
      </c>
      <c r="BS177" s="1157">
        <v>0</v>
      </c>
      <c r="BT177" s="1157">
        <v>11600</v>
      </c>
      <c r="BU177" s="1157">
        <v>4577042</v>
      </c>
      <c r="BV177" s="1157">
        <v>0</v>
      </c>
      <c r="BW177" s="1157">
        <v>0</v>
      </c>
      <c r="BX177" s="1157">
        <v>0</v>
      </c>
      <c r="BY177" s="1157">
        <v>0</v>
      </c>
      <c r="BZ177" s="1157">
        <v>0</v>
      </c>
      <c r="CA177" s="1157">
        <v>0</v>
      </c>
      <c r="CB177" s="1157">
        <v>0</v>
      </c>
      <c r="CC177" s="1148">
        <v>0</v>
      </c>
      <c r="CD177" s="1148">
        <v>0</v>
      </c>
      <c r="CE177" s="1148">
        <v>0</v>
      </c>
      <c r="CF177" s="1148">
        <v>0</v>
      </c>
    </row>
    <row r="178" spans="1:84" s="1148" customFormat="1" x14ac:dyDescent="0.3">
      <c r="A178" s="1153">
        <v>528</v>
      </c>
      <c r="B178" s="1154">
        <v>528</v>
      </c>
      <c r="C178" s="1228">
        <v>528</v>
      </c>
      <c r="D178" s="1146" t="s">
        <v>271</v>
      </c>
      <c r="E178" s="1155" t="s">
        <v>495</v>
      </c>
      <c r="F178" s="1156">
        <v>0</v>
      </c>
      <c r="G178" s="1156">
        <v>25598</v>
      </c>
      <c r="H178" s="1156">
        <v>302992</v>
      </c>
      <c r="I178" s="1156">
        <v>892218</v>
      </c>
      <c r="J178" s="1156">
        <v>162543</v>
      </c>
      <c r="K178" s="1156">
        <v>2418793</v>
      </c>
      <c r="L178" s="1157">
        <v>36445</v>
      </c>
      <c r="M178" s="1157">
        <v>67989</v>
      </c>
      <c r="N178" s="1157">
        <v>115431</v>
      </c>
      <c r="O178" s="1157">
        <v>8305094</v>
      </c>
      <c r="P178" s="1157">
        <v>26797</v>
      </c>
      <c r="Q178" s="1157">
        <v>2905229</v>
      </c>
      <c r="R178" s="1157">
        <v>13774</v>
      </c>
      <c r="S178" s="1157">
        <v>21312952</v>
      </c>
      <c r="T178" s="1157">
        <v>0</v>
      </c>
      <c r="U178" s="1157">
        <v>0</v>
      </c>
      <c r="V178" s="1157">
        <v>41027808</v>
      </c>
      <c r="W178" s="1157">
        <v>7444547</v>
      </c>
      <c r="X178" s="1157">
        <v>9962252</v>
      </c>
      <c r="Y178" s="1157">
        <v>18513041</v>
      </c>
      <c r="Z178" s="1157">
        <v>68595</v>
      </c>
      <c r="AA178" s="1157">
        <v>6419739</v>
      </c>
      <c r="AB178" s="1157">
        <v>511804</v>
      </c>
      <c r="AC178" s="1157">
        <v>7392315</v>
      </c>
      <c r="AD178" s="1157">
        <v>1642562</v>
      </c>
      <c r="AE178" s="1157">
        <v>690682</v>
      </c>
      <c r="AF178" s="1157">
        <v>693230</v>
      </c>
      <c r="AG178" s="1157">
        <v>896566</v>
      </c>
      <c r="AH178" s="1157">
        <v>7636229</v>
      </c>
      <c r="AI178" s="1157">
        <v>2173064</v>
      </c>
      <c r="AJ178" s="1157">
        <v>220111</v>
      </c>
      <c r="AK178" s="1157">
        <v>14167347</v>
      </c>
      <c r="AL178" s="1157">
        <v>186336</v>
      </c>
      <c r="AM178" s="1157">
        <v>321295</v>
      </c>
      <c r="AN178" s="1157">
        <v>0</v>
      </c>
      <c r="AO178" s="1157">
        <v>5888819</v>
      </c>
      <c r="AP178" s="1157">
        <v>0</v>
      </c>
      <c r="AQ178" s="1157">
        <v>231655</v>
      </c>
      <c r="AR178" s="1157">
        <v>0</v>
      </c>
      <c r="AS178" s="1157">
        <v>3826404</v>
      </c>
      <c r="AT178" s="1157">
        <v>2233452</v>
      </c>
      <c r="AU178" s="1157">
        <v>127702</v>
      </c>
      <c r="AV178" s="1157">
        <v>1109005</v>
      </c>
      <c r="AW178" s="1157">
        <v>0</v>
      </c>
      <c r="AX178" s="1157">
        <v>9131861</v>
      </c>
      <c r="AY178" s="1157">
        <v>770609</v>
      </c>
      <c r="AZ178" s="1157">
        <v>593445</v>
      </c>
      <c r="BA178" s="1157">
        <v>3246677</v>
      </c>
      <c r="BB178" s="1157">
        <v>405448</v>
      </c>
      <c r="BC178" s="1157">
        <v>486397</v>
      </c>
      <c r="BD178" s="1157">
        <v>0</v>
      </c>
      <c r="BE178" s="1157">
        <v>47266</v>
      </c>
      <c r="BF178" s="1157">
        <v>3301289</v>
      </c>
      <c r="BG178" s="1157">
        <v>32018</v>
      </c>
      <c r="BH178" s="1157">
        <v>150755</v>
      </c>
      <c r="BI178" s="1157">
        <v>56876</v>
      </c>
      <c r="BJ178" s="1157">
        <v>31403</v>
      </c>
      <c r="BK178" s="1157">
        <v>49902</v>
      </c>
      <c r="BL178" s="1157">
        <v>46037</v>
      </c>
      <c r="BM178" s="1157">
        <v>1220738</v>
      </c>
      <c r="BN178" s="1157">
        <v>0</v>
      </c>
      <c r="BO178" s="1157">
        <v>800811</v>
      </c>
      <c r="BP178" s="1157">
        <v>1730038</v>
      </c>
      <c r="BQ178" s="1157">
        <v>527018</v>
      </c>
      <c r="BR178" s="1157">
        <v>461945</v>
      </c>
      <c r="BS178" s="1157">
        <v>10557120</v>
      </c>
      <c r="BT178" s="1157">
        <v>223838</v>
      </c>
      <c r="BU178" s="1157">
        <v>7966821</v>
      </c>
      <c r="BV178" s="1157">
        <v>178513</v>
      </c>
      <c r="BW178" s="1157">
        <v>2249873</v>
      </c>
      <c r="BX178" s="1157">
        <v>180888</v>
      </c>
      <c r="BY178" s="1157">
        <v>0</v>
      </c>
      <c r="BZ178" s="1157">
        <v>109101</v>
      </c>
      <c r="CA178" s="1157">
        <v>12480</v>
      </c>
      <c r="CB178" s="1157">
        <v>58868</v>
      </c>
      <c r="CC178" s="1148">
        <v>20647</v>
      </c>
      <c r="CD178" s="1148">
        <v>456175</v>
      </c>
      <c r="CE178" s="1148">
        <v>0</v>
      </c>
      <c r="CF178" s="1148">
        <v>8835</v>
      </c>
    </row>
    <row r="179" spans="1:84" s="1148" customFormat="1" x14ac:dyDescent="0.3">
      <c r="A179" s="1153">
        <v>529</v>
      </c>
      <c r="B179" s="1154">
        <v>529</v>
      </c>
      <c r="C179" s="1228">
        <v>529</v>
      </c>
      <c r="D179" s="1146" t="s">
        <v>272</v>
      </c>
      <c r="E179" s="1155" t="s">
        <v>496</v>
      </c>
      <c r="F179" s="1156">
        <v>0</v>
      </c>
      <c r="G179" s="1156">
        <v>3079</v>
      </c>
      <c r="H179" s="1156">
        <v>41956</v>
      </c>
      <c r="I179" s="1156">
        <v>112282</v>
      </c>
      <c r="J179" s="1156">
        <v>21993</v>
      </c>
      <c r="K179" s="1156">
        <v>162743</v>
      </c>
      <c r="L179" s="1157">
        <v>3521</v>
      </c>
      <c r="M179" s="1157">
        <v>7992</v>
      </c>
      <c r="N179" s="1157">
        <v>8252</v>
      </c>
      <c r="O179" s="1157">
        <v>713715</v>
      </c>
      <c r="P179" s="1157">
        <v>4094</v>
      </c>
      <c r="Q179" s="1157">
        <v>130824</v>
      </c>
      <c r="R179" s="1157">
        <v>2945</v>
      </c>
      <c r="S179" s="1157">
        <v>1815532</v>
      </c>
      <c r="T179" s="1157">
        <v>0</v>
      </c>
      <c r="U179" s="1157">
        <v>0</v>
      </c>
      <c r="V179" s="1157">
        <v>2972960</v>
      </c>
      <c r="W179" s="1157">
        <v>374283</v>
      </c>
      <c r="X179" s="1157">
        <v>710449</v>
      </c>
      <c r="Y179" s="1157">
        <v>1107816</v>
      </c>
      <c r="Z179" s="1157">
        <v>9107</v>
      </c>
      <c r="AA179" s="1157">
        <v>552859</v>
      </c>
      <c r="AB179" s="1157">
        <v>50196</v>
      </c>
      <c r="AC179" s="1157">
        <v>701088</v>
      </c>
      <c r="AD179" s="1157">
        <v>164599</v>
      </c>
      <c r="AE179" s="1157">
        <v>74288</v>
      </c>
      <c r="AF179" s="1157">
        <v>106405</v>
      </c>
      <c r="AG179" s="1157">
        <v>47829</v>
      </c>
      <c r="AH179" s="1157">
        <v>140077</v>
      </c>
      <c r="AI179" s="1157">
        <v>296545</v>
      </c>
      <c r="AJ179" s="1157">
        <v>22796</v>
      </c>
      <c r="AK179" s="1157">
        <v>1300080</v>
      </c>
      <c r="AL179" s="1157">
        <v>12117</v>
      </c>
      <c r="AM179" s="1157">
        <v>33600</v>
      </c>
      <c r="AN179" s="1157">
        <v>0</v>
      </c>
      <c r="AO179" s="1157">
        <v>507152</v>
      </c>
      <c r="AP179" s="1157">
        <v>0</v>
      </c>
      <c r="AQ179" s="1157">
        <v>36491</v>
      </c>
      <c r="AR179" s="1157">
        <v>0</v>
      </c>
      <c r="AS179" s="1157">
        <v>53654</v>
      </c>
      <c r="AT179" s="1157">
        <v>183649</v>
      </c>
      <c r="AU179" s="1157">
        <v>15728</v>
      </c>
      <c r="AV179" s="1157">
        <v>81654</v>
      </c>
      <c r="AW179" s="1157">
        <v>0</v>
      </c>
      <c r="AX179" s="1157">
        <v>351728</v>
      </c>
      <c r="AY179" s="1157">
        <v>81354</v>
      </c>
      <c r="AZ179" s="1157">
        <v>65876</v>
      </c>
      <c r="BA179" s="1157">
        <v>39644</v>
      </c>
      <c r="BB179" s="1157">
        <v>18410</v>
      </c>
      <c r="BC179" s="1157">
        <v>26365</v>
      </c>
      <c r="BD179" s="1157">
        <v>0</v>
      </c>
      <c r="BE179" s="1157">
        <v>6806</v>
      </c>
      <c r="BF179" s="1157">
        <v>361602</v>
      </c>
      <c r="BG179" s="1157">
        <v>2010</v>
      </c>
      <c r="BH179" s="1157">
        <v>18959</v>
      </c>
      <c r="BI179" s="1157">
        <v>11703</v>
      </c>
      <c r="BJ179" s="1157">
        <v>1985</v>
      </c>
      <c r="BK179" s="1157">
        <v>9521</v>
      </c>
      <c r="BL179" s="1157">
        <v>3287</v>
      </c>
      <c r="BM179" s="1157">
        <v>74453</v>
      </c>
      <c r="BN179" s="1157">
        <v>0</v>
      </c>
      <c r="BO179" s="1157">
        <v>74654</v>
      </c>
      <c r="BP179" s="1157">
        <v>42302</v>
      </c>
      <c r="BQ179" s="1157">
        <v>66304</v>
      </c>
      <c r="BR179" s="1157">
        <v>57437</v>
      </c>
      <c r="BS179" s="1157">
        <v>699581</v>
      </c>
      <c r="BT179" s="1157">
        <v>39450</v>
      </c>
      <c r="BU179" s="1157">
        <v>317294</v>
      </c>
      <c r="BV179" s="1157">
        <v>18798</v>
      </c>
      <c r="BW179" s="1157">
        <v>223169</v>
      </c>
      <c r="BX179" s="1157">
        <v>21280</v>
      </c>
      <c r="BY179" s="1157">
        <v>0</v>
      </c>
      <c r="BZ179" s="1157">
        <v>16497</v>
      </c>
      <c r="CA179" s="1157">
        <v>1871</v>
      </c>
      <c r="CB179" s="1157">
        <v>8253</v>
      </c>
      <c r="CC179" s="1148">
        <v>4535</v>
      </c>
      <c r="CD179" s="1148">
        <v>47955</v>
      </c>
      <c r="CE179" s="1148">
        <v>0</v>
      </c>
      <c r="CF179" s="1148">
        <v>2338</v>
      </c>
    </row>
    <row r="180" spans="1:84" s="1148" customFormat="1" x14ac:dyDescent="0.3">
      <c r="A180" s="1153">
        <v>530</v>
      </c>
      <c r="B180" s="1154">
        <v>530</v>
      </c>
      <c r="C180" s="1228">
        <v>530</v>
      </c>
      <c r="D180" s="1146" t="s">
        <v>273</v>
      </c>
      <c r="E180" s="1155" t="s">
        <v>497</v>
      </c>
      <c r="F180" s="1156">
        <v>0</v>
      </c>
      <c r="G180" s="1156">
        <v>418</v>
      </c>
      <c r="H180" s="1156">
        <v>5541</v>
      </c>
      <c r="I180" s="1156">
        <v>25349</v>
      </c>
      <c r="J180" s="1156">
        <v>4262</v>
      </c>
      <c r="K180" s="1156">
        <v>26544</v>
      </c>
      <c r="L180" s="1157">
        <v>1329</v>
      </c>
      <c r="M180" s="1157">
        <v>447</v>
      </c>
      <c r="N180" s="1157">
        <v>2551</v>
      </c>
      <c r="O180" s="1157">
        <v>81449</v>
      </c>
      <c r="P180" s="1157">
        <v>1063</v>
      </c>
      <c r="Q180" s="1157">
        <v>28633</v>
      </c>
      <c r="R180" s="1157">
        <v>89</v>
      </c>
      <c r="S180" s="1157">
        <v>188967</v>
      </c>
      <c r="T180" s="1157">
        <v>0</v>
      </c>
      <c r="U180" s="1157">
        <v>0</v>
      </c>
      <c r="V180" s="1157">
        <v>276829</v>
      </c>
      <c r="W180" s="1157">
        <v>105606</v>
      </c>
      <c r="X180" s="1157">
        <v>207464</v>
      </c>
      <c r="Y180" s="1157">
        <v>68749</v>
      </c>
      <c r="Z180" s="1157">
        <v>14185</v>
      </c>
      <c r="AA180" s="1157">
        <v>100235</v>
      </c>
      <c r="AB180" s="1157">
        <v>31282</v>
      </c>
      <c r="AC180" s="1157">
        <v>74914</v>
      </c>
      <c r="AD180" s="1157">
        <v>49978</v>
      </c>
      <c r="AE180" s="1157">
        <v>2563</v>
      </c>
      <c r="AF180" s="1157">
        <v>31454</v>
      </c>
      <c r="AG180" s="1157">
        <v>61236</v>
      </c>
      <c r="AH180" s="1157">
        <v>9781</v>
      </c>
      <c r="AI180" s="1157">
        <v>44275</v>
      </c>
      <c r="AJ180" s="1157">
        <v>14888</v>
      </c>
      <c r="AK180" s="1157">
        <v>143260</v>
      </c>
      <c r="AL180" s="1157">
        <v>388</v>
      </c>
      <c r="AM180" s="1157">
        <v>22931</v>
      </c>
      <c r="AN180" s="1157">
        <v>0</v>
      </c>
      <c r="AO180" s="1157">
        <v>118172</v>
      </c>
      <c r="AP180" s="1157">
        <v>0</v>
      </c>
      <c r="AQ180" s="1157">
        <v>14789</v>
      </c>
      <c r="AR180" s="1157">
        <v>0</v>
      </c>
      <c r="AS180" s="1157">
        <v>32758</v>
      </c>
      <c r="AT180" s="1157">
        <v>74410</v>
      </c>
      <c r="AU180" s="1157">
        <v>10322</v>
      </c>
      <c r="AV180" s="1157">
        <v>26273</v>
      </c>
      <c r="AW180" s="1157">
        <v>0</v>
      </c>
      <c r="AX180" s="1157">
        <v>90539</v>
      </c>
      <c r="AY180" s="1157">
        <v>4328</v>
      </c>
      <c r="AZ180" s="1157">
        <v>17349</v>
      </c>
      <c r="BA180" s="1157">
        <v>114020</v>
      </c>
      <c r="BB180" s="1157">
        <v>2575</v>
      </c>
      <c r="BC180" s="1157">
        <v>20763</v>
      </c>
      <c r="BD180" s="1157">
        <v>0</v>
      </c>
      <c r="BE180" s="1157">
        <v>989</v>
      </c>
      <c r="BF180" s="1157">
        <v>64728</v>
      </c>
      <c r="BG180" s="1157">
        <v>551</v>
      </c>
      <c r="BH180" s="1157">
        <v>10758</v>
      </c>
      <c r="BI180" s="1157">
        <v>14561</v>
      </c>
      <c r="BJ180" s="1157">
        <v>625</v>
      </c>
      <c r="BK180" s="1157">
        <v>3616</v>
      </c>
      <c r="BL180" s="1157">
        <v>1510</v>
      </c>
      <c r="BM180" s="1157">
        <v>85029</v>
      </c>
      <c r="BN180" s="1157">
        <v>0</v>
      </c>
      <c r="BO180" s="1157">
        <v>16557</v>
      </c>
      <c r="BP180" s="1157">
        <v>1510</v>
      </c>
      <c r="BQ180" s="1157">
        <v>1566</v>
      </c>
      <c r="BR180" s="1157">
        <v>1754</v>
      </c>
      <c r="BS180" s="1157">
        <v>8729</v>
      </c>
      <c r="BT180" s="1157">
        <v>22395</v>
      </c>
      <c r="BU180" s="1157">
        <v>98591</v>
      </c>
      <c r="BV180" s="1157">
        <v>7388</v>
      </c>
      <c r="BW180" s="1157">
        <v>34140</v>
      </c>
      <c r="BX180" s="1157">
        <v>2329</v>
      </c>
      <c r="BY180" s="1157">
        <v>0</v>
      </c>
      <c r="BZ180" s="1157">
        <v>8756</v>
      </c>
      <c r="CA180" s="1157">
        <v>48</v>
      </c>
      <c r="CB180" s="1157">
        <v>4343</v>
      </c>
      <c r="CC180" s="1148">
        <v>513</v>
      </c>
      <c r="CD180" s="1148">
        <v>4655</v>
      </c>
      <c r="CE180" s="1148">
        <v>0</v>
      </c>
      <c r="CF180" s="1148">
        <v>314</v>
      </c>
    </row>
    <row r="181" spans="1:84" s="1148" customFormat="1" x14ac:dyDescent="0.3">
      <c r="A181" s="1153">
        <v>531</v>
      </c>
      <c r="B181" s="1154">
        <v>531</v>
      </c>
      <c r="C181" s="1228">
        <v>531</v>
      </c>
      <c r="D181" s="1146" t="s">
        <v>274</v>
      </c>
      <c r="E181" s="1155" t="s">
        <v>498</v>
      </c>
      <c r="F181" s="1156">
        <v>0</v>
      </c>
      <c r="G181" s="1156">
        <v>0</v>
      </c>
      <c r="H181" s="1156">
        <v>0</v>
      </c>
      <c r="I181" s="1156">
        <v>335</v>
      </c>
      <c r="J181" s="1156">
        <v>0</v>
      </c>
      <c r="K181" s="1156">
        <v>0</v>
      </c>
      <c r="L181" s="1157">
        <v>0</v>
      </c>
      <c r="M181" s="1157">
        <v>0</v>
      </c>
      <c r="N181" s="1157">
        <v>0</v>
      </c>
      <c r="O181" s="1157">
        <v>0</v>
      </c>
      <c r="P181" s="1157">
        <v>29</v>
      </c>
      <c r="Q181" s="1157">
        <v>0</v>
      </c>
      <c r="R181" s="1157">
        <v>0</v>
      </c>
      <c r="S181" s="1157">
        <v>0</v>
      </c>
      <c r="T181" s="1157">
        <v>0</v>
      </c>
      <c r="U181" s="1157">
        <v>0</v>
      </c>
      <c r="V181" s="1157">
        <v>24471</v>
      </c>
      <c r="W181" s="1157">
        <v>0</v>
      </c>
      <c r="X181" s="1157">
        <v>0</v>
      </c>
      <c r="Y181" s="1157">
        <v>0</v>
      </c>
      <c r="Z181" s="1157">
        <v>0</v>
      </c>
      <c r="AA181" s="1157">
        <v>4583</v>
      </c>
      <c r="AB181" s="1157">
        <v>0</v>
      </c>
      <c r="AC181" s="1157">
        <v>0</v>
      </c>
      <c r="AD181" s="1157">
        <v>0</v>
      </c>
      <c r="AE181" s="1157">
        <v>0</v>
      </c>
      <c r="AF181" s="1157">
        <v>0</v>
      </c>
      <c r="AG181" s="1157">
        <v>574</v>
      </c>
      <c r="AH181" s="1157">
        <v>0</v>
      </c>
      <c r="AI181" s="1157">
        <v>0</v>
      </c>
      <c r="AJ181" s="1157">
        <v>0</v>
      </c>
      <c r="AK181" s="1157">
        <v>0</v>
      </c>
      <c r="AL181" s="1157">
        <v>0</v>
      </c>
      <c r="AM181" s="1157">
        <v>2954</v>
      </c>
      <c r="AN181" s="1157">
        <v>0</v>
      </c>
      <c r="AO181" s="1157">
        <v>519</v>
      </c>
      <c r="AP181" s="1157">
        <v>0</v>
      </c>
      <c r="AQ181" s="1157">
        <v>0</v>
      </c>
      <c r="AR181" s="1157">
        <v>0</v>
      </c>
      <c r="AS181" s="1157">
        <v>0</v>
      </c>
      <c r="AT181" s="1157">
        <v>0</v>
      </c>
      <c r="AU181" s="1157">
        <v>0</v>
      </c>
      <c r="AV181" s="1157">
        <v>205</v>
      </c>
      <c r="AW181" s="1157">
        <v>0</v>
      </c>
      <c r="AX181" s="1157">
        <v>0</v>
      </c>
      <c r="AY181" s="1157">
        <v>0</v>
      </c>
      <c r="AZ181" s="1157">
        <v>0</v>
      </c>
      <c r="BA181" s="1157">
        <v>0</v>
      </c>
      <c r="BB181" s="1157">
        <v>0</v>
      </c>
      <c r="BC181" s="1157">
        <v>0</v>
      </c>
      <c r="BD181" s="1157">
        <v>0</v>
      </c>
      <c r="BE181" s="1157">
        <v>0</v>
      </c>
      <c r="BF181" s="1157">
        <v>490</v>
      </c>
      <c r="BG181" s="1157">
        <v>0</v>
      </c>
      <c r="BH181" s="1157">
        <v>0</v>
      </c>
      <c r="BI181" s="1157">
        <v>0</v>
      </c>
      <c r="BJ181" s="1157">
        <v>0</v>
      </c>
      <c r="BK181" s="1157">
        <v>0</v>
      </c>
      <c r="BL181" s="1157">
        <v>0</v>
      </c>
      <c r="BM181" s="1157">
        <v>470</v>
      </c>
      <c r="BN181" s="1157">
        <v>0</v>
      </c>
      <c r="BO181" s="1157">
        <v>0</v>
      </c>
      <c r="BP181" s="1157">
        <v>98</v>
      </c>
      <c r="BQ181" s="1157">
        <v>0</v>
      </c>
      <c r="BR181" s="1157">
        <v>0</v>
      </c>
      <c r="BS181" s="1157">
        <v>0</v>
      </c>
      <c r="BT181" s="1157">
        <v>0</v>
      </c>
      <c r="BU181" s="1157">
        <v>0</v>
      </c>
      <c r="BV181" s="1157">
        <v>0</v>
      </c>
      <c r="BW181" s="1157">
        <v>0</v>
      </c>
      <c r="BX181" s="1157">
        <v>0</v>
      </c>
      <c r="BY181" s="1157">
        <v>0</v>
      </c>
      <c r="BZ181" s="1157">
        <v>0</v>
      </c>
      <c r="CA181" s="1157">
        <v>0</v>
      </c>
      <c r="CB181" s="1157">
        <v>0</v>
      </c>
      <c r="CC181" s="1148">
        <v>15</v>
      </c>
      <c r="CD181" s="1148">
        <v>0</v>
      </c>
      <c r="CE181" s="1148">
        <v>0</v>
      </c>
      <c r="CF181" s="1148">
        <v>0</v>
      </c>
    </row>
    <row r="182" spans="1:84" s="1148" customFormat="1" x14ac:dyDescent="0.3">
      <c r="A182" s="1153">
        <v>532</v>
      </c>
      <c r="B182" s="1154">
        <v>532</v>
      </c>
      <c r="C182" s="1228">
        <v>532</v>
      </c>
      <c r="D182" s="1146" t="s">
        <v>568</v>
      </c>
      <c r="E182" s="1155" t="s">
        <v>499</v>
      </c>
      <c r="F182" s="1156">
        <v>0</v>
      </c>
      <c r="G182" s="1156">
        <v>45389</v>
      </c>
      <c r="H182" s="1156">
        <v>891939</v>
      </c>
      <c r="I182" s="1156">
        <v>1644024</v>
      </c>
      <c r="J182" s="1156">
        <v>1493802</v>
      </c>
      <c r="K182" s="1156">
        <v>4174365</v>
      </c>
      <c r="L182" s="1157">
        <v>59358</v>
      </c>
      <c r="M182" s="1157">
        <v>279337</v>
      </c>
      <c r="N182" s="1157">
        <v>216176</v>
      </c>
      <c r="O182" s="1157">
        <v>14751401</v>
      </c>
      <c r="P182" s="1157">
        <v>492573</v>
      </c>
      <c r="Q182" s="1157">
        <v>5465222</v>
      </c>
      <c r="R182" s="1157">
        <v>66577</v>
      </c>
      <c r="S182" s="1157">
        <v>35930453</v>
      </c>
      <c r="T182" s="1157">
        <v>0</v>
      </c>
      <c r="U182" s="1157">
        <v>37029</v>
      </c>
      <c r="V182" s="1157">
        <v>133153912</v>
      </c>
      <c r="W182" s="1157">
        <v>15106432</v>
      </c>
      <c r="X182" s="1157">
        <v>20892241</v>
      </c>
      <c r="Y182" s="1157">
        <v>32928919</v>
      </c>
      <c r="Z182" s="1157">
        <v>294602</v>
      </c>
      <c r="AA182" s="1157">
        <v>12276849</v>
      </c>
      <c r="AB182" s="1157">
        <v>1151039</v>
      </c>
      <c r="AC182" s="1157">
        <v>13527291</v>
      </c>
      <c r="AD182" s="1157">
        <v>3840133</v>
      </c>
      <c r="AE182" s="1157">
        <v>2300963</v>
      </c>
      <c r="AF182" s="1157">
        <v>1918569</v>
      </c>
      <c r="AG182" s="1157">
        <v>2258681</v>
      </c>
      <c r="AH182" s="1157">
        <v>37162840</v>
      </c>
      <c r="AI182" s="1157">
        <v>5664713</v>
      </c>
      <c r="AJ182" s="1157">
        <v>1440682</v>
      </c>
      <c r="AK182" s="1157">
        <v>33407107</v>
      </c>
      <c r="AL182" s="1157">
        <v>301578</v>
      </c>
      <c r="AM182" s="1157">
        <v>866396</v>
      </c>
      <c r="AN182" s="1157">
        <v>0</v>
      </c>
      <c r="AO182" s="1157">
        <v>14667813</v>
      </c>
      <c r="AP182" s="1157">
        <v>0</v>
      </c>
      <c r="AQ182" s="1157">
        <v>897243</v>
      </c>
      <c r="AR182" s="1157">
        <v>45217</v>
      </c>
      <c r="AS182" s="1157">
        <v>4986176</v>
      </c>
      <c r="AT182" s="1157">
        <v>6067476</v>
      </c>
      <c r="AU182" s="1157">
        <v>505533</v>
      </c>
      <c r="AV182" s="1157">
        <v>2400384</v>
      </c>
      <c r="AW182" s="1157">
        <v>0</v>
      </c>
      <c r="AX182" s="1157">
        <v>13437302</v>
      </c>
      <c r="AY182" s="1157">
        <v>1650718</v>
      </c>
      <c r="AZ182" s="1157">
        <v>1673320</v>
      </c>
      <c r="BA182" s="1157">
        <v>5715108</v>
      </c>
      <c r="BB182" s="1157">
        <v>928774</v>
      </c>
      <c r="BC182" s="1157">
        <v>1259226</v>
      </c>
      <c r="BD182" s="1157">
        <v>23619</v>
      </c>
      <c r="BE182" s="1157">
        <v>198080</v>
      </c>
      <c r="BF182" s="1157">
        <v>9544643</v>
      </c>
      <c r="BG182" s="1157">
        <v>116376</v>
      </c>
      <c r="BH182" s="1157">
        <v>356205</v>
      </c>
      <c r="BI182" s="1157">
        <v>143361</v>
      </c>
      <c r="BJ182" s="1157">
        <v>77678</v>
      </c>
      <c r="BK182" s="1157">
        <v>264009</v>
      </c>
      <c r="BL182" s="1157">
        <v>100700</v>
      </c>
      <c r="BM182" s="1157">
        <v>3665898</v>
      </c>
      <c r="BN182" s="1157">
        <v>0</v>
      </c>
      <c r="BO182" s="1157">
        <v>2024265</v>
      </c>
      <c r="BP182" s="1157">
        <v>4631962</v>
      </c>
      <c r="BQ182" s="1157">
        <v>1262193</v>
      </c>
      <c r="BR182" s="1157">
        <v>1476242</v>
      </c>
      <c r="BS182" s="1157">
        <v>17590227</v>
      </c>
      <c r="BT182" s="1157">
        <v>1271781</v>
      </c>
      <c r="BU182" s="1157">
        <v>13113309</v>
      </c>
      <c r="BV182" s="1157">
        <v>598349</v>
      </c>
      <c r="BW182" s="1157">
        <v>5081311</v>
      </c>
      <c r="BX182" s="1157">
        <v>587557</v>
      </c>
      <c r="BY182" s="1157">
        <v>0</v>
      </c>
      <c r="BZ182" s="1157">
        <v>959934</v>
      </c>
      <c r="CA182" s="1157">
        <v>112274</v>
      </c>
      <c r="CB182" s="1157">
        <v>178752</v>
      </c>
      <c r="CC182" s="1148">
        <v>113841</v>
      </c>
      <c r="CD182" s="1148">
        <v>1070969</v>
      </c>
      <c r="CE182" s="1148">
        <v>0</v>
      </c>
      <c r="CF182" s="1148">
        <v>46994</v>
      </c>
    </row>
    <row r="183" spans="1:84" s="1148" customFormat="1" x14ac:dyDescent="0.3">
      <c r="A183" s="1153">
        <v>533</v>
      </c>
      <c r="B183" s="1154">
        <v>533</v>
      </c>
      <c r="C183" s="1228">
        <v>533</v>
      </c>
      <c r="D183" s="1146" t="s">
        <v>569</v>
      </c>
      <c r="E183" s="1155" t="s">
        <v>500</v>
      </c>
      <c r="F183" s="1156">
        <v>0</v>
      </c>
      <c r="G183" s="1156">
        <v>0</v>
      </c>
      <c r="H183" s="1156">
        <v>29610</v>
      </c>
      <c r="I183" s="1156">
        <v>0</v>
      </c>
      <c r="J183" s="1156">
        <v>0</v>
      </c>
      <c r="K183" s="1156">
        <v>0</v>
      </c>
      <c r="L183" s="1157">
        <v>0</v>
      </c>
      <c r="M183" s="1157">
        <v>0</v>
      </c>
      <c r="N183" s="1157">
        <v>0</v>
      </c>
      <c r="O183" s="1157">
        <v>1261203</v>
      </c>
      <c r="P183" s="1157">
        <v>0</v>
      </c>
      <c r="Q183" s="1157">
        <v>159998</v>
      </c>
      <c r="R183" s="1157">
        <v>0</v>
      </c>
      <c r="S183" s="1157">
        <v>857500</v>
      </c>
      <c r="T183" s="1157">
        <v>0</v>
      </c>
      <c r="U183" s="1157">
        <v>0</v>
      </c>
      <c r="V183" s="1157">
        <v>0</v>
      </c>
      <c r="W183" s="1157">
        <v>0</v>
      </c>
      <c r="X183" s="1157">
        <v>791850</v>
      </c>
      <c r="Y183" s="1157">
        <v>0</v>
      </c>
      <c r="Z183" s="1157">
        <v>0</v>
      </c>
      <c r="AA183" s="1157">
        <v>0</v>
      </c>
      <c r="AB183" s="1157">
        <v>0</v>
      </c>
      <c r="AC183" s="1157">
        <v>0</v>
      </c>
      <c r="AD183" s="1157">
        <v>0</v>
      </c>
      <c r="AE183" s="1157">
        <v>577457</v>
      </c>
      <c r="AF183" s="1157">
        <v>0</v>
      </c>
      <c r="AG183" s="1157">
        <v>0</v>
      </c>
      <c r="AH183" s="1157">
        <v>2223843</v>
      </c>
      <c r="AI183" s="1157">
        <v>0</v>
      </c>
      <c r="AJ183" s="1157">
        <v>0</v>
      </c>
      <c r="AK183" s="1157">
        <v>0</v>
      </c>
      <c r="AL183" s="1157">
        <v>0</v>
      </c>
      <c r="AM183" s="1157">
        <v>0</v>
      </c>
      <c r="AN183" s="1157">
        <v>0</v>
      </c>
      <c r="AO183" s="1157">
        <v>543752</v>
      </c>
      <c r="AP183" s="1157">
        <v>0</v>
      </c>
      <c r="AQ183" s="1157">
        <v>40000</v>
      </c>
      <c r="AR183" s="1157">
        <v>0</v>
      </c>
      <c r="AS183" s="1157">
        <v>154932</v>
      </c>
      <c r="AT183" s="1157">
        <v>415000</v>
      </c>
      <c r="AU183" s="1157">
        <v>0</v>
      </c>
      <c r="AV183" s="1157">
        <v>108783</v>
      </c>
      <c r="AW183" s="1157">
        <v>0</v>
      </c>
      <c r="AX183" s="1157">
        <v>0</v>
      </c>
      <c r="AY183" s="1157">
        <v>0</v>
      </c>
      <c r="AZ183" s="1157">
        <v>0</v>
      </c>
      <c r="BA183" s="1157">
        <v>539966</v>
      </c>
      <c r="BB183" s="1157">
        <v>0</v>
      </c>
      <c r="BC183" s="1157">
        <v>0</v>
      </c>
      <c r="BD183" s="1157">
        <v>0</v>
      </c>
      <c r="BE183" s="1157">
        <v>0</v>
      </c>
      <c r="BF183" s="1157">
        <v>0</v>
      </c>
      <c r="BG183" s="1157">
        <v>0</v>
      </c>
      <c r="BH183" s="1157">
        <v>0</v>
      </c>
      <c r="BI183" s="1157">
        <v>0</v>
      </c>
      <c r="BJ183" s="1157">
        <v>0</v>
      </c>
      <c r="BK183" s="1157">
        <v>0</v>
      </c>
      <c r="BL183" s="1157">
        <v>0</v>
      </c>
      <c r="BM183" s="1157">
        <v>364000</v>
      </c>
      <c r="BN183" s="1157">
        <v>0</v>
      </c>
      <c r="BO183" s="1157">
        <v>73425</v>
      </c>
      <c r="BP183" s="1157">
        <v>0</v>
      </c>
      <c r="BQ183" s="1157">
        <v>168197</v>
      </c>
      <c r="BR183" s="1157">
        <v>151500</v>
      </c>
      <c r="BS183" s="1157">
        <v>0</v>
      </c>
      <c r="BT183" s="1157">
        <v>45600</v>
      </c>
      <c r="BU183" s="1157">
        <v>0</v>
      </c>
      <c r="BV183" s="1157">
        <v>0</v>
      </c>
      <c r="BW183" s="1157">
        <v>165000</v>
      </c>
      <c r="BX183" s="1157">
        <v>0</v>
      </c>
      <c r="BY183" s="1157">
        <v>0</v>
      </c>
      <c r="BZ183" s="1157">
        <v>18568</v>
      </c>
      <c r="CA183" s="1157">
        <v>0</v>
      </c>
      <c r="CB183" s="1157">
        <v>0</v>
      </c>
      <c r="CC183" s="1148">
        <v>0</v>
      </c>
      <c r="CD183" s="1148">
        <v>0</v>
      </c>
      <c r="CE183" s="1148">
        <v>0</v>
      </c>
      <c r="CF183" s="1148">
        <v>0</v>
      </c>
    </row>
    <row r="184" spans="1:84" s="1148" customFormat="1" x14ac:dyDescent="0.3">
      <c r="A184" s="1146">
        <v>534</v>
      </c>
      <c r="B184" s="1154"/>
      <c r="C184" s="1228">
        <v>534</v>
      </c>
      <c r="D184" s="1146" t="s">
        <v>275</v>
      </c>
      <c r="E184" s="1155" t="s">
        <v>501</v>
      </c>
      <c r="F184" s="1156"/>
      <c r="G184" s="1156"/>
      <c r="H184" s="1156"/>
      <c r="I184" s="1156"/>
      <c r="J184" s="1156"/>
      <c r="K184" s="1156"/>
      <c r="L184" s="1157"/>
      <c r="M184" s="1157"/>
      <c r="N184" s="1157"/>
      <c r="O184" s="1157"/>
      <c r="P184" s="1157"/>
      <c r="Q184" s="1157"/>
      <c r="R184" s="1157"/>
      <c r="S184" s="1157"/>
      <c r="T184" s="1157"/>
      <c r="U184" s="1157"/>
      <c r="V184" s="1157"/>
      <c r="W184" s="1157"/>
      <c r="X184" s="1157"/>
      <c r="Y184" s="1157"/>
      <c r="Z184" s="1157"/>
      <c r="AA184" s="1157"/>
      <c r="AB184" s="1157"/>
      <c r="AC184" s="1157"/>
      <c r="AD184" s="1157"/>
      <c r="AE184" s="1157"/>
      <c r="AF184" s="1157"/>
      <c r="AG184" s="1157"/>
      <c r="AH184" s="1157"/>
      <c r="AI184" s="1157"/>
      <c r="AJ184" s="1157"/>
      <c r="AK184" s="1157"/>
      <c r="AL184" s="1157"/>
      <c r="AM184" s="1157"/>
      <c r="AN184" s="1157"/>
      <c r="AO184" s="1157"/>
      <c r="AP184" s="1157"/>
      <c r="AQ184" s="1157"/>
      <c r="AR184" s="1157"/>
      <c r="AS184" s="1157"/>
      <c r="AT184" s="1157"/>
      <c r="AU184" s="1157"/>
      <c r="AV184" s="1157"/>
      <c r="AW184" s="1157"/>
      <c r="AX184" s="1157"/>
      <c r="AY184" s="1157"/>
      <c r="AZ184" s="1157"/>
      <c r="BA184" s="1157"/>
      <c r="BB184" s="1157"/>
      <c r="BC184" s="1157"/>
      <c r="BD184" s="1157"/>
      <c r="BE184" s="1157"/>
      <c r="BF184" s="1157"/>
      <c r="BG184" s="1157"/>
      <c r="BH184" s="1157"/>
      <c r="BI184" s="1157"/>
      <c r="BJ184" s="1157"/>
      <c r="BK184" s="1157"/>
      <c r="BL184" s="1157"/>
      <c r="BM184" s="1157"/>
      <c r="BN184" s="1157"/>
      <c r="BO184" s="1157"/>
      <c r="BP184" s="1157"/>
      <c r="BQ184" s="1157"/>
      <c r="BR184" s="1157"/>
      <c r="BS184" s="1157"/>
      <c r="BT184" s="1157"/>
      <c r="BU184" s="1157"/>
      <c r="BV184" s="1157"/>
      <c r="BW184" s="1157"/>
      <c r="BX184" s="1157"/>
      <c r="BY184" s="1157"/>
      <c r="BZ184" s="1157"/>
      <c r="CA184" s="1157"/>
      <c r="CB184" s="1157"/>
    </row>
    <row r="185" spans="1:84" s="1148" customFormat="1" x14ac:dyDescent="0.3">
      <c r="A185" s="1153">
        <v>535</v>
      </c>
      <c r="B185" s="1154">
        <v>535</v>
      </c>
      <c r="C185" s="1228">
        <v>535</v>
      </c>
      <c r="D185" s="1146" t="s">
        <v>253</v>
      </c>
      <c r="E185" s="1155" t="s">
        <v>502</v>
      </c>
      <c r="F185" s="1156">
        <v>0</v>
      </c>
      <c r="G185" s="1156">
        <v>0</v>
      </c>
      <c r="H185" s="1156">
        <v>0</v>
      </c>
      <c r="I185" s="1156">
        <v>0</v>
      </c>
      <c r="J185" s="1156">
        <v>0</v>
      </c>
      <c r="K185" s="1156">
        <v>0</v>
      </c>
      <c r="L185" s="1157">
        <v>0</v>
      </c>
      <c r="M185" s="1157">
        <v>0</v>
      </c>
      <c r="N185" s="1157">
        <v>0</v>
      </c>
      <c r="O185" s="1157">
        <v>0</v>
      </c>
      <c r="P185" s="1157">
        <v>0</v>
      </c>
      <c r="Q185" s="1157">
        <v>0</v>
      </c>
      <c r="R185" s="1157">
        <v>0</v>
      </c>
      <c r="S185" s="1157">
        <v>3651624</v>
      </c>
      <c r="T185" s="1157">
        <v>0</v>
      </c>
      <c r="U185" s="1157">
        <v>1</v>
      </c>
      <c r="V185" s="1157">
        <v>10747595</v>
      </c>
      <c r="W185" s="1157">
        <v>0</v>
      </c>
      <c r="X185" s="1157">
        <v>0</v>
      </c>
      <c r="Y185" s="1157">
        <v>8461453</v>
      </c>
      <c r="Z185" s="1157">
        <v>0</v>
      </c>
      <c r="AA185" s="1157">
        <v>0</v>
      </c>
      <c r="AB185" s="1157">
        <v>0</v>
      </c>
      <c r="AC185" s="1157">
        <v>0</v>
      </c>
      <c r="AD185" s="1157">
        <v>0</v>
      </c>
      <c r="AE185" s="1157">
        <v>0</v>
      </c>
      <c r="AF185" s="1157">
        <v>0</v>
      </c>
      <c r="AG185" s="1157">
        <v>0</v>
      </c>
      <c r="AH185" s="1157">
        <v>964356</v>
      </c>
      <c r="AI185" s="1157">
        <v>0</v>
      </c>
      <c r="AJ185" s="1157">
        <v>0</v>
      </c>
      <c r="AK185" s="1157">
        <v>0</v>
      </c>
      <c r="AL185" s="1157">
        <v>0</v>
      </c>
      <c r="AM185" s="1157">
        <v>0</v>
      </c>
      <c r="AN185" s="1157">
        <v>0</v>
      </c>
      <c r="AO185" s="1157">
        <v>222389</v>
      </c>
      <c r="AP185" s="1157">
        <v>0</v>
      </c>
      <c r="AQ185" s="1157">
        <v>0</v>
      </c>
      <c r="AR185" s="1157">
        <v>0</v>
      </c>
      <c r="AS185" s="1157">
        <v>0</v>
      </c>
      <c r="AT185" s="1157">
        <v>0</v>
      </c>
      <c r="AU185" s="1157">
        <v>0</v>
      </c>
      <c r="AV185" s="1157">
        <v>0</v>
      </c>
      <c r="AW185" s="1157">
        <v>0</v>
      </c>
      <c r="AX185" s="1157">
        <v>6697150</v>
      </c>
      <c r="AY185" s="1157">
        <v>0</v>
      </c>
      <c r="AZ185" s="1157">
        <v>0</v>
      </c>
      <c r="BA185" s="1157">
        <v>2317225</v>
      </c>
      <c r="BB185" s="1157">
        <v>0</v>
      </c>
      <c r="BC185" s="1157">
        <v>0</v>
      </c>
      <c r="BD185" s="1157">
        <v>0</v>
      </c>
      <c r="BE185" s="1157">
        <v>0</v>
      </c>
      <c r="BF185" s="1157">
        <v>0</v>
      </c>
      <c r="BG185" s="1157">
        <v>0</v>
      </c>
      <c r="BH185" s="1157">
        <v>1</v>
      </c>
      <c r="BI185" s="1157">
        <v>0</v>
      </c>
      <c r="BJ185" s="1157">
        <v>1</v>
      </c>
      <c r="BK185" s="1157">
        <v>0</v>
      </c>
      <c r="BL185" s="1157">
        <v>0</v>
      </c>
      <c r="BM185" s="1157">
        <v>1</v>
      </c>
      <c r="BN185" s="1157">
        <v>0</v>
      </c>
      <c r="BO185" s="1157">
        <v>0</v>
      </c>
      <c r="BP185" s="1157">
        <v>0</v>
      </c>
      <c r="BQ185" s="1157">
        <v>0</v>
      </c>
      <c r="BR185" s="1157">
        <v>0</v>
      </c>
      <c r="BS185" s="1157">
        <v>0</v>
      </c>
      <c r="BT185" s="1157">
        <v>0</v>
      </c>
      <c r="BU185" s="1157">
        <v>0</v>
      </c>
      <c r="BV185" s="1157">
        <v>0</v>
      </c>
      <c r="BW185" s="1157">
        <v>54000</v>
      </c>
      <c r="BX185" s="1157">
        <v>0</v>
      </c>
      <c r="BY185" s="1157">
        <v>0</v>
      </c>
      <c r="BZ185" s="1157">
        <v>0</v>
      </c>
      <c r="CA185" s="1157">
        <v>1</v>
      </c>
      <c r="CB185" s="1157">
        <v>0</v>
      </c>
      <c r="CC185" s="1148">
        <v>0</v>
      </c>
      <c r="CD185" s="1148">
        <v>0</v>
      </c>
      <c r="CE185" s="1148">
        <v>0</v>
      </c>
      <c r="CF185" s="1148">
        <v>1</v>
      </c>
    </row>
    <row r="186" spans="1:84" s="1148" customFormat="1" x14ac:dyDescent="0.3">
      <c r="A186" s="1153">
        <v>536</v>
      </c>
      <c r="B186" s="1154">
        <v>536</v>
      </c>
      <c r="C186" s="1228">
        <v>536</v>
      </c>
      <c r="D186" s="1146" t="s">
        <v>199</v>
      </c>
      <c r="E186" s="1155" t="s">
        <v>503</v>
      </c>
      <c r="F186" s="1156">
        <v>0</v>
      </c>
      <c r="G186" s="1156">
        <v>39765</v>
      </c>
      <c r="H186" s="1156">
        <v>130747</v>
      </c>
      <c r="I186" s="1156">
        <v>253255</v>
      </c>
      <c r="J186" s="1156">
        <v>0</v>
      </c>
      <c r="K186" s="1156">
        <v>20192</v>
      </c>
      <c r="L186" s="1157">
        <v>0</v>
      </c>
      <c r="M186" s="1157">
        <v>0</v>
      </c>
      <c r="N186" s="1157">
        <v>4363</v>
      </c>
      <c r="O186" s="1157">
        <v>1180437</v>
      </c>
      <c r="P186" s="1157">
        <v>101837</v>
      </c>
      <c r="Q186" s="1157">
        <v>600790</v>
      </c>
      <c r="R186" s="1157">
        <v>0</v>
      </c>
      <c r="S186" s="1157">
        <v>2048718</v>
      </c>
      <c r="T186" s="1157">
        <v>0</v>
      </c>
      <c r="U186" s="1157">
        <v>0</v>
      </c>
      <c r="V186" s="1157">
        <v>20343200</v>
      </c>
      <c r="W186" s="1157">
        <v>400629</v>
      </c>
      <c r="X186" s="1157">
        <v>1187922</v>
      </c>
      <c r="Y186" s="1157">
        <v>4212022</v>
      </c>
      <c r="Z186" s="1157">
        <v>139854</v>
      </c>
      <c r="AA186" s="1157">
        <v>815730</v>
      </c>
      <c r="AB186" s="1157">
        <v>74286</v>
      </c>
      <c r="AC186" s="1157">
        <v>1700087</v>
      </c>
      <c r="AD186" s="1157">
        <v>217342</v>
      </c>
      <c r="AE186" s="1157">
        <v>66308</v>
      </c>
      <c r="AF186" s="1157">
        <v>67262</v>
      </c>
      <c r="AG186" s="1157">
        <v>377025</v>
      </c>
      <c r="AH186" s="1157">
        <v>8631858</v>
      </c>
      <c r="AI186" s="1157">
        <v>162028</v>
      </c>
      <c r="AJ186" s="1157">
        <v>566780</v>
      </c>
      <c r="AK186" s="1157">
        <v>939356</v>
      </c>
      <c r="AL186" s="1157">
        <v>161008</v>
      </c>
      <c r="AM186" s="1157">
        <v>3926</v>
      </c>
      <c r="AN186" s="1157">
        <v>0</v>
      </c>
      <c r="AO186" s="1157">
        <v>662985</v>
      </c>
      <c r="AP186" s="1157">
        <v>0</v>
      </c>
      <c r="AQ186" s="1157">
        <v>8000</v>
      </c>
      <c r="AR186" s="1157">
        <v>0</v>
      </c>
      <c r="AS186" s="1157">
        <v>16090</v>
      </c>
      <c r="AT186" s="1157">
        <v>142408</v>
      </c>
      <c r="AU186" s="1157">
        <v>72916</v>
      </c>
      <c r="AV186" s="1157">
        <v>257005</v>
      </c>
      <c r="AW186" s="1157">
        <v>0</v>
      </c>
      <c r="AX186" s="1157">
        <v>929536</v>
      </c>
      <c r="AY186" s="1157">
        <v>15164</v>
      </c>
      <c r="AZ186" s="1157">
        <v>218084</v>
      </c>
      <c r="BA186" s="1157">
        <v>227796</v>
      </c>
      <c r="BB186" s="1157">
        <v>56775</v>
      </c>
      <c r="BC186" s="1157">
        <v>434989</v>
      </c>
      <c r="BD186" s="1157">
        <v>0</v>
      </c>
      <c r="BE186" s="1157">
        <v>2775</v>
      </c>
      <c r="BF186" s="1157">
        <v>292238</v>
      </c>
      <c r="BG186" s="1157">
        <v>36401</v>
      </c>
      <c r="BH186" s="1157">
        <v>19611</v>
      </c>
      <c r="BI186" s="1157">
        <v>22973</v>
      </c>
      <c r="BJ186" s="1157">
        <v>0</v>
      </c>
      <c r="BK186" s="1157">
        <v>39646</v>
      </c>
      <c r="BL186" s="1157">
        <v>62458</v>
      </c>
      <c r="BM186" s="1157">
        <v>0</v>
      </c>
      <c r="BN186" s="1157">
        <v>0</v>
      </c>
      <c r="BO186" s="1157">
        <v>711</v>
      </c>
      <c r="BP186" s="1157">
        <v>117094</v>
      </c>
      <c r="BQ186" s="1157">
        <v>91985</v>
      </c>
      <c r="BR186" s="1157">
        <v>175022</v>
      </c>
      <c r="BS186" s="1157">
        <v>0</v>
      </c>
      <c r="BT186" s="1157">
        <v>184973</v>
      </c>
      <c r="BU186" s="1157">
        <v>384632</v>
      </c>
      <c r="BV186" s="1157">
        <v>146824</v>
      </c>
      <c r="BW186" s="1157">
        <v>1713286</v>
      </c>
      <c r="BX186" s="1157">
        <v>0</v>
      </c>
      <c r="BY186" s="1157">
        <v>0</v>
      </c>
      <c r="BZ186" s="1157">
        <v>284378</v>
      </c>
      <c r="CA186" s="1157">
        <v>128480</v>
      </c>
      <c r="CB186" s="1157">
        <v>32121</v>
      </c>
      <c r="CC186" s="1148">
        <v>21479</v>
      </c>
      <c r="CD186" s="1148">
        <v>43242</v>
      </c>
      <c r="CE186" s="1148">
        <v>0</v>
      </c>
      <c r="CF186" s="1148">
        <v>19830</v>
      </c>
    </row>
    <row r="187" spans="1:84" s="1148" customFormat="1" x14ac:dyDescent="0.3">
      <c r="A187" s="1153">
        <v>537</v>
      </c>
      <c r="B187" s="1165">
        <v>537</v>
      </c>
      <c r="C187" s="1166">
        <v>537</v>
      </c>
      <c r="D187" s="1167" t="s">
        <v>847</v>
      </c>
      <c r="E187" s="1160" t="s">
        <v>504</v>
      </c>
      <c r="F187" s="1161">
        <v>0</v>
      </c>
      <c r="G187" s="1161">
        <v>2</v>
      </c>
      <c r="H187" s="1161">
        <v>2</v>
      </c>
      <c r="I187" s="1161">
        <v>2</v>
      </c>
      <c r="J187" s="1161">
        <v>2</v>
      </c>
      <c r="K187" s="1161">
        <v>2</v>
      </c>
      <c r="L187" s="1162">
        <v>2</v>
      </c>
      <c r="M187" s="1162">
        <v>2</v>
      </c>
      <c r="N187" s="1162">
        <v>2</v>
      </c>
      <c r="O187" s="1162">
        <v>2</v>
      </c>
      <c r="P187" s="1162">
        <v>2</v>
      </c>
      <c r="Q187" s="1162">
        <v>2</v>
      </c>
      <c r="R187" s="1162">
        <v>2</v>
      </c>
      <c r="S187" s="1162">
        <v>1</v>
      </c>
      <c r="T187" s="1162">
        <v>0</v>
      </c>
      <c r="U187" s="1162">
        <v>2</v>
      </c>
      <c r="V187" s="1162">
        <v>2</v>
      </c>
      <c r="W187" s="1162">
        <v>1</v>
      </c>
      <c r="X187" s="1162">
        <v>2</v>
      </c>
      <c r="Y187" s="1162">
        <v>2</v>
      </c>
      <c r="Z187" s="1162">
        <v>2</v>
      </c>
      <c r="AA187" s="1162">
        <v>2</v>
      </c>
      <c r="AB187" s="1162">
        <v>1</v>
      </c>
      <c r="AC187" s="1162">
        <v>1</v>
      </c>
      <c r="AD187" s="1162">
        <v>2</v>
      </c>
      <c r="AE187" s="1162">
        <v>2</v>
      </c>
      <c r="AF187" s="1162">
        <v>2</v>
      </c>
      <c r="AG187" s="1162">
        <v>2</v>
      </c>
      <c r="AH187" s="1162">
        <v>1</v>
      </c>
      <c r="AI187" s="1162">
        <v>2</v>
      </c>
      <c r="AJ187" s="1162">
        <v>2</v>
      </c>
      <c r="AK187" s="1162">
        <v>2</v>
      </c>
      <c r="AL187" s="1162">
        <v>2</v>
      </c>
      <c r="AM187" s="1162">
        <v>2</v>
      </c>
      <c r="AN187" s="1162">
        <v>0</v>
      </c>
      <c r="AO187" s="1162">
        <v>1</v>
      </c>
      <c r="AP187" s="1162">
        <v>0</v>
      </c>
      <c r="AQ187" s="1162">
        <v>2</v>
      </c>
      <c r="AR187" s="1162">
        <v>2</v>
      </c>
      <c r="AS187" s="1162">
        <v>2</v>
      </c>
      <c r="AT187" s="1162">
        <v>2</v>
      </c>
      <c r="AU187" s="1162">
        <v>2</v>
      </c>
      <c r="AV187" s="1162">
        <v>2</v>
      </c>
      <c r="AW187" s="1162">
        <v>0</v>
      </c>
      <c r="AX187" s="1162">
        <v>2</v>
      </c>
      <c r="AY187" s="1162">
        <v>2</v>
      </c>
      <c r="AZ187" s="1162">
        <v>2</v>
      </c>
      <c r="BA187" s="1162">
        <v>2</v>
      </c>
      <c r="BB187" s="1162">
        <v>1</v>
      </c>
      <c r="BC187" s="1162">
        <v>2</v>
      </c>
      <c r="BD187" s="1162">
        <v>2</v>
      </c>
      <c r="BE187" s="1162">
        <v>2</v>
      </c>
      <c r="BF187" s="1162">
        <v>2</v>
      </c>
      <c r="BG187" s="1162">
        <v>2</v>
      </c>
      <c r="BH187" s="1162">
        <v>2</v>
      </c>
      <c r="BI187" s="1162">
        <v>2</v>
      </c>
      <c r="BJ187" s="1162">
        <v>2</v>
      </c>
      <c r="BK187" s="1162">
        <v>1</v>
      </c>
      <c r="BL187" s="1162">
        <v>2</v>
      </c>
      <c r="BM187" s="1162">
        <v>2</v>
      </c>
      <c r="BN187" s="1162">
        <v>0</v>
      </c>
      <c r="BO187" s="1162">
        <v>1</v>
      </c>
      <c r="BP187" s="1162">
        <v>2</v>
      </c>
      <c r="BQ187" s="1162">
        <v>2</v>
      </c>
      <c r="BR187" s="1162">
        <v>2</v>
      </c>
      <c r="BS187" s="1162">
        <v>2</v>
      </c>
      <c r="BT187" s="1162">
        <v>2</v>
      </c>
      <c r="BU187" s="1162">
        <v>2</v>
      </c>
      <c r="BV187" s="1162">
        <v>2</v>
      </c>
      <c r="BW187" s="1162">
        <v>2</v>
      </c>
      <c r="BX187" s="1162">
        <v>2</v>
      </c>
      <c r="BY187" s="1162">
        <v>0</v>
      </c>
      <c r="BZ187" s="1162">
        <v>1</v>
      </c>
      <c r="CA187" s="1162">
        <v>2</v>
      </c>
      <c r="CB187" s="1162">
        <v>2</v>
      </c>
      <c r="CC187" s="1148">
        <v>1</v>
      </c>
      <c r="CD187" s="1148">
        <v>2</v>
      </c>
      <c r="CE187" s="1148">
        <v>0</v>
      </c>
      <c r="CF187" s="1148">
        <v>2</v>
      </c>
    </row>
    <row r="188" spans="1:84" s="1148" customFormat="1" x14ac:dyDescent="0.3">
      <c r="A188" s="1153">
        <v>538</v>
      </c>
      <c r="B188" s="1165">
        <v>538</v>
      </c>
      <c r="C188" s="1166">
        <v>538</v>
      </c>
      <c r="D188" s="1167" t="s">
        <v>848</v>
      </c>
      <c r="E188" s="1160" t="s">
        <v>505</v>
      </c>
      <c r="F188" s="1161">
        <v>0</v>
      </c>
      <c r="G188" s="1161">
        <v>2</v>
      </c>
      <c r="H188" s="1161">
        <v>2</v>
      </c>
      <c r="I188" s="1161">
        <v>2</v>
      </c>
      <c r="J188" s="1161">
        <v>2</v>
      </c>
      <c r="K188" s="1161">
        <v>2</v>
      </c>
      <c r="L188" s="1162">
        <v>1</v>
      </c>
      <c r="M188" s="1162">
        <v>2</v>
      </c>
      <c r="N188" s="1162">
        <v>2</v>
      </c>
      <c r="O188" s="1162">
        <v>2</v>
      </c>
      <c r="P188" s="1162">
        <v>2</v>
      </c>
      <c r="Q188" s="1162">
        <v>1</v>
      </c>
      <c r="R188" s="1162">
        <v>2</v>
      </c>
      <c r="S188" s="1162">
        <v>1</v>
      </c>
      <c r="T188" s="1162">
        <v>0</v>
      </c>
      <c r="U188" s="1162">
        <v>2</v>
      </c>
      <c r="V188" s="1162">
        <v>2</v>
      </c>
      <c r="W188" s="1162">
        <v>2</v>
      </c>
      <c r="X188" s="1162">
        <v>2</v>
      </c>
      <c r="Y188" s="1162">
        <v>2</v>
      </c>
      <c r="Z188" s="1162">
        <v>2</v>
      </c>
      <c r="AA188" s="1162">
        <v>2</v>
      </c>
      <c r="AB188" s="1162">
        <v>2</v>
      </c>
      <c r="AC188" s="1162">
        <v>1</v>
      </c>
      <c r="AD188" s="1162">
        <v>2</v>
      </c>
      <c r="AE188" s="1162">
        <v>2</v>
      </c>
      <c r="AF188" s="1162">
        <v>1</v>
      </c>
      <c r="AG188" s="1162">
        <v>1</v>
      </c>
      <c r="AH188" s="1162">
        <v>2</v>
      </c>
      <c r="AI188" s="1162">
        <v>2</v>
      </c>
      <c r="AJ188" s="1162">
        <v>2</v>
      </c>
      <c r="AK188" s="1162">
        <v>2</v>
      </c>
      <c r="AL188" s="1162">
        <v>2</v>
      </c>
      <c r="AM188" s="1162">
        <v>2</v>
      </c>
      <c r="AN188" s="1162">
        <v>0</v>
      </c>
      <c r="AO188" s="1162">
        <v>1</v>
      </c>
      <c r="AP188" s="1162">
        <v>0</v>
      </c>
      <c r="AQ188" s="1162">
        <v>2</v>
      </c>
      <c r="AR188" s="1162">
        <v>2</v>
      </c>
      <c r="AS188" s="1162">
        <v>2</v>
      </c>
      <c r="AT188" s="1162">
        <v>2</v>
      </c>
      <c r="AU188" s="1162">
        <v>2</v>
      </c>
      <c r="AV188" s="1162">
        <v>2</v>
      </c>
      <c r="AW188" s="1162">
        <v>0</v>
      </c>
      <c r="AX188" s="1162">
        <v>2</v>
      </c>
      <c r="AY188" s="1162">
        <v>2</v>
      </c>
      <c r="AZ188" s="1162">
        <v>2</v>
      </c>
      <c r="BA188" s="1162">
        <v>2</v>
      </c>
      <c r="BB188" s="1162">
        <v>2</v>
      </c>
      <c r="BC188" s="1162">
        <v>2</v>
      </c>
      <c r="BD188" s="1162">
        <v>2</v>
      </c>
      <c r="BE188" s="1162">
        <v>2</v>
      </c>
      <c r="BF188" s="1162">
        <v>2</v>
      </c>
      <c r="BG188" s="1162">
        <v>2</v>
      </c>
      <c r="BH188" s="1162">
        <v>2</v>
      </c>
      <c r="BI188" s="1162">
        <v>2</v>
      </c>
      <c r="BJ188" s="1162">
        <v>2</v>
      </c>
      <c r="BK188" s="1162">
        <v>1</v>
      </c>
      <c r="BL188" s="1162">
        <v>2</v>
      </c>
      <c r="BM188" s="1162">
        <v>2</v>
      </c>
      <c r="BN188" s="1162">
        <v>0</v>
      </c>
      <c r="BO188" s="1162">
        <v>1</v>
      </c>
      <c r="BP188" s="1162">
        <v>2</v>
      </c>
      <c r="BQ188" s="1162">
        <v>2</v>
      </c>
      <c r="BR188" s="1162">
        <v>2</v>
      </c>
      <c r="BS188" s="1162">
        <v>2</v>
      </c>
      <c r="BT188" s="1162">
        <v>2</v>
      </c>
      <c r="BU188" s="1162">
        <v>2</v>
      </c>
      <c r="BV188" s="1162">
        <v>2</v>
      </c>
      <c r="BW188" s="1162">
        <v>1</v>
      </c>
      <c r="BX188" s="1162">
        <v>2</v>
      </c>
      <c r="BY188" s="1162">
        <v>0</v>
      </c>
      <c r="BZ188" s="1162">
        <v>1</v>
      </c>
      <c r="CA188" s="1162">
        <v>2</v>
      </c>
      <c r="CB188" s="1162">
        <v>2</v>
      </c>
      <c r="CC188" s="1148">
        <v>2</v>
      </c>
      <c r="CD188" s="1148">
        <v>2</v>
      </c>
      <c r="CE188" s="1148">
        <v>0</v>
      </c>
      <c r="CF188" s="1148">
        <v>2</v>
      </c>
    </row>
    <row r="189" spans="1:84" s="1148" customFormat="1" x14ac:dyDescent="0.3">
      <c r="A189" s="1153">
        <v>539</v>
      </c>
      <c r="B189" s="1165"/>
      <c r="C189" s="1168">
        <v>539</v>
      </c>
      <c r="D189" s="1167" t="s">
        <v>849</v>
      </c>
      <c r="E189" s="1155" t="s">
        <v>506</v>
      </c>
      <c r="F189" s="1156"/>
      <c r="G189" s="1156"/>
      <c r="H189" s="1156"/>
      <c r="I189" s="1156"/>
      <c r="J189" s="1156"/>
      <c r="K189" s="1156"/>
      <c r="L189" s="1157"/>
      <c r="M189" s="1157"/>
      <c r="N189" s="1157"/>
      <c r="O189" s="1157"/>
      <c r="P189" s="1157"/>
      <c r="Q189" s="1157"/>
      <c r="R189" s="1157"/>
      <c r="S189" s="1157"/>
      <c r="T189" s="1157"/>
      <c r="U189" s="1157"/>
      <c r="V189" s="1157"/>
      <c r="W189" s="1157"/>
      <c r="X189" s="1157"/>
      <c r="Y189" s="1157"/>
      <c r="Z189" s="1157"/>
      <c r="AA189" s="1157"/>
      <c r="AB189" s="1157"/>
      <c r="AC189" s="1157"/>
      <c r="AD189" s="1157"/>
      <c r="AE189" s="1157"/>
      <c r="AF189" s="1157"/>
      <c r="AG189" s="1157"/>
      <c r="AH189" s="1157"/>
      <c r="AI189" s="1157"/>
      <c r="AJ189" s="1157"/>
      <c r="AK189" s="1157"/>
      <c r="AL189" s="1157"/>
      <c r="AM189" s="1157"/>
      <c r="AN189" s="1157"/>
      <c r="AO189" s="1157"/>
      <c r="AP189" s="1157"/>
      <c r="AQ189" s="1157"/>
      <c r="AR189" s="1157"/>
      <c r="AS189" s="1157"/>
      <c r="AT189" s="1157"/>
      <c r="AU189" s="1157"/>
      <c r="AV189" s="1157"/>
      <c r="AW189" s="1157"/>
      <c r="AX189" s="1157"/>
      <c r="AY189" s="1157"/>
      <c r="AZ189" s="1157"/>
      <c r="BA189" s="1157"/>
      <c r="BB189" s="1157"/>
      <c r="BC189" s="1157"/>
      <c r="BD189" s="1157"/>
      <c r="BE189" s="1157"/>
      <c r="BF189" s="1157"/>
      <c r="BG189" s="1157"/>
      <c r="BH189" s="1157"/>
      <c r="BI189" s="1157"/>
      <c r="BJ189" s="1157"/>
      <c r="BK189" s="1157"/>
      <c r="BL189" s="1157"/>
      <c r="BM189" s="1157"/>
      <c r="BN189" s="1157"/>
      <c r="BO189" s="1157"/>
      <c r="BP189" s="1157"/>
      <c r="BQ189" s="1157"/>
      <c r="BR189" s="1157"/>
      <c r="BS189" s="1157"/>
      <c r="BT189" s="1157"/>
      <c r="BU189" s="1157"/>
      <c r="BV189" s="1157"/>
      <c r="BW189" s="1157"/>
      <c r="BX189" s="1157"/>
      <c r="BY189" s="1157"/>
      <c r="BZ189" s="1157"/>
      <c r="CA189" s="1157"/>
      <c r="CB189" s="1157"/>
    </row>
    <row r="190" spans="1:84" s="1148" customFormat="1" x14ac:dyDescent="0.3">
      <c r="A190" s="1153">
        <v>540</v>
      </c>
      <c r="B190" s="1165">
        <v>540</v>
      </c>
      <c r="C190" s="1166">
        <v>540</v>
      </c>
      <c r="D190" s="1167" t="s">
        <v>850</v>
      </c>
      <c r="E190" s="1155" t="s">
        <v>507</v>
      </c>
      <c r="F190" s="1156">
        <v>0</v>
      </c>
      <c r="G190" s="1156">
        <v>0</v>
      </c>
      <c r="H190" s="1156">
        <v>275610</v>
      </c>
      <c r="I190" s="1156">
        <v>0</v>
      </c>
      <c r="J190" s="1156">
        <v>1292825</v>
      </c>
      <c r="K190" s="1156">
        <v>0</v>
      </c>
      <c r="L190" s="1157">
        <v>0</v>
      </c>
      <c r="M190" s="1157">
        <v>0</v>
      </c>
      <c r="N190" s="1157">
        <v>0</v>
      </c>
      <c r="O190" s="1157">
        <v>466045</v>
      </c>
      <c r="P190" s="1157">
        <v>12725</v>
      </c>
      <c r="Q190" s="1157">
        <v>250000</v>
      </c>
      <c r="R190" s="1157">
        <v>0</v>
      </c>
      <c r="S190" s="1157">
        <v>2514771</v>
      </c>
      <c r="T190" s="1157">
        <v>0</v>
      </c>
      <c r="U190" s="1157">
        <v>0</v>
      </c>
      <c r="V190" s="1157">
        <v>0</v>
      </c>
      <c r="W190" s="1157">
        <v>915277</v>
      </c>
      <c r="X190" s="1157">
        <v>0</v>
      </c>
      <c r="Y190" s="1157">
        <v>1367200</v>
      </c>
      <c r="Z190" s="1157">
        <v>0</v>
      </c>
      <c r="AA190" s="1157">
        <v>1220244</v>
      </c>
      <c r="AB190" s="1157">
        <v>331061</v>
      </c>
      <c r="AC190" s="1157">
        <v>962449</v>
      </c>
      <c r="AD190" s="1157">
        <v>0</v>
      </c>
      <c r="AE190" s="1157">
        <v>20000</v>
      </c>
      <c r="AF190" s="1157">
        <v>0</v>
      </c>
      <c r="AG190" s="1157">
        <v>360215</v>
      </c>
      <c r="AH190" s="1157">
        <v>0</v>
      </c>
      <c r="AI190" s="1157">
        <v>73537</v>
      </c>
      <c r="AJ190" s="1157">
        <v>0</v>
      </c>
      <c r="AK190" s="1157">
        <v>0</v>
      </c>
      <c r="AL190" s="1157">
        <v>255660</v>
      </c>
      <c r="AM190" s="1157">
        <v>0</v>
      </c>
      <c r="AN190" s="1157">
        <v>0</v>
      </c>
      <c r="AO190" s="1157">
        <v>764150</v>
      </c>
      <c r="AP190" s="1157">
        <v>0</v>
      </c>
      <c r="AQ190" s="1157">
        <v>0</v>
      </c>
      <c r="AR190" s="1157">
        <v>39091</v>
      </c>
      <c r="AS190" s="1157">
        <v>0</v>
      </c>
      <c r="AT190" s="1157">
        <v>0</v>
      </c>
      <c r="AU190" s="1157">
        <v>0</v>
      </c>
      <c r="AV190" s="1157">
        <v>249440</v>
      </c>
      <c r="AW190" s="1157">
        <v>0</v>
      </c>
      <c r="AX190" s="1157">
        <v>0</v>
      </c>
      <c r="AY190" s="1157">
        <v>907045</v>
      </c>
      <c r="AZ190" s="1157">
        <v>0</v>
      </c>
      <c r="BA190" s="1157">
        <v>0</v>
      </c>
      <c r="BB190" s="1157">
        <v>0</v>
      </c>
      <c r="BC190" s="1157">
        <v>0</v>
      </c>
      <c r="BD190" s="1157">
        <v>0</v>
      </c>
      <c r="BE190" s="1157">
        <v>0</v>
      </c>
      <c r="BF190" s="1157">
        <v>467380</v>
      </c>
      <c r="BG190" s="1157">
        <v>0</v>
      </c>
      <c r="BH190" s="1157">
        <v>0</v>
      </c>
      <c r="BI190" s="1157">
        <v>0</v>
      </c>
      <c r="BJ190" s="1157">
        <v>2249</v>
      </c>
      <c r="BK190" s="1157">
        <v>148551</v>
      </c>
      <c r="BL190" s="1157">
        <v>5000</v>
      </c>
      <c r="BM190" s="1157">
        <v>0</v>
      </c>
      <c r="BN190" s="1157">
        <v>0</v>
      </c>
      <c r="BO190" s="1157">
        <v>20000</v>
      </c>
      <c r="BP190" s="1157">
        <v>223000</v>
      </c>
      <c r="BQ190" s="1157">
        <v>0</v>
      </c>
      <c r="BR190" s="1157">
        <v>328167</v>
      </c>
      <c r="BS190" s="1157">
        <v>1603467</v>
      </c>
      <c r="BT190" s="1157">
        <v>0</v>
      </c>
      <c r="BU190" s="1157">
        <v>1063150</v>
      </c>
      <c r="BV190" s="1157">
        <v>37649</v>
      </c>
      <c r="BW190" s="1157">
        <v>14425</v>
      </c>
      <c r="BX190" s="1157">
        <v>0</v>
      </c>
      <c r="BY190" s="1157">
        <v>0</v>
      </c>
      <c r="BZ190" s="1157">
        <v>75000</v>
      </c>
      <c r="CA190" s="1157">
        <v>0</v>
      </c>
      <c r="CB190" s="1157">
        <v>26914</v>
      </c>
      <c r="CC190" s="1148">
        <v>0</v>
      </c>
      <c r="CD190" s="1148">
        <v>0</v>
      </c>
      <c r="CE190" s="1148">
        <v>0</v>
      </c>
      <c r="CF190" s="1148">
        <v>0</v>
      </c>
    </row>
    <row r="191" spans="1:84" s="1148" customFormat="1" x14ac:dyDescent="0.3">
      <c r="A191" s="1153">
        <v>541</v>
      </c>
      <c r="B191" s="1165">
        <v>541</v>
      </c>
      <c r="C191" s="1166">
        <v>541</v>
      </c>
      <c r="D191" s="1167" t="s">
        <v>851</v>
      </c>
      <c r="E191" s="1155" t="s">
        <v>508</v>
      </c>
      <c r="F191" s="1156">
        <v>0</v>
      </c>
      <c r="G191" s="1156">
        <v>0</v>
      </c>
      <c r="H191" s="1156">
        <v>46382</v>
      </c>
      <c r="I191" s="1156">
        <v>0</v>
      </c>
      <c r="J191" s="1156">
        <v>0</v>
      </c>
      <c r="K191" s="1156">
        <v>0</v>
      </c>
      <c r="L191" s="1157">
        <v>-8118</v>
      </c>
      <c r="M191" s="1157">
        <v>0</v>
      </c>
      <c r="N191" s="1157">
        <v>0</v>
      </c>
      <c r="O191" s="1157">
        <v>0</v>
      </c>
      <c r="P191" s="1157">
        <v>0</v>
      </c>
      <c r="Q191" s="1157">
        <v>-153666</v>
      </c>
      <c r="R191" s="1157">
        <v>0</v>
      </c>
      <c r="S191" s="1157">
        <v>4256664</v>
      </c>
      <c r="T191" s="1157">
        <v>0</v>
      </c>
      <c r="U191" s="1157">
        <v>0</v>
      </c>
      <c r="V191" s="1157">
        <v>5730067</v>
      </c>
      <c r="W191" s="1157">
        <v>1068711</v>
      </c>
      <c r="X191" s="1157">
        <v>1083363</v>
      </c>
      <c r="Y191" s="1157">
        <v>0</v>
      </c>
      <c r="Z191" s="1157">
        <v>-26105</v>
      </c>
      <c r="AA191" s="1157">
        <v>62022</v>
      </c>
      <c r="AB191" s="1157">
        <v>-38570</v>
      </c>
      <c r="AC191" s="1157">
        <v>1844449</v>
      </c>
      <c r="AD191" s="1157">
        <v>1168914</v>
      </c>
      <c r="AE191" s="1157">
        <v>86570</v>
      </c>
      <c r="AF191" s="1157">
        <v>77007</v>
      </c>
      <c r="AG191" s="1157">
        <v>36784</v>
      </c>
      <c r="AH191" s="1157">
        <v>-17548</v>
      </c>
      <c r="AI191" s="1157">
        <v>0</v>
      </c>
      <c r="AJ191" s="1157">
        <v>143517</v>
      </c>
      <c r="AK191" s="1157">
        <v>2635531</v>
      </c>
      <c r="AL191" s="1157">
        <v>50448</v>
      </c>
      <c r="AM191" s="1157">
        <v>11577</v>
      </c>
      <c r="AN191" s="1157">
        <v>0</v>
      </c>
      <c r="AO191" s="1157">
        <v>-49572</v>
      </c>
      <c r="AP191" s="1157">
        <v>0</v>
      </c>
      <c r="AQ191" s="1157">
        <v>-62756</v>
      </c>
      <c r="AR191" s="1157">
        <v>0</v>
      </c>
      <c r="AS191" s="1157">
        <v>0</v>
      </c>
      <c r="AT191" s="1157">
        <v>680727</v>
      </c>
      <c r="AU191" s="1157">
        <v>0</v>
      </c>
      <c r="AV191" s="1157">
        <v>125615</v>
      </c>
      <c r="AW191" s="1157">
        <v>0</v>
      </c>
      <c r="AX191" s="1157">
        <v>2474595</v>
      </c>
      <c r="AY191" s="1157">
        <v>0</v>
      </c>
      <c r="AZ191" s="1157">
        <v>-52856</v>
      </c>
      <c r="BA191" s="1157">
        <v>-548247</v>
      </c>
      <c r="BB191" s="1157">
        <v>-58119</v>
      </c>
      <c r="BC191" s="1157">
        <v>12024</v>
      </c>
      <c r="BD191" s="1157">
        <v>0</v>
      </c>
      <c r="BE191" s="1157">
        <v>2447</v>
      </c>
      <c r="BF191" s="1157">
        <v>2212111</v>
      </c>
      <c r="BG191" s="1157">
        <v>0</v>
      </c>
      <c r="BH191" s="1157">
        <v>-21252</v>
      </c>
      <c r="BI191" s="1157">
        <v>8404</v>
      </c>
      <c r="BJ191" s="1157">
        <v>0</v>
      </c>
      <c r="BK191" s="1157">
        <v>41816</v>
      </c>
      <c r="BL191" s="1157">
        <v>0</v>
      </c>
      <c r="BM191" s="1157">
        <v>-26002</v>
      </c>
      <c r="BN191" s="1157">
        <v>0</v>
      </c>
      <c r="BO191" s="1157">
        <v>36548</v>
      </c>
      <c r="BP191" s="1157">
        <v>-14721</v>
      </c>
      <c r="BQ191" s="1157">
        <v>33116</v>
      </c>
      <c r="BR191" s="1157">
        <v>151594</v>
      </c>
      <c r="BS191" s="1157">
        <v>0</v>
      </c>
      <c r="BT191" s="1157">
        <v>186704</v>
      </c>
      <c r="BU191" s="1157">
        <v>0</v>
      </c>
      <c r="BV191" s="1157">
        <v>-50995</v>
      </c>
      <c r="BW191" s="1157">
        <v>-86761</v>
      </c>
      <c r="BX191" s="1157">
        <v>0</v>
      </c>
      <c r="BY191" s="1157">
        <v>0</v>
      </c>
      <c r="BZ191" s="1157">
        <v>18503</v>
      </c>
      <c r="CA191" s="1157">
        <v>-5646</v>
      </c>
      <c r="CB191" s="1157">
        <v>77221</v>
      </c>
      <c r="CC191" s="1148">
        <v>13688</v>
      </c>
      <c r="CD191" s="1148">
        <v>73749</v>
      </c>
      <c r="CE191" s="1148">
        <v>0</v>
      </c>
      <c r="CF191" s="1148">
        <v>7352</v>
      </c>
    </row>
    <row r="192" spans="1:84" s="1148" customFormat="1" x14ac:dyDescent="0.3">
      <c r="A192" s="1153">
        <v>542</v>
      </c>
      <c r="B192" s="1165">
        <v>542</v>
      </c>
      <c r="C192" s="1166">
        <v>542</v>
      </c>
      <c r="D192" s="1167" t="s">
        <v>852</v>
      </c>
      <c r="E192" s="1155" t="s">
        <v>509</v>
      </c>
      <c r="F192" s="1156">
        <v>0</v>
      </c>
      <c r="G192" s="1156">
        <v>0</v>
      </c>
      <c r="H192" s="1156">
        <v>0</v>
      </c>
      <c r="I192" s="1156">
        <v>0</v>
      </c>
      <c r="J192" s="1156">
        <v>0</v>
      </c>
      <c r="K192" s="1156">
        <v>0</v>
      </c>
      <c r="L192" s="1157">
        <v>0</v>
      </c>
      <c r="M192" s="1157">
        <v>0</v>
      </c>
      <c r="N192" s="1157">
        <v>0</v>
      </c>
      <c r="O192" s="1157">
        <v>0</v>
      </c>
      <c r="P192" s="1157">
        <v>0</v>
      </c>
      <c r="Q192" s="1157">
        <v>0</v>
      </c>
      <c r="R192" s="1157">
        <v>0</v>
      </c>
      <c r="S192" s="1157">
        <v>350000</v>
      </c>
      <c r="T192" s="1157">
        <v>0</v>
      </c>
      <c r="U192" s="1157">
        <v>0</v>
      </c>
      <c r="V192" s="1157">
        <v>9167446</v>
      </c>
      <c r="W192" s="1157">
        <v>0</v>
      </c>
      <c r="X192" s="1157">
        <v>0</v>
      </c>
      <c r="Y192" s="1157">
        <v>0</v>
      </c>
      <c r="Z192" s="1157">
        <v>0</v>
      </c>
      <c r="AA192" s="1157">
        <v>176183</v>
      </c>
      <c r="AB192" s="1157">
        <v>221877</v>
      </c>
      <c r="AC192" s="1157">
        <v>226044</v>
      </c>
      <c r="AD192" s="1157">
        <v>0</v>
      </c>
      <c r="AE192" s="1157">
        <v>0</v>
      </c>
      <c r="AF192" s="1157">
        <v>0</v>
      </c>
      <c r="AG192" s="1157">
        <v>0</v>
      </c>
      <c r="AH192" s="1157">
        <v>0</v>
      </c>
      <c r="AI192" s="1157">
        <v>0</v>
      </c>
      <c r="AJ192" s="1157">
        <v>0</v>
      </c>
      <c r="AK192" s="1157">
        <v>0</v>
      </c>
      <c r="AL192" s="1157">
        <v>0</v>
      </c>
      <c r="AM192" s="1157">
        <v>0</v>
      </c>
      <c r="AN192" s="1157">
        <v>0</v>
      </c>
      <c r="AO192" s="1157">
        <v>0</v>
      </c>
      <c r="AP192" s="1157">
        <v>0</v>
      </c>
      <c r="AQ192" s="1157">
        <v>0</v>
      </c>
      <c r="AR192" s="1157">
        <v>0</v>
      </c>
      <c r="AS192" s="1157">
        <v>0</v>
      </c>
      <c r="AT192" s="1157">
        <v>0</v>
      </c>
      <c r="AU192" s="1157">
        <v>0</v>
      </c>
      <c r="AV192" s="1157">
        <v>0</v>
      </c>
      <c r="AW192" s="1157">
        <v>0</v>
      </c>
      <c r="AX192" s="1157">
        <v>84000</v>
      </c>
      <c r="AY192" s="1157">
        <v>0</v>
      </c>
      <c r="AZ192" s="1157">
        <v>0</v>
      </c>
      <c r="BA192" s="1157">
        <v>0</v>
      </c>
      <c r="BB192" s="1157">
        <v>0</v>
      </c>
      <c r="BC192" s="1157">
        <v>0</v>
      </c>
      <c r="BD192" s="1157">
        <v>0</v>
      </c>
      <c r="BE192" s="1157">
        <v>0</v>
      </c>
      <c r="BF192" s="1157">
        <v>0</v>
      </c>
      <c r="BG192" s="1157">
        <v>32</v>
      </c>
      <c r="BH192" s="1157">
        <v>0</v>
      </c>
      <c r="BI192" s="1157">
        <v>0</v>
      </c>
      <c r="BJ192" s="1157">
        <v>0</v>
      </c>
      <c r="BK192" s="1157">
        <v>17057</v>
      </c>
      <c r="BL192" s="1157">
        <v>0</v>
      </c>
      <c r="BM192" s="1157">
        <v>0</v>
      </c>
      <c r="BN192" s="1157">
        <v>0</v>
      </c>
      <c r="BO192" s="1157">
        <v>0</v>
      </c>
      <c r="BP192" s="1157">
        <v>141500</v>
      </c>
      <c r="BQ192" s="1157">
        <v>0</v>
      </c>
      <c r="BR192" s="1157">
        <v>180000</v>
      </c>
      <c r="BS192" s="1157">
        <v>0</v>
      </c>
      <c r="BT192" s="1157">
        <v>0</v>
      </c>
      <c r="BU192" s="1157">
        <v>0</v>
      </c>
      <c r="BV192" s="1157">
        <v>0</v>
      </c>
      <c r="BW192" s="1157">
        <v>0</v>
      </c>
      <c r="BX192" s="1157">
        <v>0</v>
      </c>
      <c r="BY192" s="1157">
        <v>0</v>
      </c>
      <c r="BZ192" s="1157">
        <v>0</v>
      </c>
      <c r="CA192" s="1157">
        <v>0</v>
      </c>
      <c r="CB192" s="1157">
        <v>0</v>
      </c>
      <c r="CC192" s="1148">
        <v>0</v>
      </c>
      <c r="CD192" s="1148">
        <v>0</v>
      </c>
      <c r="CE192" s="1148">
        <v>0</v>
      </c>
      <c r="CF192" s="1148">
        <v>0</v>
      </c>
    </row>
    <row r="193" spans="1:84" s="1148" customFormat="1" x14ac:dyDescent="0.3">
      <c r="A193" s="1146">
        <v>543</v>
      </c>
      <c r="B193" s="1165"/>
      <c r="C193" s="1168">
        <v>543</v>
      </c>
      <c r="D193" s="1167" t="s">
        <v>853</v>
      </c>
      <c r="E193" s="1155" t="s">
        <v>510</v>
      </c>
      <c r="F193" s="1156">
        <v>0</v>
      </c>
      <c r="G193" s="1156">
        <v>0</v>
      </c>
      <c r="H193" s="1156">
        <v>0</v>
      </c>
      <c r="I193" s="1156">
        <v>0</v>
      </c>
      <c r="J193" s="1156">
        <v>0</v>
      </c>
      <c r="K193" s="1156">
        <v>0</v>
      </c>
      <c r="L193" s="1157">
        <v>0</v>
      </c>
      <c r="M193" s="1157">
        <v>0</v>
      </c>
      <c r="N193" s="1157">
        <v>0</v>
      </c>
      <c r="O193" s="1157">
        <v>0</v>
      </c>
      <c r="P193" s="1157">
        <v>0</v>
      </c>
      <c r="Q193" s="1157">
        <v>0</v>
      </c>
      <c r="R193" s="1157">
        <v>0</v>
      </c>
      <c r="S193" s="1157">
        <v>0</v>
      </c>
      <c r="T193" s="1157">
        <v>0</v>
      </c>
      <c r="U193" s="1157">
        <v>0</v>
      </c>
      <c r="V193" s="1157">
        <v>0</v>
      </c>
      <c r="W193" s="1157">
        <v>0</v>
      </c>
      <c r="X193" s="1157">
        <v>0</v>
      </c>
      <c r="Y193" s="1157">
        <v>0</v>
      </c>
      <c r="Z193" s="1157">
        <v>0</v>
      </c>
      <c r="AA193" s="1157">
        <v>0</v>
      </c>
      <c r="AB193" s="1157">
        <v>0</v>
      </c>
      <c r="AC193" s="1157">
        <v>0</v>
      </c>
      <c r="AD193" s="1157">
        <v>0</v>
      </c>
      <c r="AE193" s="1157">
        <v>0</v>
      </c>
      <c r="AF193" s="1157">
        <v>0</v>
      </c>
      <c r="AG193" s="1157">
        <v>0</v>
      </c>
      <c r="AH193" s="1157">
        <v>0</v>
      </c>
      <c r="AI193" s="1157">
        <v>0</v>
      </c>
      <c r="AJ193" s="1157">
        <v>0</v>
      </c>
      <c r="AK193" s="1157">
        <v>0</v>
      </c>
      <c r="AL193" s="1157">
        <v>0</v>
      </c>
      <c r="AM193" s="1157">
        <v>0</v>
      </c>
      <c r="AN193" s="1157">
        <v>0</v>
      </c>
      <c r="AO193" s="1157">
        <v>0</v>
      </c>
      <c r="AP193" s="1157">
        <v>0</v>
      </c>
      <c r="AQ193" s="1157">
        <v>0</v>
      </c>
      <c r="AR193" s="1157">
        <v>0</v>
      </c>
      <c r="AS193" s="1157">
        <v>0</v>
      </c>
      <c r="AT193" s="1157">
        <v>0</v>
      </c>
      <c r="AU193" s="1157">
        <v>0</v>
      </c>
      <c r="AV193" s="1157">
        <v>0</v>
      </c>
      <c r="AW193" s="1157">
        <v>0</v>
      </c>
      <c r="AX193" s="1157">
        <v>0</v>
      </c>
      <c r="AY193" s="1157">
        <v>0</v>
      </c>
      <c r="AZ193" s="1157">
        <v>0</v>
      </c>
      <c r="BA193" s="1157">
        <v>0</v>
      </c>
      <c r="BB193" s="1157">
        <v>0</v>
      </c>
      <c r="BC193" s="1157">
        <v>0</v>
      </c>
      <c r="BD193" s="1157">
        <v>0</v>
      </c>
      <c r="BE193" s="1157">
        <v>0</v>
      </c>
      <c r="BF193" s="1157">
        <v>0</v>
      </c>
      <c r="BG193" s="1157">
        <v>0</v>
      </c>
      <c r="BH193" s="1157">
        <v>0</v>
      </c>
      <c r="BI193" s="1157">
        <v>0</v>
      </c>
      <c r="BJ193" s="1157">
        <v>0</v>
      </c>
      <c r="BK193" s="1157">
        <v>0</v>
      </c>
      <c r="BL193" s="1157">
        <v>0</v>
      </c>
      <c r="BM193" s="1157">
        <v>0</v>
      </c>
      <c r="BN193" s="1157">
        <v>0</v>
      </c>
      <c r="BO193" s="1157">
        <v>0</v>
      </c>
      <c r="BP193" s="1157">
        <v>0</v>
      </c>
      <c r="BQ193" s="1157">
        <v>0</v>
      </c>
      <c r="BR193" s="1157">
        <v>0</v>
      </c>
      <c r="BS193" s="1157">
        <v>0</v>
      </c>
      <c r="BT193" s="1157">
        <v>0</v>
      </c>
      <c r="BU193" s="1157">
        <v>0</v>
      </c>
      <c r="BV193" s="1157">
        <v>0</v>
      </c>
      <c r="BW193" s="1157">
        <v>0</v>
      </c>
      <c r="BX193" s="1157">
        <v>0</v>
      </c>
      <c r="BY193" s="1157">
        <v>0</v>
      </c>
      <c r="BZ193" s="1157">
        <v>0</v>
      </c>
      <c r="CA193" s="1157">
        <v>0</v>
      </c>
      <c r="CB193" s="1157">
        <v>0</v>
      </c>
      <c r="CC193" s="1148">
        <v>0</v>
      </c>
      <c r="CD193" s="1148">
        <v>0</v>
      </c>
      <c r="CE193" s="1148">
        <v>0</v>
      </c>
      <c r="CF193" s="1148">
        <v>0</v>
      </c>
    </row>
    <row r="194" spans="1:84" s="1148" customFormat="1" x14ac:dyDescent="0.3">
      <c r="A194" s="1153">
        <v>544</v>
      </c>
      <c r="B194" s="1165">
        <v>544</v>
      </c>
      <c r="C194" s="1168">
        <v>544</v>
      </c>
      <c r="D194" s="1167" t="s">
        <v>53</v>
      </c>
      <c r="E194" s="1160" t="s">
        <v>511</v>
      </c>
      <c r="F194" s="1161">
        <v>0</v>
      </c>
      <c r="G194" s="1161">
        <v>0</v>
      </c>
      <c r="H194" s="1161">
        <v>0</v>
      </c>
      <c r="I194" s="1161">
        <v>0.02</v>
      </c>
      <c r="J194" s="1161">
        <v>0</v>
      </c>
      <c r="K194" s="1161">
        <v>0.01</v>
      </c>
      <c r="L194" s="1162">
        <v>0</v>
      </c>
      <c r="M194" s="1162">
        <v>0</v>
      </c>
      <c r="N194" s="1162">
        <v>0</v>
      </c>
      <c r="O194" s="1162">
        <v>0</v>
      </c>
      <c r="P194" s="1162">
        <v>0</v>
      </c>
      <c r="Q194" s="1162">
        <v>0</v>
      </c>
      <c r="R194" s="1162">
        <v>0</v>
      </c>
      <c r="S194" s="1162">
        <v>0</v>
      </c>
      <c r="T194" s="1162">
        <v>0</v>
      </c>
      <c r="U194" s="1162">
        <v>0</v>
      </c>
      <c r="V194" s="1162">
        <v>0</v>
      </c>
      <c r="W194" s="1162">
        <v>0</v>
      </c>
      <c r="X194" s="1162">
        <v>0</v>
      </c>
      <c r="Y194" s="1162">
        <v>0</v>
      </c>
      <c r="Z194" s="1162">
        <v>0</v>
      </c>
      <c r="AA194" s="1162">
        <v>0</v>
      </c>
      <c r="AB194" s="1162">
        <v>0</v>
      </c>
      <c r="AC194" s="1162">
        <v>0</v>
      </c>
      <c r="AD194" s="1162">
        <v>0</v>
      </c>
      <c r="AE194" s="1162">
        <v>0</v>
      </c>
      <c r="AF194" s="1162">
        <v>0</v>
      </c>
      <c r="AG194" s="1162">
        <v>0</v>
      </c>
      <c r="AH194" s="1162">
        <v>0.01</v>
      </c>
      <c r="AI194" s="1162">
        <v>0</v>
      </c>
      <c r="AJ194" s="1162">
        <v>0</v>
      </c>
      <c r="AK194" s="1162">
        <v>0</v>
      </c>
      <c r="AL194" s="1162">
        <v>0</v>
      </c>
      <c r="AM194" s="1162">
        <v>0</v>
      </c>
      <c r="AN194" s="1162">
        <v>0</v>
      </c>
      <c r="AO194" s="1162">
        <v>0</v>
      </c>
      <c r="AP194" s="1162">
        <v>0</v>
      </c>
      <c r="AQ194" s="1162">
        <v>0</v>
      </c>
      <c r="AR194" s="1162">
        <v>0</v>
      </c>
      <c r="AS194" s="1162">
        <v>7.0000000000000007E-2</v>
      </c>
      <c r="AT194" s="1162">
        <v>0</v>
      </c>
      <c r="AU194" s="1162">
        <v>0</v>
      </c>
      <c r="AV194" s="1162">
        <v>0</v>
      </c>
      <c r="AW194" s="1162">
        <v>0</v>
      </c>
      <c r="AX194" s="1162">
        <v>0</v>
      </c>
      <c r="AY194" s="1162">
        <v>0</v>
      </c>
      <c r="AZ194" s="1162">
        <v>0</v>
      </c>
      <c r="BA194" s="1162">
        <v>0</v>
      </c>
      <c r="BB194" s="1162">
        <v>0</v>
      </c>
      <c r="BC194" s="1162">
        <v>0</v>
      </c>
      <c r="BD194" s="1162">
        <v>0</v>
      </c>
      <c r="BE194" s="1162">
        <v>0</v>
      </c>
      <c r="BF194" s="1162">
        <v>0</v>
      </c>
      <c r="BG194" s="1162">
        <v>0</v>
      </c>
      <c r="BH194" s="1162">
        <v>0</v>
      </c>
      <c r="BI194" s="1162">
        <v>0</v>
      </c>
      <c r="BJ194" s="1162">
        <v>0</v>
      </c>
      <c r="BK194" s="1162">
        <v>0</v>
      </c>
      <c r="BL194" s="1162">
        <v>0</v>
      </c>
      <c r="BM194" s="1162">
        <v>0</v>
      </c>
      <c r="BN194" s="1162">
        <v>0</v>
      </c>
      <c r="BO194" s="1162">
        <v>0</v>
      </c>
      <c r="BP194" s="1162">
        <v>0</v>
      </c>
      <c r="BQ194" s="1162">
        <v>0</v>
      </c>
      <c r="BR194" s="1162">
        <v>0</v>
      </c>
      <c r="BS194" s="1162">
        <v>0.01</v>
      </c>
      <c r="BT194" s="1162">
        <v>0</v>
      </c>
      <c r="BU194" s="1162">
        <v>0</v>
      </c>
      <c r="BV194" s="1162">
        <v>0</v>
      </c>
      <c r="BW194" s="1162">
        <v>0</v>
      </c>
      <c r="BX194" s="1162">
        <v>0</v>
      </c>
      <c r="BY194" s="1162">
        <v>0</v>
      </c>
      <c r="BZ194" s="1162">
        <v>0</v>
      </c>
      <c r="CA194" s="1162">
        <v>0</v>
      </c>
      <c r="CB194" s="1162">
        <v>0</v>
      </c>
      <c r="CC194" s="1148">
        <v>0</v>
      </c>
      <c r="CD194" s="1148">
        <v>0</v>
      </c>
      <c r="CE194" s="1148">
        <v>0</v>
      </c>
      <c r="CF194" s="1148">
        <v>0</v>
      </c>
    </row>
    <row r="195" spans="1:84" s="1148" customFormat="1" x14ac:dyDescent="0.3">
      <c r="A195" s="1153">
        <v>545</v>
      </c>
      <c r="B195" s="1165">
        <v>545</v>
      </c>
      <c r="C195" s="1168">
        <v>545</v>
      </c>
      <c r="D195" s="1167" t="s">
        <v>54</v>
      </c>
      <c r="E195" s="1160" t="s">
        <v>512</v>
      </c>
      <c r="F195" s="1161">
        <v>0</v>
      </c>
      <c r="G195" s="1161">
        <v>0</v>
      </c>
      <c r="H195" s="1161">
        <v>0</v>
      </c>
      <c r="I195" s="1161">
        <v>0</v>
      </c>
      <c r="J195" s="1161">
        <v>0</v>
      </c>
      <c r="K195" s="1161">
        <v>0</v>
      </c>
      <c r="L195" s="1162">
        <v>0.1</v>
      </c>
      <c r="M195" s="1162">
        <v>0</v>
      </c>
      <c r="N195" s="1162">
        <v>0</v>
      </c>
      <c r="O195" s="1162">
        <v>0</v>
      </c>
      <c r="P195" s="1162">
        <v>0</v>
      </c>
      <c r="Q195" s="1162">
        <v>0</v>
      </c>
      <c r="R195" s="1162">
        <v>0</v>
      </c>
      <c r="S195" s="1162">
        <v>0</v>
      </c>
      <c r="T195" s="1162">
        <v>0</v>
      </c>
      <c r="U195" s="1162">
        <v>0</v>
      </c>
      <c r="V195" s="1162">
        <v>0</v>
      </c>
      <c r="W195" s="1162">
        <v>0</v>
      </c>
      <c r="X195" s="1162">
        <v>0</v>
      </c>
      <c r="Y195" s="1162">
        <v>0</v>
      </c>
      <c r="Z195" s="1162">
        <v>0</v>
      </c>
      <c r="AA195" s="1162">
        <v>0</v>
      </c>
      <c r="AB195" s="1162">
        <v>0</v>
      </c>
      <c r="AC195" s="1162">
        <v>0</v>
      </c>
      <c r="AD195" s="1162">
        <v>0</v>
      </c>
      <c r="AE195" s="1162">
        <v>0</v>
      </c>
      <c r="AF195" s="1162">
        <v>0</v>
      </c>
      <c r="AG195" s="1162">
        <v>0</v>
      </c>
      <c r="AH195" s="1162">
        <v>0</v>
      </c>
      <c r="AI195" s="1162">
        <v>0</v>
      </c>
      <c r="AJ195" s="1162">
        <v>0</v>
      </c>
      <c r="AK195" s="1162">
        <v>0</v>
      </c>
      <c r="AL195" s="1162">
        <v>0</v>
      </c>
      <c r="AM195" s="1162">
        <v>0</v>
      </c>
      <c r="AN195" s="1162">
        <v>0</v>
      </c>
      <c r="AO195" s="1162">
        <v>0</v>
      </c>
      <c r="AP195" s="1162">
        <v>0</v>
      </c>
      <c r="AQ195" s="1162">
        <v>0</v>
      </c>
      <c r="AR195" s="1162">
        <v>0</v>
      </c>
      <c r="AS195" s="1162">
        <v>0</v>
      </c>
      <c r="AT195" s="1162">
        <v>0</v>
      </c>
      <c r="AU195" s="1162">
        <v>0</v>
      </c>
      <c r="AV195" s="1162">
        <v>0</v>
      </c>
      <c r="AW195" s="1162">
        <v>0</v>
      </c>
      <c r="AX195" s="1162">
        <v>0</v>
      </c>
      <c r="AY195" s="1162">
        <v>0</v>
      </c>
      <c r="AZ195" s="1162">
        <v>0</v>
      </c>
      <c r="BA195" s="1162">
        <v>0</v>
      </c>
      <c r="BB195" s="1162">
        <v>0</v>
      </c>
      <c r="BC195" s="1162">
        <v>0</v>
      </c>
      <c r="BD195" s="1162">
        <v>0</v>
      </c>
      <c r="BE195" s="1162">
        <v>0</v>
      </c>
      <c r="BF195" s="1162">
        <v>0</v>
      </c>
      <c r="BG195" s="1162">
        <v>0</v>
      </c>
      <c r="BH195" s="1162">
        <v>0</v>
      </c>
      <c r="BI195" s="1162">
        <v>0</v>
      </c>
      <c r="BJ195" s="1162">
        <v>0</v>
      </c>
      <c r="BK195" s="1162">
        <v>0</v>
      </c>
      <c r="BL195" s="1162">
        <v>0</v>
      </c>
      <c r="BM195" s="1162">
        <v>0</v>
      </c>
      <c r="BN195" s="1162">
        <v>0</v>
      </c>
      <c r="BO195" s="1162">
        <v>0</v>
      </c>
      <c r="BP195" s="1162">
        <v>1</v>
      </c>
      <c r="BQ195" s="1162">
        <v>0</v>
      </c>
      <c r="BR195" s="1162">
        <v>0.01</v>
      </c>
      <c r="BS195" s="1162">
        <v>0</v>
      </c>
      <c r="BT195" s="1162">
        <v>0</v>
      </c>
      <c r="BU195" s="1162">
        <v>0</v>
      </c>
      <c r="BV195" s="1162">
        <v>0</v>
      </c>
      <c r="BW195" s="1162">
        <v>0</v>
      </c>
      <c r="BX195" s="1162">
        <v>0</v>
      </c>
      <c r="BY195" s="1162">
        <v>0</v>
      </c>
      <c r="BZ195" s="1162">
        <v>0.03</v>
      </c>
      <c r="CA195" s="1162">
        <v>0</v>
      </c>
      <c r="CB195" s="1162">
        <v>0</v>
      </c>
      <c r="CC195" s="1148">
        <v>0</v>
      </c>
      <c r="CD195" s="1148">
        <v>0</v>
      </c>
      <c r="CE195" s="1148">
        <v>0</v>
      </c>
      <c r="CF195" s="1148">
        <v>0</v>
      </c>
    </row>
    <row r="196" spans="1:84" s="1148" customFormat="1" x14ac:dyDescent="0.3">
      <c r="A196" s="1146">
        <v>546</v>
      </c>
      <c r="B196" s="1165"/>
      <c r="C196" s="1168">
        <v>546</v>
      </c>
      <c r="D196" s="1167" t="s">
        <v>854</v>
      </c>
      <c r="E196" s="1155" t="s">
        <v>513</v>
      </c>
      <c r="F196" s="1156"/>
      <c r="G196" s="1156"/>
      <c r="H196" s="1156"/>
      <c r="I196" s="1156"/>
      <c r="J196" s="1156"/>
      <c r="K196" s="1156"/>
      <c r="L196" s="1157"/>
      <c r="M196" s="1157"/>
      <c r="N196" s="1157"/>
      <c r="O196" s="1157"/>
      <c r="P196" s="1157"/>
      <c r="Q196" s="1157"/>
      <c r="R196" s="1157"/>
      <c r="S196" s="1157"/>
      <c r="T196" s="1157"/>
      <c r="U196" s="1157"/>
      <c r="V196" s="1157"/>
      <c r="W196" s="1157"/>
      <c r="X196" s="1157"/>
      <c r="Y196" s="1157"/>
      <c r="Z196" s="1157"/>
      <c r="AA196" s="1157"/>
      <c r="AB196" s="1157"/>
      <c r="AC196" s="1157"/>
      <c r="AD196" s="1157"/>
      <c r="AE196" s="1157"/>
      <c r="AF196" s="1157"/>
      <c r="AG196" s="1157"/>
      <c r="AH196" s="1157"/>
      <c r="AI196" s="1157"/>
      <c r="AJ196" s="1157"/>
      <c r="AK196" s="1157"/>
      <c r="AL196" s="1157"/>
      <c r="AM196" s="1157"/>
      <c r="AN196" s="1157"/>
      <c r="AO196" s="1157"/>
      <c r="AP196" s="1157"/>
      <c r="AQ196" s="1157"/>
      <c r="AR196" s="1157"/>
      <c r="AS196" s="1157"/>
      <c r="AT196" s="1157"/>
      <c r="AU196" s="1157"/>
      <c r="AV196" s="1157"/>
      <c r="AW196" s="1157"/>
      <c r="AX196" s="1157"/>
      <c r="AY196" s="1157"/>
      <c r="AZ196" s="1157"/>
      <c r="BA196" s="1157"/>
      <c r="BB196" s="1157"/>
      <c r="BC196" s="1157"/>
      <c r="BD196" s="1157"/>
      <c r="BE196" s="1157"/>
      <c r="BF196" s="1157"/>
      <c r="BG196" s="1157"/>
      <c r="BH196" s="1157"/>
      <c r="BI196" s="1157"/>
      <c r="BJ196" s="1157"/>
      <c r="BK196" s="1157"/>
      <c r="BL196" s="1157"/>
      <c r="BM196" s="1157"/>
      <c r="BN196" s="1157"/>
      <c r="BO196" s="1157"/>
      <c r="BP196" s="1157"/>
      <c r="BQ196" s="1157"/>
      <c r="BR196" s="1157"/>
      <c r="BS196" s="1157"/>
      <c r="BT196" s="1157"/>
      <c r="BU196" s="1157"/>
      <c r="BV196" s="1157"/>
      <c r="BW196" s="1157"/>
      <c r="BX196" s="1157"/>
      <c r="BY196" s="1157"/>
      <c r="BZ196" s="1157"/>
      <c r="CA196" s="1157"/>
      <c r="CB196" s="1157"/>
    </row>
    <row r="197" spans="1:84" s="1148" customFormat="1" x14ac:dyDescent="0.3">
      <c r="A197" s="1153">
        <v>547</v>
      </c>
      <c r="B197" s="1165">
        <v>547</v>
      </c>
      <c r="C197" s="1168">
        <v>547</v>
      </c>
      <c r="D197" s="1167" t="s">
        <v>860</v>
      </c>
      <c r="E197" s="1155" t="s">
        <v>514</v>
      </c>
      <c r="F197" s="1156">
        <v>0</v>
      </c>
      <c r="G197" s="1156">
        <v>2</v>
      </c>
      <c r="H197" s="1156">
        <v>2</v>
      </c>
      <c r="I197" s="1156">
        <v>2</v>
      </c>
      <c r="J197" s="1156">
        <v>2</v>
      </c>
      <c r="K197" s="1156">
        <v>2</v>
      </c>
      <c r="L197" s="1157">
        <v>2</v>
      </c>
      <c r="M197" s="1157">
        <v>2</v>
      </c>
      <c r="N197" s="1157">
        <v>2</v>
      </c>
      <c r="O197" s="1157">
        <v>3</v>
      </c>
      <c r="P197" s="1157">
        <v>2</v>
      </c>
      <c r="Q197" s="1157">
        <v>3</v>
      </c>
      <c r="R197" s="1157">
        <v>2</v>
      </c>
      <c r="S197" s="1157">
        <v>3</v>
      </c>
      <c r="T197" s="1157">
        <v>0</v>
      </c>
      <c r="U197" s="1157">
        <v>2</v>
      </c>
      <c r="V197" s="1157">
        <v>3</v>
      </c>
      <c r="W197" s="1157">
        <v>3</v>
      </c>
      <c r="X197" s="1157">
        <v>3</v>
      </c>
      <c r="Y197" s="1157">
        <v>3</v>
      </c>
      <c r="Z197" s="1157">
        <v>2</v>
      </c>
      <c r="AA197" s="1157">
        <v>2</v>
      </c>
      <c r="AB197" s="1157">
        <v>2</v>
      </c>
      <c r="AC197" s="1157">
        <v>3</v>
      </c>
      <c r="AD197" s="1157">
        <v>2</v>
      </c>
      <c r="AE197" s="1157">
        <v>3</v>
      </c>
      <c r="AF197" s="1157">
        <v>2</v>
      </c>
      <c r="AG197" s="1157">
        <v>2</v>
      </c>
      <c r="AH197" s="1157">
        <v>3</v>
      </c>
      <c r="AI197" s="1157">
        <v>3</v>
      </c>
      <c r="AJ197" s="1157">
        <v>2</v>
      </c>
      <c r="AK197" s="1157">
        <v>3</v>
      </c>
      <c r="AL197" s="1157">
        <v>2</v>
      </c>
      <c r="AM197" s="1157">
        <v>2</v>
      </c>
      <c r="AN197" s="1157">
        <v>0</v>
      </c>
      <c r="AO197" s="1157">
        <v>3</v>
      </c>
      <c r="AP197" s="1157">
        <v>0</v>
      </c>
      <c r="AQ197" s="1157">
        <v>2</v>
      </c>
      <c r="AR197" s="1157">
        <v>2</v>
      </c>
      <c r="AS197" s="1157">
        <v>2</v>
      </c>
      <c r="AT197" s="1157">
        <v>3</v>
      </c>
      <c r="AU197" s="1157">
        <v>2</v>
      </c>
      <c r="AV197" s="1157">
        <v>3</v>
      </c>
      <c r="AW197" s="1157">
        <v>0</v>
      </c>
      <c r="AX197" s="1157">
        <v>3</v>
      </c>
      <c r="AY197" s="1157">
        <v>2</v>
      </c>
      <c r="AZ197" s="1157">
        <v>2</v>
      </c>
      <c r="BA197" s="1157">
        <v>2</v>
      </c>
      <c r="BB197" s="1157">
        <v>2</v>
      </c>
      <c r="BC197" s="1157">
        <v>2</v>
      </c>
      <c r="BD197" s="1157">
        <v>2</v>
      </c>
      <c r="BE197" s="1157">
        <v>2</v>
      </c>
      <c r="BF197" s="1157">
        <v>3</v>
      </c>
      <c r="BG197" s="1157">
        <v>2</v>
      </c>
      <c r="BH197" s="1157">
        <v>2</v>
      </c>
      <c r="BI197" s="1157">
        <v>2</v>
      </c>
      <c r="BJ197" s="1157">
        <v>2</v>
      </c>
      <c r="BK197" s="1157">
        <v>2</v>
      </c>
      <c r="BL197" s="1157">
        <v>2</v>
      </c>
      <c r="BM197" s="1157">
        <v>3</v>
      </c>
      <c r="BN197" s="1157">
        <v>0</v>
      </c>
      <c r="BO197" s="1157">
        <v>2</v>
      </c>
      <c r="BP197" s="1157">
        <v>2</v>
      </c>
      <c r="BQ197" s="1157">
        <v>2</v>
      </c>
      <c r="BR197" s="1157">
        <v>2</v>
      </c>
      <c r="BS197" s="1157">
        <v>2</v>
      </c>
      <c r="BT197" s="1157">
        <v>3</v>
      </c>
      <c r="BU197" s="1157">
        <v>3</v>
      </c>
      <c r="BV197" s="1157">
        <v>3</v>
      </c>
      <c r="BW197" s="1157">
        <v>3</v>
      </c>
      <c r="BX197" s="1157">
        <v>2</v>
      </c>
      <c r="BY197" s="1157">
        <v>0</v>
      </c>
      <c r="BZ197" s="1157">
        <v>3</v>
      </c>
      <c r="CA197" s="1157">
        <v>2</v>
      </c>
      <c r="CB197" s="1157">
        <v>2</v>
      </c>
      <c r="CC197" s="1148">
        <v>2</v>
      </c>
      <c r="CD197" s="1148">
        <v>2</v>
      </c>
      <c r="CE197" s="1148">
        <v>0</v>
      </c>
      <c r="CF197" s="1148">
        <v>2</v>
      </c>
    </row>
    <row r="198" spans="1:84" s="1148" customFormat="1" x14ac:dyDescent="0.3">
      <c r="A198" s="1146">
        <v>548</v>
      </c>
      <c r="B198" s="1165"/>
      <c r="C198" s="1169">
        <v>548</v>
      </c>
      <c r="D198" s="1167" t="s">
        <v>540</v>
      </c>
      <c r="E198" s="1155" t="s">
        <v>570</v>
      </c>
      <c r="F198" s="1156">
        <v>0</v>
      </c>
      <c r="G198" s="1156">
        <v>0</v>
      </c>
      <c r="H198" s="1156">
        <v>0</v>
      </c>
      <c r="I198" s="1156">
        <v>0</v>
      </c>
      <c r="J198" s="1156">
        <v>0</v>
      </c>
      <c r="K198" s="1156">
        <v>0</v>
      </c>
      <c r="L198" s="1157">
        <v>0</v>
      </c>
      <c r="M198" s="1157">
        <v>0</v>
      </c>
      <c r="N198" s="1157">
        <v>0</v>
      </c>
      <c r="O198" s="1157">
        <v>0</v>
      </c>
      <c r="P198" s="1157">
        <v>0</v>
      </c>
      <c r="Q198" s="1157">
        <v>0</v>
      </c>
      <c r="R198" s="1157">
        <v>0</v>
      </c>
      <c r="S198" s="1157">
        <v>0</v>
      </c>
      <c r="T198" s="1157">
        <v>0</v>
      </c>
      <c r="U198" s="1157">
        <v>0</v>
      </c>
      <c r="V198" s="1157">
        <v>0</v>
      </c>
      <c r="W198" s="1157">
        <v>0</v>
      </c>
      <c r="X198" s="1157">
        <v>0</v>
      </c>
      <c r="Y198" s="1157">
        <v>0</v>
      </c>
      <c r="Z198" s="1157">
        <v>0</v>
      </c>
      <c r="AA198" s="1157">
        <v>0</v>
      </c>
      <c r="AB198" s="1157">
        <v>0</v>
      </c>
      <c r="AC198" s="1157">
        <v>0</v>
      </c>
      <c r="AD198" s="1157">
        <v>0</v>
      </c>
      <c r="AE198" s="1157">
        <v>0</v>
      </c>
      <c r="AF198" s="1157">
        <v>0</v>
      </c>
      <c r="AG198" s="1157">
        <v>0</v>
      </c>
      <c r="AH198" s="1157">
        <v>0</v>
      </c>
      <c r="AI198" s="1157">
        <v>0</v>
      </c>
      <c r="AJ198" s="1157">
        <v>0</v>
      </c>
      <c r="AK198" s="1157">
        <v>0</v>
      </c>
      <c r="AL198" s="1157">
        <v>0</v>
      </c>
      <c r="AM198" s="1157">
        <v>0</v>
      </c>
      <c r="AN198" s="1157">
        <v>0</v>
      </c>
      <c r="AO198" s="1157">
        <v>0</v>
      </c>
      <c r="AP198" s="1157">
        <v>0</v>
      </c>
      <c r="AQ198" s="1157">
        <v>0</v>
      </c>
      <c r="AR198" s="1157">
        <v>0</v>
      </c>
      <c r="AS198" s="1157">
        <v>0</v>
      </c>
      <c r="AT198" s="1157">
        <v>0</v>
      </c>
      <c r="AU198" s="1157">
        <v>0</v>
      </c>
      <c r="AV198" s="1157">
        <v>0</v>
      </c>
      <c r="AW198" s="1157">
        <v>0</v>
      </c>
      <c r="AX198" s="1157">
        <v>0</v>
      </c>
      <c r="AY198" s="1157">
        <v>0</v>
      </c>
      <c r="AZ198" s="1157">
        <v>0</v>
      </c>
      <c r="BA198" s="1157">
        <v>0</v>
      </c>
      <c r="BB198" s="1157">
        <v>0</v>
      </c>
      <c r="BC198" s="1157">
        <v>0</v>
      </c>
      <c r="BD198" s="1157">
        <v>0</v>
      </c>
      <c r="BE198" s="1157">
        <v>0</v>
      </c>
      <c r="BF198" s="1157">
        <v>0</v>
      </c>
      <c r="BG198" s="1157">
        <v>0</v>
      </c>
      <c r="BH198" s="1157">
        <v>0</v>
      </c>
      <c r="BI198" s="1157">
        <v>0</v>
      </c>
      <c r="BJ198" s="1157">
        <v>0</v>
      </c>
      <c r="BK198" s="1157">
        <v>0</v>
      </c>
      <c r="BL198" s="1157">
        <v>0</v>
      </c>
      <c r="BM198" s="1157">
        <v>0</v>
      </c>
      <c r="BN198" s="1157">
        <v>0</v>
      </c>
      <c r="BO198" s="1157">
        <v>0</v>
      </c>
      <c r="BP198" s="1157">
        <v>0</v>
      </c>
      <c r="BQ198" s="1157">
        <v>0</v>
      </c>
      <c r="BR198" s="1157">
        <v>0</v>
      </c>
      <c r="BS198" s="1157">
        <v>0</v>
      </c>
      <c r="BT198" s="1157">
        <v>0</v>
      </c>
      <c r="BU198" s="1157">
        <v>0</v>
      </c>
      <c r="BV198" s="1157">
        <v>0</v>
      </c>
      <c r="BW198" s="1157">
        <v>0</v>
      </c>
      <c r="BX198" s="1157">
        <v>0</v>
      </c>
      <c r="BY198" s="1157">
        <v>0</v>
      </c>
      <c r="BZ198" s="1157">
        <v>0</v>
      </c>
      <c r="CA198" s="1157">
        <v>0</v>
      </c>
      <c r="CB198" s="1157">
        <v>0</v>
      </c>
      <c r="CC198" s="1148">
        <v>0</v>
      </c>
      <c r="CD198" s="1148">
        <v>0</v>
      </c>
      <c r="CE198" s="1148">
        <v>0</v>
      </c>
      <c r="CF198" s="1148">
        <v>0</v>
      </c>
    </row>
    <row r="199" spans="1:84" s="1148" customFormat="1" x14ac:dyDescent="0.3">
      <c r="A199" s="1146">
        <v>549</v>
      </c>
      <c r="B199" s="1165"/>
      <c r="C199" s="1170">
        <v>549</v>
      </c>
      <c r="D199" s="1167" t="s">
        <v>855</v>
      </c>
      <c r="E199" s="1155" t="s">
        <v>571</v>
      </c>
      <c r="F199" s="1156">
        <v>0</v>
      </c>
      <c r="G199" s="1156">
        <v>0</v>
      </c>
      <c r="H199" s="1156">
        <v>0</v>
      </c>
      <c r="I199" s="1156">
        <v>0</v>
      </c>
      <c r="J199" s="1156">
        <v>0</v>
      </c>
      <c r="K199" s="1156">
        <v>0</v>
      </c>
      <c r="L199" s="1157">
        <v>0</v>
      </c>
      <c r="M199" s="1157">
        <v>0</v>
      </c>
      <c r="N199" s="1157">
        <v>0</v>
      </c>
      <c r="O199" s="1157">
        <v>0</v>
      </c>
      <c r="P199" s="1157">
        <v>0</v>
      </c>
      <c r="Q199" s="1157">
        <v>0</v>
      </c>
      <c r="R199" s="1157">
        <v>0</v>
      </c>
      <c r="S199" s="1157">
        <v>0</v>
      </c>
      <c r="T199" s="1157">
        <v>0</v>
      </c>
      <c r="U199" s="1157">
        <v>0</v>
      </c>
      <c r="V199" s="1157">
        <v>0</v>
      </c>
      <c r="W199" s="1157">
        <v>0</v>
      </c>
      <c r="X199" s="1157">
        <v>0</v>
      </c>
      <c r="Y199" s="1157">
        <v>0</v>
      </c>
      <c r="Z199" s="1157">
        <v>0</v>
      </c>
      <c r="AA199" s="1157">
        <v>0</v>
      </c>
      <c r="AB199" s="1157">
        <v>0</v>
      </c>
      <c r="AC199" s="1157">
        <v>0</v>
      </c>
      <c r="AD199" s="1157">
        <v>0</v>
      </c>
      <c r="AE199" s="1157">
        <v>0</v>
      </c>
      <c r="AF199" s="1157">
        <v>0</v>
      </c>
      <c r="AG199" s="1157">
        <v>0</v>
      </c>
      <c r="AH199" s="1157">
        <v>0</v>
      </c>
      <c r="AI199" s="1157">
        <v>0</v>
      </c>
      <c r="AJ199" s="1157">
        <v>0</v>
      </c>
      <c r="AK199" s="1157">
        <v>0</v>
      </c>
      <c r="AL199" s="1157">
        <v>0</v>
      </c>
      <c r="AM199" s="1157">
        <v>0</v>
      </c>
      <c r="AN199" s="1157">
        <v>0</v>
      </c>
      <c r="AO199" s="1157">
        <v>0</v>
      </c>
      <c r="AP199" s="1157">
        <v>0</v>
      </c>
      <c r="AQ199" s="1157">
        <v>0</v>
      </c>
      <c r="AR199" s="1157">
        <v>0</v>
      </c>
      <c r="AS199" s="1157">
        <v>0</v>
      </c>
      <c r="AT199" s="1157">
        <v>0</v>
      </c>
      <c r="AU199" s="1157">
        <v>0</v>
      </c>
      <c r="AV199" s="1157">
        <v>0</v>
      </c>
      <c r="AW199" s="1157">
        <v>0</v>
      </c>
      <c r="AX199" s="1157">
        <v>0</v>
      </c>
      <c r="AY199" s="1157">
        <v>0</v>
      </c>
      <c r="AZ199" s="1157">
        <v>0</v>
      </c>
      <c r="BA199" s="1157">
        <v>0</v>
      </c>
      <c r="BB199" s="1157">
        <v>0</v>
      </c>
      <c r="BC199" s="1157">
        <v>0</v>
      </c>
      <c r="BD199" s="1157">
        <v>0</v>
      </c>
      <c r="BE199" s="1157">
        <v>0</v>
      </c>
      <c r="BF199" s="1157">
        <v>0</v>
      </c>
      <c r="BG199" s="1157">
        <v>0</v>
      </c>
      <c r="BH199" s="1157">
        <v>0</v>
      </c>
      <c r="BI199" s="1157">
        <v>0</v>
      </c>
      <c r="BJ199" s="1157">
        <v>0</v>
      </c>
      <c r="BK199" s="1157">
        <v>0</v>
      </c>
      <c r="BL199" s="1157">
        <v>0</v>
      </c>
      <c r="BM199" s="1157">
        <v>0</v>
      </c>
      <c r="BN199" s="1157">
        <v>0</v>
      </c>
      <c r="BO199" s="1157">
        <v>0</v>
      </c>
      <c r="BP199" s="1157">
        <v>0</v>
      </c>
      <c r="BQ199" s="1157">
        <v>0</v>
      </c>
      <c r="BR199" s="1157">
        <v>0</v>
      </c>
      <c r="BS199" s="1157">
        <v>0</v>
      </c>
      <c r="BT199" s="1157">
        <v>0</v>
      </c>
      <c r="BU199" s="1157">
        <v>0</v>
      </c>
      <c r="BV199" s="1157">
        <v>0</v>
      </c>
      <c r="BW199" s="1157">
        <v>0</v>
      </c>
      <c r="BX199" s="1157">
        <v>0</v>
      </c>
      <c r="BY199" s="1157">
        <v>0</v>
      </c>
      <c r="BZ199" s="1157">
        <v>0</v>
      </c>
      <c r="CA199" s="1157">
        <v>0</v>
      </c>
      <c r="CB199" s="1157">
        <v>0</v>
      </c>
      <c r="CC199" s="1148">
        <v>0</v>
      </c>
      <c r="CD199" s="1148">
        <v>0</v>
      </c>
      <c r="CE199" s="1148">
        <v>0</v>
      </c>
      <c r="CF199" s="1148">
        <v>0</v>
      </c>
    </row>
    <row r="200" spans="1:84" s="1148" customFormat="1" x14ac:dyDescent="0.3">
      <c r="A200" s="1146">
        <v>550</v>
      </c>
      <c r="B200" s="1165"/>
      <c r="C200" s="1170">
        <v>550</v>
      </c>
      <c r="D200" s="1167" t="s">
        <v>572</v>
      </c>
      <c r="E200" s="1155" t="s">
        <v>573</v>
      </c>
      <c r="F200" s="1156">
        <v>0</v>
      </c>
      <c r="G200" s="1156">
        <v>0</v>
      </c>
      <c r="H200" s="1156">
        <v>0</v>
      </c>
      <c r="I200" s="1156">
        <v>0</v>
      </c>
      <c r="J200" s="1156">
        <v>0</v>
      </c>
      <c r="K200" s="1156">
        <v>0</v>
      </c>
      <c r="L200" s="1157">
        <v>0</v>
      </c>
      <c r="M200" s="1157">
        <v>0</v>
      </c>
      <c r="N200" s="1157">
        <v>0</v>
      </c>
      <c r="O200" s="1157">
        <v>0</v>
      </c>
      <c r="P200" s="1157">
        <v>0</v>
      </c>
      <c r="Q200" s="1157">
        <v>0</v>
      </c>
      <c r="R200" s="1157">
        <v>0</v>
      </c>
      <c r="S200" s="1157">
        <v>0</v>
      </c>
      <c r="T200" s="1157">
        <v>0</v>
      </c>
      <c r="U200" s="1157">
        <v>0</v>
      </c>
      <c r="V200" s="1157">
        <v>0</v>
      </c>
      <c r="W200" s="1157">
        <v>0</v>
      </c>
      <c r="X200" s="1157">
        <v>0</v>
      </c>
      <c r="Y200" s="1157">
        <v>0</v>
      </c>
      <c r="Z200" s="1157">
        <v>0</v>
      </c>
      <c r="AA200" s="1157">
        <v>0</v>
      </c>
      <c r="AB200" s="1157">
        <v>0</v>
      </c>
      <c r="AC200" s="1157">
        <v>0</v>
      </c>
      <c r="AD200" s="1157">
        <v>0</v>
      </c>
      <c r="AE200" s="1157">
        <v>0</v>
      </c>
      <c r="AF200" s="1157">
        <v>0</v>
      </c>
      <c r="AG200" s="1157">
        <v>0</v>
      </c>
      <c r="AH200" s="1157">
        <v>0</v>
      </c>
      <c r="AI200" s="1157">
        <v>0</v>
      </c>
      <c r="AJ200" s="1157">
        <v>0</v>
      </c>
      <c r="AK200" s="1157">
        <v>0</v>
      </c>
      <c r="AL200" s="1157">
        <v>0</v>
      </c>
      <c r="AM200" s="1157">
        <v>0</v>
      </c>
      <c r="AN200" s="1157">
        <v>0</v>
      </c>
      <c r="AO200" s="1157">
        <v>0</v>
      </c>
      <c r="AP200" s="1157">
        <v>0</v>
      </c>
      <c r="AQ200" s="1157">
        <v>0</v>
      </c>
      <c r="AR200" s="1157">
        <v>0</v>
      </c>
      <c r="AS200" s="1157">
        <v>0</v>
      </c>
      <c r="AT200" s="1157">
        <v>0</v>
      </c>
      <c r="AU200" s="1157">
        <v>0</v>
      </c>
      <c r="AV200" s="1157">
        <v>0</v>
      </c>
      <c r="AW200" s="1157">
        <v>0</v>
      </c>
      <c r="AX200" s="1157">
        <v>0</v>
      </c>
      <c r="AY200" s="1157">
        <v>0</v>
      </c>
      <c r="AZ200" s="1157">
        <v>0</v>
      </c>
      <c r="BA200" s="1157">
        <v>0</v>
      </c>
      <c r="BB200" s="1157">
        <v>0</v>
      </c>
      <c r="BC200" s="1157">
        <v>0</v>
      </c>
      <c r="BD200" s="1157">
        <v>0</v>
      </c>
      <c r="BE200" s="1157">
        <v>0</v>
      </c>
      <c r="BF200" s="1157">
        <v>0</v>
      </c>
      <c r="BG200" s="1157">
        <v>0</v>
      </c>
      <c r="BH200" s="1157">
        <v>0</v>
      </c>
      <c r="BI200" s="1157">
        <v>0</v>
      </c>
      <c r="BJ200" s="1157">
        <v>0</v>
      </c>
      <c r="BK200" s="1157">
        <v>0</v>
      </c>
      <c r="BL200" s="1157">
        <v>0</v>
      </c>
      <c r="BM200" s="1157">
        <v>0</v>
      </c>
      <c r="BN200" s="1157">
        <v>0</v>
      </c>
      <c r="BO200" s="1157">
        <v>0</v>
      </c>
      <c r="BP200" s="1157">
        <v>0</v>
      </c>
      <c r="BQ200" s="1157">
        <v>0</v>
      </c>
      <c r="BR200" s="1157">
        <v>0</v>
      </c>
      <c r="BS200" s="1157">
        <v>0</v>
      </c>
      <c r="BT200" s="1157">
        <v>0</v>
      </c>
      <c r="BU200" s="1157">
        <v>0</v>
      </c>
      <c r="BV200" s="1157">
        <v>0</v>
      </c>
      <c r="BW200" s="1157">
        <v>0</v>
      </c>
      <c r="BX200" s="1157">
        <v>0</v>
      </c>
      <c r="BY200" s="1157">
        <v>0</v>
      </c>
      <c r="BZ200" s="1157">
        <v>0</v>
      </c>
      <c r="CA200" s="1157">
        <v>0</v>
      </c>
      <c r="CB200" s="1157">
        <v>0</v>
      </c>
      <c r="CC200" s="1148">
        <v>0</v>
      </c>
      <c r="CD200" s="1148">
        <v>0</v>
      </c>
      <c r="CE200" s="1148">
        <v>0</v>
      </c>
      <c r="CF200" s="1148">
        <v>0</v>
      </c>
    </row>
    <row r="201" spans="1:84" s="1148" customFormat="1" x14ac:dyDescent="0.3">
      <c r="A201" s="1171">
        <v>551</v>
      </c>
      <c r="B201" s="1165"/>
      <c r="C201" s="1170">
        <v>551</v>
      </c>
      <c r="D201" s="1167" t="s">
        <v>856</v>
      </c>
      <c r="E201" s="1155" t="s">
        <v>574</v>
      </c>
      <c r="F201" s="1156">
        <v>0</v>
      </c>
      <c r="G201" s="1156">
        <v>0</v>
      </c>
      <c r="H201" s="1156">
        <v>0</v>
      </c>
      <c r="I201" s="1156">
        <v>0</v>
      </c>
      <c r="J201" s="1156">
        <v>0</v>
      </c>
      <c r="K201" s="1156">
        <v>0</v>
      </c>
      <c r="L201" s="1157">
        <v>0</v>
      </c>
      <c r="M201" s="1157">
        <v>0</v>
      </c>
      <c r="N201" s="1157">
        <v>0</v>
      </c>
      <c r="O201" s="1157">
        <v>0</v>
      </c>
      <c r="P201" s="1157">
        <v>0</v>
      </c>
      <c r="Q201" s="1157">
        <v>0</v>
      </c>
      <c r="R201" s="1157">
        <v>0</v>
      </c>
      <c r="S201" s="1157">
        <v>0</v>
      </c>
      <c r="T201" s="1157">
        <v>0</v>
      </c>
      <c r="U201" s="1157">
        <v>0</v>
      </c>
      <c r="V201" s="1157">
        <v>0</v>
      </c>
      <c r="W201" s="1157">
        <v>0</v>
      </c>
      <c r="X201" s="1157">
        <v>0</v>
      </c>
      <c r="Y201" s="1157">
        <v>0</v>
      </c>
      <c r="Z201" s="1157">
        <v>0</v>
      </c>
      <c r="AA201" s="1157">
        <v>0</v>
      </c>
      <c r="AB201" s="1157">
        <v>0</v>
      </c>
      <c r="AC201" s="1157">
        <v>0</v>
      </c>
      <c r="AD201" s="1157">
        <v>0</v>
      </c>
      <c r="AE201" s="1157">
        <v>0</v>
      </c>
      <c r="AF201" s="1157">
        <v>0</v>
      </c>
      <c r="AG201" s="1157">
        <v>0</v>
      </c>
      <c r="AH201" s="1157">
        <v>0</v>
      </c>
      <c r="AI201" s="1157">
        <v>0</v>
      </c>
      <c r="AJ201" s="1157">
        <v>0</v>
      </c>
      <c r="AK201" s="1157">
        <v>0</v>
      </c>
      <c r="AL201" s="1157">
        <v>0</v>
      </c>
      <c r="AM201" s="1157">
        <v>0</v>
      </c>
      <c r="AN201" s="1157">
        <v>0</v>
      </c>
      <c r="AO201" s="1157">
        <v>0</v>
      </c>
      <c r="AP201" s="1157">
        <v>0</v>
      </c>
      <c r="AQ201" s="1157">
        <v>0</v>
      </c>
      <c r="AR201" s="1157">
        <v>0</v>
      </c>
      <c r="AS201" s="1157">
        <v>0</v>
      </c>
      <c r="AT201" s="1157">
        <v>0</v>
      </c>
      <c r="AU201" s="1157">
        <v>0</v>
      </c>
      <c r="AV201" s="1157">
        <v>0</v>
      </c>
      <c r="AW201" s="1157">
        <v>0</v>
      </c>
      <c r="AX201" s="1157">
        <v>0</v>
      </c>
      <c r="AY201" s="1157">
        <v>0</v>
      </c>
      <c r="AZ201" s="1157">
        <v>0</v>
      </c>
      <c r="BA201" s="1157">
        <v>0</v>
      </c>
      <c r="BB201" s="1157">
        <v>0</v>
      </c>
      <c r="BC201" s="1157">
        <v>0</v>
      </c>
      <c r="BD201" s="1157">
        <v>0</v>
      </c>
      <c r="BE201" s="1157">
        <v>0</v>
      </c>
      <c r="BF201" s="1157">
        <v>0</v>
      </c>
      <c r="BG201" s="1157">
        <v>0</v>
      </c>
      <c r="BH201" s="1157">
        <v>0</v>
      </c>
      <c r="BI201" s="1157">
        <v>0</v>
      </c>
      <c r="BJ201" s="1157">
        <v>0</v>
      </c>
      <c r="BK201" s="1157">
        <v>0</v>
      </c>
      <c r="BL201" s="1157">
        <v>0</v>
      </c>
      <c r="BM201" s="1157">
        <v>0</v>
      </c>
      <c r="BN201" s="1157">
        <v>0</v>
      </c>
      <c r="BO201" s="1157">
        <v>0</v>
      </c>
      <c r="BP201" s="1157">
        <v>0</v>
      </c>
      <c r="BQ201" s="1157">
        <v>0</v>
      </c>
      <c r="BR201" s="1157">
        <v>0</v>
      </c>
      <c r="BS201" s="1157">
        <v>0</v>
      </c>
      <c r="BT201" s="1157">
        <v>0</v>
      </c>
      <c r="BU201" s="1157">
        <v>0</v>
      </c>
      <c r="BV201" s="1157">
        <v>0</v>
      </c>
      <c r="BW201" s="1157">
        <v>0</v>
      </c>
      <c r="BX201" s="1157">
        <v>0</v>
      </c>
      <c r="BY201" s="1157">
        <v>0</v>
      </c>
      <c r="BZ201" s="1157">
        <v>0</v>
      </c>
      <c r="CA201" s="1157">
        <v>0</v>
      </c>
      <c r="CB201" s="1157">
        <v>0</v>
      </c>
      <c r="CC201" s="1148">
        <v>0</v>
      </c>
      <c r="CD201" s="1148">
        <v>0</v>
      </c>
      <c r="CE201" s="1148">
        <v>0</v>
      </c>
      <c r="CF201" s="1148">
        <v>0</v>
      </c>
    </row>
    <row r="202" spans="1:84" s="1148" customFormat="1" x14ac:dyDescent="0.3">
      <c r="A202" s="1146">
        <v>552</v>
      </c>
      <c r="B202" s="1165"/>
      <c r="C202" s="1172">
        <v>552</v>
      </c>
      <c r="D202" s="1167" t="s">
        <v>542</v>
      </c>
      <c r="E202" s="1155" t="s">
        <v>575</v>
      </c>
      <c r="F202" s="1156">
        <v>0</v>
      </c>
      <c r="G202" s="1156">
        <v>0</v>
      </c>
      <c r="H202" s="1156">
        <v>0</v>
      </c>
      <c r="I202" s="1156">
        <v>0</v>
      </c>
      <c r="J202" s="1156">
        <v>0</v>
      </c>
      <c r="K202" s="1156">
        <v>0</v>
      </c>
      <c r="L202" s="1157">
        <v>0</v>
      </c>
      <c r="M202" s="1157">
        <v>0</v>
      </c>
      <c r="N202" s="1157">
        <v>0</v>
      </c>
      <c r="O202" s="1157">
        <v>0</v>
      </c>
      <c r="P202" s="1157">
        <v>0</v>
      </c>
      <c r="Q202" s="1157">
        <v>0</v>
      </c>
      <c r="R202" s="1157">
        <v>0</v>
      </c>
      <c r="S202" s="1157">
        <v>0</v>
      </c>
      <c r="T202" s="1157">
        <v>0</v>
      </c>
      <c r="U202" s="1157">
        <v>0</v>
      </c>
      <c r="V202" s="1157">
        <v>0</v>
      </c>
      <c r="W202" s="1157">
        <v>0</v>
      </c>
      <c r="X202" s="1157">
        <v>0</v>
      </c>
      <c r="Y202" s="1157">
        <v>0</v>
      </c>
      <c r="Z202" s="1157">
        <v>0</v>
      </c>
      <c r="AA202" s="1157">
        <v>0</v>
      </c>
      <c r="AB202" s="1157">
        <v>0</v>
      </c>
      <c r="AC202" s="1157">
        <v>0</v>
      </c>
      <c r="AD202" s="1157">
        <v>0</v>
      </c>
      <c r="AE202" s="1157">
        <v>0</v>
      </c>
      <c r="AF202" s="1157">
        <v>0</v>
      </c>
      <c r="AG202" s="1157">
        <v>0</v>
      </c>
      <c r="AH202" s="1157">
        <v>0</v>
      </c>
      <c r="AI202" s="1157">
        <v>0</v>
      </c>
      <c r="AJ202" s="1157">
        <v>0</v>
      </c>
      <c r="AK202" s="1157">
        <v>0</v>
      </c>
      <c r="AL202" s="1157">
        <v>0</v>
      </c>
      <c r="AM202" s="1157">
        <v>0</v>
      </c>
      <c r="AN202" s="1157">
        <v>0</v>
      </c>
      <c r="AO202" s="1157">
        <v>0</v>
      </c>
      <c r="AP202" s="1157">
        <v>0</v>
      </c>
      <c r="AQ202" s="1157">
        <v>0</v>
      </c>
      <c r="AR202" s="1157">
        <v>0</v>
      </c>
      <c r="AS202" s="1157">
        <v>0</v>
      </c>
      <c r="AT202" s="1157">
        <v>0</v>
      </c>
      <c r="AU202" s="1157">
        <v>0</v>
      </c>
      <c r="AV202" s="1157">
        <v>0</v>
      </c>
      <c r="AW202" s="1157">
        <v>0</v>
      </c>
      <c r="AX202" s="1157">
        <v>0</v>
      </c>
      <c r="AY202" s="1157">
        <v>0</v>
      </c>
      <c r="AZ202" s="1157">
        <v>0</v>
      </c>
      <c r="BA202" s="1157">
        <v>0</v>
      </c>
      <c r="BB202" s="1157">
        <v>0</v>
      </c>
      <c r="BC202" s="1157">
        <v>0</v>
      </c>
      <c r="BD202" s="1157">
        <v>0</v>
      </c>
      <c r="BE202" s="1157">
        <v>0</v>
      </c>
      <c r="BF202" s="1157">
        <v>0</v>
      </c>
      <c r="BG202" s="1157">
        <v>0</v>
      </c>
      <c r="BH202" s="1157">
        <v>0</v>
      </c>
      <c r="BI202" s="1157">
        <v>0</v>
      </c>
      <c r="BJ202" s="1157">
        <v>0</v>
      </c>
      <c r="BK202" s="1157">
        <v>0</v>
      </c>
      <c r="BL202" s="1157">
        <v>0</v>
      </c>
      <c r="BM202" s="1157">
        <v>0</v>
      </c>
      <c r="BN202" s="1157">
        <v>0</v>
      </c>
      <c r="BO202" s="1157">
        <v>0</v>
      </c>
      <c r="BP202" s="1157">
        <v>0</v>
      </c>
      <c r="BQ202" s="1157">
        <v>0</v>
      </c>
      <c r="BR202" s="1157">
        <v>0</v>
      </c>
      <c r="BS202" s="1157">
        <v>0</v>
      </c>
      <c r="BT202" s="1157">
        <v>0</v>
      </c>
      <c r="BU202" s="1157">
        <v>0</v>
      </c>
      <c r="BV202" s="1157">
        <v>0</v>
      </c>
      <c r="BW202" s="1157">
        <v>0</v>
      </c>
      <c r="BX202" s="1157">
        <v>0</v>
      </c>
      <c r="BY202" s="1157">
        <v>0</v>
      </c>
      <c r="BZ202" s="1157">
        <v>0</v>
      </c>
      <c r="CA202" s="1157">
        <v>0</v>
      </c>
      <c r="CB202" s="1157">
        <v>0</v>
      </c>
      <c r="CC202" s="1148">
        <v>0</v>
      </c>
      <c r="CD202" s="1148">
        <v>0</v>
      </c>
      <c r="CE202" s="1148">
        <v>0</v>
      </c>
      <c r="CF202" s="1148">
        <v>0</v>
      </c>
    </row>
    <row r="203" spans="1:84" s="1148" customFormat="1" x14ac:dyDescent="0.3">
      <c r="A203" s="1146">
        <v>553</v>
      </c>
      <c r="B203" s="1165"/>
      <c r="C203" s="1172">
        <v>553</v>
      </c>
      <c r="D203" s="1167" t="s">
        <v>576</v>
      </c>
      <c r="E203" s="1155" t="s">
        <v>577</v>
      </c>
      <c r="F203" s="1156"/>
      <c r="G203" s="1156"/>
      <c r="H203" s="1156"/>
      <c r="I203" s="1156"/>
      <c r="J203" s="1156"/>
      <c r="K203" s="1156"/>
      <c r="L203" s="1157"/>
      <c r="M203" s="1157"/>
      <c r="N203" s="1157"/>
      <c r="O203" s="1157"/>
      <c r="P203" s="1157"/>
      <c r="Q203" s="1157"/>
      <c r="R203" s="1157"/>
      <c r="S203" s="1157"/>
      <c r="T203" s="1157"/>
      <c r="U203" s="1157"/>
      <c r="V203" s="1157"/>
      <c r="W203" s="1157"/>
      <c r="X203" s="1157"/>
      <c r="Y203" s="1157"/>
      <c r="Z203" s="1157"/>
      <c r="AA203" s="1157"/>
      <c r="AB203" s="1157"/>
      <c r="AC203" s="1157"/>
      <c r="AD203" s="1157"/>
      <c r="AE203" s="1157"/>
      <c r="AF203" s="1157"/>
      <c r="AG203" s="1157"/>
      <c r="AH203" s="1157"/>
      <c r="AI203" s="1157"/>
      <c r="AJ203" s="1157"/>
      <c r="AK203" s="1157"/>
      <c r="AL203" s="1157"/>
      <c r="AM203" s="1157"/>
      <c r="AN203" s="1157"/>
      <c r="AO203" s="1157"/>
      <c r="AP203" s="1157"/>
      <c r="AQ203" s="1157"/>
      <c r="AR203" s="1157"/>
      <c r="AS203" s="1157"/>
      <c r="AT203" s="1157"/>
      <c r="AU203" s="1157"/>
      <c r="AV203" s="1157"/>
      <c r="AW203" s="1157"/>
      <c r="AX203" s="1157"/>
      <c r="AY203" s="1157"/>
      <c r="AZ203" s="1157"/>
      <c r="BA203" s="1157"/>
      <c r="BB203" s="1157"/>
      <c r="BC203" s="1157"/>
      <c r="BD203" s="1157"/>
      <c r="BE203" s="1157"/>
      <c r="BF203" s="1157"/>
      <c r="BG203" s="1157"/>
      <c r="BH203" s="1157"/>
      <c r="BI203" s="1157"/>
      <c r="BJ203" s="1157"/>
      <c r="BK203" s="1157"/>
      <c r="BL203" s="1157"/>
      <c r="BM203" s="1157"/>
      <c r="BN203" s="1157"/>
      <c r="BO203" s="1157"/>
      <c r="BP203" s="1157"/>
      <c r="BQ203" s="1157"/>
      <c r="BR203" s="1157"/>
      <c r="BS203" s="1157"/>
      <c r="BT203" s="1157"/>
      <c r="BU203" s="1157"/>
      <c r="BV203" s="1157"/>
      <c r="BW203" s="1157"/>
      <c r="BX203" s="1157"/>
      <c r="BY203" s="1157"/>
      <c r="BZ203" s="1157"/>
      <c r="CA203" s="1157"/>
      <c r="CB203" s="1157"/>
    </row>
    <row r="204" spans="1:84" s="1148" customFormat="1" x14ac:dyDescent="0.3">
      <c r="A204" s="1173">
        <v>554</v>
      </c>
      <c r="B204" s="1165">
        <v>554</v>
      </c>
      <c r="C204" s="1170">
        <v>554</v>
      </c>
      <c r="D204" s="1167" t="s">
        <v>578</v>
      </c>
      <c r="E204" s="1155" t="s">
        <v>579</v>
      </c>
      <c r="F204" s="1156">
        <v>0</v>
      </c>
      <c r="G204" s="1156">
        <v>0</v>
      </c>
      <c r="H204" s="1156">
        <v>0</v>
      </c>
      <c r="I204" s="1156">
        <v>0</v>
      </c>
      <c r="J204" s="1156">
        <v>0</v>
      </c>
      <c r="K204" s="1156">
        <v>0</v>
      </c>
      <c r="L204" s="1157">
        <v>0</v>
      </c>
      <c r="M204" s="1157">
        <v>0</v>
      </c>
      <c r="N204" s="1157">
        <v>0</v>
      </c>
      <c r="O204" s="1157">
        <v>74414</v>
      </c>
      <c r="P204" s="1157">
        <v>0</v>
      </c>
      <c r="Q204" s="1157">
        <v>2252389</v>
      </c>
      <c r="R204" s="1157">
        <v>0</v>
      </c>
      <c r="S204" s="1157">
        <v>3252156</v>
      </c>
      <c r="T204" s="1157">
        <v>0</v>
      </c>
      <c r="U204" s="1157">
        <v>0</v>
      </c>
      <c r="V204" s="1157">
        <v>2593686</v>
      </c>
      <c r="W204" s="1157">
        <v>1957476</v>
      </c>
      <c r="X204" s="1157">
        <v>0</v>
      </c>
      <c r="Y204" s="1157">
        <v>0</v>
      </c>
      <c r="Z204" s="1157">
        <v>0</v>
      </c>
      <c r="AA204" s="1157">
        <v>703405</v>
      </c>
      <c r="AB204" s="1157">
        <v>2513192</v>
      </c>
      <c r="AC204" s="1157">
        <v>0</v>
      </c>
      <c r="AD204" s="1157">
        <v>1011415</v>
      </c>
      <c r="AE204" s="1157">
        <v>0</v>
      </c>
      <c r="AF204" s="1157">
        <v>0</v>
      </c>
      <c r="AG204" s="1157">
        <v>984252</v>
      </c>
      <c r="AH204" s="1157">
        <v>7672597</v>
      </c>
      <c r="AI204" s="1157">
        <v>0</v>
      </c>
      <c r="AJ204" s="1157">
        <v>221628</v>
      </c>
      <c r="AK204" s="1157">
        <v>0</v>
      </c>
      <c r="AL204" s="1157">
        <v>0</v>
      </c>
      <c r="AM204" s="1157">
        <v>0</v>
      </c>
      <c r="AN204" s="1157">
        <v>0</v>
      </c>
      <c r="AO204" s="1157">
        <v>0</v>
      </c>
      <c r="AP204" s="1157">
        <v>0</v>
      </c>
      <c r="AQ204" s="1157">
        <v>0</v>
      </c>
      <c r="AR204" s="1157">
        <v>0</v>
      </c>
      <c r="AS204" s="1157">
        <v>4675100</v>
      </c>
      <c r="AT204" s="1157">
        <v>0</v>
      </c>
      <c r="AU204" s="1157">
        <v>0</v>
      </c>
      <c r="AV204" s="1157">
        <v>0</v>
      </c>
      <c r="AW204" s="1157">
        <v>0</v>
      </c>
      <c r="AX204" s="1157">
        <v>288205</v>
      </c>
      <c r="AY204" s="1157">
        <v>0</v>
      </c>
      <c r="AZ204" s="1157">
        <v>0</v>
      </c>
      <c r="BA204" s="1157">
        <v>498297</v>
      </c>
      <c r="BB204" s="1157">
        <v>0</v>
      </c>
      <c r="BC204" s="1157">
        <v>0</v>
      </c>
      <c r="BD204" s="1157">
        <v>0</v>
      </c>
      <c r="BE204" s="1157">
        <v>0</v>
      </c>
      <c r="BF204" s="1157">
        <v>5005319</v>
      </c>
      <c r="BG204" s="1157">
        <v>0</v>
      </c>
      <c r="BH204" s="1157">
        <v>0</v>
      </c>
      <c r="BI204" s="1157">
        <v>0</v>
      </c>
      <c r="BJ204" s="1157">
        <v>0</v>
      </c>
      <c r="BK204" s="1157">
        <v>0</v>
      </c>
      <c r="BL204" s="1157">
        <v>0</v>
      </c>
      <c r="BM204" s="1157">
        <v>0</v>
      </c>
      <c r="BN204" s="1157">
        <v>0</v>
      </c>
      <c r="BO204" s="1157">
        <v>0</v>
      </c>
      <c r="BP204" s="1157">
        <v>5617293</v>
      </c>
      <c r="BQ204" s="1157">
        <v>0</v>
      </c>
      <c r="BR204" s="1157">
        <v>0</v>
      </c>
      <c r="BS204" s="1157">
        <v>70170</v>
      </c>
      <c r="BT204" s="1157">
        <v>79239</v>
      </c>
      <c r="BU204" s="1157">
        <v>0</v>
      </c>
      <c r="BV204" s="1157">
        <v>0</v>
      </c>
      <c r="BW204" s="1157">
        <v>0</v>
      </c>
      <c r="BX204" s="1157">
        <v>0</v>
      </c>
      <c r="BY204" s="1157">
        <v>0</v>
      </c>
      <c r="BZ204" s="1157">
        <v>0</v>
      </c>
      <c r="CA204" s="1157">
        <v>0</v>
      </c>
      <c r="CB204" s="1157">
        <v>0</v>
      </c>
      <c r="CC204" s="1148">
        <v>0</v>
      </c>
      <c r="CD204" s="1148">
        <v>0</v>
      </c>
      <c r="CE204" s="1148">
        <v>0</v>
      </c>
      <c r="CF204" s="1148">
        <v>0</v>
      </c>
    </row>
    <row r="205" spans="1:84" s="1148" customFormat="1" x14ac:dyDescent="0.3">
      <c r="A205" s="1173">
        <v>555</v>
      </c>
      <c r="B205" s="1165">
        <v>555</v>
      </c>
      <c r="C205" s="1170">
        <v>555</v>
      </c>
      <c r="D205" s="1167" t="s">
        <v>580</v>
      </c>
      <c r="E205" s="1155" t="s">
        <v>581</v>
      </c>
      <c r="F205" s="1156">
        <v>0</v>
      </c>
      <c r="G205" s="1156">
        <v>0</v>
      </c>
      <c r="H205" s="1156">
        <v>0</v>
      </c>
      <c r="I205" s="1156">
        <v>0</v>
      </c>
      <c r="J205" s="1156">
        <v>0</v>
      </c>
      <c r="K205" s="1156">
        <v>0</v>
      </c>
      <c r="L205" s="1157">
        <v>0</v>
      </c>
      <c r="M205" s="1157">
        <v>0</v>
      </c>
      <c r="N205" s="1157">
        <v>0</v>
      </c>
      <c r="O205" s="1157">
        <v>0</v>
      </c>
      <c r="P205" s="1157">
        <v>0</v>
      </c>
      <c r="Q205" s="1157">
        <v>2252389</v>
      </c>
      <c r="R205" s="1157">
        <v>0</v>
      </c>
      <c r="S205" s="1157">
        <v>2805423</v>
      </c>
      <c r="T205" s="1157">
        <v>0</v>
      </c>
      <c r="U205" s="1157">
        <v>0</v>
      </c>
      <c r="V205" s="1157">
        <v>2134056</v>
      </c>
      <c r="W205" s="1157">
        <v>1648539</v>
      </c>
      <c r="X205" s="1157">
        <v>0</v>
      </c>
      <c r="Y205" s="1157">
        <v>0</v>
      </c>
      <c r="Z205" s="1157">
        <v>0</v>
      </c>
      <c r="AA205" s="1157">
        <v>0</v>
      </c>
      <c r="AB205" s="1157">
        <v>2472660</v>
      </c>
      <c r="AC205" s="1157">
        <v>0</v>
      </c>
      <c r="AD205" s="1157">
        <v>783521</v>
      </c>
      <c r="AE205" s="1157">
        <v>0</v>
      </c>
      <c r="AF205" s="1157">
        <v>0</v>
      </c>
      <c r="AG205" s="1157">
        <v>493409</v>
      </c>
      <c r="AH205" s="1157">
        <v>7524850</v>
      </c>
      <c r="AI205" s="1157">
        <v>0</v>
      </c>
      <c r="AJ205" s="1157">
        <v>0</v>
      </c>
      <c r="AK205" s="1157">
        <v>0</v>
      </c>
      <c r="AL205" s="1157">
        <v>0</v>
      </c>
      <c r="AM205" s="1157">
        <v>0</v>
      </c>
      <c r="AN205" s="1157">
        <v>0</v>
      </c>
      <c r="AO205" s="1157">
        <v>0</v>
      </c>
      <c r="AP205" s="1157">
        <v>0</v>
      </c>
      <c r="AQ205" s="1157">
        <v>0</v>
      </c>
      <c r="AR205" s="1157">
        <v>0</v>
      </c>
      <c r="AS205" s="1157">
        <v>4651393</v>
      </c>
      <c r="AT205" s="1157">
        <v>0</v>
      </c>
      <c r="AU205" s="1157">
        <v>0</v>
      </c>
      <c r="AV205" s="1157">
        <v>0</v>
      </c>
      <c r="AW205" s="1157">
        <v>0</v>
      </c>
      <c r="AX205" s="1157">
        <v>0</v>
      </c>
      <c r="AY205" s="1157">
        <v>0</v>
      </c>
      <c r="AZ205" s="1157">
        <v>0</v>
      </c>
      <c r="BA205" s="1157">
        <v>0</v>
      </c>
      <c r="BB205" s="1157">
        <v>0</v>
      </c>
      <c r="BC205" s="1157">
        <v>0</v>
      </c>
      <c r="BD205" s="1157">
        <v>0</v>
      </c>
      <c r="BE205" s="1157">
        <v>0</v>
      </c>
      <c r="BF205" s="1157">
        <v>4879802</v>
      </c>
      <c r="BG205" s="1157">
        <v>0</v>
      </c>
      <c r="BH205" s="1157">
        <v>0</v>
      </c>
      <c r="BI205" s="1157">
        <v>0</v>
      </c>
      <c r="BJ205" s="1157">
        <v>0</v>
      </c>
      <c r="BK205" s="1157">
        <v>0</v>
      </c>
      <c r="BL205" s="1157">
        <v>0</v>
      </c>
      <c r="BM205" s="1157">
        <v>0</v>
      </c>
      <c r="BN205" s="1157">
        <v>0</v>
      </c>
      <c r="BO205" s="1157">
        <v>0</v>
      </c>
      <c r="BP205" s="1157">
        <v>5614594</v>
      </c>
      <c r="BQ205" s="1157">
        <v>0</v>
      </c>
      <c r="BR205" s="1157">
        <v>0</v>
      </c>
      <c r="BS205" s="1157">
        <v>0</v>
      </c>
      <c r="BT205" s="1157">
        <v>0</v>
      </c>
      <c r="BU205" s="1157">
        <v>0</v>
      </c>
      <c r="BV205" s="1157">
        <v>0</v>
      </c>
      <c r="BW205" s="1157">
        <v>0</v>
      </c>
      <c r="BX205" s="1157">
        <v>0</v>
      </c>
      <c r="BY205" s="1157">
        <v>0</v>
      </c>
      <c r="BZ205" s="1157">
        <v>0</v>
      </c>
      <c r="CA205" s="1157">
        <v>0</v>
      </c>
      <c r="CB205" s="1157">
        <v>0</v>
      </c>
      <c r="CC205" s="1148">
        <v>0</v>
      </c>
      <c r="CD205" s="1148">
        <v>0</v>
      </c>
      <c r="CE205" s="1148">
        <v>0</v>
      </c>
      <c r="CF205" s="1148">
        <v>0</v>
      </c>
    </row>
    <row r="206" spans="1:84" s="1148" customFormat="1" x14ac:dyDescent="0.3">
      <c r="A206" s="1173">
        <v>556</v>
      </c>
      <c r="B206" s="1165">
        <v>556</v>
      </c>
      <c r="C206" s="1170">
        <v>556</v>
      </c>
      <c r="D206" s="1167" t="s">
        <v>582</v>
      </c>
      <c r="E206" s="1155" t="s">
        <v>583</v>
      </c>
      <c r="F206" s="1156">
        <v>0</v>
      </c>
      <c r="G206" s="1156">
        <v>0</v>
      </c>
      <c r="H206" s="1156">
        <v>0</v>
      </c>
      <c r="I206" s="1156">
        <v>0</v>
      </c>
      <c r="J206" s="1156">
        <v>0</v>
      </c>
      <c r="K206" s="1156">
        <v>0</v>
      </c>
      <c r="L206" s="1157">
        <v>0</v>
      </c>
      <c r="M206" s="1157">
        <v>0</v>
      </c>
      <c r="N206" s="1157">
        <v>0</v>
      </c>
      <c r="O206" s="1157">
        <v>419120</v>
      </c>
      <c r="P206" s="1157">
        <v>0</v>
      </c>
      <c r="Q206" s="1157">
        <v>161208</v>
      </c>
      <c r="R206" s="1157">
        <v>0</v>
      </c>
      <c r="S206" s="1157">
        <v>846879</v>
      </c>
      <c r="T206" s="1157">
        <v>0</v>
      </c>
      <c r="U206" s="1157">
        <v>0</v>
      </c>
      <c r="V206" s="1157">
        <v>1445986</v>
      </c>
      <c r="W206" s="1157">
        <v>1099724</v>
      </c>
      <c r="X206" s="1157">
        <v>0</v>
      </c>
      <c r="Y206" s="1157">
        <v>0</v>
      </c>
      <c r="Z206" s="1157">
        <v>0</v>
      </c>
      <c r="AA206" s="1157">
        <v>750108</v>
      </c>
      <c r="AB206" s="1157">
        <v>84722</v>
      </c>
      <c r="AC206" s="1157">
        <v>0</v>
      </c>
      <c r="AD206" s="1157">
        <v>566518</v>
      </c>
      <c r="AE206" s="1157">
        <v>0</v>
      </c>
      <c r="AF206" s="1157">
        <v>0</v>
      </c>
      <c r="AG206" s="1157">
        <v>856058</v>
      </c>
      <c r="AH206" s="1157">
        <v>359180</v>
      </c>
      <c r="AI206" s="1157">
        <v>0</v>
      </c>
      <c r="AJ206" s="1157">
        <v>544234</v>
      </c>
      <c r="AK206" s="1157">
        <v>0</v>
      </c>
      <c r="AL206" s="1157">
        <v>0</v>
      </c>
      <c r="AM206" s="1157">
        <v>0</v>
      </c>
      <c r="AN206" s="1157">
        <v>0</v>
      </c>
      <c r="AO206" s="1157">
        <v>0</v>
      </c>
      <c r="AP206" s="1157">
        <v>0</v>
      </c>
      <c r="AQ206" s="1157">
        <v>0</v>
      </c>
      <c r="AR206" s="1157">
        <v>0</v>
      </c>
      <c r="AS206" s="1157">
        <v>1926731</v>
      </c>
      <c r="AT206" s="1157">
        <v>0</v>
      </c>
      <c r="AU206" s="1157">
        <v>0</v>
      </c>
      <c r="AV206" s="1157">
        <v>0</v>
      </c>
      <c r="AW206" s="1157">
        <v>0</v>
      </c>
      <c r="AX206" s="1157">
        <v>1262717</v>
      </c>
      <c r="AY206" s="1157">
        <v>0</v>
      </c>
      <c r="AZ206" s="1157">
        <v>0</v>
      </c>
      <c r="BA206" s="1157">
        <v>533305</v>
      </c>
      <c r="BB206" s="1157">
        <v>0</v>
      </c>
      <c r="BC206" s="1157">
        <v>0</v>
      </c>
      <c r="BD206" s="1157">
        <v>0</v>
      </c>
      <c r="BE206" s="1157">
        <v>0</v>
      </c>
      <c r="BF206" s="1157">
        <v>1181348</v>
      </c>
      <c r="BG206" s="1157">
        <v>0</v>
      </c>
      <c r="BH206" s="1157">
        <v>0</v>
      </c>
      <c r="BI206" s="1157">
        <v>0</v>
      </c>
      <c r="BJ206" s="1157">
        <v>0</v>
      </c>
      <c r="BK206" s="1157">
        <v>0</v>
      </c>
      <c r="BL206" s="1157">
        <v>0</v>
      </c>
      <c r="BM206" s="1157">
        <v>0</v>
      </c>
      <c r="BN206" s="1157">
        <v>0</v>
      </c>
      <c r="BO206" s="1157">
        <v>0</v>
      </c>
      <c r="BP206" s="1157">
        <v>1953303</v>
      </c>
      <c r="BQ206" s="1157">
        <v>0</v>
      </c>
      <c r="BR206" s="1157">
        <v>0</v>
      </c>
      <c r="BS206" s="1157">
        <v>501398</v>
      </c>
      <c r="BT206" s="1157">
        <v>856744</v>
      </c>
      <c r="BU206" s="1157">
        <v>0</v>
      </c>
      <c r="BV206" s="1157">
        <v>0</v>
      </c>
      <c r="BW206" s="1157">
        <v>0</v>
      </c>
      <c r="BX206" s="1157">
        <v>0</v>
      </c>
      <c r="BY206" s="1157">
        <v>0</v>
      </c>
      <c r="BZ206" s="1157">
        <v>0</v>
      </c>
      <c r="CA206" s="1157">
        <v>0</v>
      </c>
      <c r="CB206" s="1157">
        <v>0</v>
      </c>
      <c r="CC206" s="1148">
        <v>0</v>
      </c>
      <c r="CD206" s="1148">
        <v>0</v>
      </c>
      <c r="CE206" s="1148">
        <v>0</v>
      </c>
      <c r="CF206" s="1148">
        <v>0</v>
      </c>
    </row>
    <row r="207" spans="1:84" s="1148" customFormat="1" x14ac:dyDescent="0.3">
      <c r="A207" s="1173">
        <v>557</v>
      </c>
      <c r="B207" s="1165">
        <v>557</v>
      </c>
      <c r="C207" s="1170">
        <v>557</v>
      </c>
      <c r="D207" s="1167" t="s">
        <v>584</v>
      </c>
      <c r="E207" s="1155" t="s">
        <v>585</v>
      </c>
      <c r="F207" s="1156">
        <v>0</v>
      </c>
      <c r="G207" s="1156">
        <v>0</v>
      </c>
      <c r="H207" s="1156">
        <v>0</v>
      </c>
      <c r="I207" s="1156">
        <v>0</v>
      </c>
      <c r="J207" s="1156">
        <v>0</v>
      </c>
      <c r="K207" s="1156">
        <v>0</v>
      </c>
      <c r="L207" s="1157">
        <v>0</v>
      </c>
      <c r="M207" s="1157">
        <v>0</v>
      </c>
      <c r="N207" s="1157">
        <v>0</v>
      </c>
      <c r="O207" s="1157">
        <v>419120</v>
      </c>
      <c r="P207" s="1157">
        <v>0</v>
      </c>
      <c r="Q207" s="1157">
        <v>0</v>
      </c>
      <c r="R207" s="1157">
        <v>0</v>
      </c>
      <c r="S207" s="1157">
        <v>602254</v>
      </c>
      <c r="T207" s="1157">
        <v>0</v>
      </c>
      <c r="U207" s="1157">
        <v>0</v>
      </c>
      <c r="V207" s="1157">
        <v>920621</v>
      </c>
      <c r="W207" s="1157">
        <v>826697</v>
      </c>
      <c r="X207" s="1157">
        <v>0</v>
      </c>
      <c r="Y207" s="1157">
        <v>0</v>
      </c>
      <c r="Z207" s="1157">
        <v>0</v>
      </c>
      <c r="AA207" s="1157">
        <v>361352</v>
      </c>
      <c r="AB207" s="1157">
        <v>0</v>
      </c>
      <c r="AC207" s="1157">
        <v>0</v>
      </c>
      <c r="AD207" s="1157">
        <v>0</v>
      </c>
      <c r="AE207" s="1157">
        <v>0</v>
      </c>
      <c r="AF207" s="1157">
        <v>0</v>
      </c>
      <c r="AG207" s="1157">
        <v>754538</v>
      </c>
      <c r="AH207" s="1157">
        <v>0</v>
      </c>
      <c r="AI207" s="1157">
        <v>0</v>
      </c>
      <c r="AJ207" s="1157">
        <v>375000</v>
      </c>
      <c r="AK207" s="1157">
        <v>0</v>
      </c>
      <c r="AL207" s="1157">
        <v>0</v>
      </c>
      <c r="AM207" s="1157">
        <v>0</v>
      </c>
      <c r="AN207" s="1157">
        <v>0</v>
      </c>
      <c r="AO207" s="1157">
        <v>0</v>
      </c>
      <c r="AP207" s="1157">
        <v>0</v>
      </c>
      <c r="AQ207" s="1157">
        <v>0</v>
      </c>
      <c r="AR207" s="1157">
        <v>0</v>
      </c>
      <c r="AS207" s="1157">
        <v>1666667</v>
      </c>
      <c r="AT207" s="1157">
        <v>0</v>
      </c>
      <c r="AU207" s="1157">
        <v>0</v>
      </c>
      <c r="AV207" s="1157">
        <v>0</v>
      </c>
      <c r="AW207" s="1157">
        <v>0</v>
      </c>
      <c r="AX207" s="1157">
        <v>834479</v>
      </c>
      <c r="AY207" s="1157">
        <v>0</v>
      </c>
      <c r="AZ207" s="1157">
        <v>0</v>
      </c>
      <c r="BA207" s="1157">
        <v>394297</v>
      </c>
      <c r="BB207" s="1157">
        <v>0</v>
      </c>
      <c r="BC207" s="1157">
        <v>0</v>
      </c>
      <c r="BD207" s="1157">
        <v>0</v>
      </c>
      <c r="BE207" s="1157">
        <v>0</v>
      </c>
      <c r="BF207" s="1157">
        <v>749321</v>
      </c>
      <c r="BG207" s="1157">
        <v>0</v>
      </c>
      <c r="BH207" s="1157">
        <v>0</v>
      </c>
      <c r="BI207" s="1157">
        <v>0</v>
      </c>
      <c r="BJ207" s="1157">
        <v>0</v>
      </c>
      <c r="BK207" s="1157">
        <v>0</v>
      </c>
      <c r="BL207" s="1157">
        <v>0</v>
      </c>
      <c r="BM207" s="1157">
        <v>0</v>
      </c>
      <c r="BN207" s="1157">
        <v>0</v>
      </c>
      <c r="BO207" s="1157">
        <v>0</v>
      </c>
      <c r="BP207" s="1157">
        <v>1871531</v>
      </c>
      <c r="BQ207" s="1157">
        <v>0</v>
      </c>
      <c r="BR207" s="1157">
        <v>0</v>
      </c>
      <c r="BS207" s="1157">
        <v>501098</v>
      </c>
      <c r="BT207" s="1157">
        <v>732261</v>
      </c>
      <c r="BU207" s="1157">
        <v>0</v>
      </c>
      <c r="BV207" s="1157">
        <v>0</v>
      </c>
      <c r="BW207" s="1157">
        <v>0</v>
      </c>
      <c r="BX207" s="1157">
        <v>0</v>
      </c>
      <c r="BY207" s="1157">
        <v>0</v>
      </c>
      <c r="BZ207" s="1157">
        <v>0</v>
      </c>
      <c r="CA207" s="1157">
        <v>0</v>
      </c>
      <c r="CB207" s="1157">
        <v>0</v>
      </c>
      <c r="CC207" s="1148">
        <v>0</v>
      </c>
      <c r="CD207" s="1148">
        <v>0</v>
      </c>
      <c r="CE207" s="1148">
        <v>0</v>
      </c>
      <c r="CF207" s="1148">
        <v>0</v>
      </c>
    </row>
    <row r="208" spans="1:84" s="1148" customFormat="1" x14ac:dyDescent="0.3">
      <c r="A208" s="1146">
        <v>558</v>
      </c>
      <c r="B208" s="1174"/>
      <c r="C208" s="1169">
        <v>558</v>
      </c>
      <c r="D208" s="1167"/>
      <c r="E208" s="1155" t="s">
        <v>586</v>
      </c>
      <c r="F208" s="1156"/>
      <c r="G208" s="1156"/>
      <c r="H208" s="1156"/>
      <c r="I208" s="1156"/>
      <c r="J208" s="1156"/>
      <c r="K208" s="1156"/>
      <c r="L208" s="1157"/>
      <c r="M208" s="1157"/>
      <c r="N208" s="1157"/>
      <c r="O208" s="1157"/>
      <c r="P208" s="1157"/>
      <c r="Q208" s="1157"/>
      <c r="R208" s="1157"/>
      <c r="S208" s="1157"/>
      <c r="T208" s="1157"/>
      <c r="U208" s="1157"/>
      <c r="V208" s="1157"/>
      <c r="W208" s="1157"/>
      <c r="X208" s="1157"/>
      <c r="Y208" s="1157"/>
      <c r="Z208" s="1157"/>
      <c r="AA208" s="1157"/>
      <c r="AB208" s="1157"/>
      <c r="AC208" s="1157"/>
      <c r="AD208" s="1157"/>
      <c r="AE208" s="1157"/>
      <c r="AF208" s="1157"/>
      <c r="AG208" s="1157"/>
      <c r="AH208" s="1157"/>
      <c r="AI208" s="1157"/>
      <c r="AJ208" s="1157"/>
      <c r="AK208" s="1157"/>
      <c r="AL208" s="1157"/>
      <c r="AM208" s="1157"/>
      <c r="AN208" s="1157"/>
      <c r="AO208" s="1157"/>
      <c r="AP208" s="1157"/>
      <c r="AQ208" s="1157"/>
      <c r="AR208" s="1157"/>
      <c r="AS208" s="1157"/>
      <c r="AT208" s="1157"/>
      <c r="AU208" s="1157"/>
      <c r="AV208" s="1157"/>
      <c r="AW208" s="1157"/>
      <c r="AX208" s="1157"/>
      <c r="AY208" s="1157"/>
      <c r="AZ208" s="1157"/>
      <c r="BA208" s="1157"/>
      <c r="BB208" s="1157"/>
      <c r="BC208" s="1157"/>
      <c r="BD208" s="1157"/>
      <c r="BE208" s="1157"/>
      <c r="BF208" s="1157"/>
      <c r="BG208" s="1157"/>
      <c r="BH208" s="1157"/>
      <c r="BI208" s="1157"/>
      <c r="BJ208" s="1157"/>
      <c r="BK208" s="1157"/>
      <c r="BL208" s="1157"/>
      <c r="BM208" s="1157"/>
      <c r="BN208" s="1157"/>
      <c r="BO208" s="1157"/>
      <c r="BP208" s="1157"/>
      <c r="BQ208" s="1157"/>
      <c r="BR208" s="1157"/>
      <c r="BS208" s="1157"/>
      <c r="BT208" s="1157"/>
      <c r="BU208" s="1157"/>
      <c r="BV208" s="1157"/>
      <c r="BW208" s="1157"/>
      <c r="BX208" s="1157"/>
      <c r="BY208" s="1157"/>
      <c r="BZ208" s="1157"/>
      <c r="CA208" s="1157"/>
      <c r="CB208" s="1157"/>
    </row>
    <row r="209" spans="1:80" s="1148" customFormat="1" x14ac:dyDescent="0.3">
      <c r="A209" s="1146">
        <v>559</v>
      </c>
      <c r="B209" s="1174"/>
      <c r="C209" s="1169">
        <v>559</v>
      </c>
      <c r="D209" s="1167"/>
      <c r="E209" s="1155" t="s">
        <v>587</v>
      </c>
      <c r="F209" s="1156"/>
      <c r="G209" s="1156"/>
      <c r="H209" s="1156"/>
      <c r="I209" s="1156"/>
      <c r="J209" s="1156"/>
      <c r="K209" s="1156"/>
      <c r="L209" s="1157"/>
      <c r="M209" s="1157"/>
      <c r="N209" s="1157"/>
      <c r="O209" s="1157"/>
      <c r="P209" s="1157"/>
      <c r="Q209" s="1157"/>
      <c r="R209" s="1157"/>
      <c r="S209" s="1157"/>
      <c r="T209" s="1157"/>
      <c r="U209" s="1157"/>
      <c r="V209" s="1157"/>
      <c r="W209" s="1157"/>
      <c r="X209" s="1157"/>
      <c r="Y209" s="1157"/>
      <c r="Z209" s="1157"/>
      <c r="AA209" s="1157"/>
      <c r="AB209" s="1157"/>
      <c r="AC209" s="1157"/>
      <c r="AD209" s="1157"/>
      <c r="AE209" s="1157"/>
      <c r="AF209" s="1157"/>
      <c r="AG209" s="1157"/>
      <c r="AH209" s="1157"/>
      <c r="AI209" s="1157"/>
      <c r="AJ209" s="1157"/>
      <c r="AK209" s="1157"/>
      <c r="AL209" s="1157"/>
      <c r="AM209" s="1157"/>
      <c r="AN209" s="1157"/>
      <c r="AO209" s="1157"/>
      <c r="AP209" s="1157"/>
      <c r="AQ209" s="1157"/>
      <c r="AR209" s="1157"/>
      <c r="AS209" s="1157"/>
      <c r="AT209" s="1157"/>
      <c r="AU209" s="1157"/>
      <c r="AV209" s="1157"/>
      <c r="AW209" s="1157"/>
      <c r="AX209" s="1157"/>
      <c r="AY209" s="1157"/>
      <c r="AZ209" s="1157"/>
      <c r="BA209" s="1157"/>
      <c r="BB209" s="1157"/>
      <c r="BC209" s="1157"/>
      <c r="BD209" s="1157"/>
      <c r="BE209" s="1157"/>
      <c r="BF209" s="1157"/>
      <c r="BG209" s="1157"/>
      <c r="BH209" s="1157"/>
      <c r="BI209" s="1157"/>
      <c r="BJ209" s="1157"/>
      <c r="BK209" s="1157"/>
      <c r="BL209" s="1157"/>
      <c r="BM209" s="1157"/>
      <c r="BN209" s="1157"/>
      <c r="BO209" s="1157"/>
      <c r="BP209" s="1157"/>
      <c r="BQ209" s="1157"/>
      <c r="BR209" s="1157"/>
      <c r="BS209" s="1157"/>
      <c r="BT209" s="1157"/>
      <c r="BU209" s="1157"/>
      <c r="BV209" s="1157"/>
      <c r="BW209" s="1157"/>
      <c r="BX209" s="1157"/>
      <c r="BY209" s="1157"/>
      <c r="BZ209" s="1157"/>
      <c r="CA209" s="1157"/>
      <c r="CB209" s="1157"/>
    </row>
    <row r="210" spans="1:80" s="1148" customFormat="1" x14ac:dyDescent="0.3">
      <c r="A210" s="1146">
        <v>560</v>
      </c>
      <c r="B210" s="1174"/>
      <c r="C210" s="1169">
        <v>560</v>
      </c>
      <c r="D210" s="1167"/>
      <c r="E210" s="1155" t="s">
        <v>588</v>
      </c>
      <c r="F210" s="1156"/>
      <c r="G210" s="1156"/>
      <c r="H210" s="1156"/>
      <c r="I210" s="1156"/>
      <c r="J210" s="1156"/>
      <c r="K210" s="1156"/>
      <c r="L210" s="1157"/>
      <c r="M210" s="1157"/>
      <c r="N210" s="1157"/>
      <c r="O210" s="1157"/>
      <c r="P210" s="1157"/>
      <c r="Q210" s="1157"/>
      <c r="R210" s="1157"/>
      <c r="S210" s="1157"/>
      <c r="T210" s="1157"/>
      <c r="U210" s="1157"/>
      <c r="V210" s="1157"/>
      <c r="W210" s="1157"/>
      <c r="X210" s="1157"/>
      <c r="Y210" s="1157"/>
      <c r="Z210" s="1157"/>
      <c r="AA210" s="1157"/>
      <c r="AB210" s="1157"/>
      <c r="AC210" s="1157"/>
      <c r="AD210" s="1157"/>
      <c r="AE210" s="1157"/>
      <c r="AF210" s="1157"/>
      <c r="AG210" s="1157"/>
      <c r="AH210" s="1157"/>
      <c r="AI210" s="1157"/>
      <c r="AJ210" s="1157"/>
      <c r="AK210" s="1157"/>
      <c r="AL210" s="1157"/>
      <c r="AM210" s="1157"/>
      <c r="AN210" s="1157"/>
      <c r="AO210" s="1157"/>
      <c r="AP210" s="1157"/>
      <c r="AQ210" s="1157"/>
      <c r="AR210" s="1157"/>
      <c r="AS210" s="1157"/>
      <c r="AT210" s="1157"/>
      <c r="AU210" s="1157"/>
      <c r="AV210" s="1157"/>
      <c r="AW210" s="1157"/>
      <c r="AX210" s="1157"/>
      <c r="AY210" s="1157"/>
      <c r="AZ210" s="1157"/>
      <c r="BA210" s="1157"/>
      <c r="BB210" s="1157"/>
      <c r="BC210" s="1157"/>
      <c r="BD210" s="1157"/>
      <c r="BE210" s="1157"/>
      <c r="BF210" s="1157"/>
      <c r="BG210" s="1157"/>
      <c r="BH210" s="1157"/>
      <c r="BI210" s="1157"/>
      <c r="BJ210" s="1157"/>
      <c r="BK210" s="1157"/>
      <c r="BL210" s="1157"/>
      <c r="BM210" s="1157"/>
      <c r="BN210" s="1157"/>
      <c r="BO210" s="1157"/>
      <c r="BP210" s="1157"/>
      <c r="BQ210" s="1157"/>
      <c r="BR210" s="1157"/>
      <c r="BS210" s="1157"/>
      <c r="BT210" s="1157"/>
      <c r="BU210" s="1157"/>
      <c r="BV210" s="1157"/>
      <c r="BW210" s="1157"/>
      <c r="BX210" s="1157"/>
      <c r="BY210" s="1157"/>
      <c r="BZ210" s="1157"/>
      <c r="CA210" s="1157"/>
      <c r="CB210" s="1157"/>
    </row>
    <row r="211" spans="1:80" s="1148" customFormat="1" x14ac:dyDescent="0.3">
      <c r="A211" s="1144">
        <v>561</v>
      </c>
      <c r="B211" s="1174"/>
      <c r="C211" s="1169">
        <v>561</v>
      </c>
      <c r="D211" s="1167"/>
      <c r="E211" s="1155" t="s">
        <v>589</v>
      </c>
      <c r="F211" s="1156"/>
      <c r="G211" s="1156"/>
      <c r="H211" s="1156"/>
      <c r="I211" s="1156"/>
      <c r="J211" s="1156"/>
      <c r="K211" s="1156"/>
      <c r="L211" s="1157"/>
      <c r="M211" s="1157"/>
      <c r="N211" s="1157"/>
      <c r="O211" s="1157"/>
      <c r="P211" s="1157"/>
      <c r="Q211" s="1157"/>
      <c r="R211" s="1157"/>
      <c r="S211" s="1157"/>
      <c r="T211" s="1157"/>
      <c r="U211" s="1157"/>
      <c r="V211" s="1157"/>
      <c r="W211" s="1157"/>
      <c r="X211" s="1157"/>
      <c r="Y211" s="1157"/>
      <c r="Z211" s="1157"/>
      <c r="AA211" s="1157"/>
      <c r="AB211" s="1157"/>
      <c r="AC211" s="1157"/>
      <c r="AD211" s="1157"/>
      <c r="AE211" s="1157"/>
      <c r="AF211" s="1157"/>
      <c r="AG211" s="1157"/>
      <c r="AH211" s="1157"/>
      <c r="AI211" s="1157"/>
      <c r="AJ211" s="1157"/>
      <c r="AK211" s="1157"/>
      <c r="AL211" s="1157"/>
      <c r="AM211" s="1157"/>
      <c r="AN211" s="1157"/>
      <c r="AO211" s="1157"/>
      <c r="AP211" s="1157"/>
      <c r="AQ211" s="1157"/>
      <c r="AR211" s="1157"/>
      <c r="AS211" s="1157"/>
      <c r="AT211" s="1157"/>
      <c r="AU211" s="1157"/>
      <c r="AV211" s="1157"/>
      <c r="AW211" s="1157"/>
      <c r="AX211" s="1157"/>
      <c r="AY211" s="1157"/>
      <c r="AZ211" s="1157"/>
      <c r="BA211" s="1157"/>
      <c r="BB211" s="1157"/>
      <c r="BC211" s="1157"/>
      <c r="BD211" s="1157"/>
      <c r="BE211" s="1157"/>
      <c r="BF211" s="1157"/>
      <c r="BG211" s="1157"/>
      <c r="BH211" s="1157"/>
      <c r="BI211" s="1157"/>
      <c r="BJ211" s="1157"/>
      <c r="BK211" s="1157"/>
      <c r="BL211" s="1157"/>
      <c r="BM211" s="1157"/>
      <c r="BN211" s="1157"/>
      <c r="BO211" s="1157"/>
      <c r="BP211" s="1157"/>
      <c r="BQ211" s="1157"/>
      <c r="BR211" s="1157"/>
      <c r="BS211" s="1157"/>
      <c r="BT211" s="1157"/>
      <c r="BU211" s="1157"/>
      <c r="BV211" s="1157"/>
      <c r="BW211" s="1157"/>
      <c r="BX211" s="1157"/>
      <c r="BY211" s="1157"/>
      <c r="BZ211" s="1157"/>
      <c r="CA211" s="1157"/>
      <c r="CB211" s="1157"/>
    </row>
    <row r="212" spans="1:80" s="1148" customFormat="1" x14ac:dyDescent="0.3">
      <c r="A212" s="1144">
        <v>562</v>
      </c>
      <c r="B212" s="1174"/>
      <c r="C212" s="1169">
        <v>562</v>
      </c>
      <c r="D212" s="1167"/>
      <c r="E212" s="1155" t="s">
        <v>590</v>
      </c>
      <c r="F212" s="1156"/>
      <c r="G212" s="1156"/>
      <c r="H212" s="1156"/>
      <c r="I212" s="1156"/>
      <c r="J212" s="1156"/>
      <c r="K212" s="1156"/>
      <c r="L212" s="1157"/>
      <c r="M212" s="1157"/>
      <c r="N212" s="1157"/>
      <c r="O212" s="1157"/>
      <c r="P212" s="1157"/>
      <c r="Q212" s="1157"/>
      <c r="R212" s="1157"/>
      <c r="S212" s="1157"/>
      <c r="T212" s="1157"/>
      <c r="U212" s="1157"/>
      <c r="V212" s="1157"/>
      <c r="W212" s="1157"/>
      <c r="X212" s="1157"/>
      <c r="Y212" s="1157"/>
      <c r="Z212" s="1157"/>
      <c r="AA212" s="1157"/>
      <c r="AB212" s="1157"/>
      <c r="AC212" s="1157"/>
      <c r="AD212" s="1157"/>
      <c r="AE212" s="1157"/>
      <c r="AF212" s="1157"/>
      <c r="AG212" s="1157"/>
      <c r="AH212" s="1157"/>
      <c r="AI212" s="1157"/>
      <c r="AJ212" s="1157"/>
      <c r="AK212" s="1157"/>
      <c r="AL212" s="1157"/>
      <c r="AM212" s="1157"/>
      <c r="AN212" s="1157"/>
      <c r="AO212" s="1157"/>
      <c r="AP212" s="1157"/>
      <c r="AQ212" s="1157"/>
      <c r="AR212" s="1157"/>
      <c r="AS212" s="1157"/>
      <c r="AT212" s="1157"/>
      <c r="AU212" s="1157"/>
      <c r="AV212" s="1157"/>
      <c r="AW212" s="1157"/>
      <c r="AX212" s="1157"/>
      <c r="AY212" s="1157"/>
      <c r="AZ212" s="1157"/>
      <c r="BA212" s="1157"/>
      <c r="BB212" s="1157"/>
      <c r="BC212" s="1157"/>
      <c r="BD212" s="1157"/>
      <c r="BE212" s="1157"/>
      <c r="BF212" s="1157"/>
      <c r="BG212" s="1157"/>
      <c r="BH212" s="1157"/>
      <c r="BI212" s="1157"/>
      <c r="BJ212" s="1157"/>
      <c r="BK212" s="1157"/>
      <c r="BL212" s="1157"/>
      <c r="BM212" s="1157"/>
      <c r="BN212" s="1157"/>
      <c r="BO212" s="1157"/>
      <c r="BP212" s="1157"/>
      <c r="BQ212" s="1157"/>
      <c r="BR212" s="1157"/>
      <c r="BS212" s="1157"/>
      <c r="BT212" s="1157"/>
      <c r="BU212" s="1157"/>
      <c r="BV212" s="1157"/>
      <c r="BW212" s="1157"/>
      <c r="BX212" s="1157"/>
      <c r="BY212" s="1157"/>
      <c r="BZ212" s="1157"/>
      <c r="CA212" s="1157"/>
      <c r="CB212" s="1157"/>
    </row>
    <row r="213" spans="1:80" s="1148" customFormat="1" x14ac:dyDescent="0.3">
      <c r="A213" s="1146">
        <v>563</v>
      </c>
      <c r="B213" s="1174"/>
      <c r="C213" s="1169">
        <v>563</v>
      </c>
      <c r="D213" s="1167"/>
      <c r="E213" s="1155" t="s">
        <v>591</v>
      </c>
      <c r="F213" s="1156"/>
      <c r="G213" s="1156"/>
      <c r="H213" s="1156"/>
      <c r="I213" s="1156"/>
      <c r="J213" s="1156"/>
      <c r="K213" s="1156"/>
      <c r="L213" s="1157"/>
      <c r="M213" s="1157"/>
      <c r="N213" s="1157"/>
      <c r="O213" s="1157"/>
      <c r="P213" s="1157"/>
      <c r="Q213" s="1157"/>
      <c r="R213" s="1157"/>
      <c r="S213" s="1157"/>
      <c r="T213" s="1157"/>
      <c r="U213" s="1157"/>
      <c r="V213" s="1157"/>
      <c r="W213" s="1157"/>
      <c r="X213" s="1157"/>
      <c r="Y213" s="1157"/>
      <c r="Z213" s="1157"/>
      <c r="AA213" s="1157"/>
      <c r="AB213" s="1157"/>
      <c r="AC213" s="1157"/>
      <c r="AD213" s="1157"/>
      <c r="AE213" s="1157"/>
      <c r="AF213" s="1157"/>
      <c r="AG213" s="1157"/>
      <c r="AH213" s="1157"/>
      <c r="AI213" s="1157"/>
      <c r="AJ213" s="1157"/>
      <c r="AK213" s="1157"/>
      <c r="AL213" s="1157"/>
      <c r="AM213" s="1157"/>
      <c r="AN213" s="1157"/>
      <c r="AO213" s="1157"/>
      <c r="AP213" s="1157"/>
      <c r="AQ213" s="1157"/>
      <c r="AR213" s="1157"/>
      <c r="AS213" s="1157"/>
      <c r="AT213" s="1157"/>
      <c r="AU213" s="1157"/>
      <c r="AV213" s="1157"/>
      <c r="AW213" s="1157"/>
      <c r="AX213" s="1157"/>
      <c r="AY213" s="1157"/>
      <c r="AZ213" s="1157"/>
      <c r="BA213" s="1157"/>
      <c r="BB213" s="1157"/>
      <c r="BC213" s="1157"/>
      <c r="BD213" s="1157"/>
      <c r="BE213" s="1157"/>
      <c r="BF213" s="1157"/>
      <c r="BG213" s="1157"/>
      <c r="BH213" s="1157"/>
      <c r="BI213" s="1157"/>
      <c r="BJ213" s="1157"/>
      <c r="BK213" s="1157"/>
      <c r="BL213" s="1157"/>
      <c r="BM213" s="1157"/>
      <c r="BN213" s="1157"/>
      <c r="BO213" s="1157"/>
      <c r="BP213" s="1157"/>
      <c r="BQ213" s="1157"/>
      <c r="BR213" s="1157"/>
      <c r="BS213" s="1157"/>
      <c r="BT213" s="1157"/>
      <c r="BU213" s="1157"/>
      <c r="BV213" s="1157"/>
      <c r="BW213" s="1157"/>
      <c r="BX213" s="1157"/>
      <c r="BY213" s="1157"/>
      <c r="BZ213" s="1157"/>
      <c r="CA213" s="1157"/>
      <c r="CB213" s="1157"/>
    </row>
    <row r="214" spans="1:80" s="1148" customFormat="1" x14ac:dyDescent="0.3">
      <c r="A214" s="1144">
        <v>564</v>
      </c>
      <c r="B214" s="1174"/>
      <c r="C214" s="1169">
        <v>564</v>
      </c>
      <c r="D214" s="1167"/>
      <c r="E214" s="1155" t="s">
        <v>592</v>
      </c>
      <c r="F214" s="1156"/>
      <c r="G214" s="1156"/>
      <c r="H214" s="1156"/>
      <c r="I214" s="1156"/>
      <c r="J214" s="1156"/>
      <c r="K214" s="1156"/>
      <c r="L214" s="1157"/>
      <c r="M214" s="1157"/>
      <c r="N214" s="1157"/>
      <c r="O214" s="1157"/>
      <c r="P214" s="1157"/>
      <c r="Q214" s="1157"/>
      <c r="R214" s="1157"/>
      <c r="S214" s="1157"/>
      <c r="T214" s="1157"/>
      <c r="U214" s="1157"/>
      <c r="V214" s="1157"/>
      <c r="W214" s="1157"/>
      <c r="X214" s="1157"/>
      <c r="Y214" s="1157"/>
      <c r="Z214" s="1157"/>
      <c r="AA214" s="1157"/>
      <c r="AB214" s="1157"/>
      <c r="AC214" s="1157"/>
      <c r="AD214" s="1157"/>
      <c r="AE214" s="1157"/>
      <c r="AF214" s="1157"/>
      <c r="AG214" s="1157"/>
      <c r="AH214" s="1157"/>
      <c r="AI214" s="1157"/>
      <c r="AJ214" s="1157"/>
      <c r="AK214" s="1157"/>
      <c r="AL214" s="1157"/>
      <c r="AM214" s="1157"/>
      <c r="AN214" s="1157"/>
      <c r="AO214" s="1157"/>
      <c r="AP214" s="1157"/>
      <c r="AQ214" s="1157"/>
      <c r="AR214" s="1157"/>
      <c r="AS214" s="1157"/>
      <c r="AT214" s="1157"/>
      <c r="AU214" s="1157"/>
      <c r="AV214" s="1157"/>
      <c r="AW214" s="1157"/>
      <c r="AX214" s="1157"/>
      <c r="AY214" s="1157"/>
      <c r="AZ214" s="1157"/>
      <c r="BA214" s="1157"/>
      <c r="BB214" s="1157"/>
      <c r="BC214" s="1157"/>
      <c r="BD214" s="1157"/>
      <c r="BE214" s="1157"/>
      <c r="BF214" s="1157"/>
      <c r="BG214" s="1157"/>
      <c r="BH214" s="1157"/>
      <c r="BI214" s="1157"/>
      <c r="BJ214" s="1157"/>
      <c r="BK214" s="1157"/>
      <c r="BL214" s="1157"/>
      <c r="BM214" s="1157"/>
      <c r="BN214" s="1157"/>
      <c r="BO214" s="1157"/>
      <c r="BP214" s="1157"/>
      <c r="BQ214" s="1157"/>
      <c r="BR214" s="1157"/>
      <c r="BS214" s="1157"/>
      <c r="BT214" s="1157"/>
      <c r="BU214" s="1157"/>
      <c r="BV214" s="1157"/>
      <c r="BW214" s="1157"/>
      <c r="BX214" s="1157"/>
      <c r="BY214" s="1157"/>
      <c r="BZ214" s="1157"/>
      <c r="CA214" s="1157"/>
      <c r="CB214" s="1157"/>
    </row>
    <row r="215" spans="1:80" s="1148" customFormat="1" x14ac:dyDescent="0.3">
      <c r="A215" s="1146">
        <v>565</v>
      </c>
      <c r="B215" s="1174"/>
      <c r="C215" s="1169">
        <v>565</v>
      </c>
      <c r="D215" s="1167"/>
      <c r="E215" s="1155" t="s">
        <v>593</v>
      </c>
      <c r="F215" s="1156"/>
      <c r="G215" s="1156"/>
      <c r="H215" s="1156"/>
      <c r="I215" s="1156"/>
      <c r="J215" s="1156"/>
      <c r="K215" s="1156"/>
      <c r="L215" s="1157"/>
      <c r="M215" s="1157"/>
      <c r="N215" s="1157"/>
      <c r="O215" s="1157"/>
      <c r="P215" s="1157"/>
      <c r="Q215" s="1157"/>
      <c r="R215" s="1157"/>
      <c r="S215" s="1157"/>
      <c r="T215" s="1157"/>
      <c r="U215" s="1157"/>
      <c r="V215" s="1157"/>
      <c r="W215" s="1157"/>
      <c r="X215" s="1157"/>
      <c r="Y215" s="1157"/>
      <c r="Z215" s="1157"/>
      <c r="AA215" s="1157"/>
      <c r="AB215" s="1157"/>
      <c r="AC215" s="1157"/>
      <c r="AD215" s="1157"/>
      <c r="AE215" s="1157"/>
      <c r="AF215" s="1157"/>
      <c r="AG215" s="1157"/>
      <c r="AH215" s="1157"/>
      <c r="AI215" s="1157"/>
      <c r="AJ215" s="1157"/>
      <c r="AK215" s="1157"/>
      <c r="AL215" s="1157"/>
      <c r="AM215" s="1157"/>
      <c r="AN215" s="1157"/>
      <c r="AO215" s="1157"/>
      <c r="AP215" s="1157"/>
      <c r="AQ215" s="1157"/>
      <c r="AR215" s="1157"/>
      <c r="AS215" s="1157"/>
      <c r="AT215" s="1157"/>
      <c r="AU215" s="1157"/>
      <c r="AV215" s="1157"/>
      <c r="AW215" s="1157"/>
      <c r="AX215" s="1157"/>
      <c r="AY215" s="1157"/>
      <c r="AZ215" s="1157"/>
      <c r="BA215" s="1157"/>
      <c r="BB215" s="1157"/>
      <c r="BC215" s="1157"/>
      <c r="BD215" s="1157"/>
      <c r="BE215" s="1157"/>
      <c r="BF215" s="1157"/>
      <c r="BG215" s="1157"/>
      <c r="BH215" s="1157"/>
      <c r="BI215" s="1157"/>
      <c r="BJ215" s="1157"/>
      <c r="BK215" s="1157"/>
      <c r="BL215" s="1157"/>
      <c r="BM215" s="1157"/>
      <c r="BN215" s="1157"/>
      <c r="BO215" s="1157"/>
      <c r="BP215" s="1157"/>
      <c r="BQ215" s="1157"/>
      <c r="BR215" s="1157"/>
      <c r="BS215" s="1157"/>
      <c r="BT215" s="1157"/>
      <c r="BU215" s="1157"/>
      <c r="BV215" s="1157"/>
      <c r="BW215" s="1157"/>
      <c r="BX215" s="1157"/>
      <c r="BY215" s="1157"/>
      <c r="BZ215" s="1157"/>
      <c r="CA215" s="1157"/>
      <c r="CB215" s="1157"/>
    </row>
    <row r="216" spans="1:80" s="1148" customFormat="1" x14ac:dyDescent="0.3">
      <c r="A216" s="1146">
        <v>566</v>
      </c>
      <c r="B216" s="1174"/>
      <c r="C216" s="1169">
        <v>566</v>
      </c>
      <c r="D216" s="1167"/>
      <c r="E216" s="1155" t="s">
        <v>594</v>
      </c>
      <c r="F216" s="1156"/>
      <c r="G216" s="1156"/>
      <c r="H216" s="1156"/>
      <c r="I216" s="1156"/>
      <c r="J216" s="1156"/>
      <c r="K216" s="1156"/>
      <c r="L216" s="1157"/>
      <c r="M216" s="1157"/>
      <c r="N216" s="1157"/>
      <c r="O216" s="1157"/>
      <c r="P216" s="1157"/>
      <c r="Q216" s="1157"/>
      <c r="R216" s="1157"/>
      <c r="S216" s="1157"/>
      <c r="T216" s="1157"/>
      <c r="U216" s="1157"/>
      <c r="V216" s="1157"/>
      <c r="W216" s="1157"/>
      <c r="X216" s="1157"/>
      <c r="Y216" s="1157"/>
      <c r="Z216" s="1157"/>
      <c r="AA216" s="1157"/>
      <c r="AB216" s="1157"/>
      <c r="AC216" s="1157"/>
      <c r="AD216" s="1157"/>
      <c r="AE216" s="1157"/>
      <c r="AF216" s="1157"/>
      <c r="AG216" s="1157"/>
      <c r="AH216" s="1157"/>
      <c r="AI216" s="1157"/>
      <c r="AJ216" s="1157"/>
      <c r="AK216" s="1157"/>
      <c r="AL216" s="1157"/>
      <c r="AM216" s="1157"/>
      <c r="AN216" s="1157"/>
      <c r="AO216" s="1157"/>
      <c r="AP216" s="1157"/>
      <c r="AQ216" s="1157"/>
      <c r="AR216" s="1157"/>
      <c r="AS216" s="1157"/>
      <c r="AT216" s="1157"/>
      <c r="AU216" s="1157"/>
      <c r="AV216" s="1157"/>
      <c r="AW216" s="1157"/>
      <c r="AX216" s="1157"/>
      <c r="AY216" s="1157"/>
      <c r="AZ216" s="1157"/>
      <c r="BA216" s="1157"/>
      <c r="BB216" s="1157"/>
      <c r="BC216" s="1157"/>
      <c r="BD216" s="1157"/>
      <c r="BE216" s="1157"/>
      <c r="BF216" s="1157"/>
      <c r="BG216" s="1157"/>
      <c r="BH216" s="1157"/>
      <c r="BI216" s="1157"/>
      <c r="BJ216" s="1157"/>
      <c r="BK216" s="1157"/>
      <c r="BL216" s="1157"/>
      <c r="BM216" s="1157"/>
      <c r="BN216" s="1157"/>
      <c r="BO216" s="1157"/>
      <c r="BP216" s="1157"/>
      <c r="BQ216" s="1157"/>
      <c r="BR216" s="1157"/>
      <c r="BS216" s="1157"/>
      <c r="BT216" s="1157"/>
      <c r="BU216" s="1157"/>
      <c r="BV216" s="1157"/>
      <c r="BW216" s="1157"/>
      <c r="BX216" s="1157"/>
      <c r="BY216" s="1157"/>
      <c r="BZ216" s="1157"/>
      <c r="CA216" s="1157"/>
      <c r="CB216" s="1157"/>
    </row>
    <row r="217" spans="1:80" s="1148" customFormat="1" x14ac:dyDescent="0.3">
      <c r="A217" s="1146">
        <v>567</v>
      </c>
      <c r="B217" s="1174"/>
      <c r="C217" s="1169">
        <v>567</v>
      </c>
      <c r="D217" s="1167"/>
      <c r="E217" s="1155" t="s">
        <v>595</v>
      </c>
      <c r="F217" s="1156"/>
      <c r="G217" s="1156"/>
      <c r="H217" s="1156"/>
      <c r="I217" s="1156"/>
      <c r="J217" s="1156"/>
      <c r="K217" s="1156"/>
      <c r="L217" s="1157"/>
      <c r="M217" s="1157"/>
      <c r="N217" s="1157"/>
      <c r="O217" s="1157"/>
      <c r="P217" s="1157"/>
      <c r="Q217" s="1157"/>
      <c r="R217" s="1157"/>
      <c r="S217" s="1157"/>
      <c r="T217" s="1157"/>
      <c r="U217" s="1157"/>
      <c r="V217" s="1157"/>
      <c r="W217" s="1157"/>
      <c r="X217" s="1157"/>
      <c r="Y217" s="1157"/>
      <c r="Z217" s="1157"/>
      <c r="AA217" s="1157"/>
      <c r="AB217" s="1157"/>
      <c r="AC217" s="1157"/>
      <c r="AD217" s="1157"/>
      <c r="AE217" s="1157"/>
      <c r="AF217" s="1157"/>
      <c r="AG217" s="1157"/>
      <c r="AH217" s="1157"/>
      <c r="AI217" s="1157"/>
      <c r="AJ217" s="1157"/>
      <c r="AK217" s="1157"/>
      <c r="AL217" s="1157"/>
      <c r="AM217" s="1157"/>
      <c r="AN217" s="1157"/>
      <c r="AO217" s="1157"/>
      <c r="AP217" s="1157"/>
      <c r="AQ217" s="1157"/>
      <c r="AR217" s="1157"/>
      <c r="AS217" s="1157"/>
      <c r="AT217" s="1157"/>
      <c r="AU217" s="1157"/>
      <c r="AV217" s="1157"/>
      <c r="AW217" s="1157"/>
      <c r="AX217" s="1157"/>
      <c r="AY217" s="1157"/>
      <c r="AZ217" s="1157"/>
      <c r="BA217" s="1157"/>
      <c r="BB217" s="1157"/>
      <c r="BC217" s="1157"/>
      <c r="BD217" s="1157"/>
      <c r="BE217" s="1157"/>
      <c r="BF217" s="1157"/>
      <c r="BG217" s="1157"/>
      <c r="BH217" s="1157"/>
      <c r="BI217" s="1157"/>
      <c r="BJ217" s="1157"/>
      <c r="BK217" s="1157"/>
      <c r="BL217" s="1157"/>
      <c r="BM217" s="1157"/>
      <c r="BN217" s="1157"/>
      <c r="BO217" s="1157"/>
      <c r="BP217" s="1157"/>
      <c r="BQ217" s="1157"/>
      <c r="BR217" s="1157"/>
      <c r="BS217" s="1157"/>
      <c r="BT217" s="1157"/>
      <c r="BU217" s="1157"/>
      <c r="BV217" s="1157"/>
      <c r="BW217" s="1157"/>
      <c r="BX217" s="1157"/>
      <c r="BY217" s="1157"/>
      <c r="BZ217" s="1157"/>
      <c r="CA217" s="1157"/>
      <c r="CB217" s="1157"/>
    </row>
    <row r="218" spans="1:80" s="1148" customFormat="1" x14ac:dyDescent="0.3">
      <c r="A218" s="1146">
        <v>568</v>
      </c>
      <c r="B218" s="1174"/>
      <c r="C218" s="1169">
        <v>568</v>
      </c>
      <c r="D218" s="1167"/>
      <c r="E218" s="1155" t="s">
        <v>596</v>
      </c>
      <c r="F218" s="1156"/>
      <c r="G218" s="1156"/>
      <c r="H218" s="1156"/>
      <c r="I218" s="1156"/>
      <c r="J218" s="1156"/>
      <c r="K218" s="1156"/>
      <c r="L218" s="1157"/>
      <c r="M218" s="1157"/>
      <c r="N218" s="1157"/>
      <c r="O218" s="1157"/>
      <c r="P218" s="1157"/>
      <c r="Q218" s="1157"/>
      <c r="R218" s="1157"/>
      <c r="S218" s="1157"/>
      <c r="T218" s="1157"/>
      <c r="U218" s="1157"/>
      <c r="V218" s="1157"/>
      <c r="W218" s="1157"/>
      <c r="X218" s="1157"/>
      <c r="Y218" s="1157"/>
      <c r="Z218" s="1157"/>
      <c r="AA218" s="1157"/>
      <c r="AB218" s="1157"/>
      <c r="AC218" s="1157"/>
      <c r="AD218" s="1157"/>
      <c r="AE218" s="1157"/>
      <c r="AF218" s="1157"/>
      <c r="AG218" s="1157"/>
      <c r="AH218" s="1157"/>
      <c r="AI218" s="1157"/>
      <c r="AJ218" s="1157"/>
      <c r="AK218" s="1157"/>
      <c r="AL218" s="1157"/>
      <c r="AM218" s="1157"/>
      <c r="AN218" s="1157"/>
      <c r="AO218" s="1157"/>
      <c r="AP218" s="1157"/>
      <c r="AQ218" s="1157"/>
      <c r="AR218" s="1157"/>
      <c r="AS218" s="1157"/>
      <c r="AT218" s="1157"/>
      <c r="AU218" s="1157"/>
      <c r="AV218" s="1157"/>
      <c r="AW218" s="1157"/>
      <c r="AX218" s="1157"/>
      <c r="AY218" s="1157"/>
      <c r="AZ218" s="1157"/>
      <c r="BA218" s="1157"/>
      <c r="BB218" s="1157"/>
      <c r="BC218" s="1157"/>
      <c r="BD218" s="1157"/>
      <c r="BE218" s="1157"/>
      <c r="BF218" s="1157"/>
      <c r="BG218" s="1157"/>
      <c r="BH218" s="1157"/>
      <c r="BI218" s="1157"/>
      <c r="BJ218" s="1157"/>
      <c r="BK218" s="1157"/>
      <c r="BL218" s="1157"/>
      <c r="BM218" s="1157"/>
      <c r="BN218" s="1157"/>
      <c r="BO218" s="1157"/>
      <c r="BP218" s="1157"/>
      <c r="BQ218" s="1157"/>
      <c r="BR218" s="1157"/>
      <c r="BS218" s="1157"/>
      <c r="BT218" s="1157"/>
      <c r="BU218" s="1157"/>
      <c r="BV218" s="1157"/>
      <c r="BW218" s="1157"/>
      <c r="BX218" s="1157"/>
      <c r="BY218" s="1157"/>
      <c r="BZ218" s="1157"/>
      <c r="CA218" s="1157"/>
      <c r="CB218" s="1157"/>
    </row>
    <row r="219" spans="1:80" s="1148" customFormat="1" x14ac:dyDescent="0.3">
      <c r="A219" s="1146">
        <v>569</v>
      </c>
      <c r="B219" s="1174"/>
      <c r="C219" s="1169">
        <v>569</v>
      </c>
      <c r="D219" s="1167"/>
      <c r="E219" s="1155" t="s">
        <v>597</v>
      </c>
      <c r="F219" s="1156"/>
      <c r="G219" s="1156"/>
      <c r="H219" s="1156"/>
      <c r="I219" s="1156"/>
      <c r="J219" s="1156"/>
      <c r="K219" s="1156"/>
      <c r="L219" s="1157"/>
      <c r="M219" s="1157"/>
      <c r="N219" s="1157"/>
      <c r="O219" s="1157"/>
      <c r="P219" s="1157"/>
      <c r="Q219" s="1157"/>
      <c r="R219" s="1157"/>
      <c r="S219" s="1157"/>
      <c r="T219" s="1157"/>
      <c r="U219" s="1157"/>
      <c r="V219" s="1157"/>
      <c r="W219" s="1157"/>
      <c r="X219" s="1157"/>
      <c r="Y219" s="1157"/>
      <c r="Z219" s="1157"/>
      <c r="AA219" s="1157"/>
      <c r="AB219" s="1157"/>
      <c r="AC219" s="1157"/>
      <c r="AD219" s="1157"/>
      <c r="AE219" s="1157"/>
      <c r="AF219" s="1157"/>
      <c r="AG219" s="1157"/>
      <c r="AH219" s="1157"/>
      <c r="AI219" s="1157"/>
      <c r="AJ219" s="1157"/>
      <c r="AK219" s="1157"/>
      <c r="AL219" s="1157"/>
      <c r="AM219" s="1157"/>
      <c r="AN219" s="1157"/>
      <c r="AO219" s="1157"/>
      <c r="AP219" s="1157"/>
      <c r="AQ219" s="1157"/>
      <c r="AR219" s="1157"/>
      <c r="AS219" s="1157"/>
      <c r="AT219" s="1157"/>
      <c r="AU219" s="1157"/>
      <c r="AV219" s="1157"/>
      <c r="AW219" s="1157"/>
      <c r="AX219" s="1157"/>
      <c r="AY219" s="1157"/>
      <c r="AZ219" s="1157"/>
      <c r="BA219" s="1157"/>
      <c r="BB219" s="1157"/>
      <c r="BC219" s="1157"/>
      <c r="BD219" s="1157"/>
      <c r="BE219" s="1157"/>
      <c r="BF219" s="1157"/>
      <c r="BG219" s="1157"/>
      <c r="BH219" s="1157"/>
      <c r="BI219" s="1157"/>
      <c r="BJ219" s="1157"/>
      <c r="BK219" s="1157"/>
      <c r="BL219" s="1157"/>
      <c r="BM219" s="1157"/>
      <c r="BN219" s="1157"/>
      <c r="BO219" s="1157"/>
      <c r="BP219" s="1157"/>
      <c r="BQ219" s="1157"/>
      <c r="BR219" s="1157"/>
      <c r="BS219" s="1157"/>
      <c r="BT219" s="1157"/>
      <c r="BU219" s="1157"/>
      <c r="BV219" s="1157"/>
      <c r="BW219" s="1157"/>
      <c r="BX219" s="1157"/>
      <c r="BY219" s="1157"/>
      <c r="BZ219" s="1157"/>
      <c r="CA219" s="1157"/>
      <c r="CB219" s="1157"/>
    </row>
    <row r="220" spans="1:80" s="1148" customFormat="1" x14ac:dyDescent="0.3">
      <c r="A220" s="1146">
        <v>570</v>
      </c>
      <c r="B220" s="1174"/>
      <c r="C220" s="1169">
        <v>570</v>
      </c>
      <c r="D220" s="1167"/>
      <c r="E220" s="1155" t="s">
        <v>598</v>
      </c>
      <c r="F220" s="1156"/>
      <c r="G220" s="1156"/>
      <c r="H220" s="1156"/>
      <c r="I220" s="1156"/>
      <c r="J220" s="1156"/>
      <c r="K220" s="1156"/>
      <c r="L220" s="1157"/>
      <c r="M220" s="1157"/>
      <c r="N220" s="1157"/>
      <c r="O220" s="1157"/>
      <c r="P220" s="1157"/>
      <c r="Q220" s="1157"/>
      <c r="R220" s="1157"/>
      <c r="S220" s="1157"/>
      <c r="T220" s="1157"/>
      <c r="U220" s="1157"/>
      <c r="V220" s="1157"/>
      <c r="W220" s="1157"/>
      <c r="X220" s="1157"/>
      <c r="Y220" s="1157"/>
      <c r="Z220" s="1157"/>
      <c r="AA220" s="1157"/>
      <c r="AB220" s="1157"/>
      <c r="AC220" s="1157"/>
      <c r="AD220" s="1157"/>
      <c r="AE220" s="1157"/>
      <c r="AF220" s="1157"/>
      <c r="AG220" s="1157"/>
      <c r="AH220" s="1157"/>
      <c r="AI220" s="1157"/>
      <c r="AJ220" s="1157"/>
      <c r="AK220" s="1157"/>
      <c r="AL220" s="1157"/>
      <c r="AM220" s="1157"/>
      <c r="AN220" s="1157"/>
      <c r="AO220" s="1157"/>
      <c r="AP220" s="1157"/>
      <c r="AQ220" s="1157"/>
      <c r="AR220" s="1157"/>
      <c r="AS220" s="1157"/>
      <c r="AT220" s="1157"/>
      <c r="AU220" s="1157"/>
      <c r="AV220" s="1157"/>
      <c r="AW220" s="1157"/>
      <c r="AX220" s="1157"/>
      <c r="AY220" s="1157"/>
      <c r="AZ220" s="1157"/>
      <c r="BA220" s="1157"/>
      <c r="BB220" s="1157"/>
      <c r="BC220" s="1157"/>
      <c r="BD220" s="1157"/>
      <c r="BE220" s="1157"/>
      <c r="BF220" s="1157"/>
      <c r="BG220" s="1157"/>
      <c r="BH220" s="1157"/>
      <c r="BI220" s="1157"/>
      <c r="BJ220" s="1157"/>
      <c r="BK220" s="1157"/>
      <c r="BL220" s="1157"/>
      <c r="BM220" s="1157"/>
      <c r="BN220" s="1157"/>
      <c r="BO220" s="1157"/>
      <c r="BP220" s="1157"/>
      <c r="BQ220" s="1157"/>
      <c r="BR220" s="1157"/>
      <c r="BS220" s="1157"/>
      <c r="BT220" s="1157"/>
      <c r="BU220" s="1157"/>
      <c r="BV220" s="1157"/>
      <c r="BW220" s="1157"/>
      <c r="BX220" s="1157"/>
      <c r="BY220" s="1157"/>
      <c r="BZ220" s="1157"/>
      <c r="CA220" s="1157"/>
      <c r="CB220" s="1157"/>
    </row>
    <row r="221" spans="1:80" s="1148" customFormat="1" x14ac:dyDescent="0.3">
      <c r="A221" s="1146">
        <v>571</v>
      </c>
      <c r="B221" s="1174"/>
      <c r="C221" s="1169">
        <v>571</v>
      </c>
      <c r="D221" s="1167"/>
      <c r="E221" s="1155" t="s">
        <v>599</v>
      </c>
      <c r="F221" s="1156"/>
      <c r="G221" s="1156"/>
      <c r="H221" s="1156"/>
      <c r="I221" s="1156"/>
      <c r="J221" s="1156"/>
      <c r="K221" s="1156"/>
      <c r="L221" s="1157"/>
      <c r="M221" s="1157"/>
      <c r="N221" s="1157"/>
      <c r="O221" s="1157"/>
      <c r="P221" s="1157"/>
      <c r="Q221" s="1157"/>
      <c r="R221" s="1157"/>
      <c r="S221" s="1157"/>
      <c r="T221" s="1157"/>
      <c r="U221" s="1157"/>
      <c r="V221" s="1157"/>
      <c r="W221" s="1157"/>
      <c r="X221" s="1157"/>
      <c r="Y221" s="1157"/>
      <c r="Z221" s="1157"/>
      <c r="AA221" s="1157"/>
      <c r="AB221" s="1157"/>
      <c r="AC221" s="1157"/>
      <c r="AD221" s="1157"/>
      <c r="AE221" s="1157"/>
      <c r="AF221" s="1157"/>
      <c r="AG221" s="1157"/>
      <c r="AH221" s="1157"/>
      <c r="AI221" s="1157"/>
      <c r="AJ221" s="1157"/>
      <c r="AK221" s="1157"/>
      <c r="AL221" s="1157"/>
      <c r="AM221" s="1157"/>
      <c r="AN221" s="1157"/>
      <c r="AO221" s="1157"/>
      <c r="AP221" s="1157"/>
      <c r="AQ221" s="1157"/>
      <c r="AR221" s="1157"/>
      <c r="AS221" s="1157"/>
      <c r="AT221" s="1157"/>
      <c r="AU221" s="1157"/>
      <c r="AV221" s="1157"/>
      <c r="AW221" s="1157"/>
      <c r="AX221" s="1157"/>
      <c r="AY221" s="1157"/>
      <c r="AZ221" s="1157"/>
      <c r="BA221" s="1157"/>
      <c r="BB221" s="1157"/>
      <c r="BC221" s="1157"/>
      <c r="BD221" s="1157"/>
      <c r="BE221" s="1157"/>
      <c r="BF221" s="1157"/>
      <c r="BG221" s="1157"/>
      <c r="BH221" s="1157"/>
      <c r="BI221" s="1157"/>
      <c r="BJ221" s="1157"/>
      <c r="BK221" s="1157"/>
      <c r="BL221" s="1157"/>
      <c r="BM221" s="1157"/>
      <c r="BN221" s="1157"/>
      <c r="BO221" s="1157"/>
      <c r="BP221" s="1157"/>
      <c r="BQ221" s="1157"/>
      <c r="BR221" s="1157"/>
      <c r="BS221" s="1157"/>
      <c r="BT221" s="1157"/>
      <c r="BU221" s="1157"/>
      <c r="BV221" s="1157"/>
      <c r="BW221" s="1157"/>
      <c r="BX221" s="1157"/>
      <c r="BY221" s="1157"/>
      <c r="BZ221" s="1157"/>
      <c r="CA221" s="1157"/>
      <c r="CB221" s="1157"/>
    </row>
    <row r="222" spans="1:80" s="1148" customFormat="1" x14ac:dyDescent="0.3">
      <c r="A222" s="1146">
        <v>572</v>
      </c>
      <c r="B222" s="1174"/>
      <c r="C222" s="1169">
        <v>572</v>
      </c>
      <c r="D222" s="1167"/>
      <c r="E222" s="1155" t="s">
        <v>600</v>
      </c>
      <c r="F222" s="1156"/>
      <c r="G222" s="1156"/>
      <c r="H222" s="1156"/>
      <c r="I222" s="1156"/>
      <c r="J222" s="1156"/>
      <c r="K222" s="1156"/>
      <c r="L222" s="1157"/>
      <c r="M222" s="1157"/>
      <c r="N222" s="1157"/>
      <c r="O222" s="1157"/>
      <c r="P222" s="1157"/>
      <c r="Q222" s="1157"/>
      <c r="R222" s="1157"/>
      <c r="S222" s="1157"/>
      <c r="T222" s="1157"/>
      <c r="U222" s="1157"/>
      <c r="V222" s="1157"/>
      <c r="W222" s="1157"/>
      <c r="X222" s="1157"/>
      <c r="Y222" s="1157"/>
      <c r="Z222" s="1157"/>
      <c r="AA222" s="1157"/>
      <c r="AB222" s="1157"/>
      <c r="AC222" s="1157"/>
      <c r="AD222" s="1157"/>
      <c r="AE222" s="1157"/>
      <c r="AF222" s="1157"/>
      <c r="AG222" s="1157"/>
      <c r="AH222" s="1157"/>
      <c r="AI222" s="1157"/>
      <c r="AJ222" s="1157"/>
      <c r="AK222" s="1157"/>
      <c r="AL222" s="1157"/>
      <c r="AM222" s="1157"/>
      <c r="AN222" s="1157"/>
      <c r="AO222" s="1157"/>
      <c r="AP222" s="1157"/>
      <c r="AQ222" s="1157"/>
      <c r="AR222" s="1157"/>
      <c r="AS222" s="1157"/>
      <c r="AT222" s="1157"/>
      <c r="AU222" s="1157"/>
      <c r="AV222" s="1157"/>
      <c r="AW222" s="1157"/>
      <c r="AX222" s="1157"/>
      <c r="AY222" s="1157"/>
      <c r="AZ222" s="1157"/>
      <c r="BA222" s="1157"/>
      <c r="BB222" s="1157"/>
      <c r="BC222" s="1157"/>
      <c r="BD222" s="1157"/>
      <c r="BE222" s="1157"/>
      <c r="BF222" s="1157"/>
      <c r="BG222" s="1157"/>
      <c r="BH222" s="1157"/>
      <c r="BI222" s="1157"/>
      <c r="BJ222" s="1157"/>
      <c r="BK222" s="1157"/>
      <c r="BL222" s="1157"/>
      <c r="BM222" s="1157"/>
      <c r="BN222" s="1157"/>
      <c r="BO222" s="1157"/>
      <c r="BP222" s="1157"/>
      <c r="BQ222" s="1157"/>
      <c r="BR222" s="1157"/>
      <c r="BS222" s="1157"/>
      <c r="BT222" s="1157"/>
      <c r="BU222" s="1157"/>
      <c r="BV222" s="1157"/>
      <c r="BW222" s="1157"/>
      <c r="BX222" s="1157"/>
      <c r="BY222" s="1157"/>
      <c r="BZ222" s="1157"/>
      <c r="CA222" s="1157"/>
      <c r="CB222" s="1157"/>
    </row>
    <row r="223" spans="1:80" s="1148" customFormat="1" x14ac:dyDescent="0.3">
      <c r="A223" s="1146">
        <v>573</v>
      </c>
      <c r="B223" s="1174"/>
      <c r="C223" s="1169">
        <v>573</v>
      </c>
      <c r="D223" s="1167"/>
      <c r="E223" s="1155" t="s">
        <v>601</v>
      </c>
      <c r="F223" s="1156"/>
      <c r="G223" s="1156"/>
      <c r="H223" s="1156"/>
      <c r="I223" s="1156"/>
      <c r="J223" s="1156"/>
      <c r="K223" s="1156"/>
      <c r="L223" s="1157"/>
      <c r="M223" s="1157"/>
      <c r="N223" s="1157"/>
      <c r="O223" s="1157"/>
      <c r="P223" s="1157"/>
      <c r="Q223" s="1157"/>
      <c r="R223" s="1157"/>
      <c r="S223" s="1157"/>
      <c r="T223" s="1157"/>
      <c r="U223" s="1157"/>
      <c r="V223" s="1157"/>
      <c r="W223" s="1157"/>
      <c r="X223" s="1157"/>
      <c r="Y223" s="1157"/>
      <c r="Z223" s="1157"/>
      <c r="AA223" s="1157"/>
      <c r="AB223" s="1157"/>
      <c r="AC223" s="1157"/>
      <c r="AD223" s="1157"/>
      <c r="AE223" s="1157"/>
      <c r="AF223" s="1157"/>
      <c r="AG223" s="1157"/>
      <c r="AH223" s="1157"/>
      <c r="AI223" s="1157"/>
      <c r="AJ223" s="1157"/>
      <c r="AK223" s="1157"/>
      <c r="AL223" s="1157"/>
      <c r="AM223" s="1157"/>
      <c r="AN223" s="1157"/>
      <c r="AO223" s="1157"/>
      <c r="AP223" s="1157"/>
      <c r="AQ223" s="1157"/>
      <c r="AR223" s="1157"/>
      <c r="AS223" s="1157"/>
      <c r="AT223" s="1157"/>
      <c r="AU223" s="1157"/>
      <c r="AV223" s="1157"/>
      <c r="AW223" s="1157"/>
      <c r="AX223" s="1157"/>
      <c r="AY223" s="1157"/>
      <c r="AZ223" s="1157"/>
      <c r="BA223" s="1157"/>
      <c r="BB223" s="1157"/>
      <c r="BC223" s="1157"/>
      <c r="BD223" s="1157"/>
      <c r="BE223" s="1157"/>
      <c r="BF223" s="1157"/>
      <c r="BG223" s="1157"/>
      <c r="BH223" s="1157"/>
      <c r="BI223" s="1157"/>
      <c r="BJ223" s="1157"/>
      <c r="BK223" s="1157"/>
      <c r="BL223" s="1157"/>
      <c r="BM223" s="1157"/>
      <c r="BN223" s="1157"/>
      <c r="BO223" s="1157"/>
      <c r="BP223" s="1157"/>
      <c r="BQ223" s="1157"/>
      <c r="BR223" s="1157"/>
      <c r="BS223" s="1157"/>
      <c r="BT223" s="1157"/>
      <c r="BU223" s="1157"/>
      <c r="BV223" s="1157"/>
      <c r="BW223" s="1157"/>
      <c r="BX223" s="1157"/>
      <c r="BY223" s="1157"/>
      <c r="BZ223" s="1157"/>
      <c r="CA223" s="1157"/>
      <c r="CB223" s="1157"/>
    </row>
    <row r="224" spans="1:80" s="1148" customFormat="1" x14ac:dyDescent="0.3">
      <c r="A224" s="1146">
        <v>574</v>
      </c>
      <c r="B224" s="1174"/>
      <c r="C224" s="1169">
        <v>574</v>
      </c>
      <c r="D224" s="1167"/>
      <c r="E224" s="1155" t="s">
        <v>602</v>
      </c>
      <c r="F224" s="1156"/>
      <c r="G224" s="1156"/>
      <c r="H224" s="1156"/>
      <c r="I224" s="1156"/>
      <c r="J224" s="1156"/>
      <c r="K224" s="1156"/>
      <c r="L224" s="1157"/>
      <c r="M224" s="1157"/>
      <c r="N224" s="1157"/>
      <c r="O224" s="1157"/>
      <c r="P224" s="1157"/>
      <c r="Q224" s="1157"/>
      <c r="R224" s="1157"/>
      <c r="S224" s="1157"/>
      <c r="T224" s="1157"/>
      <c r="U224" s="1157"/>
      <c r="V224" s="1157"/>
      <c r="W224" s="1157"/>
      <c r="X224" s="1157"/>
      <c r="Y224" s="1157"/>
      <c r="Z224" s="1157"/>
      <c r="AA224" s="1157"/>
      <c r="AB224" s="1157"/>
      <c r="AC224" s="1157"/>
      <c r="AD224" s="1157"/>
      <c r="AE224" s="1157"/>
      <c r="AF224" s="1157"/>
      <c r="AG224" s="1157"/>
      <c r="AH224" s="1157"/>
      <c r="AI224" s="1157"/>
      <c r="AJ224" s="1157"/>
      <c r="AK224" s="1157"/>
      <c r="AL224" s="1157"/>
      <c r="AM224" s="1157"/>
      <c r="AN224" s="1157"/>
      <c r="AO224" s="1157"/>
      <c r="AP224" s="1157"/>
      <c r="AQ224" s="1157"/>
      <c r="AR224" s="1157"/>
      <c r="AS224" s="1157"/>
      <c r="AT224" s="1157"/>
      <c r="AU224" s="1157"/>
      <c r="AV224" s="1157"/>
      <c r="AW224" s="1157"/>
      <c r="AX224" s="1157"/>
      <c r="AY224" s="1157"/>
      <c r="AZ224" s="1157"/>
      <c r="BA224" s="1157"/>
      <c r="BB224" s="1157"/>
      <c r="BC224" s="1157"/>
      <c r="BD224" s="1157"/>
      <c r="BE224" s="1157"/>
      <c r="BF224" s="1157"/>
      <c r="BG224" s="1157"/>
      <c r="BH224" s="1157"/>
      <c r="BI224" s="1157"/>
      <c r="BJ224" s="1157"/>
      <c r="BK224" s="1157"/>
      <c r="BL224" s="1157"/>
      <c r="BM224" s="1157"/>
      <c r="BN224" s="1157"/>
      <c r="BO224" s="1157"/>
      <c r="BP224" s="1157"/>
      <c r="BQ224" s="1157"/>
      <c r="BR224" s="1157"/>
      <c r="BS224" s="1157"/>
      <c r="BT224" s="1157"/>
      <c r="BU224" s="1157"/>
      <c r="BV224" s="1157"/>
      <c r="BW224" s="1157"/>
      <c r="BX224" s="1157"/>
      <c r="BY224" s="1157"/>
      <c r="BZ224" s="1157"/>
      <c r="CA224" s="1157"/>
      <c r="CB224" s="1157"/>
    </row>
    <row r="225" spans="1:84" s="1148" customFormat="1" x14ac:dyDescent="0.3">
      <c r="A225" s="1153">
        <v>575</v>
      </c>
      <c r="B225" s="1175">
        <v>575</v>
      </c>
      <c r="C225" s="1175">
        <v>575</v>
      </c>
      <c r="D225" s="1175" t="s">
        <v>547</v>
      </c>
      <c r="E225" s="1155" t="s">
        <v>643</v>
      </c>
      <c r="F225" s="1156">
        <v>0</v>
      </c>
      <c r="G225" s="1156">
        <v>0</v>
      </c>
      <c r="H225" s="1156">
        <v>0</v>
      </c>
      <c r="I225" s="1156">
        <v>0</v>
      </c>
      <c r="J225" s="1156">
        <v>0</v>
      </c>
      <c r="K225" s="1156">
        <v>0</v>
      </c>
      <c r="L225" s="1157">
        <v>0</v>
      </c>
      <c r="M225" s="1157">
        <v>0</v>
      </c>
      <c r="N225" s="1157">
        <v>0</v>
      </c>
      <c r="O225" s="1157">
        <v>0</v>
      </c>
      <c r="P225" s="1157">
        <v>0</v>
      </c>
      <c r="Q225" s="1157">
        <v>50000</v>
      </c>
      <c r="R225" s="1157">
        <v>0</v>
      </c>
      <c r="S225" s="1157">
        <v>0</v>
      </c>
      <c r="T225" s="1157">
        <v>0</v>
      </c>
      <c r="U225" s="1157">
        <v>0</v>
      </c>
      <c r="V225" s="1157">
        <v>0</v>
      </c>
      <c r="W225" s="1157">
        <v>0</v>
      </c>
      <c r="X225" s="1157">
        <v>0</v>
      </c>
      <c r="Y225" s="1157">
        <v>0</v>
      </c>
      <c r="Z225" s="1157">
        <v>0</v>
      </c>
      <c r="AA225" s="1157">
        <v>0</v>
      </c>
      <c r="AB225" s="1157">
        <v>0</v>
      </c>
      <c r="AC225" s="1157">
        <v>0</v>
      </c>
      <c r="AD225" s="1157">
        <v>6008</v>
      </c>
      <c r="AE225" s="1157">
        <v>0</v>
      </c>
      <c r="AF225" s="1157">
        <v>54400</v>
      </c>
      <c r="AG225" s="1157">
        <v>0</v>
      </c>
      <c r="AH225" s="1157">
        <v>0</v>
      </c>
      <c r="AI225" s="1157">
        <v>0</v>
      </c>
      <c r="AJ225" s="1157">
        <v>0</v>
      </c>
      <c r="AK225" s="1157">
        <v>0</v>
      </c>
      <c r="AL225" s="1157">
        <v>0</v>
      </c>
      <c r="AM225" s="1157">
        <v>0</v>
      </c>
      <c r="AN225" s="1157">
        <v>0</v>
      </c>
      <c r="AO225" s="1157">
        <v>0</v>
      </c>
      <c r="AP225" s="1157">
        <v>0</v>
      </c>
      <c r="AQ225" s="1157">
        <v>0</v>
      </c>
      <c r="AR225" s="1157">
        <v>0</v>
      </c>
      <c r="AS225" s="1157">
        <v>0</v>
      </c>
      <c r="AT225" s="1157">
        <v>351333</v>
      </c>
      <c r="AU225" s="1157">
        <v>0</v>
      </c>
      <c r="AV225" s="1157">
        <v>177568</v>
      </c>
      <c r="AW225" s="1157">
        <v>0</v>
      </c>
      <c r="AX225" s="1157">
        <v>0</v>
      </c>
      <c r="AY225" s="1157">
        <v>0</v>
      </c>
      <c r="AZ225" s="1157">
        <v>0</v>
      </c>
      <c r="BA225" s="1157">
        <v>67034</v>
      </c>
      <c r="BB225" s="1157">
        <v>0</v>
      </c>
      <c r="BC225" s="1157">
        <v>0</v>
      </c>
      <c r="BD225" s="1157">
        <v>0</v>
      </c>
      <c r="BE225" s="1157">
        <v>199882</v>
      </c>
      <c r="BF225" s="1157">
        <v>0</v>
      </c>
      <c r="BG225" s="1157">
        <v>0</v>
      </c>
      <c r="BH225" s="1157">
        <v>72743</v>
      </c>
      <c r="BI225" s="1157">
        <v>0</v>
      </c>
      <c r="BJ225" s="1157">
        <v>0</v>
      </c>
      <c r="BK225" s="1157">
        <v>0</v>
      </c>
      <c r="BL225" s="1157">
        <v>0</v>
      </c>
      <c r="BM225" s="1157">
        <v>0</v>
      </c>
      <c r="BN225" s="1157">
        <v>0</v>
      </c>
      <c r="BO225" s="1157">
        <v>420371</v>
      </c>
      <c r="BP225" s="1157">
        <v>0</v>
      </c>
      <c r="BQ225" s="1157">
        <v>0</v>
      </c>
      <c r="BR225" s="1157">
        <v>0</v>
      </c>
      <c r="BS225" s="1157">
        <v>0</v>
      </c>
      <c r="BT225" s="1157">
        <v>0</v>
      </c>
      <c r="BU225" s="1157">
        <v>0</v>
      </c>
      <c r="BV225" s="1157">
        <v>0</v>
      </c>
      <c r="BW225" s="1157">
        <v>0</v>
      </c>
      <c r="BX225" s="1157">
        <v>0</v>
      </c>
      <c r="BY225" s="1157">
        <v>0</v>
      </c>
      <c r="BZ225" s="1157">
        <v>0</v>
      </c>
      <c r="CA225" s="1157">
        <v>14533</v>
      </c>
      <c r="CB225" s="1157">
        <v>18767</v>
      </c>
      <c r="CC225" s="1148">
        <v>0</v>
      </c>
      <c r="CD225" s="1148">
        <v>57726</v>
      </c>
      <c r="CE225" s="1148">
        <v>0</v>
      </c>
      <c r="CF225" s="1148">
        <v>0</v>
      </c>
    </row>
    <row r="226" spans="1:84" s="1148" customFormat="1" x14ac:dyDescent="0.3">
      <c r="A226" s="1153">
        <v>576</v>
      </c>
      <c r="B226" s="1175">
        <v>576</v>
      </c>
      <c r="C226" s="1175">
        <v>576</v>
      </c>
      <c r="D226" s="1175" t="s">
        <v>548</v>
      </c>
      <c r="E226" s="1155" t="s">
        <v>644</v>
      </c>
      <c r="F226" s="1156">
        <v>0</v>
      </c>
      <c r="G226" s="1156">
        <v>0</v>
      </c>
      <c r="H226" s="1156">
        <v>0</v>
      </c>
      <c r="I226" s="1156">
        <v>0</v>
      </c>
      <c r="J226" s="1156">
        <v>0</v>
      </c>
      <c r="K226" s="1156">
        <v>0</v>
      </c>
      <c r="L226" s="1157">
        <v>0</v>
      </c>
      <c r="M226" s="1157">
        <v>0</v>
      </c>
      <c r="N226" s="1157">
        <v>0</v>
      </c>
      <c r="O226" s="1157">
        <v>0</v>
      </c>
      <c r="P226" s="1157">
        <v>0</v>
      </c>
      <c r="Q226" s="1157">
        <v>0</v>
      </c>
      <c r="R226" s="1157">
        <v>0</v>
      </c>
      <c r="S226" s="1157">
        <v>1131160</v>
      </c>
      <c r="T226" s="1157">
        <v>0</v>
      </c>
      <c r="U226" s="1157">
        <v>0</v>
      </c>
      <c r="V226" s="1157">
        <v>0</v>
      </c>
      <c r="W226" s="1157">
        <v>0</v>
      </c>
      <c r="X226" s="1157">
        <v>0</v>
      </c>
      <c r="Y226" s="1157">
        <v>0</v>
      </c>
      <c r="Z226" s="1157">
        <v>4173</v>
      </c>
      <c r="AA226" s="1157">
        <v>108415</v>
      </c>
      <c r="AB226" s="1157">
        <v>0</v>
      </c>
      <c r="AC226" s="1157">
        <v>0</v>
      </c>
      <c r="AD226" s="1157">
        <v>0</v>
      </c>
      <c r="AE226" s="1157">
        <v>1991</v>
      </c>
      <c r="AF226" s="1157">
        <v>0</v>
      </c>
      <c r="AG226" s="1157">
        <v>0</v>
      </c>
      <c r="AH226" s="1157">
        <v>0</v>
      </c>
      <c r="AI226" s="1157">
        <v>0</v>
      </c>
      <c r="AJ226" s="1157">
        <v>0</v>
      </c>
      <c r="AK226" s="1157">
        <v>1094804</v>
      </c>
      <c r="AL226" s="1157">
        <v>0</v>
      </c>
      <c r="AM226" s="1157">
        <v>0</v>
      </c>
      <c r="AN226" s="1157">
        <v>0</v>
      </c>
      <c r="AO226" s="1157">
        <v>75631</v>
      </c>
      <c r="AP226" s="1157">
        <v>0</v>
      </c>
      <c r="AQ226" s="1157">
        <v>13182</v>
      </c>
      <c r="AR226" s="1157">
        <v>0</v>
      </c>
      <c r="AS226" s="1157">
        <v>0</v>
      </c>
      <c r="AT226" s="1157">
        <v>0</v>
      </c>
      <c r="AU226" s="1157">
        <v>0</v>
      </c>
      <c r="AV226" s="1157">
        <v>0</v>
      </c>
      <c r="AW226" s="1157">
        <v>0</v>
      </c>
      <c r="AX226" s="1157">
        <v>0</v>
      </c>
      <c r="AY226" s="1157">
        <v>0</v>
      </c>
      <c r="AZ226" s="1157">
        <v>0</v>
      </c>
      <c r="BA226" s="1157">
        <v>0</v>
      </c>
      <c r="BB226" s="1157">
        <v>0</v>
      </c>
      <c r="BC226" s="1157">
        <v>0</v>
      </c>
      <c r="BD226" s="1157">
        <v>0</v>
      </c>
      <c r="BE226" s="1157">
        <v>0</v>
      </c>
      <c r="BF226" s="1157">
        <v>0</v>
      </c>
      <c r="BG226" s="1157">
        <v>0</v>
      </c>
      <c r="BH226" s="1157">
        <v>0</v>
      </c>
      <c r="BI226" s="1157">
        <v>13361</v>
      </c>
      <c r="BJ226" s="1157">
        <v>0</v>
      </c>
      <c r="BK226" s="1157">
        <v>0</v>
      </c>
      <c r="BL226" s="1157">
        <v>0</v>
      </c>
      <c r="BM226" s="1157">
        <v>0</v>
      </c>
      <c r="BN226" s="1157">
        <v>0</v>
      </c>
      <c r="BO226" s="1157">
        <v>0</v>
      </c>
      <c r="BP226" s="1157">
        <v>0</v>
      </c>
      <c r="BQ226" s="1157">
        <v>27569</v>
      </c>
      <c r="BR226" s="1157">
        <v>0</v>
      </c>
      <c r="BS226" s="1157">
        <v>0</v>
      </c>
      <c r="BT226" s="1157">
        <v>32063</v>
      </c>
      <c r="BU226" s="1157">
        <v>0</v>
      </c>
      <c r="BV226" s="1157">
        <v>33313</v>
      </c>
      <c r="BW226" s="1157">
        <v>0</v>
      </c>
      <c r="BX226" s="1157">
        <v>0</v>
      </c>
      <c r="BY226" s="1157">
        <v>0</v>
      </c>
      <c r="BZ226" s="1157">
        <v>0</v>
      </c>
      <c r="CA226" s="1157">
        <v>0</v>
      </c>
      <c r="CB226" s="1157">
        <v>0</v>
      </c>
      <c r="CC226" s="1148">
        <v>0</v>
      </c>
      <c r="CD226" s="1148">
        <v>0</v>
      </c>
      <c r="CE226" s="1148">
        <v>0</v>
      </c>
      <c r="CF226" s="1148">
        <v>8737</v>
      </c>
    </row>
    <row r="227" spans="1:84" s="1148" customFormat="1" x14ac:dyDescent="0.3">
      <c r="A227" s="1153">
        <v>577</v>
      </c>
      <c r="B227" s="1175">
        <v>577</v>
      </c>
      <c r="C227" s="1175">
        <v>577</v>
      </c>
      <c r="D227" s="1175" t="s">
        <v>645</v>
      </c>
      <c r="E227" s="1155" t="s">
        <v>646</v>
      </c>
      <c r="F227" s="1156">
        <v>0</v>
      </c>
      <c r="G227" s="1156">
        <v>2</v>
      </c>
      <c r="H227" s="1156">
        <v>2</v>
      </c>
      <c r="I227" s="1156">
        <v>2</v>
      </c>
      <c r="J227" s="1156">
        <v>2</v>
      </c>
      <c r="K227" s="1156">
        <v>2</v>
      </c>
      <c r="L227" s="1157">
        <v>2</v>
      </c>
      <c r="M227" s="1157">
        <v>2</v>
      </c>
      <c r="N227" s="1157">
        <v>0</v>
      </c>
      <c r="O227" s="1157">
        <v>0</v>
      </c>
      <c r="P227" s="1157">
        <v>2</v>
      </c>
      <c r="Q227" s="1157">
        <v>0</v>
      </c>
      <c r="R227" s="1157">
        <v>0</v>
      </c>
      <c r="S227" s="1157">
        <v>2</v>
      </c>
      <c r="T227" s="1157">
        <v>0</v>
      </c>
      <c r="U227" s="1157">
        <v>2</v>
      </c>
      <c r="V227" s="1157">
        <v>2</v>
      </c>
      <c r="W227" s="1157">
        <v>2</v>
      </c>
      <c r="X227" s="1157">
        <v>2</v>
      </c>
      <c r="Y227" s="1157">
        <v>2</v>
      </c>
      <c r="Z227" s="1157">
        <v>2</v>
      </c>
      <c r="AA227" s="1157">
        <v>1</v>
      </c>
      <c r="AB227" s="1157">
        <v>2</v>
      </c>
      <c r="AC227" s="1157">
        <v>2</v>
      </c>
      <c r="AD227" s="1157">
        <v>2</v>
      </c>
      <c r="AE227" s="1157">
        <v>2</v>
      </c>
      <c r="AF227" s="1157">
        <v>2</v>
      </c>
      <c r="AG227" s="1157">
        <v>2</v>
      </c>
      <c r="AH227" s="1157">
        <v>2</v>
      </c>
      <c r="AI227" s="1157">
        <v>2</v>
      </c>
      <c r="AJ227" s="1157">
        <v>2</v>
      </c>
      <c r="AK227" s="1157">
        <v>2</v>
      </c>
      <c r="AL227" s="1157">
        <v>2</v>
      </c>
      <c r="AM227" s="1157">
        <v>2</v>
      </c>
      <c r="AN227" s="1157">
        <v>0</v>
      </c>
      <c r="AO227" s="1157">
        <v>2</v>
      </c>
      <c r="AP227" s="1157">
        <v>0</v>
      </c>
      <c r="AQ227" s="1157">
        <v>2</v>
      </c>
      <c r="AR227" s="1157">
        <v>2</v>
      </c>
      <c r="AS227" s="1157">
        <v>2</v>
      </c>
      <c r="AT227" s="1157">
        <v>2</v>
      </c>
      <c r="AU227" s="1157">
        <v>2</v>
      </c>
      <c r="AV227" s="1157">
        <v>2</v>
      </c>
      <c r="AW227" s="1157">
        <v>0</v>
      </c>
      <c r="AX227" s="1157">
        <v>2</v>
      </c>
      <c r="AY227" s="1157">
        <v>2</v>
      </c>
      <c r="AZ227" s="1157">
        <v>2</v>
      </c>
      <c r="BA227" s="1157">
        <v>2</v>
      </c>
      <c r="BB227" s="1157">
        <v>2</v>
      </c>
      <c r="BC227" s="1157">
        <v>2</v>
      </c>
      <c r="BD227" s="1157">
        <v>0</v>
      </c>
      <c r="BE227" s="1157">
        <v>2</v>
      </c>
      <c r="BF227" s="1157">
        <v>2</v>
      </c>
      <c r="BG227" s="1157">
        <v>0</v>
      </c>
      <c r="BH227" s="1157">
        <v>2</v>
      </c>
      <c r="BI227" s="1157">
        <v>2</v>
      </c>
      <c r="BJ227" s="1157">
        <v>2</v>
      </c>
      <c r="BK227" s="1157">
        <v>2</v>
      </c>
      <c r="BL227" s="1157">
        <v>2</v>
      </c>
      <c r="BM227" s="1157">
        <v>2</v>
      </c>
      <c r="BN227" s="1157">
        <v>0</v>
      </c>
      <c r="BO227" s="1157">
        <v>2</v>
      </c>
      <c r="BP227" s="1157">
        <v>2</v>
      </c>
      <c r="BQ227" s="1157">
        <v>2</v>
      </c>
      <c r="BR227" s="1157">
        <v>2</v>
      </c>
      <c r="BS227" s="1157">
        <v>2</v>
      </c>
      <c r="BT227" s="1157">
        <v>2</v>
      </c>
      <c r="BU227" s="1157">
        <v>2</v>
      </c>
      <c r="BV227" s="1157">
        <v>2</v>
      </c>
      <c r="BW227" s="1157">
        <v>2</v>
      </c>
      <c r="BX227" s="1157">
        <v>2</v>
      </c>
      <c r="BY227" s="1157">
        <v>0</v>
      </c>
      <c r="BZ227" s="1157">
        <v>2</v>
      </c>
      <c r="CA227" s="1157">
        <v>2</v>
      </c>
      <c r="CB227" s="1157">
        <v>2</v>
      </c>
      <c r="CC227" s="1148">
        <v>2</v>
      </c>
      <c r="CD227" s="1148">
        <v>2</v>
      </c>
      <c r="CE227" s="1148">
        <v>0</v>
      </c>
      <c r="CF227" s="1148">
        <v>2</v>
      </c>
    </row>
    <row r="228" spans="1:84" s="1148" customFormat="1" x14ac:dyDescent="0.3">
      <c r="A228" s="1153">
        <v>578</v>
      </c>
      <c r="B228" s="1175">
        <v>578</v>
      </c>
      <c r="C228" s="1175">
        <v>578</v>
      </c>
      <c r="D228" s="1175" t="s">
        <v>647</v>
      </c>
      <c r="E228" s="1155" t="s">
        <v>648</v>
      </c>
      <c r="F228" s="1156">
        <v>0</v>
      </c>
      <c r="G228" s="1156">
        <v>0</v>
      </c>
      <c r="H228" s="1156">
        <v>0</v>
      </c>
      <c r="I228" s="1156">
        <v>0</v>
      </c>
      <c r="J228" s="1156">
        <v>0</v>
      </c>
      <c r="K228" s="1156">
        <v>0</v>
      </c>
      <c r="L228" s="1157">
        <v>0</v>
      </c>
      <c r="M228" s="1157">
        <v>0</v>
      </c>
      <c r="N228" s="1157">
        <v>0</v>
      </c>
      <c r="O228" s="1157">
        <v>0</v>
      </c>
      <c r="P228" s="1157">
        <v>0</v>
      </c>
      <c r="Q228" s="1157">
        <v>0</v>
      </c>
      <c r="R228" s="1157">
        <v>0</v>
      </c>
      <c r="S228" s="1157">
        <v>0</v>
      </c>
      <c r="T228" s="1157">
        <v>0</v>
      </c>
      <c r="U228" s="1157">
        <v>0</v>
      </c>
      <c r="V228" s="1157">
        <v>0</v>
      </c>
      <c r="W228" s="1157">
        <v>0</v>
      </c>
      <c r="X228" s="1157">
        <v>0</v>
      </c>
      <c r="Y228" s="1157">
        <v>0</v>
      </c>
      <c r="Z228" s="1157">
        <v>0</v>
      </c>
      <c r="AA228" s="1157">
        <v>0</v>
      </c>
      <c r="AB228" s="1157">
        <v>0</v>
      </c>
      <c r="AC228" s="1157">
        <v>0</v>
      </c>
      <c r="AD228" s="1157">
        <v>0</v>
      </c>
      <c r="AE228" s="1157">
        <v>0</v>
      </c>
      <c r="AF228" s="1157">
        <v>0</v>
      </c>
      <c r="AG228" s="1157">
        <v>0</v>
      </c>
      <c r="AH228" s="1157">
        <v>0</v>
      </c>
      <c r="AI228" s="1157">
        <v>0</v>
      </c>
      <c r="AJ228" s="1157">
        <v>0</v>
      </c>
      <c r="AK228" s="1157">
        <v>0</v>
      </c>
      <c r="AL228" s="1157">
        <v>0</v>
      </c>
      <c r="AM228" s="1157">
        <v>0</v>
      </c>
      <c r="AN228" s="1157">
        <v>0</v>
      </c>
      <c r="AO228" s="1157">
        <v>0</v>
      </c>
      <c r="AP228" s="1157">
        <v>0</v>
      </c>
      <c r="AQ228" s="1157">
        <v>0</v>
      </c>
      <c r="AR228" s="1157">
        <v>0</v>
      </c>
      <c r="AS228" s="1157">
        <v>0</v>
      </c>
      <c r="AT228" s="1157">
        <v>0</v>
      </c>
      <c r="AU228" s="1157">
        <v>0</v>
      </c>
      <c r="AV228" s="1157">
        <v>0</v>
      </c>
      <c r="AW228" s="1157">
        <v>0</v>
      </c>
      <c r="AX228" s="1157">
        <v>0</v>
      </c>
      <c r="AY228" s="1157">
        <v>0</v>
      </c>
      <c r="AZ228" s="1157">
        <v>0</v>
      </c>
      <c r="BA228" s="1157">
        <v>0</v>
      </c>
      <c r="BB228" s="1157">
        <v>0</v>
      </c>
      <c r="BC228" s="1157">
        <v>0</v>
      </c>
      <c r="BD228" s="1157">
        <v>0</v>
      </c>
      <c r="BE228" s="1157">
        <v>199882</v>
      </c>
      <c r="BF228" s="1157">
        <v>0</v>
      </c>
      <c r="BG228" s="1157">
        <v>0</v>
      </c>
      <c r="BH228" s="1157">
        <v>0</v>
      </c>
      <c r="BI228" s="1157">
        <v>0</v>
      </c>
      <c r="BJ228" s="1157">
        <v>0</v>
      </c>
      <c r="BK228" s="1157">
        <v>0</v>
      </c>
      <c r="BL228" s="1157">
        <v>0</v>
      </c>
      <c r="BM228" s="1157">
        <v>0</v>
      </c>
      <c r="BN228" s="1157">
        <v>0</v>
      </c>
      <c r="BO228" s="1157">
        <v>0</v>
      </c>
      <c r="BP228" s="1157">
        <v>0</v>
      </c>
      <c r="BQ228" s="1157">
        <v>0</v>
      </c>
      <c r="BR228" s="1157">
        <v>0</v>
      </c>
      <c r="BS228" s="1157">
        <v>0</v>
      </c>
      <c r="BT228" s="1157">
        <v>0</v>
      </c>
      <c r="BU228" s="1157">
        <v>0</v>
      </c>
      <c r="BV228" s="1157">
        <v>0</v>
      </c>
      <c r="BW228" s="1157">
        <v>0</v>
      </c>
      <c r="BX228" s="1157">
        <v>0</v>
      </c>
      <c r="BY228" s="1157">
        <v>0</v>
      </c>
      <c r="BZ228" s="1157">
        <v>0</v>
      </c>
      <c r="CA228" s="1157">
        <v>0</v>
      </c>
      <c r="CB228" s="1157">
        <v>0</v>
      </c>
      <c r="CC228" s="1148">
        <v>0</v>
      </c>
      <c r="CD228" s="1148">
        <v>0</v>
      </c>
      <c r="CE228" s="1148">
        <v>0</v>
      </c>
      <c r="CF228" s="1148">
        <v>0</v>
      </c>
    </row>
    <row r="229" spans="1:84" s="1148" customFormat="1" x14ac:dyDescent="0.3">
      <c r="A229" s="1153">
        <v>579</v>
      </c>
      <c r="B229" s="1175">
        <v>579</v>
      </c>
      <c r="C229" s="1175">
        <v>579</v>
      </c>
      <c r="D229" s="1175" t="s">
        <v>649</v>
      </c>
      <c r="E229" s="1155" t="s">
        <v>650</v>
      </c>
      <c r="F229" s="1156">
        <v>0</v>
      </c>
      <c r="G229" s="1156">
        <v>0</v>
      </c>
      <c r="H229" s="1156">
        <v>0</v>
      </c>
      <c r="I229" s="1156">
        <v>0</v>
      </c>
      <c r="J229" s="1156">
        <v>0</v>
      </c>
      <c r="K229" s="1156">
        <v>0</v>
      </c>
      <c r="L229" s="1157">
        <v>0</v>
      </c>
      <c r="M229" s="1157">
        <v>0</v>
      </c>
      <c r="N229" s="1157">
        <v>0</v>
      </c>
      <c r="O229" s="1157">
        <v>0</v>
      </c>
      <c r="P229" s="1157">
        <v>0</v>
      </c>
      <c r="Q229" s="1157">
        <v>0</v>
      </c>
      <c r="R229" s="1157">
        <v>0</v>
      </c>
      <c r="S229" s="1157">
        <v>0</v>
      </c>
      <c r="T229" s="1157">
        <v>0</v>
      </c>
      <c r="U229" s="1157">
        <v>0</v>
      </c>
      <c r="V229" s="1157">
        <v>0</v>
      </c>
      <c r="W229" s="1157">
        <v>0</v>
      </c>
      <c r="X229" s="1157">
        <v>1881698</v>
      </c>
      <c r="Y229" s="1157">
        <v>0</v>
      </c>
      <c r="Z229" s="1157">
        <v>4173</v>
      </c>
      <c r="AA229" s="1157">
        <v>0</v>
      </c>
      <c r="AB229" s="1157">
        <v>0</v>
      </c>
      <c r="AC229" s="1157">
        <v>0</v>
      </c>
      <c r="AD229" s="1157">
        <v>0</v>
      </c>
      <c r="AE229" s="1157">
        <v>0</v>
      </c>
      <c r="AF229" s="1157">
        <v>0</v>
      </c>
      <c r="AG229" s="1157">
        <v>0</v>
      </c>
      <c r="AH229" s="1157">
        <v>0</v>
      </c>
      <c r="AI229" s="1157">
        <v>0</v>
      </c>
      <c r="AJ229" s="1157">
        <v>0</v>
      </c>
      <c r="AK229" s="1157">
        <v>0</v>
      </c>
      <c r="AL229" s="1157">
        <v>0</v>
      </c>
      <c r="AM229" s="1157">
        <v>0</v>
      </c>
      <c r="AN229" s="1157">
        <v>0</v>
      </c>
      <c r="AO229" s="1157">
        <v>0</v>
      </c>
      <c r="AP229" s="1157">
        <v>0</v>
      </c>
      <c r="AQ229" s="1157">
        <v>0</v>
      </c>
      <c r="AR229" s="1157">
        <v>0</v>
      </c>
      <c r="AS229" s="1157">
        <v>0</v>
      </c>
      <c r="AT229" s="1157">
        <v>0</v>
      </c>
      <c r="AU229" s="1157">
        <v>0</v>
      </c>
      <c r="AV229" s="1157">
        <v>0</v>
      </c>
      <c r="AW229" s="1157">
        <v>0</v>
      </c>
      <c r="AX229" s="1157">
        <v>0</v>
      </c>
      <c r="AY229" s="1157">
        <v>0</v>
      </c>
      <c r="AZ229" s="1157">
        <v>0</v>
      </c>
      <c r="BA229" s="1157">
        <v>0</v>
      </c>
      <c r="BB229" s="1157">
        <v>0</v>
      </c>
      <c r="BC229" s="1157">
        <v>0</v>
      </c>
      <c r="BD229" s="1157">
        <v>0</v>
      </c>
      <c r="BE229" s="1157">
        <v>0</v>
      </c>
      <c r="BF229" s="1157">
        <v>0</v>
      </c>
      <c r="BG229" s="1157">
        <v>0</v>
      </c>
      <c r="BH229" s="1157">
        <v>0</v>
      </c>
      <c r="BI229" s="1157">
        <v>0</v>
      </c>
      <c r="BJ229" s="1157">
        <v>0</v>
      </c>
      <c r="BK229" s="1157">
        <v>0</v>
      </c>
      <c r="BL229" s="1157">
        <v>0</v>
      </c>
      <c r="BM229" s="1157">
        <v>0</v>
      </c>
      <c r="BN229" s="1157">
        <v>0</v>
      </c>
      <c r="BO229" s="1157">
        <v>0</v>
      </c>
      <c r="BP229" s="1157">
        <v>0</v>
      </c>
      <c r="BQ229" s="1157">
        <v>0</v>
      </c>
      <c r="BR229" s="1157">
        <v>0</v>
      </c>
      <c r="BS229" s="1157">
        <v>0</v>
      </c>
      <c r="BT229" s="1157">
        <v>0</v>
      </c>
      <c r="BU229" s="1157">
        <v>0</v>
      </c>
      <c r="BV229" s="1157">
        <v>0</v>
      </c>
      <c r="BW229" s="1157">
        <v>0</v>
      </c>
      <c r="BX229" s="1157">
        <v>0</v>
      </c>
      <c r="BY229" s="1157">
        <v>0</v>
      </c>
      <c r="BZ229" s="1157">
        <v>0</v>
      </c>
      <c r="CA229" s="1157">
        <v>0</v>
      </c>
      <c r="CB229" s="1157">
        <v>0</v>
      </c>
      <c r="CC229" s="1148">
        <v>0</v>
      </c>
      <c r="CD229" s="1148">
        <v>0</v>
      </c>
      <c r="CE229" s="1148">
        <v>0</v>
      </c>
      <c r="CF229" s="1148">
        <v>0</v>
      </c>
    </row>
    <row r="230" spans="1:84" s="1148" customFormat="1" x14ac:dyDescent="0.3">
      <c r="A230" s="1153">
        <v>580</v>
      </c>
      <c r="B230" s="1175">
        <v>580</v>
      </c>
      <c r="C230" s="1175">
        <v>580</v>
      </c>
      <c r="D230" s="1175" t="s">
        <v>651</v>
      </c>
      <c r="E230" s="1155" t="s">
        <v>652</v>
      </c>
      <c r="F230" s="1156">
        <v>0</v>
      </c>
      <c r="G230" s="1156">
        <v>0</v>
      </c>
      <c r="H230" s="1156">
        <v>0</v>
      </c>
      <c r="I230" s="1156">
        <v>0</v>
      </c>
      <c r="J230" s="1156">
        <v>0</v>
      </c>
      <c r="K230" s="1156">
        <v>0</v>
      </c>
      <c r="L230" s="1157">
        <v>0</v>
      </c>
      <c r="M230" s="1157">
        <v>0</v>
      </c>
      <c r="N230" s="1157">
        <v>0</v>
      </c>
      <c r="O230" s="1157">
        <v>0</v>
      </c>
      <c r="P230" s="1157">
        <v>0</v>
      </c>
      <c r="Q230" s="1157">
        <v>0</v>
      </c>
      <c r="R230" s="1157">
        <v>0</v>
      </c>
      <c r="S230" s="1157">
        <v>0</v>
      </c>
      <c r="T230" s="1157">
        <v>0</v>
      </c>
      <c r="U230" s="1157">
        <v>0</v>
      </c>
      <c r="V230" s="1157">
        <v>0</v>
      </c>
      <c r="W230" s="1157">
        <v>0</v>
      </c>
      <c r="X230" s="1157">
        <v>0</v>
      </c>
      <c r="Y230" s="1157">
        <v>0</v>
      </c>
      <c r="Z230" s="1157">
        <v>0</v>
      </c>
      <c r="AA230" s="1157">
        <v>0</v>
      </c>
      <c r="AB230" s="1157">
        <v>0</v>
      </c>
      <c r="AC230" s="1157">
        <v>0</v>
      </c>
      <c r="AD230" s="1157">
        <v>0</v>
      </c>
      <c r="AE230" s="1157">
        <v>0</v>
      </c>
      <c r="AF230" s="1157">
        <v>0</v>
      </c>
      <c r="AG230" s="1157">
        <v>0</v>
      </c>
      <c r="AH230" s="1157">
        <v>0</v>
      </c>
      <c r="AI230" s="1157">
        <v>0</v>
      </c>
      <c r="AJ230" s="1157">
        <v>0</v>
      </c>
      <c r="AK230" s="1157">
        <v>0</v>
      </c>
      <c r="AL230" s="1157">
        <v>0</v>
      </c>
      <c r="AM230" s="1157">
        <v>0</v>
      </c>
      <c r="AN230" s="1157">
        <v>0</v>
      </c>
      <c r="AO230" s="1157">
        <v>0</v>
      </c>
      <c r="AP230" s="1157">
        <v>0</v>
      </c>
      <c r="AQ230" s="1157">
        <v>0</v>
      </c>
      <c r="AR230" s="1157">
        <v>0</v>
      </c>
      <c r="AS230" s="1157">
        <v>0</v>
      </c>
      <c r="AT230" s="1157">
        <v>0</v>
      </c>
      <c r="AU230" s="1157">
        <v>0</v>
      </c>
      <c r="AV230" s="1157">
        <v>0</v>
      </c>
      <c r="AW230" s="1157">
        <v>0</v>
      </c>
      <c r="AX230" s="1157">
        <v>0</v>
      </c>
      <c r="AY230" s="1157">
        <v>0</v>
      </c>
      <c r="AZ230" s="1157">
        <v>0</v>
      </c>
      <c r="BA230" s="1157">
        <v>0</v>
      </c>
      <c r="BB230" s="1157">
        <v>0</v>
      </c>
      <c r="BC230" s="1157">
        <v>0</v>
      </c>
      <c r="BD230" s="1157">
        <v>0</v>
      </c>
      <c r="BE230" s="1157">
        <v>0</v>
      </c>
      <c r="BF230" s="1157">
        <v>0</v>
      </c>
      <c r="BG230" s="1157">
        <v>0</v>
      </c>
      <c r="BH230" s="1157">
        <v>0</v>
      </c>
      <c r="BI230" s="1157">
        <v>0</v>
      </c>
      <c r="BJ230" s="1157">
        <v>0</v>
      </c>
      <c r="BK230" s="1157">
        <v>0</v>
      </c>
      <c r="BL230" s="1157">
        <v>0</v>
      </c>
      <c r="BM230" s="1157">
        <v>0</v>
      </c>
      <c r="BN230" s="1157">
        <v>0</v>
      </c>
      <c r="BO230" s="1157">
        <v>0</v>
      </c>
      <c r="BP230" s="1157">
        <v>0</v>
      </c>
      <c r="BQ230" s="1157">
        <v>0</v>
      </c>
      <c r="BR230" s="1157">
        <v>0</v>
      </c>
      <c r="BS230" s="1157">
        <v>0</v>
      </c>
      <c r="BT230" s="1157">
        <v>0</v>
      </c>
      <c r="BU230" s="1157">
        <v>0</v>
      </c>
      <c r="BV230" s="1157">
        <v>0</v>
      </c>
      <c r="BW230" s="1157">
        <v>0</v>
      </c>
      <c r="BX230" s="1157">
        <v>0</v>
      </c>
      <c r="BY230" s="1157">
        <v>0</v>
      </c>
      <c r="BZ230" s="1157">
        <v>0</v>
      </c>
      <c r="CA230" s="1157">
        <v>0</v>
      </c>
      <c r="CB230" s="1157">
        <v>0</v>
      </c>
      <c r="CC230" s="1148">
        <v>0</v>
      </c>
      <c r="CD230" s="1148">
        <v>0</v>
      </c>
      <c r="CE230" s="1148">
        <v>0</v>
      </c>
      <c r="CF230" s="1148">
        <v>0</v>
      </c>
    </row>
    <row r="231" spans="1:84" s="1148" customFormat="1" x14ac:dyDescent="0.3">
      <c r="A231" s="1153">
        <v>581</v>
      </c>
      <c r="B231" s="1175">
        <v>581</v>
      </c>
      <c r="C231" s="1175">
        <v>581</v>
      </c>
      <c r="D231" s="1175" t="s">
        <v>653</v>
      </c>
      <c r="E231" s="1155" t="s">
        <v>654</v>
      </c>
      <c r="F231" s="1156">
        <v>0</v>
      </c>
      <c r="G231" s="1156">
        <v>0</v>
      </c>
      <c r="H231" s="1156">
        <v>0</v>
      </c>
      <c r="I231" s="1156">
        <v>0</v>
      </c>
      <c r="J231" s="1156">
        <v>0</v>
      </c>
      <c r="K231" s="1156">
        <v>0</v>
      </c>
      <c r="L231" s="1157">
        <v>0</v>
      </c>
      <c r="M231" s="1157">
        <v>0</v>
      </c>
      <c r="N231" s="1157">
        <v>0</v>
      </c>
      <c r="O231" s="1157">
        <v>0</v>
      </c>
      <c r="P231" s="1157">
        <v>0</v>
      </c>
      <c r="Q231" s="1157">
        <v>0</v>
      </c>
      <c r="R231" s="1157">
        <v>0</v>
      </c>
      <c r="S231" s="1157">
        <v>1833642</v>
      </c>
      <c r="T231" s="1157">
        <v>0</v>
      </c>
      <c r="U231" s="1157">
        <v>0</v>
      </c>
      <c r="V231" s="1157">
        <v>0</v>
      </c>
      <c r="W231" s="1157">
        <v>0</v>
      </c>
      <c r="X231" s="1157">
        <v>0</v>
      </c>
      <c r="Y231" s="1157">
        <v>0</v>
      </c>
      <c r="Z231" s="1157">
        <v>0</v>
      </c>
      <c r="AA231" s="1157">
        <v>0</v>
      </c>
      <c r="AB231" s="1157">
        <v>0</v>
      </c>
      <c r="AC231" s="1157">
        <v>0</v>
      </c>
      <c r="AD231" s="1157">
        <v>0</v>
      </c>
      <c r="AE231" s="1157">
        <v>0</v>
      </c>
      <c r="AF231" s="1157">
        <v>0</v>
      </c>
      <c r="AG231" s="1157">
        <v>0</v>
      </c>
      <c r="AH231" s="1157">
        <v>0</v>
      </c>
      <c r="AI231" s="1157">
        <v>0</v>
      </c>
      <c r="AJ231" s="1157">
        <v>0</v>
      </c>
      <c r="AK231" s="1157">
        <v>0</v>
      </c>
      <c r="AL231" s="1157">
        <v>0</v>
      </c>
      <c r="AM231" s="1157">
        <v>0</v>
      </c>
      <c r="AN231" s="1157">
        <v>0</v>
      </c>
      <c r="AO231" s="1157">
        <v>0</v>
      </c>
      <c r="AP231" s="1157">
        <v>0</v>
      </c>
      <c r="AQ231" s="1157">
        <v>0</v>
      </c>
      <c r="AR231" s="1157">
        <v>0</v>
      </c>
      <c r="AS231" s="1157">
        <v>0</v>
      </c>
      <c r="AT231" s="1157">
        <v>0</v>
      </c>
      <c r="AU231" s="1157">
        <v>0</v>
      </c>
      <c r="AV231" s="1157">
        <v>0</v>
      </c>
      <c r="AW231" s="1157">
        <v>0</v>
      </c>
      <c r="AX231" s="1157">
        <v>0</v>
      </c>
      <c r="AY231" s="1157">
        <v>0</v>
      </c>
      <c r="AZ231" s="1157">
        <v>0</v>
      </c>
      <c r="BA231" s="1157">
        <v>0</v>
      </c>
      <c r="BB231" s="1157">
        <v>0</v>
      </c>
      <c r="BC231" s="1157">
        <v>0</v>
      </c>
      <c r="BD231" s="1157">
        <v>0</v>
      </c>
      <c r="BE231" s="1157">
        <v>0</v>
      </c>
      <c r="BF231" s="1157">
        <v>0</v>
      </c>
      <c r="BG231" s="1157">
        <v>0</v>
      </c>
      <c r="BH231" s="1157">
        <v>0</v>
      </c>
      <c r="BI231" s="1157">
        <v>0</v>
      </c>
      <c r="BJ231" s="1157">
        <v>0</v>
      </c>
      <c r="BK231" s="1157">
        <v>0</v>
      </c>
      <c r="BL231" s="1157">
        <v>0</v>
      </c>
      <c r="BM231" s="1157">
        <v>0</v>
      </c>
      <c r="BN231" s="1157">
        <v>0</v>
      </c>
      <c r="BO231" s="1157">
        <v>0</v>
      </c>
      <c r="BP231" s="1157">
        <v>0</v>
      </c>
      <c r="BQ231" s="1157">
        <v>0</v>
      </c>
      <c r="BR231" s="1157">
        <v>0</v>
      </c>
      <c r="BS231" s="1157">
        <v>0</v>
      </c>
      <c r="BT231" s="1157">
        <v>0</v>
      </c>
      <c r="BU231" s="1157">
        <v>0</v>
      </c>
      <c r="BV231" s="1157">
        <v>0</v>
      </c>
      <c r="BW231" s="1157">
        <v>0</v>
      </c>
      <c r="BX231" s="1157">
        <v>0</v>
      </c>
      <c r="BY231" s="1157">
        <v>0</v>
      </c>
      <c r="BZ231" s="1157">
        <v>0</v>
      </c>
      <c r="CA231" s="1157">
        <v>0</v>
      </c>
      <c r="CB231" s="1157">
        <v>0</v>
      </c>
      <c r="CC231" s="1148">
        <v>0</v>
      </c>
      <c r="CD231" s="1148">
        <v>0</v>
      </c>
      <c r="CE231" s="1148">
        <v>0</v>
      </c>
      <c r="CF231" s="1148">
        <v>0</v>
      </c>
    </row>
    <row r="232" spans="1:84" s="1148" customFormat="1" x14ac:dyDescent="0.3">
      <c r="A232" s="1146">
        <v>582</v>
      </c>
      <c r="B232" s="1175"/>
      <c r="C232" s="1175">
        <v>582</v>
      </c>
      <c r="D232" s="1175" t="s">
        <v>655</v>
      </c>
      <c r="E232" s="1155" t="s">
        <v>656</v>
      </c>
      <c r="F232" s="1156"/>
      <c r="G232" s="1156"/>
      <c r="H232" s="1156"/>
      <c r="I232" s="1156"/>
      <c r="J232" s="1156"/>
      <c r="K232" s="1156"/>
      <c r="L232" s="1157"/>
      <c r="M232" s="1157"/>
      <c r="N232" s="1157"/>
      <c r="O232" s="1157"/>
      <c r="P232" s="1157"/>
      <c r="Q232" s="1157"/>
      <c r="R232" s="1157"/>
      <c r="S232" s="1157"/>
      <c r="T232" s="1157"/>
      <c r="U232" s="1157"/>
      <c r="V232" s="1157"/>
      <c r="W232" s="1157"/>
      <c r="X232" s="1157"/>
      <c r="Y232" s="1157"/>
      <c r="Z232" s="1157"/>
      <c r="AA232" s="1157"/>
      <c r="AB232" s="1157"/>
      <c r="AC232" s="1157"/>
      <c r="AD232" s="1157"/>
      <c r="AE232" s="1157"/>
      <c r="AF232" s="1157"/>
      <c r="AG232" s="1157"/>
      <c r="AH232" s="1157"/>
      <c r="AI232" s="1157"/>
      <c r="AJ232" s="1157"/>
      <c r="AK232" s="1157"/>
      <c r="AL232" s="1157"/>
      <c r="AM232" s="1157"/>
      <c r="AN232" s="1157"/>
      <c r="AO232" s="1157"/>
      <c r="AP232" s="1157"/>
      <c r="AQ232" s="1157"/>
      <c r="AR232" s="1157"/>
      <c r="AS232" s="1157"/>
      <c r="AT232" s="1157"/>
      <c r="AU232" s="1157"/>
      <c r="AV232" s="1157"/>
      <c r="AW232" s="1157"/>
      <c r="AX232" s="1157"/>
      <c r="AY232" s="1157"/>
      <c r="AZ232" s="1157"/>
      <c r="BA232" s="1157"/>
      <c r="BB232" s="1157"/>
      <c r="BC232" s="1157"/>
      <c r="BD232" s="1157"/>
      <c r="BE232" s="1157"/>
      <c r="BF232" s="1157"/>
      <c r="BG232" s="1157"/>
      <c r="BH232" s="1157"/>
      <c r="BI232" s="1157"/>
      <c r="BJ232" s="1157"/>
      <c r="BK232" s="1157"/>
      <c r="BL232" s="1157"/>
      <c r="BM232" s="1157"/>
      <c r="BN232" s="1157"/>
      <c r="BO232" s="1157"/>
      <c r="BP232" s="1157"/>
      <c r="BQ232" s="1157"/>
      <c r="BR232" s="1157"/>
      <c r="BS232" s="1157"/>
      <c r="BT232" s="1157"/>
      <c r="BU232" s="1157"/>
      <c r="BV232" s="1157"/>
      <c r="BW232" s="1157"/>
      <c r="BX232" s="1157"/>
      <c r="BY232" s="1157"/>
      <c r="BZ232" s="1157"/>
      <c r="CA232" s="1157"/>
      <c r="CB232" s="1157"/>
    </row>
    <row r="233" spans="1:84" s="1148" customFormat="1" x14ac:dyDescent="0.3">
      <c r="A233" s="1146">
        <v>583</v>
      </c>
      <c r="B233" s="1175"/>
      <c r="C233" s="1175">
        <v>583</v>
      </c>
      <c r="D233" s="1175" t="s">
        <v>657</v>
      </c>
      <c r="E233" s="1155" t="s">
        <v>658</v>
      </c>
      <c r="F233" s="1156"/>
      <c r="G233" s="1156"/>
      <c r="H233" s="1156"/>
      <c r="I233" s="1156"/>
      <c r="J233" s="1156"/>
      <c r="K233" s="1156"/>
      <c r="L233" s="1157"/>
      <c r="M233" s="1157"/>
      <c r="N233" s="1157"/>
      <c r="O233" s="1157"/>
      <c r="P233" s="1157"/>
      <c r="Q233" s="1157"/>
      <c r="R233" s="1157"/>
      <c r="S233" s="1157"/>
      <c r="T233" s="1157"/>
      <c r="U233" s="1157"/>
      <c r="V233" s="1157"/>
      <c r="W233" s="1157"/>
      <c r="X233" s="1157"/>
      <c r="Y233" s="1157"/>
      <c r="Z233" s="1157"/>
      <c r="AA233" s="1157"/>
      <c r="AB233" s="1157"/>
      <c r="AC233" s="1157"/>
      <c r="AD233" s="1157"/>
      <c r="AE233" s="1157"/>
      <c r="AF233" s="1157"/>
      <c r="AG233" s="1157"/>
      <c r="AH233" s="1157"/>
      <c r="AI233" s="1157"/>
      <c r="AJ233" s="1157"/>
      <c r="AK233" s="1157"/>
      <c r="AL233" s="1157"/>
      <c r="AM233" s="1157"/>
      <c r="AN233" s="1157"/>
      <c r="AO233" s="1157"/>
      <c r="AP233" s="1157"/>
      <c r="AQ233" s="1157"/>
      <c r="AR233" s="1157"/>
      <c r="AS233" s="1157"/>
      <c r="AT233" s="1157"/>
      <c r="AU233" s="1157"/>
      <c r="AV233" s="1157"/>
      <c r="AW233" s="1157"/>
      <c r="AX233" s="1157"/>
      <c r="AY233" s="1157"/>
      <c r="AZ233" s="1157"/>
      <c r="BA233" s="1157"/>
      <c r="BB233" s="1157"/>
      <c r="BC233" s="1157"/>
      <c r="BD233" s="1157"/>
      <c r="BE233" s="1157"/>
      <c r="BF233" s="1157"/>
      <c r="BG233" s="1157"/>
      <c r="BH233" s="1157"/>
      <c r="BI233" s="1157"/>
      <c r="BJ233" s="1157"/>
      <c r="BK233" s="1157"/>
      <c r="BL233" s="1157"/>
      <c r="BM233" s="1157"/>
      <c r="BN233" s="1157"/>
      <c r="BO233" s="1157"/>
      <c r="BP233" s="1157"/>
      <c r="BQ233" s="1157"/>
      <c r="BR233" s="1157"/>
      <c r="BS233" s="1157"/>
      <c r="BT233" s="1157"/>
      <c r="BU233" s="1157"/>
      <c r="BV233" s="1157"/>
      <c r="BW233" s="1157"/>
      <c r="BX233" s="1157"/>
      <c r="BY233" s="1157"/>
      <c r="BZ233" s="1157"/>
      <c r="CA233" s="1157"/>
      <c r="CB233" s="1157"/>
    </row>
    <row r="234" spans="1:84" s="1148" customFormat="1" x14ac:dyDescent="0.3">
      <c r="A234" s="1146">
        <v>584</v>
      </c>
      <c r="B234" s="1175"/>
      <c r="C234" s="1175">
        <v>584</v>
      </c>
      <c r="D234" s="1175" t="s">
        <v>659</v>
      </c>
      <c r="E234" s="1155" t="s">
        <v>660</v>
      </c>
      <c r="F234" s="1156"/>
      <c r="G234" s="1156"/>
      <c r="H234" s="1156"/>
      <c r="I234" s="1156"/>
      <c r="J234" s="1156"/>
      <c r="K234" s="1156"/>
      <c r="L234" s="1157"/>
      <c r="M234" s="1157"/>
      <c r="N234" s="1157"/>
      <c r="O234" s="1157"/>
      <c r="P234" s="1157"/>
      <c r="Q234" s="1157"/>
      <c r="R234" s="1157"/>
      <c r="S234" s="1157"/>
      <c r="T234" s="1157"/>
      <c r="U234" s="1157"/>
      <c r="V234" s="1157"/>
      <c r="W234" s="1157"/>
      <c r="X234" s="1157"/>
      <c r="Y234" s="1157"/>
      <c r="Z234" s="1157"/>
      <c r="AA234" s="1157"/>
      <c r="AB234" s="1157"/>
      <c r="AC234" s="1157"/>
      <c r="AD234" s="1157"/>
      <c r="AE234" s="1157"/>
      <c r="AF234" s="1157"/>
      <c r="AG234" s="1157"/>
      <c r="AH234" s="1157"/>
      <c r="AI234" s="1157"/>
      <c r="AJ234" s="1157"/>
      <c r="AK234" s="1157"/>
      <c r="AL234" s="1157"/>
      <c r="AM234" s="1157"/>
      <c r="AN234" s="1157"/>
      <c r="AO234" s="1157"/>
      <c r="AP234" s="1157"/>
      <c r="AQ234" s="1157"/>
      <c r="AR234" s="1157"/>
      <c r="AS234" s="1157"/>
      <c r="AT234" s="1157"/>
      <c r="AU234" s="1157"/>
      <c r="AV234" s="1157"/>
      <c r="AW234" s="1157"/>
      <c r="AX234" s="1157"/>
      <c r="AY234" s="1157"/>
      <c r="AZ234" s="1157"/>
      <c r="BA234" s="1157"/>
      <c r="BB234" s="1157"/>
      <c r="BC234" s="1157"/>
      <c r="BD234" s="1157"/>
      <c r="BE234" s="1157"/>
      <c r="BF234" s="1157"/>
      <c r="BG234" s="1157"/>
      <c r="BH234" s="1157"/>
      <c r="BI234" s="1157"/>
      <c r="BJ234" s="1157"/>
      <c r="BK234" s="1157"/>
      <c r="BL234" s="1157"/>
      <c r="BM234" s="1157"/>
      <c r="BN234" s="1157"/>
      <c r="BO234" s="1157"/>
      <c r="BP234" s="1157"/>
      <c r="BQ234" s="1157"/>
      <c r="BR234" s="1157"/>
      <c r="BS234" s="1157"/>
      <c r="BT234" s="1157"/>
      <c r="BU234" s="1157"/>
      <c r="BV234" s="1157"/>
      <c r="BW234" s="1157"/>
      <c r="BX234" s="1157"/>
      <c r="BY234" s="1157"/>
      <c r="BZ234" s="1157"/>
      <c r="CA234" s="1157"/>
      <c r="CB234" s="1157"/>
    </row>
    <row r="235" spans="1:84" s="1148" customFormat="1" x14ac:dyDescent="0.3">
      <c r="A235" s="1146">
        <v>585</v>
      </c>
      <c r="B235" s="1175"/>
      <c r="C235" s="1175">
        <v>585</v>
      </c>
      <c r="D235" s="1175" t="s">
        <v>661</v>
      </c>
      <c r="E235" s="1155" t="s">
        <v>662</v>
      </c>
      <c r="F235" s="1156"/>
      <c r="G235" s="1156"/>
      <c r="H235" s="1156"/>
      <c r="I235" s="1156"/>
      <c r="J235" s="1156"/>
      <c r="K235" s="1156"/>
      <c r="L235" s="1157"/>
      <c r="M235" s="1157"/>
      <c r="N235" s="1157"/>
      <c r="O235" s="1157"/>
      <c r="P235" s="1157"/>
      <c r="Q235" s="1157"/>
      <c r="R235" s="1157"/>
      <c r="S235" s="1157"/>
      <c r="T235" s="1157"/>
      <c r="U235" s="1157"/>
      <c r="V235" s="1157"/>
      <c r="W235" s="1157"/>
      <c r="X235" s="1157"/>
      <c r="Y235" s="1157"/>
      <c r="Z235" s="1157"/>
      <c r="AA235" s="1157"/>
      <c r="AB235" s="1157"/>
      <c r="AC235" s="1157"/>
      <c r="AD235" s="1157"/>
      <c r="AE235" s="1157"/>
      <c r="AF235" s="1157"/>
      <c r="AG235" s="1157"/>
      <c r="AH235" s="1157"/>
      <c r="AI235" s="1157"/>
      <c r="AJ235" s="1157"/>
      <c r="AK235" s="1157"/>
      <c r="AL235" s="1157"/>
      <c r="AM235" s="1157"/>
      <c r="AN235" s="1157"/>
      <c r="AO235" s="1157"/>
      <c r="AP235" s="1157"/>
      <c r="AQ235" s="1157"/>
      <c r="AR235" s="1157"/>
      <c r="AS235" s="1157"/>
      <c r="AT235" s="1157"/>
      <c r="AU235" s="1157"/>
      <c r="AV235" s="1157"/>
      <c r="AW235" s="1157"/>
      <c r="AX235" s="1157"/>
      <c r="AY235" s="1157"/>
      <c r="AZ235" s="1157"/>
      <c r="BA235" s="1157"/>
      <c r="BB235" s="1157"/>
      <c r="BC235" s="1157"/>
      <c r="BD235" s="1157"/>
      <c r="BE235" s="1157"/>
      <c r="BF235" s="1157"/>
      <c r="BG235" s="1157"/>
      <c r="BH235" s="1157"/>
      <c r="BI235" s="1157"/>
      <c r="BJ235" s="1157"/>
      <c r="BK235" s="1157"/>
      <c r="BL235" s="1157"/>
      <c r="BM235" s="1157"/>
      <c r="BN235" s="1157"/>
      <c r="BO235" s="1157"/>
      <c r="BP235" s="1157"/>
      <c r="BQ235" s="1157"/>
      <c r="BR235" s="1157"/>
      <c r="BS235" s="1157"/>
      <c r="BT235" s="1157"/>
      <c r="BU235" s="1157"/>
      <c r="BV235" s="1157"/>
      <c r="BW235" s="1157"/>
      <c r="BX235" s="1157"/>
      <c r="BY235" s="1157"/>
      <c r="BZ235" s="1157"/>
      <c r="CA235" s="1157"/>
      <c r="CB235" s="1157"/>
    </row>
    <row r="236" spans="1:84" s="1148" customFormat="1" x14ac:dyDescent="0.3">
      <c r="A236" s="1153">
        <v>586</v>
      </c>
      <c r="B236" s="1175">
        <v>586</v>
      </c>
      <c r="C236" s="1175">
        <v>586</v>
      </c>
      <c r="D236" s="1175" t="s">
        <v>663</v>
      </c>
      <c r="E236" s="1155" t="s">
        <v>664</v>
      </c>
      <c r="F236" s="1156">
        <v>0</v>
      </c>
      <c r="G236" s="1156">
        <v>0</v>
      </c>
      <c r="H236" s="1156">
        <v>0</v>
      </c>
      <c r="I236" s="1156">
        <v>0</v>
      </c>
      <c r="J236" s="1156">
        <v>0</v>
      </c>
      <c r="K236" s="1156">
        <v>0</v>
      </c>
      <c r="L236" s="1157">
        <v>0</v>
      </c>
      <c r="M236" s="1157">
        <v>0</v>
      </c>
      <c r="N236" s="1157">
        <v>0</v>
      </c>
      <c r="O236" s="1157">
        <v>0</v>
      </c>
      <c r="P236" s="1157">
        <v>0</v>
      </c>
      <c r="Q236" s="1157">
        <v>1539566</v>
      </c>
      <c r="R236" s="1157">
        <v>0</v>
      </c>
      <c r="S236" s="1157">
        <v>0</v>
      </c>
      <c r="T236" s="1157">
        <v>0</v>
      </c>
      <c r="U236" s="1157">
        <v>0</v>
      </c>
      <c r="V236" s="1157">
        <v>0</v>
      </c>
      <c r="W236" s="1157">
        <v>0</v>
      </c>
      <c r="X236" s="1157">
        <v>0</v>
      </c>
      <c r="Y236" s="1157">
        <v>0</v>
      </c>
      <c r="Z236" s="1157">
        <v>40</v>
      </c>
      <c r="AA236" s="1157">
        <v>0</v>
      </c>
      <c r="AB236" s="1157">
        <v>0</v>
      </c>
      <c r="AC236" s="1157">
        <v>0</v>
      </c>
      <c r="AD236" s="1157">
        <v>0</v>
      </c>
      <c r="AE236" s="1157">
        <v>0</v>
      </c>
      <c r="AF236" s="1157">
        <v>0</v>
      </c>
      <c r="AG236" s="1157">
        <v>0</v>
      </c>
      <c r="AH236" s="1157">
        <v>0</v>
      </c>
      <c r="AI236" s="1157">
        <v>0</v>
      </c>
      <c r="AJ236" s="1157">
        <v>0</v>
      </c>
      <c r="AK236" s="1157">
        <v>0</v>
      </c>
      <c r="AL236" s="1157">
        <v>0</v>
      </c>
      <c r="AM236" s="1157">
        <v>0</v>
      </c>
      <c r="AN236" s="1157">
        <v>0</v>
      </c>
      <c r="AO236" s="1157">
        <v>0</v>
      </c>
      <c r="AP236" s="1157">
        <v>0</v>
      </c>
      <c r="AQ236" s="1157">
        <v>0</v>
      </c>
      <c r="AR236" s="1157">
        <v>0</v>
      </c>
      <c r="AS236" s="1157">
        <v>0</v>
      </c>
      <c r="AT236" s="1157">
        <v>0</v>
      </c>
      <c r="AU236" s="1157">
        <v>0</v>
      </c>
      <c r="AV236" s="1157">
        <v>0</v>
      </c>
      <c r="AW236" s="1157">
        <v>0</v>
      </c>
      <c r="AX236" s="1157">
        <v>0</v>
      </c>
      <c r="AY236" s="1157">
        <v>0</v>
      </c>
      <c r="AZ236" s="1157">
        <v>699123</v>
      </c>
      <c r="BA236" s="1157">
        <v>0</v>
      </c>
      <c r="BB236" s="1157">
        <v>0</v>
      </c>
      <c r="BC236" s="1157">
        <v>0</v>
      </c>
      <c r="BD236" s="1157">
        <v>0</v>
      </c>
      <c r="BE236" s="1157">
        <v>199882</v>
      </c>
      <c r="BF236" s="1157">
        <v>0</v>
      </c>
      <c r="BG236" s="1157">
        <v>0</v>
      </c>
      <c r="BH236" s="1157">
        <v>0</v>
      </c>
      <c r="BI236" s="1157">
        <v>0</v>
      </c>
      <c r="BJ236" s="1157">
        <v>0</v>
      </c>
      <c r="BK236" s="1157">
        <v>0</v>
      </c>
      <c r="BL236" s="1157">
        <v>0</v>
      </c>
      <c r="BM236" s="1157">
        <v>0</v>
      </c>
      <c r="BN236" s="1157">
        <v>0</v>
      </c>
      <c r="BO236" s="1157">
        <v>0</v>
      </c>
      <c r="BP236" s="1157">
        <v>0</v>
      </c>
      <c r="BQ236" s="1157">
        <v>0</v>
      </c>
      <c r="BR236" s="1157">
        <v>0</v>
      </c>
      <c r="BS236" s="1157">
        <v>0</v>
      </c>
      <c r="BT236" s="1157">
        <v>0</v>
      </c>
      <c r="BU236" s="1157">
        <v>0</v>
      </c>
      <c r="BV236" s="1157">
        <v>0</v>
      </c>
      <c r="BW236" s="1157">
        <v>0</v>
      </c>
      <c r="BX236" s="1157">
        <v>0</v>
      </c>
      <c r="BY236" s="1157">
        <v>0</v>
      </c>
      <c r="BZ236" s="1157">
        <v>0</v>
      </c>
      <c r="CA236" s="1157">
        <v>0</v>
      </c>
      <c r="CB236" s="1157">
        <v>0</v>
      </c>
      <c r="CC236" s="1148">
        <v>0</v>
      </c>
      <c r="CD236" s="1148">
        <v>0</v>
      </c>
      <c r="CE236" s="1148">
        <v>0</v>
      </c>
      <c r="CF236" s="1148">
        <v>0</v>
      </c>
    </row>
    <row r="237" spans="1:84" s="1148" customFormat="1" x14ac:dyDescent="0.3">
      <c r="A237" s="1146">
        <v>587</v>
      </c>
      <c r="B237" s="1175"/>
      <c r="C237" s="1175">
        <v>587</v>
      </c>
      <c r="D237" s="1175" t="s">
        <v>665</v>
      </c>
      <c r="E237" s="1155" t="s">
        <v>666</v>
      </c>
      <c r="F237" s="1156"/>
      <c r="G237" s="1156"/>
      <c r="H237" s="1156"/>
      <c r="I237" s="1156"/>
      <c r="J237" s="1156"/>
      <c r="K237" s="1156"/>
      <c r="L237" s="1157"/>
      <c r="M237" s="1157"/>
      <c r="N237" s="1157"/>
      <c r="O237" s="1157"/>
      <c r="P237" s="1157"/>
      <c r="Q237" s="1157"/>
      <c r="R237" s="1157"/>
      <c r="S237" s="1157"/>
      <c r="T237" s="1157"/>
      <c r="U237" s="1157"/>
      <c r="V237" s="1157"/>
      <c r="W237" s="1157"/>
      <c r="X237" s="1157"/>
      <c r="Y237" s="1157"/>
      <c r="Z237" s="1157"/>
      <c r="AA237" s="1157"/>
      <c r="AB237" s="1157"/>
      <c r="AC237" s="1157"/>
      <c r="AD237" s="1157"/>
      <c r="AE237" s="1157"/>
      <c r="AF237" s="1157"/>
      <c r="AG237" s="1157"/>
      <c r="AH237" s="1157"/>
      <c r="AI237" s="1157"/>
      <c r="AJ237" s="1157"/>
      <c r="AK237" s="1157"/>
      <c r="AL237" s="1157"/>
      <c r="AM237" s="1157"/>
      <c r="AN237" s="1157"/>
      <c r="AO237" s="1157"/>
      <c r="AP237" s="1157"/>
      <c r="AQ237" s="1157"/>
      <c r="AR237" s="1157"/>
      <c r="AS237" s="1157"/>
      <c r="AT237" s="1157"/>
      <c r="AU237" s="1157"/>
      <c r="AV237" s="1157"/>
      <c r="AW237" s="1157"/>
      <c r="AX237" s="1157"/>
      <c r="AY237" s="1157"/>
      <c r="AZ237" s="1157"/>
      <c r="BA237" s="1157"/>
      <c r="BB237" s="1157"/>
      <c r="BC237" s="1157"/>
      <c r="BD237" s="1157"/>
      <c r="BE237" s="1157"/>
      <c r="BF237" s="1157"/>
      <c r="BG237" s="1157"/>
      <c r="BH237" s="1157"/>
      <c r="BI237" s="1157"/>
      <c r="BJ237" s="1157"/>
      <c r="BK237" s="1157"/>
      <c r="BL237" s="1157"/>
      <c r="BM237" s="1157"/>
      <c r="BN237" s="1157"/>
      <c r="BO237" s="1157"/>
      <c r="BP237" s="1157"/>
      <c r="BQ237" s="1157"/>
      <c r="BR237" s="1157"/>
      <c r="BS237" s="1157"/>
      <c r="BT237" s="1157"/>
      <c r="BU237" s="1157"/>
      <c r="BV237" s="1157"/>
      <c r="BW237" s="1157"/>
      <c r="BX237" s="1157"/>
      <c r="BY237" s="1157"/>
      <c r="BZ237" s="1157"/>
      <c r="CA237" s="1157"/>
      <c r="CB237" s="1157"/>
    </row>
    <row r="238" spans="1:84" s="1148" customFormat="1" x14ac:dyDescent="0.3">
      <c r="A238" s="1146">
        <v>588</v>
      </c>
      <c r="B238" s="1175"/>
      <c r="C238" s="1175">
        <v>588</v>
      </c>
      <c r="D238" s="1175" t="s">
        <v>667</v>
      </c>
      <c r="E238" s="1155" t="s">
        <v>668</v>
      </c>
      <c r="F238" s="1156"/>
      <c r="G238" s="1156"/>
      <c r="H238" s="1156"/>
      <c r="I238" s="1156"/>
      <c r="J238" s="1156"/>
      <c r="K238" s="1156"/>
      <c r="L238" s="1157"/>
      <c r="M238" s="1157"/>
      <c r="N238" s="1157"/>
      <c r="O238" s="1157"/>
      <c r="P238" s="1157"/>
      <c r="Q238" s="1157"/>
      <c r="R238" s="1157"/>
      <c r="S238" s="1157"/>
      <c r="T238" s="1157"/>
      <c r="U238" s="1157"/>
      <c r="V238" s="1157"/>
      <c r="W238" s="1157"/>
      <c r="X238" s="1157"/>
      <c r="Y238" s="1157"/>
      <c r="Z238" s="1157"/>
      <c r="AA238" s="1157"/>
      <c r="AB238" s="1157"/>
      <c r="AC238" s="1157"/>
      <c r="AD238" s="1157"/>
      <c r="AE238" s="1157"/>
      <c r="AF238" s="1157"/>
      <c r="AG238" s="1157"/>
      <c r="AH238" s="1157"/>
      <c r="AI238" s="1157"/>
      <c r="AJ238" s="1157"/>
      <c r="AK238" s="1157"/>
      <c r="AL238" s="1157"/>
      <c r="AM238" s="1157"/>
      <c r="AN238" s="1157"/>
      <c r="AO238" s="1157"/>
      <c r="AP238" s="1157"/>
      <c r="AQ238" s="1157"/>
      <c r="AR238" s="1157"/>
      <c r="AS238" s="1157"/>
      <c r="AT238" s="1157"/>
      <c r="AU238" s="1157"/>
      <c r="AV238" s="1157"/>
      <c r="AW238" s="1157"/>
      <c r="AX238" s="1157"/>
      <c r="AY238" s="1157"/>
      <c r="AZ238" s="1157"/>
      <c r="BA238" s="1157"/>
      <c r="BB238" s="1157"/>
      <c r="BC238" s="1157"/>
      <c r="BD238" s="1157"/>
      <c r="BE238" s="1157"/>
      <c r="BF238" s="1157"/>
      <c r="BG238" s="1157"/>
      <c r="BH238" s="1157"/>
      <c r="BI238" s="1157"/>
      <c r="BJ238" s="1157"/>
      <c r="BK238" s="1157"/>
      <c r="BL238" s="1157"/>
      <c r="BM238" s="1157"/>
      <c r="BN238" s="1157"/>
      <c r="BO238" s="1157"/>
      <c r="BP238" s="1157"/>
      <c r="BQ238" s="1157"/>
      <c r="BR238" s="1157"/>
      <c r="BS238" s="1157"/>
      <c r="BT238" s="1157"/>
      <c r="BU238" s="1157"/>
      <c r="BV238" s="1157"/>
      <c r="BW238" s="1157"/>
      <c r="BX238" s="1157"/>
      <c r="BY238" s="1157"/>
      <c r="BZ238" s="1157"/>
      <c r="CA238" s="1157"/>
      <c r="CB238" s="1157"/>
    </row>
    <row r="239" spans="1:84" s="1148" customFormat="1" x14ac:dyDescent="0.3">
      <c r="A239" s="1146">
        <v>589</v>
      </c>
      <c r="B239" s="1175"/>
      <c r="C239" s="1175">
        <v>589</v>
      </c>
      <c r="D239" s="1175" t="s">
        <v>669</v>
      </c>
      <c r="E239" s="1155" t="s">
        <v>670</v>
      </c>
      <c r="F239" s="1156"/>
      <c r="G239" s="1156"/>
      <c r="H239" s="1156"/>
      <c r="I239" s="1156"/>
      <c r="J239" s="1156"/>
      <c r="K239" s="1156"/>
      <c r="L239" s="1157"/>
      <c r="M239" s="1157"/>
      <c r="N239" s="1157"/>
      <c r="O239" s="1157"/>
      <c r="P239" s="1157"/>
      <c r="Q239" s="1157"/>
      <c r="R239" s="1157"/>
      <c r="S239" s="1157"/>
      <c r="T239" s="1157"/>
      <c r="U239" s="1157"/>
      <c r="V239" s="1157"/>
      <c r="W239" s="1157"/>
      <c r="X239" s="1157"/>
      <c r="Y239" s="1157"/>
      <c r="Z239" s="1157"/>
      <c r="AA239" s="1157"/>
      <c r="AB239" s="1157"/>
      <c r="AC239" s="1157"/>
      <c r="AD239" s="1157"/>
      <c r="AE239" s="1157"/>
      <c r="AF239" s="1157"/>
      <c r="AG239" s="1157"/>
      <c r="AH239" s="1157"/>
      <c r="AI239" s="1157"/>
      <c r="AJ239" s="1157"/>
      <c r="AK239" s="1157"/>
      <c r="AL239" s="1157"/>
      <c r="AM239" s="1157"/>
      <c r="AN239" s="1157"/>
      <c r="AO239" s="1157"/>
      <c r="AP239" s="1157"/>
      <c r="AQ239" s="1157"/>
      <c r="AR239" s="1157"/>
      <c r="AS239" s="1157"/>
      <c r="AT239" s="1157"/>
      <c r="AU239" s="1157"/>
      <c r="AV239" s="1157"/>
      <c r="AW239" s="1157"/>
      <c r="AX239" s="1157"/>
      <c r="AY239" s="1157"/>
      <c r="AZ239" s="1157"/>
      <c r="BA239" s="1157"/>
      <c r="BB239" s="1157"/>
      <c r="BC239" s="1157"/>
      <c r="BD239" s="1157"/>
      <c r="BE239" s="1157"/>
      <c r="BF239" s="1157"/>
      <c r="BG239" s="1157"/>
      <c r="BH239" s="1157"/>
      <c r="BI239" s="1157"/>
      <c r="BJ239" s="1157"/>
      <c r="BK239" s="1157"/>
      <c r="BL239" s="1157"/>
      <c r="BM239" s="1157"/>
      <c r="BN239" s="1157"/>
      <c r="BO239" s="1157"/>
      <c r="BP239" s="1157"/>
      <c r="BQ239" s="1157"/>
      <c r="BR239" s="1157"/>
      <c r="BS239" s="1157"/>
      <c r="BT239" s="1157"/>
      <c r="BU239" s="1157"/>
      <c r="BV239" s="1157"/>
      <c r="BW239" s="1157"/>
      <c r="BX239" s="1157"/>
      <c r="BY239" s="1157"/>
      <c r="BZ239" s="1157"/>
      <c r="CA239" s="1157"/>
      <c r="CB239" s="1157"/>
    </row>
    <row r="240" spans="1:84" s="1148" customFormat="1" x14ac:dyDescent="0.3">
      <c r="A240" s="1146">
        <v>590</v>
      </c>
      <c r="B240" s="1175"/>
      <c r="C240" s="1175">
        <v>590</v>
      </c>
      <c r="D240" s="1175" t="s">
        <v>671</v>
      </c>
      <c r="E240" s="1155" t="s">
        <v>672</v>
      </c>
      <c r="F240" s="1156"/>
      <c r="G240" s="1156"/>
      <c r="H240" s="1156"/>
      <c r="I240" s="1156"/>
      <c r="J240" s="1156"/>
      <c r="K240" s="1156"/>
      <c r="L240" s="1157"/>
      <c r="M240" s="1157"/>
      <c r="N240" s="1157"/>
      <c r="O240" s="1157"/>
      <c r="P240" s="1157"/>
      <c r="Q240" s="1157"/>
      <c r="R240" s="1157"/>
      <c r="S240" s="1157"/>
      <c r="T240" s="1157"/>
      <c r="U240" s="1157"/>
      <c r="V240" s="1157"/>
      <c r="W240" s="1157"/>
      <c r="X240" s="1157"/>
      <c r="Y240" s="1157"/>
      <c r="Z240" s="1157"/>
      <c r="AA240" s="1157"/>
      <c r="AB240" s="1157"/>
      <c r="AC240" s="1157"/>
      <c r="AD240" s="1157"/>
      <c r="AE240" s="1157"/>
      <c r="AF240" s="1157"/>
      <c r="AG240" s="1157"/>
      <c r="AH240" s="1157"/>
      <c r="AI240" s="1157"/>
      <c r="AJ240" s="1157"/>
      <c r="AK240" s="1157"/>
      <c r="AL240" s="1157"/>
      <c r="AM240" s="1157"/>
      <c r="AN240" s="1157"/>
      <c r="AO240" s="1157"/>
      <c r="AP240" s="1157"/>
      <c r="AQ240" s="1157"/>
      <c r="AR240" s="1157"/>
      <c r="AS240" s="1157"/>
      <c r="AT240" s="1157"/>
      <c r="AU240" s="1157"/>
      <c r="AV240" s="1157"/>
      <c r="AW240" s="1157"/>
      <c r="AX240" s="1157"/>
      <c r="AY240" s="1157"/>
      <c r="AZ240" s="1157"/>
      <c r="BA240" s="1157"/>
      <c r="BB240" s="1157"/>
      <c r="BC240" s="1157"/>
      <c r="BD240" s="1157"/>
      <c r="BE240" s="1157"/>
      <c r="BF240" s="1157"/>
      <c r="BG240" s="1157"/>
      <c r="BH240" s="1157"/>
      <c r="BI240" s="1157"/>
      <c r="BJ240" s="1157"/>
      <c r="BK240" s="1157"/>
      <c r="BL240" s="1157"/>
      <c r="BM240" s="1157"/>
      <c r="BN240" s="1157"/>
      <c r="BO240" s="1157"/>
      <c r="BP240" s="1157"/>
      <c r="BQ240" s="1157"/>
      <c r="BR240" s="1157"/>
      <c r="BS240" s="1157"/>
      <c r="BT240" s="1157"/>
      <c r="BU240" s="1157"/>
      <c r="BV240" s="1157"/>
      <c r="BW240" s="1157"/>
      <c r="BX240" s="1157"/>
      <c r="BY240" s="1157"/>
      <c r="BZ240" s="1157"/>
      <c r="CA240" s="1157"/>
      <c r="CB240" s="1157"/>
    </row>
    <row r="241" spans="1:84" s="1148" customFormat="1" x14ac:dyDescent="0.3">
      <c r="A241" s="1146">
        <v>992</v>
      </c>
      <c r="B241" s="1174"/>
      <c r="C241" s="1169">
        <v>992</v>
      </c>
      <c r="D241" s="1146"/>
      <c r="E241" s="1155" t="s">
        <v>603</v>
      </c>
      <c r="F241" s="1156"/>
      <c r="G241" s="1156"/>
      <c r="H241" s="1156"/>
      <c r="I241" s="1156"/>
      <c r="J241" s="1156"/>
      <c r="K241" s="1156"/>
      <c r="L241" s="1157"/>
      <c r="M241" s="1157"/>
      <c r="N241" s="1157"/>
      <c r="O241" s="1157"/>
      <c r="P241" s="1157"/>
      <c r="Q241" s="1157"/>
      <c r="R241" s="1157"/>
      <c r="S241" s="1157"/>
      <c r="T241" s="1157"/>
      <c r="U241" s="1157"/>
      <c r="V241" s="1157"/>
      <c r="W241" s="1157"/>
      <c r="X241" s="1157"/>
      <c r="Y241" s="1157"/>
      <c r="Z241" s="1157"/>
      <c r="AA241" s="1157"/>
      <c r="AB241" s="1157"/>
      <c r="AC241" s="1157"/>
      <c r="AD241" s="1157"/>
      <c r="AE241" s="1157"/>
      <c r="AF241" s="1157"/>
      <c r="AG241" s="1157"/>
      <c r="AH241" s="1157"/>
      <c r="AI241" s="1157"/>
      <c r="AJ241" s="1157"/>
      <c r="AK241" s="1157"/>
      <c r="AL241" s="1157"/>
      <c r="AM241" s="1157"/>
      <c r="AN241" s="1157"/>
      <c r="AO241" s="1157"/>
      <c r="AP241" s="1157"/>
      <c r="AQ241" s="1157"/>
      <c r="AR241" s="1157"/>
      <c r="AS241" s="1157"/>
      <c r="AT241" s="1157"/>
      <c r="AU241" s="1157"/>
      <c r="AV241" s="1157"/>
      <c r="AW241" s="1157"/>
      <c r="AX241" s="1157"/>
      <c r="AY241" s="1157"/>
      <c r="AZ241" s="1157"/>
      <c r="BA241" s="1157"/>
      <c r="BB241" s="1157"/>
      <c r="BC241" s="1157"/>
      <c r="BD241" s="1157"/>
      <c r="BE241" s="1157"/>
      <c r="BF241" s="1157"/>
      <c r="BG241" s="1157"/>
      <c r="BH241" s="1157"/>
      <c r="BI241" s="1157"/>
      <c r="BJ241" s="1157"/>
      <c r="BK241" s="1157"/>
      <c r="BL241" s="1157"/>
      <c r="BM241" s="1157"/>
      <c r="BN241" s="1157"/>
      <c r="BO241" s="1157"/>
      <c r="BP241" s="1157"/>
      <c r="BQ241" s="1157"/>
      <c r="BR241" s="1157"/>
      <c r="BS241" s="1157"/>
      <c r="BT241" s="1157"/>
      <c r="BU241" s="1157"/>
      <c r="BV241" s="1157"/>
      <c r="BW241" s="1157"/>
      <c r="BX241" s="1157"/>
      <c r="BY241" s="1157"/>
      <c r="BZ241" s="1157"/>
      <c r="CA241" s="1157"/>
      <c r="CB241" s="1157"/>
    </row>
    <row r="242" spans="1:84" s="1177" customFormat="1" x14ac:dyDescent="0.3">
      <c r="A242" s="1146">
        <v>993</v>
      </c>
      <c r="B242" s="1176"/>
      <c r="C242" s="1228">
        <v>993</v>
      </c>
      <c r="D242" s="1146" t="s">
        <v>515</v>
      </c>
      <c r="E242" s="1155" t="s">
        <v>516</v>
      </c>
      <c r="F242" s="1156"/>
      <c r="G242" s="1156"/>
      <c r="H242" s="1156"/>
      <c r="I242" s="1156"/>
      <c r="J242" s="1156"/>
      <c r="K242" s="1156"/>
      <c r="L242" s="1157"/>
      <c r="M242" s="1157"/>
      <c r="N242" s="1157"/>
      <c r="O242" s="1157"/>
      <c r="P242" s="1157"/>
      <c r="Q242" s="1157"/>
      <c r="R242" s="1157"/>
      <c r="S242" s="1157"/>
      <c r="T242" s="1157"/>
      <c r="U242" s="1157"/>
      <c r="V242" s="1157"/>
      <c r="W242" s="1157"/>
      <c r="X242" s="1157"/>
      <c r="Y242" s="1157"/>
      <c r="Z242" s="1157"/>
      <c r="AA242" s="1157"/>
      <c r="AB242" s="1157"/>
      <c r="AC242" s="1157"/>
      <c r="AD242" s="1157"/>
      <c r="AE242" s="1157"/>
      <c r="AF242" s="1157"/>
      <c r="AG242" s="1157"/>
      <c r="AH242" s="1157"/>
      <c r="AI242" s="1157"/>
      <c r="AJ242" s="1157"/>
      <c r="AK242" s="1157"/>
      <c r="AL242" s="1157"/>
      <c r="AM242" s="1157"/>
      <c r="AN242" s="1157"/>
      <c r="AO242" s="1157"/>
      <c r="AP242" s="1157"/>
      <c r="AQ242" s="1157"/>
      <c r="AR242" s="1157"/>
      <c r="AS242" s="1157"/>
      <c r="AT242" s="1157"/>
      <c r="AU242" s="1157"/>
      <c r="AV242" s="1157"/>
      <c r="AW242" s="1157"/>
      <c r="AX242" s="1157"/>
      <c r="AY242" s="1157"/>
      <c r="AZ242" s="1157"/>
      <c r="BA242" s="1157"/>
      <c r="BB242" s="1157"/>
      <c r="BC242" s="1157"/>
      <c r="BD242" s="1157"/>
      <c r="BE242" s="1157"/>
      <c r="BF242" s="1157"/>
      <c r="BG242" s="1157"/>
      <c r="BH242" s="1157"/>
      <c r="BI242" s="1157"/>
      <c r="BJ242" s="1157"/>
      <c r="BK242" s="1157"/>
      <c r="BL242" s="1157"/>
      <c r="BM242" s="1157"/>
      <c r="BN242" s="1157"/>
      <c r="BO242" s="1157"/>
      <c r="BP242" s="1157"/>
      <c r="BQ242" s="1157"/>
      <c r="BR242" s="1157"/>
      <c r="BS242" s="1157"/>
      <c r="BT242" s="1157"/>
      <c r="BU242" s="1157"/>
      <c r="BV242" s="1157"/>
      <c r="BW242" s="1157"/>
      <c r="BX242" s="1157"/>
      <c r="BY242" s="1157"/>
      <c r="BZ242" s="1157"/>
      <c r="CA242" s="1157"/>
      <c r="CB242" s="1157"/>
    </row>
    <row r="243" spans="1:84" s="1177" customFormat="1" x14ac:dyDescent="0.3">
      <c r="A243" s="1146">
        <v>994</v>
      </c>
      <c r="B243" s="1176"/>
      <c r="C243" s="1228">
        <v>994</v>
      </c>
      <c r="D243" s="1146" t="s">
        <v>517</v>
      </c>
      <c r="E243" s="1155" t="s">
        <v>518</v>
      </c>
      <c r="F243" s="1156"/>
      <c r="G243" s="1156"/>
      <c r="H243" s="1156"/>
      <c r="I243" s="1156"/>
      <c r="J243" s="1156"/>
      <c r="K243" s="1156"/>
      <c r="L243" s="1157"/>
      <c r="M243" s="1157"/>
      <c r="N243" s="1157"/>
      <c r="O243" s="1157"/>
      <c r="P243" s="1157"/>
      <c r="Q243" s="1157"/>
      <c r="R243" s="1157"/>
      <c r="S243" s="1157"/>
      <c r="T243" s="1157"/>
      <c r="U243" s="1157"/>
      <c r="V243" s="1157"/>
      <c r="W243" s="1157"/>
      <c r="X243" s="1157"/>
      <c r="Y243" s="1157"/>
      <c r="Z243" s="1157"/>
      <c r="AA243" s="1157"/>
      <c r="AB243" s="1157"/>
      <c r="AC243" s="1157"/>
      <c r="AD243" s="1157"/>
      <c r="AE243" s="1157"/>
      <c r="AF243" s="1157"/>
      <c r="AG243" s="1157"/>
      <c r="AH243" s="1157"/>
      <c r="AI243" s="1157"/>
      <c r="AJ243" s="1157"/>
      <c r="AK243" s="1157"/>
      <c r="AL243" s="1157"/>
      <c r="AM243" s="1157"/>
      <c r="AN243" s="1157"/>
      <c r="AO243" s="1157"/>
      <c r="AP243" s="1157"/>
      <c r="AQ243" s="1157"/>
      <c r="AR243" s="1157"/>
      <c r="AS243" s="1157"/>
      <c r="AT243" s="1157"/>
      <c r="AU243" s="1157"/>
      <c r="AV243" s="1157"/>
      <c r="AW243" s="1157"/>
      <c r="AX243" s="1157"/>
      <c r="AY243" s="1157"/>
      <c r="AZ243" s="1157"/>
      <c r="BA243" s="1157"/>
      <c r="BB243" s="1157"/>
      <c r="BC243" s="1157"/>
      <c r="BD243" s="1157"/>
      <c r="BE243" s="1157"/>
      <c r="BF243" s="1157"/>
      <c r="BG243" s="1157"/>
      <c r="BH243" s="1157"/>
      <c r="BI243" s="1157"/>
      <c r="BJ243" s="1157"/>
      <c r="BK243" s="1157"/>
      <c r="BL243" s="1157"/>
      <c r="BM243" s="1157"/>
      <c r="BN243" s="1157"/>
      <c r="BO243" s="1157"/>
      <c r="BP243" s="1157"/>
      <c r="BQ243" s="1157"/>
      <c r="BR243" s="1157"/>
      <c r="BS243" s="1157"/>
      <c r="BT243" s="1157"/>
      <c r="BU243" s="1157"/>
      <c r="BV243" s="1157"/>
      <c r="BW243" s="1157"/>
      <c r="BX243" s="1157"/>
      <c r="BY243" s="1157"/>
      <c r="BZ243" s="1157"/>
      <c r="CA243" s="1157"/>
      <c r="CB243" s="1157"/>
    </row>
    <row r="244" spans="1:84" s="1177" customFormat="1" x14ac:dyDescent="0.3">
      <c r="A244" s="1153">
        <v>995</v>
      </c>
      <c r="B244" s="1176">
        <v>995</v>
      </c>
      <c r="C244" s="1228">
        <v>995</v>
      </c>
      <c r="D244" s="1146" t="s">
        <v>519</v>
      </c>
      <c r="E244" s="1160" t="s">
        <v>520</v>
      </c>
      <c r="F244" s="1161">
        <v>0</v>
      </c>
      <c r="G244" s="1161">
        <v>0</v>
      </c>
      <c r="H244" s="1161">
        <v>0</v>
      </c>
      <c r="I244" s="1161">
        <v>0</v>
      </c>
      <c r="J244" s="1161">
        <v>0</v>
      </c>
      <c r="K244" s="1161">
        <v>0</v>
      </c>
      <c r="L244" s="1162">
        <v>0</v>
      </c>
      <c r="M244" s="1162">
        <v>0</v>
      </c>
      <c r="N244" s="1162">
        <v>0</v>
      </c>
      <c r="O244" s="1162">
        <v>0</v>
      </c>
      <c r="P244" s="1162">
        <v>0</v>
      </c>
      <c r="Q244" s="1162">
        <v>0</v>
      </c>
      <c r="R244" s="1162">
        <v>0</v>
      </c>
      <c r="S244" s="1162">
        <v>7.0000000000000007E-2</v>
      </c>
      <c r="T244" s="1162">
        <v>0</v>
      </c>
      <c r="U244" s="1162">
        <v>0</v>
      </c>
      <c r="V244" s="1162">
        <v>0</v>
      </c>
      <c r="W244" s="1162">
        <v>0</v>
      </c>
      <c r="X244" s="1162">
        <v>7.0000000000000007E-2</v>
      </c>
      <c r="Y244" s="1162">
        <v>0</v>
      </c>
      <c r="Z244" s="1162">
        <v>0</v>
      </c>
      <c r="AA244" s="1162">
        <v>0</v>
      </c>
      <c r="AB244" s="1162">
        <v>0</v>
      </c>
      <c r="AC244" s="1162">
        <v>0</v>
      </c>
      <c r="AD244" s="1162">
        <v>0</v>
      </c>
      <c r="AE244" s="1162">
        <v>0</v>
      </c>
      <c r="AF244" s="1162">
        <v>0</v>
      </c>
      <c r="AG244" s="1162">
        <v>0</v>
      </c>
      <c r="AH244" s="1162">
        <v>0</v>
      </c>
      <c r="AI244" s="1162">
        <v>0</v>
      </c>
      <c r="AJ244" s="1162">
        <v>0</v>
      </c>
      <c r="AK244" s="1162">
        <v>0.08</v>
      </c>
      <c r="AL244" s="1162">
        <v>0</v>
      </c>
      <c r="AM244" s="1162">
        <v>0</v>
      </c>
      <c r="AN244" s="1162">
        <v>0</v>
      </c>
      <c r="AO244" s="1162">
        <v>7.0000000000000007E-2</v>
      </c>
      <c r="AP244" s="1162">
        <v>0</v>
      </c>
      <c r="AQ244" s="1162">
        <v>0</v>
      </c>
      <c r="AR244" s="1162">
        <v>0</v>
      </c>
      <c r="AS244" s="1162">
        <v>0</v>
      </c>
      <c r="AT244" s="1162">
        <v>0</v>
      </c>
      <c r="AU244" s="1162">
        <v>0</v>
      </c>
      <c r="AV244" s="1162">
        <v>0</v>
      </c>
      <c r="AW244" s="1162">
        <v>0.09</v>
      </c>
      <c r="AX244" s="1162">
        <v>0</v>
      </c>
      <c r="AY244" s="1162">
        <v>0</v>
      </c>
      <c r="AZ244" s="1162">
        <v>0</v>
      </c>
      <c r="BA244" s="1162">
        <v>0</v>
      </c>
      <c r="BB244" s="1162">
        <v>0</v>
      </c>
      <c r="BC244" s="1162">
        <v>0</v>
      </c>
      <c r="BD244" s="1162">
        <v>0</v>
      </c>
      <c r="BE244" s="1162">
        <v>0</v>
      </c>
      <c r="BF244" s="1162">
        <v>0</v>
      </c>
      <c r="BG244" s="1162">
        <v>0</v>
      </c>
      <c r="BH244" s="1162">
        <v>0</v>
      </c>
      <c r="BI244" s="1162">
        <v>0</v>
      </c>
      <c r="BJ244" s="1162">
        <v>0</v>
      </c>
      <c r="BK244" s="1162">
        <v>0</v>
      </c>
      <c r="BL244" s="1162">
        <v>0</v>
      </c>
      <c r="BM244" s="1162">
        <v>0</v>
      </c>
      <c r="BN244" s="1162">
        <v>0.08</v>
      </c>
      <c r="BO244" s="1162">
        <v>0</v>
      </c>
      <c r="BP244" s="1162">
        <v>0</v>
      </c>
      <c r="BQ244" s="1162">
        <v>0</v>
      </c>
      <c r="BR244" s="1162">
        <v>0</v>
      </c>
      <c r="BS244" s="1162">
        <v>0</v>
      </c>
      <c r="BT244" s="1162">
        <v>0.09</v>
      </c>
      <c r="BU244" s="1162">
        <v>7.0000000000000007E-2</v>
      </c>
      <c r="BV244" s="1162">
        <v>0</v>
      </c>
      <c r="BW244" s="1162">
        <v>0</v>
      </c>
      <c r="BX244" s="1162">
        <v>0</v>
      </c>
      <c r="BY244" s="1162">
        <v>0</v>
      </c>
      <c r="BZ244" s="1162">
        <v>0</v>
      </c>
      <c r="CA244" s="1162">
        <v>0</v>
      </c>
      <c r="CB244" s="1162">
        <v>0</v>
      </c>
      <c r="CC244" s="1177">
        <v>0</v>
      </c>
      <c r="CD244" s="1177">
        <v>0</v>
      </c>
      <c r="CE244" s="1177">
        <v>0</v>
      </c>
      <c r="CF244" s="1177">
        <v>0</v>
      </c>
    </row>
    <row r="245" spans="1:84" s="1177" customFormat="1" x14ac:dyDescent="0.3">
      <c r="A245" s="1153">
        <v>996</v>
      </c>
      <c r="B245" s="1176">
        <v>996</v>
      </c>
      <c r="C245" s="1228">
        <v>996</v>
      </c>
      <c r="D245" s="1146" t="s">
        <v>521</v>
      </c>
      <c r="E245" s="1160" t="s">
        <v>522</v>
      </c>
      <c r="F245" s="1161">
        <v>0.01</v>
      </c>
      <c r="G245" s="1161">
        <v>0</v>
      </c>
      <c r="H245" s="1161">
        <v>0.01</v>
      </c>
      <c r="I245" s="1161">
        <v>0</v>
      </c>
      <c r="J245" s="1161">
        <v>0</v>
      </c>
      <c r="K245" s="1161">
        <v>0</v>
      </c>
      <c r="L245" s="1162">
        <v>0.01</v>
      </c>
      <c r="M245" s="1162">
        <v>0</v>
      </c>
      <c r="N245" s="1162">
        <v>0</v>
      </c>
      <c r="O245" s="1162">
        <v>0</v>
      </c>
      <c r="P245" s="1162">
        <v>0</v>
      </c>
      <c r="Q245" s="1162">
        <v>0.01</v>
      </c>
      <c r="R245" s="1162">
        <v>0</v>
      </c>
      <c r="S245" s="1162">
        <v>0.01</v>
      </c>
      <c r="T245" s="1162">
        <v>0.01</v>
      </c>
      <c r="U245" s="1162">
        <v>0</v>
      </c>
      <c r="V245" s="1162">
        <v>0.01</v>
      </c>
      <c r="W245" s="1162">
        <v>0.01</v>
      </c>
      <c r="X245" s="1162">
        <v>0.01</v>
      </c>
      <c r="Y245" s="1162">
        <v>0</v>
      </c>
      <c r="Z245" s="1162">
        <v>0.01</v>
      </c>
      <c r="AA245" s="1162">
        <v>0.01</v>
      </c>
      <c r="AB245" s="1162">
        <v>0.01</v>
      </c>
      <c r="AC245" s="1162">
        <v>0.01</v>
      </c>
      <c r="AD245" s="1162">
        <v>0.01</v>
      </c>
      <c r="AE245" s="1162">
        <v>0.01</v>
      </c>
      <c r="AF245" s="1162">
        <v>0.01</v>
      </c>
      <c r="AG245" s="1162">
        <v>0.01</v>
      </c>
      <c r="AH245" s="1162">
        <v>0.01</v>
      </c>
      <c r="AI245" s="1162">
        <v>0.01</v>
      </c>
      <c r="AJ245" s="1162">
        <v>0.01</v>
      </c>
      <c r="AK245" s="1162">
        <v>0.01</v>
      </c>
      <c r="AL245" s="1162">
        <v>0.01</v>
      </c>
      <c r="AM245" s="1162">
        <v>0.01</v>
      </c>
      <c r="AN245" s="1162">
        <v>0.01</v>
      </c>
      <c r="AO245" s="1162">
        <v>0.01</v>
      </c>
      <c r="AP245" s="1162">
        <v>0.01</v>
      </c>
      <c r="AQ245" s="1162">
        <v>0.01</v>
      </c>
      <c r="AR245" s="1162">
        <v>0</v>
      </c>
      <c r="AS245" s="1162">
        <v>0</v>
      </c>
      <c r="AT245" s="1162">
        <v>0.01</v>
      </c>
      <c r="AU245" s="1162">
        <v>0.01</v>
      </c>
      <c r="AV245" s="1162">
        <v>0.01</v>
      </c>
      <c r="AW245" s="1162">
        <v>0</v>
      </c>
      <c r="AX245" s="1162">
        <v>0.01</v>
      </c>
      <c r="AY245" s="1162">
        <v>0</v>
      </c>
      <c r="AZ245" s="1162">
        <v>0.01</v>
      </c>
      <c r="BA245" s="1162">
        <v>0.01</v>
      </c>
      <c r="BB245" s="1162">
        <v>0.01</v>
      </c>
      <c r="BC245" s="1162">
        <v>0.01</v>
      </c>
      <c r="BD245" s="1162">
        <v>0</v>
      </c>
      <c r="BE245" s="1162">
        <v>0.01</v>
      </c>
      <c r="BF245" s="1162">
        <v>0.01</v>
      </c>
      <c r="BG245" s="1162">
        <v>0</v>
      </c>
      <c r="BH245" s="1162">
        <v>0.01</v>
      </c>
      <c r="BI245" s="1162">
        <v>0.01</v>
      </c>
      <c r="BJ245" s="1162">
        <v>0</v>
      </c>
      <c r="BK245" s="1162">
        <v>0.01</v>
      </c>
      <c r="BL245" s="1162">
        <v>0</v>
      </c>
      <c r="BM245" s="1162">
        <v>0.01</v>
      </c>
      <c r="BN245" s="1162">
        <v>0.01</v>
      </c>
      <c r="BO245" s="1162">
        <v>0.01</v>
      </c>
      <c r="BP245" s="1162">
        <v>0.01</v>
      </c>
      <c r="BQ245" s="1162">
        <v>0.01</v>
      </c>
      <c r="BR245" s="1162">
        <v>0.01</v>
      </c>
      <c r="BS245" s="1162">
        <v>0</v>
      </c>
      <c r="BT245" s="1162">
        <v>0.01</v>
      </c>
      <c r="BU245" s="1162">
        <v>0</v>
      </c>
      <c r="BV245" s="1162">
        <v>0.01</v>
      </c>
      <c r="BW245" s="1162">
        <v>0.01</v>
      </c>
      <c r="BX245" s="1162">
        <v>0</v>
      </c>
      <c r="BY245" s="1162">
        <v>0.01</v>
      </c>
      <c r="BZ245" s="1162">
        <v>0.01</v>
      </c>
      <c r="CA245" s="1162">
        <v>0.01</v>
      </c>
      <c r="CB245" s="1162">
        <v>0.01</v>
      </c>
      <c r="CC245" s="1177">
        <v>0.01</v>
      </c>
      <c r="CD245" s="1177">
        <v>0.01</v>
      </c>
      <c r="CE245" s="1177">
        <v>0</v>
      </c>
      <c r="CF245" s="1177">
        <v>0.01</v>
      </c>
    </row>
    <row r="246" spans="1:84" s="1148" customFormat="1" x14ac:dyDescent="0.3">
      <c r="A246" s="1153">
        <v>997</v>
      </c>
      <c r="B246" s="1176"/>
      <c r="C246" s="1228">
        <v>997</v>
      </c>
      <c r="D246" s="1146"/>
      <c r="E246" s="1160"/>
      <c r="F246" s="1161"/>
      <c r="G246" s="1161"/>
      <c r="H246" s="1161"/>
      <c r="I246" s="1161"/>
      <c r="J246" s="1161"/>
      <c r="K246" s="1161"/>
      <c r="L246" s="1162"/>
      <c r="M246" s="1162"/>
      <c r="N246" s="1162"/>
      <c r="O246" s="1162"/>
      <c r="P246" s="1162"/>
      <c r="Q246" s="1162"/>
      <c r="R246" s="1162"/>
      <c r="S246" s="1162"/>
      <c r="T246" s="1162"/>
      <c r="U246" s="1162"/>
      <c r="V246" s="1162"/>
      <c r="W246" s="1162"/>
      <c r="X246" s="1162"/>
      <c r="Y246" s="1162"/>
      <c r="Z246" s="1162"/>
      <c r="AA246" s="1162"/>
      <c r="AB246" s="1162"/>
      <c r="AC246" s="1162"/>
      <c r="AD246" s="1162"/>
      <c r="AE246" s="1162"/>
      <c r="AF246" s="1162"/>
      <c r="AG246" s="1162"/>
      <c r="AH246" s="1162"/>
      <c r="AI246" s="1162"/>
      <c r="AJ246" s="1162"/>
      <c r="AK246" s="1162"/>
      <c r="AL246" s="1162"/>
      <c r="AM246" s="1162"/>
      <c r="AN246" s="1162"/>
      <c r="AO246" s="1162"/>
      <c r="AP246" s="1162"/>
      <c r="AQ246" s="1162"/>
      <c r="AR246" s="1162"/>
      <c r="AS246" s="1162"/>
      <c r="AT246" s="1162"/>
      <c r="AU246" s="1162"/>
      <c r="AV246" s="1162"/>
      <c r="AW246" s="1162"/>
      <c r="AX246" s="1162"/>
      <c r="AY246" s="1162"/>
      <c r="AZ246" s="1162"/>
      <c r="BA246" s="1162"/>
      <c r="BB246" s="1162"/>
      <c r="BC246" s="1162"/>
      <c r="BD246" s="1162"/>
      <c r="BE246" s="1162"/>
      <c r="BF246" s="1162"/>
      <c r="BG246" s="1162"/>
      <c r="BH246" s="1162"/>
      <c r="BI246" s="1162"/>
      <c r="BJ246" s="1162"/>
      <c r="BK246" s="1162"/>
      <c r="BL246" s="1162"/>
      <c r="BM246" s="1162"/>
      <c r="BN246" s="1162"/>
      <c r="BO246" s="1162"/>
      <c r="BP246" s="1162"/>
      <c r="BQ246" s="1162"/>
      <c r="BR246" s="1162"/>
      <c r="BS246" s="1162"/>
      <c r="BT246" s="1162"/>
      <c r="BU246" s="1162"/>
      <c r="BV246" s="1162"/>
      <c r="BW246" s="1162"/>
      <c r="BX246" s="1162"/>
      <c r="BY246" s="1162"/>
      <c r="BZ246" s="1162"/>
      <c r="CA246" s="1162"/>
      <c r="CB246" s="1162"/>
    </row>
    <row r="247" spans="1:84" s="1148" customFormat="1" x14ac:dyDescent="0.3">
      <c r="A247" s="1153">
        <v>998</v>
      </c>
      <c r="B247" s="1154">
        <v>998</v>
      </c>
      <c r="C247" s="1228">
        <v>998</v>
      </c>
      <c r="D247" s="1146" t="s">
        <v>292</v>
      </c>
      <c r="E247" s="1155" t="s">
        <v>523</v>
      </c>
      <c r="F247" s="1156">
        <v>50</v>
      </c>
      <c r="G247" s="1156">
        <v>50</v>
      </c>
      <c r="H247" s="1156">
        <v>50</v>
      </c>
      <c r="I247" s="1156">
        <v>50</v>
      </c>
      <c r="J247" s="1156">
        <v>50</v>
      </c>
      <c r="K247" s="1156">
        <v>50</v>
      </c>
      <c r="L247" s="1157">
        <v>50</v>
      </c>
      <c r="M247" s="1157">
        <v>50</v>
      </c>
      <c r="N247" s="1157">
        <v>50</v>
      </c>
      <c r="O247" s="1157">
        <v>50</v>
      </c>
      <c r="P247" s="1157">
        <v>50</v>
      </c>
      <c r="Q247" s="1157">
        <v>50</v>
      </c>
      <c r="R247" s="1157">
        <v>50</v>
      </c>
      <c r="S247" s="1157">
        <v>50</v>
      </c>
      <c r="T247" s="1157">
        <v>50</v>
      </c>
      <c r="U247" s="1157">
        <v>50</v>
      </c>
      <c r="V247" s="1157">
        <v>50</v>
      </c>
      <c r="W247" s="1157">
        <v>50</v>
      </c>
      <c r="X247" s="1157">
        <v>50</v>
      </c>
      <c r="Y247" s="1157">
        <v>50</v>
      </c>
      <c r="Z247" s="1157">
        <v>50</v>
      </c>
      <c r="AA247" s="1157">
        <v>50</v>
      </c>
      <c r="AB247" s="1157">
        <v>50</v>
      </c>
      <c r="AC247" s="1157">
        <v>50</v>
      </c>
      <c r="AD247" s="1157">
        <v>50</v>
      </c>
      <c r="AE247" s="1157">
        <v>50</v>
      </c>
      <c r="AF247" s="1157">
        <v>50</v>
      </c>
      <c r="AG247" s="1157">
        <v>50</v>
      </c>
      <c r="AH247" s="1157">
        <v>50</v>
      </c>
      <c r="AI247" s="1157">
        <v>50</v>
      </c>
      <c r="AJ247" s="1157">
        <v>50</v>
      </c>
      <c r="AK247" s="1157">
        <v>50</v>
      </c>
      <c r="AL247" s="1157">
        <v>50</v>
      </c>
      <c r="AM247" s="1157">
        <v>50</v>
      </c>
      <c r="AN247" s="1157">
        <v>50</v>
      </c>
      <c r="AO247" s="1157">
        <v>50</v>
      </c>
      <c r="AP247" s="1157">
        <v>50</v>
      </c>
      <c r="AQ247" s="1157">
        <v>50</v>
      </c>
      <c r="AR247" s="1157">
        <v>50</v>
      </c>
      <c r="AS247" s="1157">
        <v>50</v>
      </c>
      <c r="AT247" s="1157">
        <v>50</v>
      </c>
      <c r="AU247" s="1157">
        <v>50</v>
      </c>
      <c r="AV247" s="1157">
        <v>50</v>
      </c>
      <c r="AW247" s="1157">
        <v>50</v>
      </c>
      <c r="AX247" s="1157">
        <v>50</v>
      </c>
      <c r="AY247" s="1157">
        <v>50</v>
      </c>
      <c r="AZ247" s="1157">
        <v>50</v>
      </c>
      <c r="BA247" s="1157">
        <v>50</v>
      </c>
      <c r="BB247" s="1157">
        <v>50</v>
      </c>
      <c r="BC247" s="1157">
        <v>50</v>
      </c>
      <c r="BD247" s="1157">
        <v>50</v>
      </c>
      <c r="BE247" s="1157">
        <v>50</v>
      </c>
      <c r="BF247" s="1157">
        <v>50</v>
      </c>
      <c r="BG247" s="1157">
        <v>50</v>
      </c>
      <c r="BH247" s="1157">
        <v>50</v>
      </c>
      <c r="BI247" s="1157">
        <v>50</v>
      </c>
      <c r="BJ247" s="1157">
        <v>50</v>
      </c>
      <c r="BK247" s="1157">
        <v>50</v>
      </c>
      <c r="BL247" s="1157">
        <v>50</v>
      </c>
      <c r="BM247" s="1157">
        <v>50</v>
      </c>
      <c r="BN247" s="1157">
        <v>50</v>
      </c>
      <c r="BO247" s="1157">
        <v>50</v>
      </c>
      <c r="BP247" s="1157">
        <v>50</v>
      </c>
      <c r="BQ247" s="1157">
        <v>50</v>
      </c>
      <c r="BR247" s="1157">
        <v>50</v>
      </c>
      <c r="BS247" s="1157">
        <v>50</v>
      </c>
      <c r="BT247" s="1157">
        <v>50</v>
      </c>
      <c r="BU247" s="1157">
        <v>50</v>
      </c>
      <c r="BV247" s="1157">
        <v>50</v>
      </c>
      <c r="BW247" s="1157">
        <v>50</v>
      </c>
      <c r="BX247" s="1157">
        <v>50</v>
      </c>
      <c r="BY247" s="1157">
        <v>50</v>
      </c>
      <c r="BZ247" s="1157">
        <v>50</v>
      </c>
      <c r="CA247" s="1157">
        <v>50</v>
      </c>
      <c r="CB247" s="1157">
        <v>50</v>
      </c>
      <c r="CC247" s="1148">
        <v>50</v>
      </c>
      <c r="CD247" s="1148">
        <v>50</v>
      </c>
      <c r="CE247" s="1148">
        <v>50</v>
      </c>
      <c r="CF247" s="1148">
        <v>50</v>
      </c>
    </row>
    <row r="248" spans="1:84" s="1148" customFormat="1" x14ac:dyDescent="0.3">
      <c r="A248" s="1153">
        <v>999</v>
      </c>
      <c r="B248" s="1178">
        <v>999</v>
      </c>
      <c r="C248" s="1228">
        <v>999</v>
      </c>
      <c r="D248" s="1146" t="s">
        <v>293</v>
      </c>
      <c r="E248" s="1179" t="s">
        <v>524</v>
      </c>
      <c r="F248" s="1180">
        <v>50254</v>
      </c>
      <c r="G248" s="1180">
        <v>50255</v>
      </c>
      <c r="H248" s="1180">
        <v>50256</v>
      </c>
      <c r="I248" s="1180">
        <v>50558</v>
      </c>
      <c r="J248" s="1180">
        <v>50566</v>
      </c>
      <c r="K248" s="1180">
        <v>50562</v>
      </c>
      <c r="L248" s="1152">
        <v>50257</v>
      </c>
      <c r="M248" s="1152">
        <v>50555</v>
      </c>
      <c r="N248" s="1152">
        <v>50445</v>
      </c>
      <c r="O248" s="1152">
        <v>50452</v>
      </c>
      <c r="P248" s="1152">
        <v>50563</v>
      </c>
      <c r="Q248" s="1152">
        <v>50258</v>
      </c>
      <c r="R248" s="1152">
        <v>50523</v>
      </c>
      <c r="S248" s="1152">
        <v>50259</v>
      </c>
      <c r="T248" s="1152">
        <v>50260</v>
      </c>
      <c r="U248" s="1152">
        <v>50487</v>
      </c>
      <c r="V248" s="1152">
        <v>50261</v>
      </c>
      <c r="W248" s="1152">
        <v>50262</v>
      </c>
      <c r="X248" s="1152">
        <v>50263</v>
      </c>
      <c r="Y248" s="1152">
        <v>50264</v>
      </c>
      <c r="Z248" s="1152">
        <v>50265</v>
      </c>
      <c r="AA248" s="1152">
        <v>50266</v>
      </c>
      <c r="AB248" s="1152">
        <v>50267</v>
      </c>
      <c r="AC248" s="1152">
        <v>50268</v>
      </c>
      <c r="AD248" s="1152">
        <v>50269</v>
      </c>
      <c r="AE248" s="1152">
        <v>50270</v>
      </c>
      <c r="AF248" s="1152">
        <v>50271</v>
      </c>
      <c r="AG248" s="1152">
        <v>50272</v>
      </c>
      <c r="AH248" s="1152">
        <v>50273</v>
      </c>
      <c r="AI248" s="1152">
        <v>50274</v>
      </c>
      <c r="AJ248" s="1152">
        <v>50480</v>
      </c>
      <c r="AK248" s="1152">
        <v>50275</v>
      </c>
      <c r="AL248" s="1152">
        <v>50277</v>
      </c>
      <c r="AM248" s="1152">
        <v>50276</v>
      </c>
      <c r="AN248" s="1152">
        <v>50278</v>
      </c>
      <c r="AO248" s="1152">
        <v>50279</v>
      </c>
      <c r="AP248" s="1152">
        <v>50280</v>
      </c>
      <c r="AQ248" s="1152">
        <v>50281</v>
      </c>
      <c r="AR248" s="1152">
        <v>50478</v>
      </c>
      <c r="AS248" s="1152">
        <v>50524</v>
      </c>
      <c r="AT248" s="1152">
        <v>50282</v>
      </c>
      <c r="AU248" s="1152">
        <v>50525</v>
      </c>
      <c r="AV248" s="1152">
        <v>50283</v>
      </c>
      <c r="AW248" s="1152">
        <v>50285</v>
      </c>
      <c r="AX248" s="1152">
        <v>50553</v>
      </c>
      <c r="AY248" s="1152">
        <v>50548</v>
      </c>
      <c r="AZ248" s="1152">
        <v>50284</v>
      </c>
      <c r="BA248" s="1152">
        <v>50286</v>
      </c>
      <c r="BB248" s="1152">
        <v>50287</v>
      </c>
      <c r="BC248" s="1152">
        <v>50288</v>
      </c>
      <c r="BD248" s="1152">
        <v>50290</v>
      </c>
      <c r="BE248" s="1152">
        <v>50564</v>
      </c>
      <c r="BF248" s="1152">
        <v>50289</v>
      </c>
      <c r="BG248" s="1152">
        <v>50291</v>
      </c>
      <c r="BH248" s="1152">
        <v>50292</v>
      </c>
      <c r="BI248" s="1152">
        <v>50293</v>
      </c>
      <c r="BJ248" s="1152">
        <v>50463</v>
      </c>
      <c r="BK248" s="1152">
        <v>50294</v>
      </c>
      <c r="BL248" s="1152">
        <v>50538</v>
      </c>
      <c r="BM248" s="1152">
        <v>50295</v>
      </c>
      <c r="BN248" s="1152">
        <v>50296</v>
      </c>
      <c r="BO248" s="1152">
        <v>50297</v>
      </c>
      <c r="BP248" s="1152">
        <v>50449</v>
      </c>
      <c r="BQ248" s="1152">
        <v>50300</v>
      </c>
      <c r="BR248" s="1152">
        <v>50298</v>
      </c>
      <c r="BS248" s="1152">
        <v>50299</v>
      </c>
      <c r="BT248" s="1152">
        <v>50301</v>
      </c>
      <c r="BU248" s="1152">
        <v>50302</v>
      </c>
      <c r="BV248" s="1152">
        <v>50303</v>
      </c>
      <c r="BW248" s="1152">
        <v>50304</v>
      </c>
      <c r="BX248" s="1152">
        <v>50540</v>
      </c>
      <c r="BY248" s="1152">
        <v>50305</v>
      </c>
      <c r="BZ248" s="1152">
        <v>50306</v>
      </c>
      <c r="CA248" s="1152">
        <v>50479</v>
      </c>
      <c r="CB248" s="1152">
        <v>50307</v>
      </c>
      <c r="CC248" s="1148">
        <v>50308</v>
      </c>
      <c r="CD248" s="1148">
        <v>50309</v>
      </c>
      <c r="CE248" s="1148">
        <v>50310</v>
      </c>
      <c r="CF248" s="1148">
        <v>50311</v>
      </c>
    </row>
    <row r="249" spans="1:84" x14ac:dyDescent="0.3">
      <c r="A249" s="1146">
        <v>1000</v>
      </c>
      <c r="B249" s="1178"/>
      <c r="C249" s="1228">
        <v>1000</v>
      </c>
      <c r="E249" s="1179"/>
      <c r="F249" s="1179" t="s">
        <v>857</v>
      </c>
      <c r="G249" s="1179"/>
      <c r="H249" s="1179" t="s">
        <v>857</v>
      </c>
      <c r="I249" s="1179" t="s">
        <v>705</v>
      </c>
      <c r="J249" s="1179" t="s">
        <v>705</v>
      </c>
      <c r="K249" s="1179" t="s">
        <v>705</v>
      </c>
      <c r="L249" s="1179" t="s">
        <v>857</v>
      </c>
      <c r="M249" s="1179" t="s">
        <v>705</v>
      </c>
      <c r="N249" s="1179" t="s">
        <v>705</v>
      </c>
      <c r="O249" s="1179" t="s">
        <v>705</v>
      </c>
      <c r="P249" s="1179" t="s">
        <v>705</v>
      </c>
      <c r="Q249" s="1179" t="s">
        <v>857</v>
      </c>
      <c r="R249" s="1179" t="s">
        <v>705</v>
      </c>
      <c r="S249" s="1179" t="s">
        <v>857</v>
      </c>
      <c r="T249" s="1179" t="s">
        <v>857</v>
      </c>
      <c r="U249" s="1179" t="s">
        <v>705</v>
      </c>
      <c r="V249" s="1179" t="s">
        <v>857</v>
      </c>
      <c r="W249" s="1179" t="s">
        <v>857</v>
      </c>
      <c r="X249" s="1179" t="s">
        <v>857</v>
      </c>
      <c r="Y249" s="1179" t="s">
        <v>705</v>
      </c>
      <c r="Z249" s="1179" t="s">
        <v>857</v>
      </c>
      <c r="AA249" s="1179" t="s">
        <v>857</v>
      </c>
      <c r="AB249" s="1179" t="s">
        <v>857</v>
      </c>
      <c r="AC249" s="1179" t="s">
        <v>857</v>
      </c>
      <c r="AD249" s="1179" t="s">
        <v>857</v>
      </c>
      <c r="AE249" s="1179" t="s">
        <v>857</v>
      </c>
      <c r="AF249" s="1179" t="s">
        <v>857</v>
      </c>
      <c r="AG249" s="1179" t="s">
        <v>857</v>
      </c>
      <c r="AH249" s="1179" t="s">
        <v>857</v>
      </c>
      <c r="AI249" s="1179" t="s">
        <v>857</v>
      </c>
      <c r="AJ249" s="1179" t="s">
        <v>857</v>
      </c>
      <c r="AK249" s="1179" t="s">
        <v>857</v>
      </c>
      <c r="AL249" s="1179" t="s">
        <v>857</v>
      </c>
      <c r="AM249" s="1179" t="s">
        <v>857</v>
      </c>
      <c r="AN249" s="1179" t="s">
        <v>857</v>
      </c>
      <c r="AO249" s="1179" t="s">
        <v>857</v>
      </c>
      <c r="AP249" s="1179" t="s">
        <v>857</v>
      </c>
      <c r="AQ249" s="1179" t="s">
        <v>857</v>
      </c>
      <c r="AR249" s="1179" t="s">
        <v>705</v>
      </c>
      <c r="AS249" s="1179" t="s">
        <v>705</v>
      </c>
      <c r="AT249" s="1179" t="s">
        <v>857</v>
      </c>
      <c r="AU249" s="1179" t="s">
        <v>857</v>
      </c>
      <c r="AV249" s="1179" t="s">
        <v>857</v>
      </c>
      <c r="AW249" s="1179" t="s">
        <v>705</v>
      </c>
      <c r="AX249" s="1179" t="s">
        <v>857</v>
      </c>
      <c r="AY249" s="1179" t="s">
        <v>705</v>
      </c>
      <c r="AZ249" s="1179" t="s">
        <v>857</v>
      </c>
      <c r="BA249" s="1179" t="s">
        <v>857</v>
      </c>
      <c r="BB249" s="1179" t="s">
        <v>857</v>
      </c>
      <c r="BC249" s="1179" t="s">
        <v>857</v>
      </c>
      <c r="BD249" s="1179" t="s">
        <v>705</v>
      </c>
      <c r="BE249" s="1179" t="s">
        <v>857</v>
      </c>
      <c r="BF249" s="1179" t="s">
        <v>857</v>
      </c>
      <c r="BG249" s="1179" t="s">
        <v>705</v>
      </c>
      <c r="BH249" s="1179" t="s">
        <v>857</v>
      </c>
      <c r="BI249" s="1179" t="s">
        <v>857</v>
      </c>
      <c r="BJ249" s="1179" t="s">
        <v>705</v>
      </c>
      <c r="BK249" s="1179" t="s">
        <v>857</v>
      </c>
      <c r="BL249" s="1179" t="s">
        <v>705</v>
      </c>
      <c r="BM249" s="1179" t="s">
        <v>857</v>
      </c>
      <c r="BN249" s="1179" t="s">
        <v>857</v>
      </c>
      <c r="BO249" s="1179" t="s">
        <v>857</v>
      </c>
      <c r="BP249" s="1179" t="s">
        <v>857</v>
      </c>
      <c r="BQ249" s="1179" t="s">
        <v>857</v>
      </c>
      <c r="BR249" s="1179" t="s">
        <v>857</v>
      </c>
      <c r="BS249" s="1179" t="s">
        <v>705</v>
      </c>
      <c r="BT249" s="1179" t="s">
        <v>857</v>
      </c>
      <c r="BU249" s="1179" t="s">
        <v>705</v>
      </c>
      <c r="BV249" s="1179" t="s">
        <v>857</v>
      </c>
      <c r="BW249" s="1179" t="s">
        <v>857</v>
      </c>
      <c r="BX249" s="1179" t="s">
        <v>705</v>
      </c>
      <c r="BY249" s="1179" t="s">
        <v>857</v>
      </c>
      <c r="BZ249" s="1179" t="s">
        <v>857</v>
      </c>
      <c r="CA249" s="1179" t="s">
        <v>857</v>
      </c>
      <c r="CB249" s="1179" t="s">
        <v>857</v>
      </c>
      <c r="CC249" s="1146" t="s">
        <v>857</v>
      </c>
      <c r="CD249" s="1146" t="s">
        <v>857</v>
      </c>
      <c r="CE249" s="1146" t="s">
        <v>705</v>
      </c>
      <c r="CF249" s="1146" t="s">
        <v>857</v>
      </c>
    </row>
    <row r="250" spans="1:84" x14ac:dyDescent="0.3">
      <c r="A250" s="1146">
        <v>537</v>
      </c>
      <c r="B250" s="1178"/>
      <c r="C250" s="1228">
        <v>537</v>
      </c>
      <c r="E250" s="1179"/>
      <c r="F250" s="1179" t="s">
        <v>705</v>
      </c>
      <c r="G250" s="1179" t="s">
        <v>52</v>
      </c>
      <c r="H250" s="1179" t="s">
        <v>52</v>
      </c>
      <c r="I250" s="1179" t="s">
        <v>52</v>
      </c>
      <c r="J250" s="1179" t="s">
        <v>52</v>
      </c>
      <c r="K250" s="1179" t="s">
        <v>52</v>
      </c>
      <c r="L250" s="1179" t="s">
        <v>52</v>
      </c>
      <c r="M250" s="1179" t="s">
        <v>52</v>
      </c>
      <c r="N250" s="1179" t="s">
        <v>52</v>
      </c>
      <c r="O250" s="1179" t="s">
        <v>52</v>
      </c>
      <c r="P250" s="1179" t="s">
        <v>52</v>
      </c>
      <c r="Q250" s="1179" t="s">
        <v>52</v>
      </c>
      <c r="R250" s="1179" t="s">
        <v>52</v>
      </c>
      <c r="S250" s="1179" t="s">
        <v>51</v>
      </c>
      <c r="T250" s="1179" t="s">
        <v>705</v>
      </c>
      <c r="U250" s="1179" t="s">
        <v>52</v>
      </c>
      <c r="V250" s="1179" t="s">
        <v>52</v>
      </c>
      <c r="W250" s="1179" t="s">
        <v>51</v>
      </c>
      <c r="X250" s="1179" t="s">
        <v>52</v>
      </c>
      <c r="Y250" s="1179" t="s">
        <v>52</v>
      </c>
      <c r="Z250" s="1179" t="s">
        <v>52</v>
      </c>
      <c r="AA250" s="1179" t="s">
        <v>52</v>
      </c>
      <c r="AB250" s="1179" t="s">
        <v>51</v>
      </c>
      <c r="AC250" s="1179" t="s">
        <v>51</v>
      </c>
      <c r="AD250" s="1179" t="s">
        <v>52</v>
      </c>
      <c r="AE250" s="1179" t="s">
        <v>52</v>
      </c>
      <c r="AF250" s="1179" t="s">
        <v>52</v>
      </c>
      <c r="AG250" s="1179" t="s">
        <v>52</v>
      </c>
      <c r="AH250" s="1179" t="s">
        <v>51</v>
      </c>
      <c r="AI250" s="1179" t="s">
        <v>52</v>
      </c>
      <c r="AJ250" s="1179" t="s">
        <v>52</v>
      </c>
      <c r="AK250" s="1179" t="s">
        <v>52</v>
      </c>
      <c r="AL250" s="1179" t="s">
        <v>52</v>
      </c>
      <c r="AM250" s="1179" t="s">
        <v>52</v>
      </c>
      <c r="AN250" s="1179" t="s">
        <v>705</v>
      </c>
      <c r="AO250" s="1179" t="s">
        <v>51</v>
      </c>
      <c r="AP250" s="1179" t="s">
        <v>705</v>
      </c>
      <c r="AQ250" s="1179" t="s">
        <v>52</v>
      </c>
      <c r="AR250" s="1179" t="s">
        <v>52</v>
      </c>
      <c r="AS250" s="1179" t="s">
        <v>52</v>
      </c>
      <c r="AT250" s="1179" t="s">
        <v>52</v>
      </c>
      <c r="AU250" s="1179" t="s">
        <v>52</v>
      </c>
      <c r="AV250" s="1179" t="s">
        <v>52</v>
      </c>
      <c r="AW250" s="1179" t="s">
        <v>705</v>
      </c>
      <c r="AX250" s="1179" t="s">
        <v>52</v>
      </c>
      <c r="AY250" s="1179" t="s">
        <v>52</v>
      </c>
      <c r="AZ250" s="1179" t="s">
        <v>52</v>
      </c>
      <c r="BA250" s="1179" t="s">
        <v>52</v>
      </c>
      <c r="BB250" s="1179" t="s">
        <v>51</v>
      </c>
      <c r="BC250" s="1179" t="s">
        <v>52</v>
      </c>
      <c r="BD250" s="1179" t="s">
        <v>52</v>
      </c>
      <c r="BE250" s="1179" t="s">
        <v>52</v>
      </c>
      <c r="BF250" s="1179" t="s">
        <v>52</v>
      </c>
      <c r="BG250" s="1179" t="s">
        <v>52</v>
      </c>
      <c r="BH250" s="1179" t="s">
        <v>52</v>
      </c>
      <c r="BI250" s="1179" t="s">
        <v>52</v>
      </c>
      <c r="BJ250" s="1179" t="s">
        <v>52</v>
      </c>
      <c r="BK250" s="1179" t="s">
        <v>51</v>
      </c>
      <c r="BL250" s="1179" t="s">
        <v>52</v>
      </c>
      <c r="BM250" s="1179" t="s">
        <v>52</v>
      </c>
      <c r="BN250" s="1179" t="s">
        <v>705</v>
      </c>
      <c r="BO250" s="1179" t="s">
        <v>51</v>
      </c>
      <c r="BP250" s="1179" t="s">
        <v>52</v>
      </c>
      <c r="BQ250" s="1179" t="s">
        <v>52</v>
      </c>
      <c r="BR250" s="1179" t="s">
        <v>52</v>
      </c>
      <c r="BS250" s="1179" t="s">
        <v>52</v>
      </c>
      <c r="BT250" s="1179" t="s">
        <v>52</v>
      </c>
      <c r="BU250" s="1179" t="s">
        <v>52</v>
      </c>
      <c r="BV250" s="1179" t="s">
        <v>52</v>
      </c>
      <c r="BW250" s="1179" t="s">
        <v>52</v>
      </c>
      <c r="BX250" s="1179" t="s">
        <v>52</v>
      </c>
      <c r="BY250" s="1179" t="s">
        <v>705</v>
      </c>
      <c r="BZ250" s="1179" t="s">
        <v>51</v>
      </c>
      <c r="CA250" s="1179" t="s">
        <v>52</v>
      </c>
      <c r="CB250" s="1179" t="s">
        <v>52</v>
      </c>
      <c r="CC250" s="1146" t="s">
        <v>51</v>
      </c>
      <c r="CD250" s="1146" t="s">
        <v>52</v>
      </c>
      <c r="CE250" s="1146" t="s">
        <v>705</v>
      </c>
      <c r="CF250" s="1146" t="s">
        <v>52</v>
      </c>
    </row>
    <row r="251" spans="1:84" x14ac:dyDescent="0.3">
      <c r="A251" s="1181">
        <v>538</v>
      </c>
      <c r="B251" s="1178"/>
      <c r="C251" s="1228">
        <v>538</v>
      </c>
      <c r="E251" s="1179"/>
      <c r="F251" s="1179" t="s">
        <v>705</v>
      </c>
      <c r="G251" s="1179" t="s">
        <v>52</v>
      </c>
      <c r="H251" s="1179" t="s">
        <v>52</v>
      </c>
      <c r="I251" s="1179" t="s">
        <v>52</v>
      </c>
      <c r="J251" s="1179" t="s">
        <v>52</v>
      </c>
      <c r="K251" s="1179" t="s">
        <v>52</v>
      </c>
      <c r="L251" s="1179" t="s">
        <v>51</v>
      </c>
      <c r="M251" s="1179" t="s">
        <v>52</v>
      </c>
      <c r="N251" s="1179" t="s">
        <v>52</v>
      </c>
      <c r="O251" s="1179" t="s">
        <v>52</v>
      </c>
      <c r="P251" s="1179" t="s">
        <v>52</v>
      </c>
      <c r="Q251" s="1179" t="s">
        <v>51</v>
      </c>
      <c r="R251" s="1179" t="s">
        <v>52</v>
      </c>
      <c r="S251" s="1179" t="s">
        <v>51</v>
      </c>
      <c r="T251" s="1179" t="s">
        <v>705</v>
      </c>
      <c r="U251" s="1179" t="s">
        <v>52</v>
      </c>
      <c r="V251" s="1179" t="s">
        <v>52</v>
      </c>
      <c r="W251" s="1179" t="s">
        <v>52</v>
      </c>
      <c r="X251" s="1179" t="s">
        <v>52</v>
      </c>
      <c r="Y251" s="1179" t="s">
        <v>52</v>
      </c>
      <c r="Z251" s="1179" t="s">
        <v>52</v>
      </c>
      <c r="AA251" s="1179" t="s">
        <v>52</v>
      </c>
      <c r="AB251" s="1179" t="s">
        <v>52</v>
      </c>
      <c r="AC251" s="1179" t="s">
        <v>51</v>
      </c>
      <c r="AD251" s="1179" t="s">
        <v>52</v>
      </c>
      <c r="AE251" s="1179" t="s">
        <v>52</v>
      </c>
      <c r="AF251" s="1179" t="s">
        <v>51</v>
      </c>
      <c r="AG251" s="1179" t="s">
        <v>51</v>
      </c>
      <c r="AH251" s="1179" t="s">
        <v>52</v>
      </c>
      <c r="AI251" s="1179" t="s">
        <v>52</v>
      </c>
      <c r="AJ251" s="1179" t="s">
        <v>52</v>
      </c>
      <c r="AK251" s="1179" t="s">
        <v>52</v>
      </c>
      <c r="AL251" s="1179" t="s">
        <v>52</v>
      </c>
      <c r="AM251" s="1179" t="s">
        <v>52</v>
      </c>
      <c r="AN251" s="1179" t="s">
        <v>705</v>
      </c>
      <c r="AO251" s="1179" t="s">
        <v>51</v>
      </c>
      <c r="AP251" s="1179" t="s">
        <v>705</v>
      </c>
      <c r="AQ251" s="1179" t="s">
        <v>52</v>
      </c>
      <c r="AR251" s="1179" t="s">
        <v>52</v>
      </c>
      <c r="AS251" s="1179" t="s">
        <v>52</v>
      </c>
      <c r="AT251" s="1179" t="s">
        <v>52</v>
      </c>
      <c r="AU251" s="1179" t="s">
        <v>52</v>
      </c>
      <c r="AV251" s="1179" t="s">
        <v>52</v>
      </c>
      <c r="AW251" s="1179" t="s">
        <v>705</v>
      </c>
      <c r="AX251" s="1179" t="s">
        <v>52</v>
      </c>
      <c r="AY251" s="1179" t="s">
        <v>52</v>
      </c>
      <c r="AZ251" s="1179" t="s">
        <v>52</v>
      </c>
      <c r="BA251" s="1179" t="s">
        <v>52</v>
      </c>
      <c r="BB251" s="1179" t="s">
        <v>52</v>
      </c>
      <c r="BC251" s="1179" t="s">
        <v>52</v>
      </c>
      <c r="BD251" s="1179" t="s">
        <v>52</v>
      </c>
      <c r="BE251" s="1179" t="s">
        <v>52</v>
      </c>
      <c r="BF251" s="1179" t="s">
        <v>52</v>
      </c>
      <c r="BG251" s="1179" t="s">
        <v>52</v>
      </c>
      <c r="BH251" s="1179" t="s">
        <v>52</v>
      </c>
      <c r="BI251" s="1179" t="s">
        <v>52</v>
      </c>
      <c r="BJ251" s="1179" t="s">
        <v>52</v>
      </c>
      <c r="BK251" s="1179" t="s">
        <v>51</v>
      </c>
      <c r="BL251" s="1179" t="s">
        <v>52</v>
      </c>
      <c r="BM251" s="1179" t="s">
        <v>52</v>
      </c>
      <c r="BN251" s="1179" t="s">
        <v>705</v>
      </c>
      <c r="BO251" s="1179" t="s">
        <v>51</v>
      </c>
      <c r="BP251" s="1179" t="s">
        <v>52</v>
      </c>
      <c r="BQ251" s="1179" t="s">
        <v>52</v>
      </c>
      <c r="BR251" s="1179" t="s">
        <v>52</v>
      </c>
      <c r="BS251" s="1179" t="s">
        <v>52</v>
      </c>
      <c r="BT251" s="1179" t="s">
        <v>52</v>
      </c>
      <c r="BU251" s="1179" t="s">
        <v>52</v>
      </c>
      <c r="BV251" s="1179" t="s">
        <v>52</v>
      </c>
      <c r="BW251" s="1179" t="s">
        <v>51</v>
      </c>
      <c r="BX251" s="1179" t="s">
        <v>52</v>
      </c>
      <c r="BY251" s="1179" t="s">
        <v>705</v>
      </c>
      <c r="BZ251" s="1179" t="s">
        <v>51</v>
      </c>
      <c r="CA251" s="1179" t="s">
        <v>52</v>
      </c>
      <c r="CB251" s="1179" t="s">
        <v>52</v>
      </c>
      <c r="CC251" s="1146" t="s">
        <v>52</v>
      </c>
      <c r="CD251" s="1146" t="s">
        <v>52</v>
      </c>
      <c r="CE251" s="1146" t="s">
        <v>705</v>
      </c>
      <c r="CF251" s="1146" t="s">
        <v>52</v>
      </c>
    </row>
    <row r="252" spans="1:84" s="1148" customFormat="1" x14ac:dyDescent="0.3">
      <c r="A252" s="1153">
        <v>591</v>
      </c>
      <c r="B252" s="1182">
        <v>591</v>
      </c>
      <c r="C252" s="1183"/>
      <c r="D252" s="1146" t="s">
        <v>610</v>
      </c>
      <c r="E252" s="1179"/>
      <c r="F252" s="1180">
        <v>0</v>
      </c>
      <c r="G252" s="1180">
        <v>0</v>
      </c>
      <c r="H252" s="1180">
        <v>740920</v>
      </c>
      <c r="I252" s="1180">
        <v>0</v>
      </c>
      <c r="J252" s="1180">
        <v>0</v>
      </c>
      <c r="K252" s="1180">
        <v>0</v>
      </c>
      <c r="L252" s="1152">
        <v>189538</v>
      </c>
      <c r="M252" s="1152">
        <v>0</v>
      </c>
      <c r="N252" s="1152">
        <v>0</v>
      </c>
      <c r="O252" s="1152">
        <v>0</v>
      </c>
      <c r="P252" s="1152">
        <v>0</v>
      </c>
      <c r="Q252" s="1152">
        <v>6122218</v>
      </c>
      <c r="R252" s="1152">
        <v>0</v>
      </c>
      <c r="S252" s="1152">
        <v>93808268</v>
      </c>
      <c r="T252" s="1152">
        <v>0</v>
      </c>
      <c r="U252" s="1152">
        <v>0</v>
      </c>
      <c r="V252" s="1152">
        <v>22201087</v>
      </c>
      <c r="W252" s="1152">
        <v>8559387</v>
      </c>
      <c r="X252" s="1152">
        <v>43041039</v>
      </c>
      <c r="Y252" s="1152">
        <v>278326</v>
      </c>
      <c r="Z252" s="1152">
        <v>269544</v>
      </c>
      <c r="AA252" s="1152">
        <v>6212478</v>
      </c>
      <c r="AB252" s="1152">
        <v>1463988</v>
      </c>
      <c r="AC252" s="1152">
        <v>7460598</v>
      </c>
      <c r="AD252" s="1152">
        <v>3939098</v>
      </c>
      <c r="AE252" s="1152">
        <v>1062533</v>
      </c>
      <c r="AF252" s="1152">
        <v>1258955</v>
      </c>
      <c r="AG252" s="1152">
        <v>3187632</v>
      </c>
      <c r="AH252" s="1152">
        <v>3186733</v>
      </c>
      <c r="AI252" s="1152">
        <v>5268836</v>
      </c>
      <c r="AJ252" s="1152">
        <v>808295</v>
      </c>
      <c r="AK252" s="1152">
        <v>70145964</v>
      </c>
      <c r="AL252" s="1152">
        <v>299053</v>
      </c>
      <c r="AM252" s="1152">
        <v>621563</v>
      </c>
      <c r="AN252" s="1152">
        <v>0</v>
      </c>
      <c r="AO252" s="1152">
        <v>24504101</v>
      </c>
      <c r="AP252" s="1152">
        <v>0</v>
      </c>
      <c r="AQ252" s="1152">
        <v>720554</v>
      </c>
      <c r="AR252" s="1152">
        <v>0</v>
      </c>
      <c r="AS252" s="1152">
        <v>0</v>
      </c>
      <c r="AT252" s="1152">
        <v>2738000</v>
      </c>
      <c r="AU252" s="1152">
        <v>298042</v>
      </c>
      <c r="AV252" s="1152">
        <v>1709601</v>
      </c>
      <c r="AW252" s="1152">
        <v>0</v>
      </c>
      <c r="AX252" s="1152">
        <v>22521844</v>
      </c>
      <c r="AY252" s="1152">
        <v>0</v>
      </c>
      <c r="AZ252" s="1152">
        <v>1269158</v>
      </c>
      <c r="BA252" s="1152">
        <v>2685720</v>
      </c>
      <c r="BB252" s="1152">
        <v>580432</v>
      </c>
      <c r="BC252" s="1152">
        <v>352548</v>
      </c>
      <c r="BD252" s="1152">
        <v>0</v>
      </c>
      <c r="BE252" s="1152">
        <v>131559</v>
      </c>
      <c r="BF252" s="1152">
        <v>4825158</v>
      </c>
      <c r="BG252" s="1152">
        <v>0</v>
      </c>
      <c r="BH252" s="1152">
        <v>305414</v>
      </c>
      <c r="BI252" s="1152">
        <v>187475</v>
      </c>
      <c r="BJ252" s="1152">
        <v>0</v>
      </c>
      <c r="BK252" s="1152">
        <v>209334</v>
      </c>
      <c r="BL252" s="1152">
        <v>0</v>
      </c>
      <c r="BM252" s="1152">
        <v>2880177</v>
      </c>
      <c r="BN252" s="1152">
        <v>0</v>
      </c>
      <c r="BO252" s="1152">
        <v>1127019</v>
      </c>
      <c r="BP252" s="1152">
        <v>737792</v>
      </c>
      <c r="BQ252" s="1152">
        <v>911805</v>
      </c>
      <c r="BR252" s="1152">
        <v>344668</v>
      </c>
      <c r="BS252" s="1152">
        <v>0</v>
      </c>
      <c r="BT252" s="1152">
        <v>2989853</v>
      </c>
      <c r="BU252" s="1152">
        <v>13800375</v>
      </c>
      <c r="BV252" s="1152">
        <v>729442</v>
      </c>
      <c r="BW252" s="1152">
        <v>3894860</v>
      </c>
      <c r="BX252" s="1152">
        <v>0</v>
      </c>
      <c r="BY252" s="1152">
        <v>0</v>
      </c>
      <c r="BZ252" s="1152">
        <v>322109</v>
      </c>
      <c r="CA252" s="1152">
        <v>35699</v>
      </c>
      <c r="CB252" s="1152">
        <v>378218</v>
      </c>
      <c r="CC252" s="1148">
        <v>314314</v>
      </c>
      <c r="CD252" s="1148">
        <v>703887</v>
      </c>
      <c r="CE252" s="1148">
        <v>0</v>
      </c>
      <c r="CF252" s="1148">
        <v>48738</v>
      </c>
    </row>
    <row r="253" spans="1:84" s="1148" customFormat="1" x14ac:dyDescent="0.3">
      <c r="A253" s="1153">
        <v>592</v>
      </c>
      <c r="B253" s="1182">
        <v>592</v>
      </c>
      <c r="C253" s="1183"/>
      <c r="D253" s="1146" t="s">
        <v>611</v>
      </c>
      <c r="E253" s="1179"/>
      <c r="F253" s="1180">
        <v>0</v>
      </c>
      <c r="G253" s="1180">
        <v>0</v>
      </c>
      <c r="H253" s="1180">
        <v>-30288</v>
      </c>
      <c r="I253" s="1180">
        <v>0</v>
      </c>
      <c r="J253" s="1180">
        <v>0</v>
      </c>
      <c r="K253" s="1180">
        <v>0</v>
      </c>
      <c r="L253" s="1152">
        <v>-54400</v>
      </c>
      <c r="M253" s="1152">
        <v>0</v>
      </c>
      <c r="N253" s="1152">
        <v>0</v>
      </c>
      <c r="O253" s="1152">
        <v>0</v>
      </c>
      <c r="P253" s="1152">
        <v>0</v>
      </c>
      <c r="Q253" s="1152">
        <v>-405505</v>
      </c>
      <c r="R253" s="1152">
        <v>0</v>
      </c>
      <c r="S253" s="1152">
        <v>28428113</v>
      </c>
      <c r="T253" s="1152">
        <v>0</v>
      </c>
      <c r="U253" s="1152">
        <v>0</v>
      </c>
      <c r="V253" s="1152">
        <v>14480475</v>
      </c>
      <c r="W253" s="1152">
        <v>-408530</v>
      </c>
      <c r="X253" s="1152">
        <v>8872678</v>
      </c>
      <c r="Y253" s="1152">
        <v>-679702</v>
      </c>
      <c r="Z253" s="1152">
        <v>-84941</v>
      </c>
      <c r="AA253" s="1152">
        <v>615232</v>
      </c>
      <c r="AB253" s="1152">
        <v>88081</v>
      </c>
      <c r="AC253" s="1152">
        <v>1859915</v>
      </c>
      <c r="AD253" s="1152">
        <v>1262397</v>
      </c>
      <c r="AE253" s="1152">
        <v>144569</v>
      </c>
      <c r="AF253" s="1152">
        <v>130599</v>
      </c>
      <c r="AG253" s="1152">
        <v>173431</v>
      </c>
      <c r="AH253" s="1152">
        <v>271363</v>
      </c>
      <c r="AI253" s="1152">
        <v>-627976</v>
      </c>
      <c r="AJ253" s="1152">
        <v>29308</v>
      </c>
      <c r="AK253" s="1152">
        <v>4732229</v>
      </c>
      <c r="AL253" s="1152">
        <v>-17210</v>
      </c>
      <c r="AM253" s="1152">
        <v>-147108</v>
      </c>
      <c r="AN253" s="1152">
        <v>0</v>
      </c>
      <c r="AO253" s="1152">
        <v>1461658</v>
      </c>
      <c r="AP253" s="1152">
        <v>0</v>
      </c>
      <c r="AQ253" s="1152">
        <v>-131435</v>
      </c>
      <c r="AR253" s="1152">
        <v>0</v>
      </c>
      <c r="AS253" s="1152">
        <v>0</v>
      </c>
      <c r="AT253" s="1152">
        <v>347391</v>
      </c>
      <c r="AU253" s="1152">
        <v>-6027338</v>
      </c>
      <c r="AV253" s="1152">
        <v>-23412</v>
      </c>
      <c r="AW253" s="1152">
        <v>0</v>
      </c>
      <c r="AX253" s="1152">
        <v>-1460672</v>
      </c>
      <c r="AY253" s="1152">
        <v>0</v>
      </c>
      <c r="AZ253" s="1152">
        <v>-275219</v>
      </c>
      <c r="BA253" s="1152">
        <v>425519</v>
      </c>
      <c r="BB253" s="1152">
        <v>-18919</v>
      </c>
      <c r="BC253" s="1152">
        <v>-37688</v>
      </c>
      <c r="BD253" s="1152">
        <v>0</v>
      </c>
      <c r="BE253" s="1152">
        <v>-24786</v>
      </c>
      <c r="BF253" s="1152">
        <v>3171628</v>
      </c>
      <c r="BG253" s="1152">
        <v>0</v>
      </c>
      <c r="BH253" s="1152">
        <v>22480</v>
      </c>
      <c r="BI253" s="1152">
        <v>-83137</v>
      </c>
      <c r="BJ253" s="1152">
        <v>0</v>
      </c>
      <c r="BK253" s="1152">
        <v>-34797</v>
      </c>
      <c r="BL253" s="1152">
        <v>0</v>
      </c>
      <c r="BM253" s="1152">
        <v>391497</v>
      </c>
      <c r="BN253" s="1152">
        <v>0</v>
      </c>
      <c r="BO253" s="1152">
        <v>487768</v>
      </c>
      <c r="BP253" s="1152">
        <v>137055</v>
      </c>
      <c r="BQ253" s="1152">
        <v>-5204</v>
      </c>
      <c r="BR253" s="1152">
        <v>107189</v>
      </c>
      <c r="BS253" s="1152">
        <v>0</v>
      </c>
      <c r="BT253" s="1152">
        <v>103914</v>
      </c>
      <c r="BU253" s="1152">
        <v>1700003</v>
      </c>
      <c r="BV253" s="1152">
        <v>-116646</v>
      </c>
      <c r="BW253" s="1152">
        <v>371535</v>
      </c>
      <c r="BX253" s="1152">
        <v>0</v>
      </c>
      <c r="BY253" s="1152">
        <v>0</v>
      </c>
      <c r="BZ253" s="1152">
        <v>50941</v>
      </c>
      <c r="CA253" s="1152">
        <v>-23861</v>
      </c>
      <c r="CB253" s="1152">
        <v>-61843</v>
      </c>
      <c r="CC253" s="1148">
        <v>-134512</v>
      </c>
      <c r="CD253" s="1148">
        <v>15590</v>
      </c>
      <c r="CE253" s="1148">
        <v>0</v>
      </c>
      <c r="CF253" s="1148">
        <v>-22668</v>
      </c>
    </row>
    <row r="254" spans="1:84" s="1148" customFormat="1" x14ac:dyDescent="0.3">
      <c r="A254" s="1146">
        <v>595</v>
      </c>
      <c r="B254" s="1182"/>
      <c r="C254" s="1183"/>
      <c r="D254" s="1146" t="s">
        <v>683</v>
      </c>
      <c r="E254" s="1179"/>
      <c r="F254" s="1180"/>
      <c r="G254" s="1180"/>
      <c r="H254" s="1180"/>
      <c r="I254" s="1180"/>
      <c r="J254" s="1180"/>
      <c r="K254" s="1180"/>
      <c r="L254" s="1152"/>
      <c r="M254" s="1152"/>
      <c r="N254" s="1152"/>
      <c r="O254" s="1152"/>
      <c r="P254" s="1152"/>
      <c r="Q254" s="1152"/>
      <c r="R254" s="1152"/>
      <c r="S254" s="1152"/>
      <c r="T254" s="1152"/>
      <c r="U254" s="1152"/>
      <c r="V254" s="1152"/>
      <c r="W254" s="1152"/>
      <c r="X254" s="1152"/>
      <c r="Y254" s="1152"/>
      <c r="Z254" s="1152"/>
      <c r="AA254" s="1152"/>
      <c r="AB254" s="1152"/>
      <c r="AC254" s="1152"/>
      <c r="AD254" s="1152"/>
      <c r="AE254" s="1152"/>
      <c r="AF254" s="1152"/>
      <c r="AG254" s="1152"/>
      <c r="AH254" s="1152"/>
      <c r="AI254" s="1152"/>
      <c r="AJ254" s="1152"/>
      <c r="AK254" s="1152"/>
      <c r="AL254" s="1152"/>
      <c r="AM254" s="1152"/>
      <c r="AN254" s="1152"/>
      <c r="AO254" s="1152"/>
      <c r="AP254" s="1152"/>
      <c r="AQ254" s="1152"/>
      <c r="AR254" s="1152"/>
      <c r="AS254" s="1152"/>
      <c r="AT254" s="1152"/>
      <c r="AU254" s="1152"/>
      <c r="AV254" s="1152"/>
      <c r="AW254" s="1152"/>
      <c r="AX254" s="1152"/>
      <c r="AY254" s="1152"/>
      <c r="AZ254" s="1152"/>
      <c r="BA254" s="1152"/>
      <c r="BB254" s="1152"/>
      <c r="BC254" s="1152"/>
      <c r="BD254" s="1152"/>
      <c r="BE254" s="1152"/>
      <c r="BF254" s="1152"/>
      <c r="BG254" s="1152"/>
      <c r="BH254" s="1152"/>
      <c r="BI254" s="1152"/>
      <c r="BJ254" s="1152"/>
      <c r="BK254" s="1152"/>
      <c r="BL254" s="1152"/>
      <c r="BM254" s="1152"/>
      <c r="BN254" s="1152"/>
      <c r="BO254" s="1152"/>
      <c r="BP254" s="1152"/>
      <c r="BQ254" s="1152"/>
      <c r="BR254" s="1152"/>
      <c r="BS254" s="1152"/>
      <c r="BT254" s="1152"/>
      <c r="BU254" s="1152"/>
      <c r="BV254" s="1152"/>
      <c r="BW254" s="1152"/>
      <c r="BX254" s="1152"/>
      <c r="BY254" s="1152"/>
      <c r="BZ254" s="1152"/>
      <c r="CA254" s="1152"/>
      <c r="CB254" s="1152"/>
    </row>
    <row r="255" spans="1:84" s="1148" customFormat="1" x14ac:dyDescent="0.3">
      <c r="A255" s="1153">
        <v>596</v>
      </c>
      <c r="B255" s="1182">
        <v>596</v>
      </c>
      <c r="C255" s="1183"/>
      <c r="D255" s="1146" t="s">
        <v>617</v>
      </c>
      <c r="E255" s="1179"/>
      <c r="F255" s="1180">
        <v>0</v>
      </c>
      <c r="G255" s="1180">
        <v>52</v>
      </c>
      <c r="H255" s="1180">
        <v>52</v>
      </c>
      <c r="I255" s="1180">
        <v>52</v>
      </c>
      <c r="J255" s="1180">
        <v>0</v>
      </c>
      <c r="K255" s="1180">
        <v>0</v>
      </c>
      <c r="L255" s="1152">
        <v>52</v>
      </c>
      <c r="M255" s="1152">
        <v>52</v>
      </c>
      <c r="N255" s="1152">
        <v>0</v>
      </c>
      <c r="O255" s="1152">
        <v>52</v>
      </c>
      <c r="P255" s="1152">
        <v>52</v>
      </c>
      <c r="Q255" s="1152">
        <v>52</v>
      </c>
      <c r="R255" s="1152">
        <v>52</v>
      </c>
      <c r="S255" s="1152">
        <v>52</v>
      </c>
      <c r="T255" s="1152">
        <v>0</v>
      </c>
      <c r="U255" s="1152">
        <v>50</v>
      </c>
      <c r="V255" s="1152">
        <v>52</v>
      </c>
      <c r="W255" s="1152">
        <v>52</v>
      </c>
      <c r="X255" s="1152">
        <v>52</v>
      </c>
      <c r="Y255" s="1152">
        <v>52</v>
      </c>
      <c r="Z255" s="1152">
        <v>52</v>
      </c>
      <c r="AA255" s="1152">
        <v>52</v>
      </c>
      <c r="AB255" s="1152">
        <v>52</v>
      </c>
      <c r="AC255" s="1152">
        <v>52</v>
      </c>
      <c r="AD255" s="1152">
        <v>52</v>
      </c>
      <c r="AE255" s="1152">
        <v>52</v>
      </c>
      <c r="AF255" s="1152">
        <v>52</v>
      </c>
      <c r="AG255" s="1152">
        <v>52</v>
      </c>
      <c r="AH255" s="1152">
        <v>52</v>
      </c>
      <c r="AI255" s="1152">
        <v>52</v>
      </c>
      <c r="AJ255" s="1152">
        <v>52</v>
      </c>
      <c r="AK255" s="1152">
        <v>52</v>
      </c>
      <c r="AL255" s="1152">
        <v>52</v>
      </c>
      <c r="AM255" s="1152">
        <v>52</v>
      </c>
      <c r="AN255" s="1152">
        <v>0</v>
      </c>
      <c r="AO255" s="1152">
        <v>52</v>
      </c>
      <c r="AP255" s="1152">
        <v>0</v>
      </c>
      <c r="AQ255" s="1152">
        <v>52</v>
      </c>
      <c r="AR255" s="1152">
        <v>52</v>
      </c>
      <c r="AS255" s="1152">
        <v>52</v>
      </c>
      <c r="AT255" s="1152">
        <v>52</v>
      </c>
      <c r="AU255" s="1152">
        <v>51</v>
      </c>
      <c r="AV255" s="1152">
        <v>52</v>
      </c>
      <c r="AW255" s="1152">
        <v>0</v>
      </c>
      <c r="AX255" s="1152">
        <v>52</v>
      </c>
      <c r="AY255" s="1152">
        <v>52</v>
      </c>
      <c r="AZ255" s="1152">
        <v>52</v>
      </c>
      <c r="BA255" s="1152">
        <v>52</v>
      </c>
      <c r="BB255" s="1152">
        <v>52</v>
      </c>
      <c r="BC255" s="1152">
        <v>52</v>
      </c>
      <c r="BD255" s="1152">
        <v>0</v>
      </c>
      <c r="BE255" s="1152">
        <v>52</v>
      </c>
      <c r="BF255" s="1152">
        <v>52</v>
      </c>
      <c r="BG255" s="1152">
        <v>52</v>
      </c>
      <c r="BH255" s="1152">
        <v>52</v>
      </c>
      <c r="BI255" s="1152">
        <v>52</v>
      </c>
      <c r="BJ255" s="1152">
        <v>0</v>
      </c>
      <c r="BK255" s="1152">
        <v>52</v>
      </c>
      <c r="BL255" s="1152">
        <v>52</v>
      </c>
      <c r="BM255" s="1152">
        <v>52</v>
      </c>
      <c r="BN255" s="1152">
        <v>0</v>
      </c>
      <c r="BO255" s="1152">
        <v>52</v>
      </c>
      <c r="BP255" s="1152">
        <v>52</v>
      </c>
      <c r="BQ255" s="1152">
        <v>52</v>
      </c>
      <c r="BR255" s="1152">
        <v>52</v>
      </c>
      <c r="BS255" s="1152">
        <v>52</v>
      </c>
      <c r="BT255" s="1152">
        <v>52</v>
      </c>
      <c r="BU255" s="1152">
        <v>52</v>
      </c>
      <c r="BV255" s="1152">
        <v>52</v>
      </c>
      <c r="BW255" s="1152">
        <v>52</v>
      </c>
      <c r="BX255" s="1152">
        <v>52</v>
      </c>
      <c r="BY255" s="1152">
        <v>0</v>
      </c>
      <c r="BZ255" s="1152">
        <v>52</v>
      </c>
      <c r="CA255" s="1152">
        <v>52</v>
      </c>
      <c r="CB255" s="1152">
        <v>52</v>
      </c>
      <c r="CC255" s="1148">
        <v>52</v>
      </c>
      <c r="CD255" s="1148">
        <v>52</v>
      </c>
      <c r="CE255" s="1148">
        <v>0</v>
      </c>
      <c r="CF255" s="1148">
        <v>52</v>
      </c>
    </row>
    <row r="256" spans="1:84" s="1148" customFormat="1" x14ac:dyDescent="0.3">
      <c r="A256" s="1153">
        <v>597</v>
      </c>
      <c r="B256" s="1182">
        <v>597</v>
      </c>
      <c r="C256" s="1183"/>
      <c r="D256" s="1146" t="s">
        <v>684</v>
      </c>
      <c r="E256" s="1179"/>
      <c r="F256" s="1180">
        <v>0</v>
      </c>
      <c r="G256" s="1180">
        <v>4</v>
      </c>
      <c r="H256" s="1180">
        <v>8008</v>
      </c>
      <c r="I256" s="1180">
        <v>51116</v>
      </c>
      <c r="J256" s="1180">
        <v>69442</v>
      </c>
      <c r="K256" s="1180">
        <v>72400</v>
      </c>
      <c r="L256" s="1152">
        <v>1292</v>
      </c>
      <c r="M256" s="1152">
        <v>8106</v>
      </c>
      <c r="N256" s="1152">
        <v>8633</v>
      </c>
      <c r="O256" s="1152">
        <v>86761</v>
      </c>
      <c r="P256" s="1152">
        <v>8018</v>
      </c>
      <c r="Q256" s="1152">
        <v>41143</v>
      </c>
      <c r="R256" s="1152">
        <v>5056</v>
      </c>
      <c r="S256" s="1152">
        <v>5074419</v>
      </c>
      <c r="T256" s="1152">
        <v>0</v>
      </c>
      <c r="U256" s="1152">
        <v>1579</v>
      </c>
      <c r="V256" s="1152">
        <v>1465555</v>
      </c>
      <c r="W256" s="1152">
        <v>280537</v>
      </c>
      <c r="X256" s="1152">
        <v>536547</v>
      </c>
      <c r="Y256" s="1152">
        <v>705679</v>
      </c>
      <c r="Z256" s="1152">
        <v>5486</v>
      </c>
      <c r="AA256" s="1152">
        <v>247539</v>
      </c>
      <c r="AB256" s="1152">
        <v>1989</v>
      </c>
      <c r="AC256" s="1152">
        <v>361270</v>
      </c>
      <c r="AD256" s="1152">
        <v>9977</v>
      </c>
      <c r="AE256" s="1152">
        <v>27024</v>
      </c>
      <c r="AF256" s="1152">
        <v>11518</v>
      </c>
      <c r="AG256" s="1152">
        <v>36691</v>
      </c>
      <c r="AH256" s="1152">
        <v>651505</v>
      </c>
      <c r="AI256" s="1152">
        <v>71195</v>
      </c>
      <c r="AJ256" s="1152">
        <v>4872</v>
      </c>
      <c r="AK256" s="1152">
        <v>780328</v>
      </c>
      <c r="AL256" s="1152">
        <v>18367</v>
      </c>
      <c r="AM256" s="1152">
        <v>11573</v>
      </c>
      <c r="AN256" s="1152">
        <v>0</v>
      </c>
      <c r="AO256" s="1152">
        <v>264463</v>
      </c>
      <c r="AP256" s="1152">
        <v>0</v>
      </c>
      <c r="AQ256" s="1152">
        <v>4</v>
      </c>
      <c r="AR256" s="1152">
        <v>178</v>
      </c>
      <c r="AS256" s="1152">
        <v>139557</v>
      </c>
      <c r="AT256" s="1152">
        <v>367046</v>
      </c>
      <c r="AU256" s="1152">
        <v>1132</v>
      </c>
      <c r="AV256" s="1152">
        <v>23067</v>
      </c>
      <c r="AW256" s="1152">
        <v>0</v>
      </c>
      <c r="AX256" s="1152">
        <v>305730</v>
      </c>
      <c r="AY256" s="1152">
        <v>35796</v>
      </c>
      <c r="AZ256" s="1152">
        <v>62032</v>
      </c>
      <c r="BA256" s="1152">
        <v>279419</v>
      </c>
      <c r="BB256" s="1152">
        <v>32944</v>
      </c>
      <c r="BC256" s="1152">
        <v>4057</v>
      </c>
      <c r="BD256" s="1152">
        <v>0</v>
      </c>
      <c r="BE256" s="1152">
        <v>1292</v>
      </c>
      <c r="BF256" s="1152">
        <v>184827</v>
      </c>
      <c r="BG256" s="1152">
        <v>5221</v>
      </c>
      <c r="BH256" s="1152">
        <v>4645</v>
      </c>
      <c r="BI256" s="1152">
        <v>87</v>
      </c>
      <c r="BJ256" s="1152">
        <v>5000</v>
      </c>
      <c r="BK256" s="1152">
        <v>6971</v>
      </c>
      <c r="BL256" s="1152">
        <v>22</v>
      </c>
      <c r="BM256" s="1152">
        <v>45089</v>
      </c>
      <c r="BN256" s="1152">
        <v>0</v>
      </c>
      <c r="BO256" s="1152">
        <v>577</v>
      </c>
      <c r="BP256" s="1152">
        <v>81764</v>
      </c>
      <c r="BQ256" s="1152">
        <v>442</v>
      </c>
      <c r="BR256" s="1152">
        <v>1878</v>
      </c>
      <c r="BS256" s="1152">
        <v>171964</v>
      </c>
      <c r="BT256" s="1152">
        <v>5962</v>
      </c>
      <c r="BU256" s="1152">
        <v>374639</v>
      </c>
      <c r="BV256" s="1152">
        <v>1021</v>
      </c>
      <c r="BW256" s="1152">
        <v>24761</v>
      </c>
      <c r="BX256" s="1152">
        <v>14066</v>
      </c>
      <c r="BY256" s="1152">
        <v>0</v>
      </c>
      <c r="BZ256" s="1152">
        <v>23066</v>
      </c>
      <c r="CA256" s="1152">
        <v>833</v>
      </c>
      <c r="CB256" s="1152">
        <v>7733</v>
      </c>
      <c r="CC256" s="1148">
        <v>2702</v>
      </c>
      <c r="CD256" s="1148">
        <v>0</v>
      </c>
      <c r="CE256" s="1148">
        <v>0</v>
      </c>
      <c r="CF256" s="1148">
        <v>2234</v>
      </c>
    </row>
    <row r="257" spans="1:84" s="1148" customFormat="1" x14ac:dyDescent="0.3">
      <c r="A257" s="1146" t="s">
        <v>1766</v>
      </c>
      <c r="B257" s="1146"/>
      <c r="C257" s="1184"/>
      <c r="D257" s="1146"/>
      <c r="E257" s="1185"/>
      <c r="F257" s="1180" t="s">
        <v>857</v>
      </c>
      <c r="G257" s="1180"/>
      <c r="H257" s="1180"/>
      <c r="I257" s="1180"/>
      <c r="J257" s="1180"/>
      <c r="K257" s="1180"/>
      <c r="L257" s="1152"/>
      <c r="M257" s="1152"/>
      <c r="N257" s="1152"/>
      <c r="O257" s="1152"/>
      <c r="P257" s="1152"/>
      <c r="Q257" s="1152"/>
      <c r="R257" s="1152"/>
      <c r="S257" s="1152"/>
      <c r="T257" s="1152"/>
      <c r="U257" s="1152"/>
      <c r="V257" s="1152"/>
      <c r="W257" s="1152"/>
      <c r="X257" s="1152"/>
      <c r="Y257" s="1152"/>
      <c r="Z257" s="1152"/>
      <c r="AA257" s="1152"/>
      <c r="AB257" s="1152"/>
      <c r="AC257" s="1152"/>
      <c r="AD257" s="1152"/>
      <c r="AE257" s="1152"/>
      <c r="AF257" s="1152"/>
      <c r="AG257" s="1152"/>
      <c r="AH257" s="1152"/>
      <c r="AI257" s="1152"/>
      <c r="AJ257" s="1152"/>
      <c r="AK257" s="1152"/>
      <c r="AL257" s="1152"/>
      <c r="AM257" s="1152"/>
      <c r="AN257" s="1152"/>
      <c r="AO257" s="1152"/>
      <c r="AP257" s="1152"/>
      <c r="AQ257" s="1152"/>
      <c r="AR257" s="1152"/>
      <c r="AS257" s="1152"/>
      <c r="AT257" s="1152"/>
      <c r="AU257" s="1152"/>
      <c r="AV257" s="1152"/>
      <c r="AW257" s="1152"/>
      <c r="AX257" s="1152"/>
      <c r="AY257" s="1152"/>
      <c r="AZ257" s="1152"/>
      <c r="BA257" s="1152"/>
      <c r="BB257" s="1152"/>
      <c r="BC257" s="1152"/>
      <c r="BD257" s="1152"/>
      <c r="BE257" s="1152"/>
      <c r="BF257" s="1152"/>
      <c r="BG257" s="1152"/>
      <c r="BH257" s="1152"/>
      <c r="BI257" s="1152"/>
      <c r="BJ257" s="1152"/>
      <c r="BK257" s="1152"/>
      <c r="BL257" s="1152"/>
      <c r="BM257" s="1152"/>
      <c r="BN257" s="1152"/>
      <c r="BO257" s="1152"/>
      <c r="BP257" s="1152"/>
      <c r="BQ257" s="1152"/>
      <c r="BR257" s="1152"/>
      <c r="BS257" s="1152"/>
      <c r="BT257" s="1152"/>
      <c r="BU257" s="1152"/>
      <c r="BV257" s="1152"/>
      <c r="BW257" s="1152"/>
      <c r="BX257" s="1152"/>
      <c r="BY257" s="1152"/>
      <c r="BZ257" s="1152"/>
      <c r="CA257" s="1152"/>
      <c r="CB257" s="1152"/>
    </row>
    <row r="258" spans="1:84" s="1148" customFormat="1" x14ac:dyDescent="0.3">
      <c r="A258" s="1153">
        <v>598</v>
      </c>
      <c r="B258" s="1153">
        <v>598</v>
      </c>
      <c r="C258" s="1186">
        <v>598</v>
      </c>
      <c r="D258" s="1146" t="s">
        <v>678</v>
      </c>
      <c r="E258" s="1179"/>
      <c r="F258" s="1180">
        <v>0</v>
      </c>
      <c r="G258" s="1180">
        <v>0</v>
      </c>
      <c r="H258" s="1180">
        <v>0</v>
      </c>
      <c r="I258" s="1180">
        <v>0</v>
      </c>
      <c r="J258" s="1180">
        <v>0</v>
      </c>
      <c r="K258" s="1180">
        <v>0</v>
      </c>
      <c r="L258" s="1152">
        <v>0</v>
      </c>
      <c r="M258" s="1152">
        <v>0</v>
      </c>
      <c r="N258" s="1152">
        <v>0</v>
      </c>
      <c r="O258" s="1152">
        <v>0</v>
      </c>
      <c r="P258" s="1152">
        <v>0</v>
      </c>
      <c r="Q258" s="1152">
        <v>14000</v>
      </c>
      <c r="R258" s="1152">
        <v>0</v>
      </c>
      <c r="S258" s="1152">
        <v>192771</v>
      </c>
      <c r="T258" s="1152">
        <v>0</v>
      </c>
      <c r="U258" s="1152">
        <v>0</v>
      </c>
      <c r="V258" s="1152">
        <v>69371</v>
      </c>
      <c r="W258" s="1152">
        <v>73514</v>
      </c>
      <c r="X258" s="1152">
        <v>207089</v>
      </c>
      <c r="Y258" s="1152">
        <v>82093</v>
      </c>
      <c r="Z258" s="1152">
        <v>0</v>
      </c>
      <c r="AA258" s="1152">
        <v>94704</v>
      </c>
      <c r="AB258" s="1152">
        <v>0</v>
      </c>
      <c r="AC258" s="1152">
        <v>84626</v>
      </c>
      <c r="AD258" s="1152">
        <v>13913</v>
      </c>
      <c r="AE258" s="1152">
        <v>0</v>
      </c>
      <c r="AF258" s="1152">
        <v>47869</v>
      </c>
      <c r="AG258" s="1152">
        <v>0</v>
      </c>
      <c r="AH258" s="1152">
        <v>64113</v>
      </c>
      <c r="AI258" s="1152">
        <v>17441</v>
      </c>
      <c r="AJ258" s="1152">
        <v>0</v>
      </c>
      <c r="AK258" s="1152">
        <v>218413</v>
      </c>
      <c r="AL258" s="1152">
        <v>0</v>
      </c>
      <c r="AM258" s="1152">
        <v>0</v>
      </c>
      <c r="AN258" s="1152">
        <v>0</v>
      </c>
      <c r="AO258" s="1152">
        <v>58386</v>
      </c>
      <c r="AP258" s="1152">
        <v>0</v>
      </c>
      <c r="AQ258" s="1152">
        <v>0</v>
      </c>
      <c r="AR258" s="1152">
        <v>0</v>
      </c>
      <c r="AS258" s="1152">
        <v>22334</v>
      </c>
      <c r="AT258" s="1152">
        <v>65109</v>
      </c>
      <c r="AU258" s="1152">
        <v>0</v>
      </c>
      <c r="AV258" s="1152">
        <v>13499</v>
      </c>
      <c r="AW258" s="1152">
        <v>0</v>
      </c>
      <c r="AX258" s="1152">
        <v>35690</v>
      </c>
      <c r="AY258" s="1152">
        <v>0</v>
      </c>
      <c r="AZ258" s="1152">
        <v>0</v>
      </c>
      <c r="BA258" s="1152">
        <v>21613</v>
      </c>
      <c r="BB258" s="1152">
        <v>0</v>
      </c>
      <c r="BC258" s="1152">
        <v>0</v>
      </c>
      <c r="BD258" s="1152">
        <v>0</v>
      </c>
      <c r="BE258" s="1152">
        <v>0</v>
      </c>
      <c r="BF258" s="1152">
        <v>56041</v>
      </c>
      <c r="BG258" s="1152">
        <v>0</v>
      </c>
      <c r="BH258" s="1152">
        <v>0</v>
      </c>
      <c r="BI258" s="1152">
        <v>0</v>
      </c>
      <c r="BJ258" s="1152">
        <v>0</v>
      </c>
      <c r="BK258" s="1152">
        <v>0</v>
      </c>
      <c r="BL258" s="1152">
        <v>0</v>
      </c>
      <c r="BM258" s="1152">
        <v>10272</v>
      </c>
      <c r="BN258" s="1152">
        <v>0</v>
      </c>
      <c r="BO258" s="1152">
        <v>9253</v>
      </c>
      <c r="BP258" s="1152">
        <v>0</v>
      </c>
      <c r="BQ258" s="1152">
        <v>0</v>
      </c>
      <c r="BR258" s="1152">
        <v>0</v>
      </c>
      <c r="BS258" s="1152">
        <v>85851</v>
      </c>
      <c r="BT258" s="1152">
        <v>0</v>
      </c>
      <c r="BU258" s="1152">
        <v>38232</v>
      </c>
      <c r="BV258" s="1152">
        <v>0</v>
      </c>
      <c r="BW258" s="1152">
        <v>16533</v>
      </c>
      <c r="BX258" s="1152">
        <v>0</v>
      </c>
      <c r="BY258" s="1152">
        <v>0</v>
      </c>
      <c r="BZ258" s="1152">
        <v>0</v>
      </c>
      <c r="CA258" s="1152">
        <v>0</v>
      </c>
      <c r="CB258" s="1152">
        <v>0</v>
      </c>
      <c r="CC258" s="1148">
        <v>0</v>
      </c>
      <c r="CD258" s="1148">
        <v>0</v>
      </c>
      <c r="CE258" s="1148">
        <v>0</v>
      </c>
      <c r="CF258" s="1148">
        <v>0</v>
      </c>
    </row>
    <row r="259" spans="1:84" s="1148" customFormat="1" x14ac:dyDescent="0.3">
      <c r="A259" s="1153">
        <v>599</v>
      </c>
      <c r="B259" s="1153">
        <v>599</v>
      </c>
      <c r="C259" s="1186">
        <v>599</v>
      </c>
      <c r="D259" s="1146" t="s">
        <v>679</v>
      </c>
      <c r="E259" s="1179"/>
      <c r="F259" s="1180">
        <v>0</v>
      </c>
      <c r="G259" s="1180">
        <v>0</v>
      </c>
      <c r="H259" s="1180">
        <v>44062</v>
      </c>
      <c r="I259" s="1180">
        <v>0</v>
      </c>
      <c r="J259" s="1180">
        <v>0</v>
      </c>
      <c r="K259" s="1180">
        <v>0</v>
      </c>
      <c r="L259" s="1152">
        <v>0</v>
      </c>
      <c r="M259" s="1152">
        <v>0</v>
      </c>
      <c r="N259" s="1152">
        <v>0</v>
      </c>
      <c r="O259" s="1152">
        <v>686757</v>
      </c>
      <c r="P259" s="1152">
        <v>37734</v>
      </c>
      <c r="Q259" s="1152">
        <v>356707</v>
      </c>
      <c r="R259" s="1152">
        <v>0</v>
      </c>
      <c r="S259" s="1152">
        <v>4573806</v>
      </c>
      <c r="T259" s="1152">
        <v>0</v>
      </c>
      <c r="U259" s="1152">
        <v>0</v>
      </c>
      <c r="V259" s="1152">
        <v>3321625</v>
      </c>
      <c r="W259" s="1152">
        <v>1223768</v>
      </c>
      <c r="X259" s="1152">
        <v>2438311</v>
      </c>
      <c r="Y259" s="1152">
        <v>1508609</v>
      </c>
      <c r="Z259" s="1152">
        <v>0</v>
      </c>
      <c r="AA259" s="1152">
        <v>1408985</v>
      </c>
      <c r="AB259" s="1152">
        <v>41275</v>
      </c>
      <c r="AC259" s="1152">
        <v>1103327</v>
      </c>
      <c r="AD259" s="1152">
        <v>410214</v>
      </c>
      <c r="AE259" s="1152">
        <v>0</v>
      </c>
      <c r="AF259" s="1152">
        <v>376724</v>
      </c>
      <c r="AG259" s="1152">
        <v>194495</v>
      </c>
      <c r="AH259" s="1152">
        <v>922305</v>
      </c>
      <c r="AI259" s="1152">
        <v>80937</v>
      </c>
      <c r="AJ259" s="1152">
        <v>13879</v>
      </c>
      <c r="AK259" s="1152">
        <v>2966769</v>
      </c>
      <c r="AL259" s="1152">
        <v>0</v>
      </c>
      <c r="AM259" s="1152">
        <v>90626</v>
      </c>
      <c r="AN259" s="1152">
        <v>0</v>
      </c>
      <c r="AO259" s="1152">
        <v>981612</v>
      </c>
      <c r="AP259" s="1152">
        <v>0</v>
      </c>
      <c r="AQ259" s="1152">
        <v>32440</v>
      </c>
      <c r="AR259" s="1152">
        <v>0</v>
      </c>
      <c r="AS259" s="1152">
        <v>286631</v>
      </c>
      <c r="AT259" s="1152">
        <v>744348</v>
      </c>
      <c r="AU259" s="1152">
        <v>20508</v>
      </c>
      <c r="AV259" s="1152">
        <v>153629</v>
      </c>
      <c r="AW259" s="1152">
        <v>0</v>
      </c>
      <c r="AX259" s="1152">
        <v>703191</v>
      </c>
      <c r="AY259" s="1152">
        <v>0</v>
      </c>
      <c r="AZ259" s="1152">
        <v>73721</v>
      </c>
      <c r="BA259" s="1152">
        <v>179519</v>
      </c>
      <c r="BB259" s="1152">
        <v>74513</v>
      </c>
      <c r="BC259" s="1152">
        <v>0</v>
      </c>
      <c r="BD259" s="1152">
        <v>0</v>
      </c>
      <c r="BE259" s="1152">
        <v>0</v>
      </c>
      <c r="BF259" s="1152">
        <v>806350</v>
      </c>
      <c r="BG259" s="1152">
        <v>0</v>
      </c>
      <c r="BH259" s="1152">
        <v>1474</v>
      </c>
      <c r="BI259" s="1152">
        <v>0</v>
      </c>
      <c r="BJ259" s="1152">
        <v>0</v>
      </c>
      <c r="BK259" s="1152">
        <v>0</v>
      </c>
      <c r="BL259" s="1152">
        <v>0</v>
      </c>
      <c r="BM259" s="1152">
        <v>280021</v>
      </c>
      <c r="BN259" s="1152">
        <v>0</v>
      </c>
      <c r="BO259" s="1152">
        <v>117630</v>
      </c>
      <c r="BP259" s="1152">
        <v>116225</v>
      </c>
      <c r="BQ259" s="1152">
        <v>153121</v>
      </c>
      <c r="BR259" s="1152">
        <v>102709</v>
      </c>
      <c r="BS259" s="1152">
        <v>1243898</v>
      </c>
      <c r="BT259" s="1152">
        <v>52335</v>
      </c>
      <c r="BU259" s="1152">
        <v>1325677</v>
      </c>
      <c r="BV259" s="1152">
        <v>76572</v>
      </c>
      <c r="BW259" s="1152">
        <v>475678</v>
      </c>
      <c r="BX259" s="1152">
        <v>0</v>
      </c>
      <c r="BY259" s="1152">
        <v>0</v>
      </c>
      <c r="BZ259" s="1152">
        <v>18581</v>
      </c>
      <c r="CA259" s="1152">
        <v>0</v>
      </c>
      <c r="CB259" s="1152">
        <v>0</v>
      </c>
      <c r="CC259" s="1148">
        <v>0</v>
      </c>
      <c r="CD259" s="1148">
        <v>37512</v>
      </c>
      <c r="CE259" s="1148">
        <v>0</v>
      </c>
      <c r="CF259" s="1148">
        <v>0</v>
      </c>
    </row>
    <row r="260" spans="1:84" s="1148" customFormat="1" x14ac:dyDescent="0.3">
      <c r="A260" s="1153">
        <v>600</v>
      </c>
      <c r="B260" s="1153"/>
      <c r="C260" s="1187">
        <v>600</v>
      </c>
      <c r="D260" s="1146" t="s">
        <v>858</v>
      </c>
      <c r="E260" s="1179"/>
      <c r="F260" s="1180"/>
      <c r="G260" s="1180"/>
      <c r="H260" s="1180"/>
      <c r="I260" s="1180"/>
      <c r="J260" s="1180"/>
      <c r="K260" s="1180"/>
      <c r="L260" s="1152"/>
      <c r="M260" s="1152"/>
      <c r="N260" s="1152"/>
      <c r="O260" s="1152"/>
      <c r="P260" s="1152"/>
      <c r="Q260" s="1152"/>
      <c r="R260" s="1152"/>
      <c r="S260" s="1152"/>
      <c r="T260" s="1152"/>
      <c r="U260" s="1152"/>
      <c r="V260" s="1152"/>
      <c r="W260" s="1152"/>
      <c r="X260" s="1152"/>
      <c r="Y260" s="1152"/>
      <c r="Z260" s="1152"/>
      <c r="AA260" s="1152"/>
      <c r="AB260" s="1152"/>
      <c r="AC260" s="1152"/>
      <c r="AD260" s="1152"/>
      <c r="AE260" s="1152"/>
      <c r="AF260" s="1152"/>
      <c r="AG260" s="1152"/>
      <c r="AH260" s="1152"/>
      <c r="AI260" s="1152"/>
      <c r="AJ260" s="1152"/>
      <c r="AK260" s="1152"/>
      <c r="AL260" s="1152"/>
      <c r="AM260" s="1152"/>
      <c r="AN260" s="1152"/>
      <c r="AO260" s="1152"/>
      <c r="AP260" s="1152"/>
      <c r="AQ260" s="1152"/>
      <c r="AR260" s="1152"/>
      <c r="AS260" s="1152"/>
      <c r="AT260" s="1152"/>
      <c r="AU260" s="1152"/>
      <c r="AV260" s="1152"/>
      <c r="AW260" s="1152"/>
      <c r="AX260" s="1152"/>
      <c r="AY260" s="1152"/>
      <c r="AZ260" s="1152"/>
      <c r="BA260" s="1152"/>
      <c r="BB260" s="1152"/>
      <c r="BC260" s="1152"/>
      <c r="BD260" s="1152"/>
      <c r="BE260" s="1152"/>
      <c r="BF260" s="1152"/>
      <c r="BG260" s="1152"/>
      <c r="BH260" s="1152"/>
      <c r="BI260" s="1152"/>
      <c r="BJ260" s="1152"/>
      <c r="BK260" s="1152"/>
      <c r="BL260" s="1152"/>
      <c r="BM260" s="1152"/>
      <c r="BN260" s="1152"/>
      <c r="BO260" s="1152"/>
      <c r="BP260" s="1152"/>
      <c r="BQ260" s="1152"/>
      <c r="BR260" s="1152"/>
      <c r="BS260" s="1152"/>
      <c r="BT260" s="1152"/>
      <c r="BU260" s="1152"/>
      <c r="BV260" s="1152"/>
      <c r="BW260" s="1152"/>
      <c r="BX260" s="1152"/>
      <c r="BY260" s="1152"/>
      <c r="BZ260" s="1152"/>
      <c r="CA260" s="1152"/>
      <c r="CB260" s="1152"/>
    </row>
    <row r="261" spans="1:84" s="1148" customFormat="1" x14ac:dyDescent="0.3">
      <c r="A261" s="1153">
        <v>601</v>
      </c>
      <c r="B261" s="1153"/>
      <c r="C261" s="1187">
        <v>601</v>
      </c>
      <c r="D261" s="1146" t="s">
        <v>859</v>
      </c>
      <c r="E261" s="1179"/>
      <c r="F261" s="1180"/>
      <c r="G261" s="1180"/>
      <c r="H261" s="1180"/>
      <c r="I261" s="1180"/>
      <c r="J261" s="1180"/>
      <c r="K261" s="1180"/>
      <c r="L261" s="1152"/>
      <c r="M261" s="1152"/>
      <c r="N261" s="1152"/>
      <c r="O261" s="1152"/>
      <c r="P261" s="1152"/>
      <c r="Q261" s="1152"/>
      <c r="R261" s="1152"/>
      <c r="S261" s="1152"/>
      <c r="T261" s="1152"/>
      <c r="U261" s="1152"/>
      <c r="V261" s="1152"/>
      <c r="W261" s="1152"/>
      <c r="X261" s="1152"/>
      <c r="Y261" s="1152"/>
      <c r="Z261" s="1152"/>
      <c r="AA261" s="1152"/>
      <c r="AB261" s="1152"/>
      <c r="AC261" s="1152"/>
      <c r="AD261" s="1152"/>
      <c r="AE261" s="1152"/>
      <c r="AF261" s="1152"/>
      <c r="AG261" s="1152"/>
      <c r="AH261" s="1152"/>
      <c r="AI261" s="1152"/>
      <c r="AJ261" s="1152"/>
      <c r="AK261" s="1152"/>
      <c r="AL261" s="1152"/>
      <c r="AM261" s="1152"/>
      <c r="AN261" s="1152"/>
      <c r="AO261" s="1152"/>
      <c r="AP261" s="1152"/>
      <c r="AQ261" s="1152"/>
      <c r="AR261" s="1152"/>
      <c r="AS261" s="1152"/>
      <c r="AT261" s="1152"/>
      <c r="AU261" s="1152"/>
      <c r="AV261" s="1152"/>
      <c r="AW261" s="1152"/>
      <c r="AX261" s="1152"/>
      <c r="AY261" s="1152"/>
      <c r="AZ261" s="1152"/>
      <c r="BA261" s="1152"/>
      <c r="BB261" s="1152"/>
      <c r="BC261" s="1152"/>
      <c r="BD261" s="1152"/>
      <c r="BE261" s="1152"/>
      <c r="BF261" s="1152"/>
      <c r="BG261" s="1152"/>
      <c r="BH261" s="1152"/>
      <c r="BI261" s="1152"/>
      <c r="BJ261" s="1152"/>
      <c r="BK261" s="1152"/>
      <c r="BL261" s="1152"/>
      <c r="BM261" s="1152"/>
      <c r="BN261" s="1152"/>
      <c r="BO261" s="1152"/>
      <c r="BP261" s="1152"/>
      <c r="BQ261" s="1152"/>
      <c r="BR261" s="1152"/>
      <c r="BS261" s="1152"/>
      <c r="BT261" s="1152"/>
      <c r="BU261" s="1152"/>
      <c r="BV261" s="1152"/>
      <c r="BW261" s="1152"/>
      <c r="BX261" s="1152"/>
      <c r="BY261" s="1152"/>
      <c r="BZ261" s="1152"/>
      <c r="CA261" s="1152"/>
      <c r="CB261" s="1152"/>
    </row>
    <row r="262" spans="1:84" s="1148" customFormat="1" x14ac:dyDescent="0.3">
      <c r="A262" s="1153">
        <v>602</v>
      </c>
      <c r="B262" s="1153">
        <v>602</v>
      </c>
      <c r="C262" s="1188">
        <v>602</v>
      </c>
      <c r="D262" s="1146" t="s">
        <v>706</v>
      </c>
      <c r="E262" s="1179"/>
      <c r="F262" s="1180">
        <v>0</v>
      </c>
      <c r="G262" s="1180">
        <v>0</v>
      </c>
      <c r="H262" s="1180">
        <v>0</v>
      </c>
      <c r="I262" s="1180">
        <v>0</v>
      </c>
      <c r="J262" s="1180">
        <v>0</v>
      </c>
      <c r="K262" s="1180">
        <v>0</v>
      </c>
      <c r="L262" s="1152">
        <v>0</v>
      </c>
      <c r="M262" s="1152">
        <v>0</v>
      </c>
      <c r="N262" s="1152">
        <v>0</v>
      </c>
      <c r="O262" s="1152">
        <v>0</v>
      </c>
      <c r="P262" s="1152">
        <v>0</v>
      </c>
      <c r="Q262" s="1152">
        <v>0</v>
      </c>
      <c r="R262" s="1152">
        <v>0</v>
      </c>
      <c r="S262" s="1152">
        <v>0</v>
      </c>
      <c r="T262" s="1152">
        <v>0</v>
      </c>
      <c r="U262" s="1152">
        <v>0</v>
      </c>
      <c r="V262" s="1152">
        <v>0</v>
      </c>
      <c r="W262" s="1152">
        <v>0</v>
      </c>
      <c r="X262" s="1152">
        <v>0</v>
      </c>
      <c r="Y262" s="1152">
        <v>0</v>
      </c>
      <c r="Z262" s="1152">
        <v>0</v>
      </c>
      <c r="AA262" s="1152">
        <v>0</v>
      </c>
      <c r="AB262" s="1152">
        <v>0</v>
      </c>
      <c r="AC262" s="1152">
        <v>0</v>
      </c>
      <c r="AD262" s="1152">
        <v>0</v>
      </c>
      <c r="AE262" s="1152">
        <v>0</v>
      </c>
      <c r="AF262" s="1152">
        <v>0</v>
      </c>
      <c r="AG262" s="1152">
        <v>0</v>
      </c>
      <c r="AH262" s="1152">
        <v>0</v>
      </c>
      <c r="AI262" s="1152">
        <v>0</v>
      </c>
      <c r="AJ262" s="1152">
        <v>0</v>
      </c>
      <c r="AK262" s="1152">
        <v>0</v>
      </c>
      <c r="AL262" s="1152">
        <v>0</v>
      </c>
      <c r="AM262" s="1152">
        <v>0</v>
      </c>
      <c r="AN262" s="1152">
        <v>0</v>
      </c>
      <c r="AO262" s="1152">
        <v>0</v>
      </c>
      <c r="AP262" s="1152">
        <v>0</v>
      </c>
      <c r="AQ262" s="1152">
        <v>0</v>
      </c>
      <c r="AR262" s="1152">
        <v>0</v>
      </c>
      <c r="AS262" s="1152">
        <v>0</v>
      </c>
      <c r="AT262" s="1152">
        <v>0</v>
      </c>
      <c r="AU262" s="1152">
        <v>0</v>
      </c>
      <c r="AV262" s="1152">
        <v>0</v>
      </c>
      <c r="AW262" s="1152">
        <v>0</v>
      </c>
      <c r="AX262" s="1152">
        <v>0</v>
      </c>
      <c r="AY262" s="1152">
        <v>0</v>
      </c>
      <c r="AZ262" s="1152">
        <v>0</v>
      </c>
      <c r="BA262" s="1152">
        <v>0</v>
      </c>
      <c r="BB262" s="1152">
        <v>0</v>
      </c>
      <c r="BC262" s="1152">
        <v>0</v>
      </c>
      <c r="BD262" s="1152">
        <v>0</v>
      </c>
      <c r="BE262" s="1152">
        <v>0</v>
      </c>
      <c r="BF262" s="1152">
        <v>0</v>
      </c>
      <c r="BG262" s="1152">
        <v>0</v>
      </c>
      <c r="BH262" s="1152">
        <v>0</v>
      </c>
      <c r="BI262" s="1152">
        <v>0</v>
      </c>
      <c r="BJ262" s="1152">
        <v>0</v>
      </c>
      <c r="BK262" s="1152">
        <v>0</v>
      </c>
      <c r="BL262" s="1152">
        <v>0</v>
      </c>
      <c r="BM262" s="1152">
        <v>0</v>
      </c>
      <c r="BN262" s="1152">
        <v>0</v>
      </c>
      <c r="BO262" s="1152">
        <v>0</v>
      </c>
      <c r="BP262" s="1152">
        <v>0</v>
      </c>
      <c r="BQ262" s="1152">
        <v>0</v>
      </c>
      <c r="BR262" s="1152">
        <v>0</v>
      </c>
      <c r="BS262" s="1152">
        <v>0</v>
      </c>
      <c r="BT262" s="1152">
        <v>0</v>
      </c>
      <c r="BU262" s="1152">
        <v>0</v>
      </c>
      <c r="BV262" s="1152">
        <v>0</v>
      </c>
      <c r="BW262" s="1152">
        <v>0</v>
      </c>
      <c r="BX262" s="1152">
        <v>0</v>
      </c>
      <c r="BY262" s="1152">
        <v>0</v>
      </c>
      <c r="BZ262" s="1152">
        <v>0</v>
      </c>
      <c r="CA262" s="1152">
        <v>0</v>
      </c>
      <c r="CB262" s="1152">
        <v>0</v>
      </c>
      <c r="CC262" s="1148">
        <v>0</v>
      </c>
      <c r="CD262" s="1148">
        <v>0</v>
      </c>
      <c r="CE262" s="1148">
        <v>0</v>
      </c>
      <c r="CF262" s="1148">
        <v>0</v>
      </c>
    </row>
    <row r="263" spans="1:84" s="1148" customFormat="1" x14ac:dyDescent="0.3">
      <c r="A263" s="1144">
        <v>603</v>
      </c>
      <c r="B263" s="1144" t="s">
        <v>1767</v>
      </c>
      <c r="C263" s="1145">
        <v>603</v>
      </c>
      <c r="D263" s="1146" t="s">
        <v>693</v>
      </c>
      <c r="E263" s="1179"/>
      <c r="F263" s="1180"/>
      <c r="G263" s="1180"/>
      <c r="H263" s="1180"/>
      <c r="I263" s="1180"/>
      <c r="J263" s="1180"/>
      <c r="K263" s="1180"/>
      <c r="L263" s="1152"/>
      <c r="M263" s="1152"/>
      <c r="N263" s="1152"/>
      <c r="O263" s="1152"/>
      <c r="P263" s="1152"/>
      <c r="Q263" s="1152"/>
      <c r="R263" s="1152"/>
      <c r="S263" s="1152"/>
      <c r="T263" s="1152"/>
      <c r="U263" s="1152"/>
      <c r="V263" s="1152"/>
      <c r="W263" s="1152"/>
      <c r="X263" s="1152"/>
      <c r="Y263" s="1152"/>
      <c r="Z263" s="1152"/>
      <c r="AA263" s="1152"/>
      <c r="AB263" s="1152"/>
      <c r="AC263" s="1152"/>
      <c r="AD263" s="1152"/>
      <c r="AE263" s="1152"/>
      <c r="AF263" s="1152"/>
      <c r="AG263" s="1152"/>
      <c r="AH263" s="1152"/>
      <c r="AI263" s="1152"/>
      <c r="AJ263" s="1152"/>
      <c r="AK263" s="1152"/>
      <c r="AL263" s="1152"/>
      <c r="AM263" s="1152"/>
      <c r="AN263" s="1152"/>
      <c r="AO263" s="1152"/>
      <c r="AP263" s="1152"/>
      <c r="AQ263" s="1152"/>
      <c r="AR263" s="1152"/>
      <c r="AS263" s="1152"/>
      <c r="AT263" s="1152"/>
      <c r="AU263" s="1152"/>
      <c r="AV263" s="1152"/>
      <c r="AW263" s="1152"/>
      <c r="AX263" s="1152"/>
      <c r="AY263" s="1152"/>
      <c r="AZ263" s="1152"/>
      <c r="BA263" s="1152"/>
      <c r="BB263" s="1152"/>
      <c r="BC263" s="1152"/>
      <c r="BD263" s="1152"/>
      <c r="BE263" s="1152"/>
      <c r="BF263" s="1152"/>
      <c r="BG263" s="1152"/>
      <c r="BH263" s="1152"/>
      <c r="BI263" s="1152"/>
      <c r="BJ263" s="1152"/>
      <c r="BK263" s="1152"/>
      <c r="BL263" s="1152"/>
      <c r="BM263" s="1152"/>
      <c r="BN263" s="1152"/>
      <c r="BO263" s="1152"/>
      <c r="BP263" s="1152"/>
      <c r="BQ263" s="1152"/>
      <c r="BR263" s="1152"/>
      <c r="BS263" s="1152"/>
      <c r="BT263" s="1152"/>
      <c r="BU263" s="1152"/>
      <c r="BV263" s="1152"/>
      <c r="BW263" s="1152"/>
      <c r="BX263" s="1152"/>
      <c r="BY263" s="1152"/>
      <c r="BZ263" s="1152"/>
      <c r="CA263" s="1152"/>
      <c r="CB263" s="1152"/>
    </row>
    <row r="264" spans="1:84" s="1148" customFormat="1" x14ac:dyDescent="0.3">
      <c r="A264" s="1144">
        <v>604</v>
      </c>
      <c r="B264" s="1144" t="s">
        <v>1319</v>
      </c>
      <c r="C264" s="1189">
        <v>604</v>
      </c>
      <c r="D264" s="1146" t="s">
        <v>694</v>
      </c>
      <c r="E264" s="1179"/>
      <c r="F264" s="1180"/>
      <c r="G264" s="1180"/>
      <c r="H264" s="1180"/>
      <c r="I264" s="1180"/>
      <c r="J264" s="1180"/>
      <c r="K264" s="1180"/>
      <c r="L264" s="1152"/>
      <c r="M264" s="1152"/>
      <c r="N264" s="1152"/>
      <c r="O264" s="1152"/>
      <c r="P264" s="1152"/>
      <c r="Q264" s="1152"/>
      <c r="R264" s="1152"/>
      <c r="S264" s="1152"/>
      <c r="T264" s="1152"/>
      <c r="U264" s="1152"/>
      <c r="V264" s="1152"/>
      <c r="W264" s="1152"/>
      <c r="X264" s="1152"/>
      <c r="Y264" s="1152"/>
      <c r="Z264" s="1152"/>
      <c r="AA264" s="1152"/>
      <c r="AB264" s="1152"/>
      <c r="AC264" s="1152"/>
      <c r="AD264" s="1152"/>
      <c r="AE264" s="1152"/>
      <c r="AF264" s="1152"/>
      <c r="AG264" s="1152"/>
      <c r="AH264" s="1152"/>
      <c r="AI264" s="1152"/>
      <c r="AJ264" s="1152"/>
      <c r="AK264" s="1152"/>
      <c r="AL264" s="1152"/>
      <c r="AM264" s="1152"/>
      <c r="AN264" s="1152"/>
      <c r="AO264" s="1152"/>
      <c r="AP264" s="1152"/>
      <c r="AQ264" s="1152"/>
      <c r="AR264" s="1152"/>
      <c r="AS264" s="1152"/>
      <c r="AT264" s="1152"/>
      <c r="AU264" s="1152"/>
      <c r="AV264" s="1152"/>
      <c r="AW264" s="1152"/>
      <c r="AX264" s="1152"/>
      <c r="AY264" s="1152"/>
      <c r="AZ264" s="1152"/>
      <c r="BA264" s="1152"/>
      <c r="BB264" s="1152"/>
      <c r="BC264" s="1152"/>
      <c r="BD264" s="1152"/>
      <c r="BE264" s="1152"/>
      <c r="BF264" s="1152"/>
      <c r="BG264" s="1152"/>
      <c r="BH264" s="1152"/>
      <c r="BI264" s="1152"/>
      <c r="BJ264" s="1152"/>
      <c r="BK264" s="1152"/>
      <c r="BL264" s="1152"/>
      <c r="BM264" s="1152"/>
      <c r="BN264" s="1152"/>
      <c r="BO264" s="1152"/>
      <c r="BP264" s="1152"/>
      <c r="BQ264" s="1152"/>
      <c r="BR264" s="1152"/>
      <c r="BS264" s="1152"/>
      <c r="BT264" s="1152"/>
      <c r="BU264" s="1152"/>
      <c r="BV264" s="1152"/>
      <c r="BW264" s="1152"/>
      <c r="BX264" s="1152"/>
      <c r="BY264" s="1152"/>
      <c r="BZ264" s="1152"/>
      <c r="CA264" s="1152"/>
      <c r="CB264" s="1152"/>
    </row>
    <row r="265" spans="1:84" s="1148" customFormat="1" x14ac:dyDescent="0.3">
      <c r="A265" s="1144">
        <v>605</v>
      </c>
      <c r="B265" s="1144" t="s">
        <v>1768</v>
      </c>
      <c r="C265" s="1145">
        <v>605</v>
      </c>
      <c r="D265" s="1146" t="s">
        <v>696</v>
      </c>
      <c r="E265" s="1179"/>
      <c r="F265" s="1180">
        <v>0</v>
      </c>
      <c r="G265" s="1180">
        <v>0</v>
      </c>
      <c r="H265" s="1180">
        <v>0</v>
      </c>
      <c r="I265" s="1180">
        <v>0</v>
      </c>
      <c r="J265" s="1180">
        <v>0</v>
      </c>
      <c r="K265" s="1180">
        <v>0</v>
      </c>
      <c r="L265" s="1152">
        <v>0</v>
      </c>
      <c r="M265" s="1152">
        <v>0</v>
      </c>
      <c r="N265" s="1152">
        <v>0</v>
      </c>
      <c r="O265" s="1152">
        <v>0</v>
      </c>
      <c r="P265" s="1152">
        <v>0</v>
      </c>
      <c r="Q265" s="1152">
        <v>0</v>
      </c>
      <c r="R265" s="1152">
        <v>0</v>
      </c>
      <c r="S265" s="1152">
        <v>0</v>
      </c>
      <c r="T265" s="1152">
        <v>0</v>
      </c>
      <c r="U265" s="1152">
        <v>0</v>
      </c>
      <c r="V265" s="1152">
        <v>0</v>
      </c>
      <c r="W265" s="1152">
        <v>0</v>
      </c>
      <c r="X265" s="1152">
        <v>0</v>
      </c>
      <c r="Y265" s="1152">
        <v>0</v>
      </c>
      <c r="Z265" s="1152">
        <v>0</v>
      </c>
      <c r="AA265" s="1152">
        <v>0</v>
      </c>
      <c r="AB265" s="1152">
        <v>0</v>
      </c>
      <c r="AC265" s="1152">
        <v>0</v>
      </c>
      <c r="AD265" s="1152">
        <v>0</v>
      </c>
      <c r="AE265" s="1152">
        <v>0</v>
      </c>
      <c r="AF265" s="1152">
        <v>0</v>
      </c>
      <c r="AG265" s="1152">
        <v>0</v>
      </c>
      <c r="AH265" s="1152">
        <v>0</v>
      </c>
      <c r="AI265" s="1152">
        <v>0</v>
      </c>
      <c r="AJ265" s="1152">
        <v>0</v>
      </c>
      <c r="AK265" s="1152">
        <v>0</v>
      </c>
      <c r="AL265" s="1152">
        <v>0</v>
      </c>
      <c r="AM265" s="1152">
        <v>0</v>
      </c>
      <c r="AN265" s="1152">
        <v>0</v>
      </c>
      <c r="AO265" s="1152">
        <v>0</v>
      </c>
      <c r="AP265" s="1152">
        <v>0</v>
      </c>
      <c r="AQ265" s="1152">
        <v>0</v>
      </c>
      <c r="AR265" s="1152">
        <v>0</v>
      </c>
      <c r="AS265" s="1152">
        <v>0</v>
      </c>
      <c r="AT265" s="1152">
        <v>0</v>
      </c>
      <c r="AU265" s="1152">
        <v>0</v>
      </c>
      <c r="AV265" s="1152">
        <v>0</v>
      </c>
      <c r="AW265" s="1152">
        <v>0</v>
      </c>
      <c r="AX265" s="1152">
        <v>0</v>
      </c>
      <c r="AY265" s="1152">
        <v>0</v>
      </c>
      <c r="AZ265" s="1152">
        <v>0</v>
      </c>
      <c r="BA265" s="1152">
        <v>0</v>
      </c>
      <c r="BB265" s="1152">
        <v>0</v>
      </c>
      <c r="BC265" s="1152">
        <v>0</v>
      </c>
      <c r="BD265" s="1152">
        <v>0</v>
      </c>
      <c r="BE265" s="1152">
        <v>0</v>
      </c>
      <c r="BF265" s="1152">
        <v>0</v>
      </c>
      <c r="BG265" s="1152">
        <v>0</v>
      </c>
      <c r="BH265" s="1152">
        <v>0</v>
      </c>
      <c r="BI265" s="1152">
        <v>0</v>
      </c>
      <c r="BJ265" s="1152">
        <v>0</v>
      </c>
      <c r="BK265" s="1152">
        <v>0</v>
      </c>
      <c r="BL265" s="1152">
        <v>0</v>
      </c>
      <c r="BM265" s="1152">
        <v>0</v>
      </c>
      <c r="BN265" s="1152">
        <v>0</v>
      </c>
      <c r="BO265" s="1152">
        <v>0</v>
      </c>
      <c r="BP265" s="1152">
        <v>0</v>
      </c>
      <c r="BQ265" s="1152">
        <v>0</v>
      </c>
      <c r="BR265" s="1152">
        <v>0</v>
      </c>
      <c r="BS265" s="1152">
        <v>0</v>
      </c>
      <c r="BT265" s="1152">
        <v>0</v>
      </c>
      <c r="BU265" s="1152">
        <v>0</v>
      </c>
      <c r="BV265" s="1152">
        <v>0</v>
      </c>
      <c r="BW265" s="1152">
        <v>0</v>
      </c>
      <c r="BX265" s="1152">
        <v>0</v>
      </c>
      <c r="BY265" s="1152">
        <v>0</v>
      </c>
      <c r="BZ265" s="1152">
        <v>0</v>
      </c>
      <c r="CA265" s="1152">
        <v>0</v>
      </c>
      <c r="CB265" s="1152">
        <v>0</v>
      </c>
      <c r="CC265" s="1148">
        <v>0</v>
      </c>
      <c r="CD265" s="1148">
        <v>0</v>
      </c>
      <c r="CE265" s="1148">
        <v>0</v>
      </c>
      <c r="CF265" s="1148">
        <v>0</v>
      </c>
    </row>
    <row r="266" spans="1:84" s="1148" customFormat="1" x14ac:dyDescent="0.3">
      <c r="A266" s="1144">
        <v>606</v>
      </c>
      <c r="B266" s="1144"/>
      <c r="C266" s="1190">
        <v>606</v>
      </c>
      <c r="D266" s="1146" t="s">
        <v>714</v>
      </c>
      <c r="E266" s="1179"/>
      <c r="F266" s="1180">
        <v>0</v>
      </c>
      <c r="G266" s="1180">
        <v>0</v>
      </c>
      <c r="H266" s="1180">
        <v>0</v>
      </c>
      <c r="I266" s="1180">
        <v>0</v>
      </c>
      <c r="J266" s="1180">
        <v>0</v>
      </c>
      <c r="K266" s="1180">
        <v>0</v>
      </c>
      <c r="L266" s="1152">
        <v>0</v>
      </c>
      <c r="M266" s="1152">
        <v>0</v>
      </c>
      <c r="N266" s="1152">
        <v>0</v>
      </c>
      <c r="O266" s="1152">
        <v>1</v>
      </c>
      <c r="P266" s="1152">
        <v>0</v>
      </c>
      <c r="Q266" s="1152">
        <v>1</v>
      </c>
      <c r="R266" s="1152">
        <v>0</v>
      </c>
      <c r="S266" s="1152">
        <v>1</v>
      </c>
      <c r="T266" s="1152">
        <v>0</v>
      </c>
      <c r="U266" s="1152">
        <v>0</v>
      </c>
      <c r="V266" s="1152">
        <v>1</v>
      </c>
      <c r="W266" s="1152">
        <v>1</v>
      </c>
      <c r="X266" s="1152">
        <v>0</v>
      </c>
      <c r="Y266" s="1152">
        <v>0</v>
      </c>
      <c r="Z266" s="1152">
        <v>0</v>
      </c>
      <c r="AA266" s="1152">
        <v>1</v>
      </c>
      <c r="AB266" s="1152">
        <v>1</v>
      </c>
      <c r="AC266" s="1152">
        <v>0</v>
      </c>
      <c r="AD266" s="1152">
        <v>1</v>
      </c>
      <c r="AE266" s="1152">
        <v>0</v>
      </c>
      <c r="AF266" s="1152">
        <v>0</v>
      </c>
      <c r="AG266" s="1152">
        <v>1</v>
      </c>
      <c r="AH266" s="1152">
        <v>1</v>
      </c>
      <c r="AI266" s="1152">
        <v>0</v>
      </c>
      <c r="AJ266" s="1152">
        <v>1</v>
      </c>
      <c r="AK266" s="1152">
        <v>0</v>
      </c>
      <c r="AL266" s="1152">
        <v>0</v>
      </c>
      <c r="AM266" s="1152">
        <v>0</v>
      </c>
      <c r="AN266" s="1152">
        <v>0</v>
      </c>
      <c r="AO266" s="1152">
        <v>0</v>
      </c>
      <c r="AP266" s="1152">
        <v>0</v>
      </c>
      <c r="AQ266" s="1152">
        <v>0</v>
      </c>
      <c r="AR266" s="1152">
        <v>0</v>
      </c>
      <c r="AS266" s="1152">
        <v>1</v>
      </c>
      <c r="AT266" s="1152">
        <v>0</v>
      </c>
      <c r="AU266" s="1152">
        <v>0</v>
      </c>
      <c r="AV266" s="1152">
        <v>0</v>
      </c>
      <c r="AW266" s="1152">
        <v>0</v>
      </c>
      <c r="AX266" s="1152">
        <v>1</v>
      </c>
      <c r="AY266" s="1152">
        <v>0</v>
      </c>
      <c r="AZ266" s="1152">
        <v>0</v>
      </c>
      <c r="BA266" s="1152">
        <v>1</v>
      </c>
      <c r="BB266" s="1152">
        <v>0</v>
      </c>
      <c r="BC266" s="1152">
        <v>0</v>
      </c>
      <c r="BD266" s="1152">
        <v>0</v>
      </c>
      <c r="BE266" s="1152">
        <v>0</v>
      </c>
      <c r="BF266" s="1152">
        <v>1</v>
      </c>
      <c r="BG266" s="1152">
        <v>0</v>
      </c>
      <c r="BH266" s="1152">
        <v>0</v>
      </c>
      <c r="BI266" s="1152">
        <v>0</v>
      </c>
      <c r="BJ266" s="1152">
        <v>0</v>
      </c>
      <c r="BK266" s="1152">
        <v>0</v>
      </c>
      <c r="BL266" s="1152">
        <v>0</v>
      </c>
      <c r="BM266" s="1152">
        <v>0</v>
      </c>
      <c r="BN266" s="1152">
        <v>0</v>
      </c>
      <c r="BO266" s="1152">
        <v>0</v>
      </c>
      <c r="BP266" s="1152">
        <v>1</v>
      </c>
      <c r="BQ266" s="1152">
        <v>0</v>
      </c>
      <c r="BR266" s="1152">
        <v>0</v>
      </c>
      <c r="BS266" s="1152">
        <v>1</v>
      </c>
      <c r="BT266" s="1152">
        <v>1</v>
      </c>
      <c r="BU266" s="1152">
        <v>0</v>
      </c>
      <c r="BV266" s="1152">
        <v>0</v>
      </c>
      <c r="BW266" s="1152">
        <v>0</v>
      </c>
      <c r="BX266" s="1152">
        <v>0</v>
      </c>
      <c r="BY266" s="1152">
        <v>0</v>
      </c>
      <c r="BZ266" s="1152">
        <v>0</v>
      </c>
      <c r="CA266" s="1152">
        <v>0</v>
      </c>
      <c r="CB266" s="1152">
        <v>0</v>
      </c>
      <c r="CC266" s="1148">
        <v>0</v>
      </c>
      <c r="CD266" s="1148">
        <v>0</v>
      </c>
      <c r="CE266" s="1148">
        <v>0</v>
      </c>
      <c r="CF266" s="1148">
        <v>0</v>
      </c>
    </row>
    <row r="267" spans="1:84" s="1148" customFormat="1" x14ac:dyDescent="0.3">
      <c r="A267" s="1144">
        <v>607</v>
      </c>
      <c r="B267" s="1144" t="s">
        <v>1768</v>
      </c>
      <c r="C267" s="1145">
        <v>607</v>
      </c>
      <c r="D267" s="1146" t="s">
        <v>686</v>
      </c>
      <c r="E267" s="1179"/>
      <c r="F267" s="1180">
        <v>0</v>
      </c>
      <c r="G267" s="1180">
        <v>0</v>
      </c>
      <c r="H267" s="1180">
        <v>0</v>
      </c>
      <c r="I267" s="1180">
        <v>0</v>
      </c>
      <c r="J267" s="1180">
        <v>0</v>
      </c>
      <c r="K267" s="1180">
        <v>0</v>
      </c>
      <c r="L267" s="1152">
        <v>0</v>
      </c>
      <c r="M267" s="1152">
        <v>0</v>
      </c>
      <c r="N267" s="1152">
        <v>0</v>
      </c>
      <c r="O267" s="1152">
        <v>0</v>
      </c>
      <c r="P267" s="1152">
        <v>0</v>
      </c>
      <c r="Q267" s="1152">
        <v>0</v>
      </c>
      <c r="R267" s="1152">
        <v>0</v>
      </c>
      <c r="S267" s="1152">
        <v>0</v>
      </c>
      <c r="T267" s="1152">
        <v>0</v>
      </c>
      <c r="U267" s="1152">
        <v>0</v>
      </c>
      <c r="V267" s="1152">
        <v>0</v>
      </c>
      <c r="W267" s="1152">
        <v>0</v>
      </c>
      <c r="X267" s="1152">
        <v>0</v>
      </c>
      <c r="Y267" s="1152">
        <v>0</v>
      </c>
      <c r="Z267" s="1152">
        <v>0</v>
      </c>
      <c r="AA267" s="1152">
        <v>0</v>
      </c>
      <c r="AB267" s="1152">
        <v>0</v>
      </c>
      <c r="AC267" s="1152">
        <v>0</v>
      </c>
      <c r="AD267" s="1152">
        <v>0</v>
      </c>
      <c r="AE267" s="1152">
        <v>0</v>
      </c>
      <c r="AF267" s="1152">
        <v>0</v>
      </c>
      <c r="AG267" s="1152">
        <v>0</v>
      </c>
      <c r="AH267" s="1152">
        <v>0</v>
      </c>
      <c r="AI267" s="1152">
        <v>0</v>
      </c>
      <c r="AJ267" s="1152">
        <v>0</v>
      </c>
      <c r="AK267" s="1152">
        <v>0</v>
      </c>
      <c r="AL267" s="1152">
        <v>0</v>
      </c>
      <c r="AM267" s="1152">
        <v>0</v>
      </c>
      <c r="AN267" s="1152">
        <v>0</v>
      </c>
      <c r="AO267" s="1152">
        <v>0</v>
      </c>
      <c r="AP267" s="1152">
        <v>0</v>
      </c>
      <c r="AQ267" s="1152">
        <v>0</v>
      </c>
      <c r="AR267" s="1152">
        <v>0</v>
      </c>
      <c r="AS267" s="1152">
        <v>0</v>
      </c>
      <c r="AT267" s="1152">
        <v>0</v>
      </c>
      <c r="AU267" s="1152">
        <v>0</v>
      </c>
      <c r="AV267" s="1152">
        <v>0</v>
      </c>
      <c r="AW267" s="1152">
        <v>0</v>
      </c>
      <c r="AX267" s="1152">
        <v>0</v>
      </c>
      <c r="AY267" s="1152">
        <v>0</v>
      </c>
      <c r="AZ267" s="1152">
        <v>0</v>
      </c>
      <c r="BA267" s="1152">
        <v>0</v>
      </c>
      <c r="BB267" s="1152">
        <v>0</v>
      </c>
      <c r="BC267" s="1152">
        <v>0</v>
      </c>
      <c r="BD267" s="1152">
        <v>0</v>
      </c>
      <c r="BE267" s="1152">
        <v>0</v>
      </c>
      <c r="BF267" s="1152">
        <v>0</v>
      </c>
      <c r="BG267" s="1152">
        <v>0</v>
      </c>
      <c r="BH267" s="1152">
        <v>0</v>
      </c>
      <c r="BI267" s="1152">
        <v>0</v>
      </c>
      <c r="BJ267" s="1152">
        <v>0</v>
      </c>
      <c r="BK267" s="1152">
        <v>0</v>
      </c>
      <c r="BL267" s="1152">
        <v>0</v>
      </c>
      <c r="BM267" s="1152">
        <v>0</v>
      </c>
      <c r="BN267" s="1152">
        <v>0</v>
      </c>
      <c r="BO267" s="1152">
        <v>0</v>
      </c>
      <c r="BP267" s="1152">
        <v>0</v>
      </c>
      <c r="BQ267" s="1152">
        <v>0</v>
      </c>
      <c r="BR267" s="1152">
        <v>0</v>
      </c>
      <c r="BS267" s="1152">
        <v>0</v>
      </c>
      <c r="BT267" s="1152">
        <v>0</v>
      </c>
      <c r="BU267" s="1152">
        <v>0</v>
      </c>
      <c r="BV267" s="1152">
        <v>0</v>
      </c>
      <c r="BW267" s="1152">
        <v>0</v>
      </c>
      <c r="BX267" s="1152">
        <v>0</v>
      </c>
      <c r="BY267" s="1152">
        <v>0</v>
      </c>
      <c r="BZ267" s="1152">
        <v>0</v>
      </c>
      <c r="CA267" s="1152">
        <v>0</v>
      </c>
      <c r="CB267" s="1152">
        <v>0</v>
      </c>
      <c r="CC267" s="1148">
        <v>0</v>
      </c>
      <c r="CD267" s="1148">
        <v>0</v>
      </c>
      <c r="CE267" s="1148">
        <v>0</v>
      </c>
      <c r="CF267" s="1148">
        <v>0</v>
      </c>
    </row>
    <row r="268" spans="1:84" s="1148" customFormat="1" x14ac:dyDescent="0.3">
      <c r="A268" s="1144">
        <v>608</v>
      </c>
      <c r="B268" s="1144" t="s">
        <v>1768</v>
      </c>
      <c r="C268" s="1145">
        <v>608</v>
      </c>
      <c r="D268" s="1146" t="s">
        <v>687</v>
      </c>
      <c r="E268" s="1179"/>
      <c r="F268" s="1180">
        <v>0</v>
      </c>
      <c r="G268" s="1180">
        <v>0</v>
      </c>
      <c r="H268" s="1180">
        <v>0</v>
      </c>
      <c r="I268" s="1180">
        <v>0</v>
      </c>
      <c r="J268" s="1180">
        <v>0</v>
      </c>
      <c r="K268" s="1180">
        <v>0</v>
      </c>
      <c r="L268" s="1152">
        <v>0</v>
      </c>
      <c r="M268" s="1152">
        <v>0</v>
      </c>
      <c r="N268" s="1152">
        <v>0</v>
      </c>
      <c r="O268" s="1152">
        <v>0</v>
      </c>
      <c r="P268" s="1152">
        <v>0</v>
      </c>
      <c r="Q268" s="1152">
        <v>0</v>
      </c>
      <c r="R268" s="1152">
        <v>0</v>
      </c>
      <c r="S268" s="1152">
        <v>0</v>
      </c>
      <c r="T268" s="1152">
        <v>0</v>
      </c>
      <c r="U268" s="1152">
        <v>0</v>
      </c>
      <c r="V268" s="1152">
        <v>0</v>
      </c>
      <c r="W268" s="1152">
        <v>0</v>
      </c>
      <c r="X268" s="1152">
        <v>0</v>
      </c>
      <c r="Y268" s="1152">
        <v>0</v>
      </c>
      <c r="Z268" s="1152">
        <v>0</v>
      </c>
      <c r="AA268" s="1152">
        <v>0</v>
      </c>
      <c r="AB268" s="1152">
        <v>0</v>
      </c>
      <c r="AC268" s="1152">
        <v>0</v>
      </c>
      <c r="AD268" s="1152">
        <v>0</v>
      </c>
      <c r="AE268" s="1152">
        <v>0</v>
      </c>
      <c r="AF268" s="1152">
        <v>0</v>
      </c>
      <c r="AG268" s="1152">
        <v>0</v>
      </c>
      <c r="AH268" s="1152">
        <v>0</v>
      </c>
      <c r="AI268" s="1152">
        <v>0</v>
      </c>
      <c r="AJ268" s="1152">
        <v>0</v>
      </c>
      <c r="AK268" s="1152">
        <v>0</v>
      </c>
      <c r="AL268" s="1152">
        <v>0</v>
      </c>
      <c r="AM268" s="1152">
        <v>0</v>
      </c>
      <c r="AN268" s="1152">
        <v>0</v>
      </c>
      <c r="AO268" s="1152">
        <v>0</v>
      </c>
      <c r="AP268" s="1152">
        <v>0</v>
      </c>
      <c r="AQ268" s="1152">
        <v>0</v>
      </c>
      <c r="AR268" s="1152">
        <v>0</v>
      </c>
      <c r="AS268" s="1152">
        <v>0</v>
      </c>
      <c r="AT268" s="1152">
        <v>0</v>
      </c>
      <c r="AU268" s="1152">
        <v>0</v>
      </c>
      <c r="AV268" s="1152">
        <v>0</v>
      </c>
      <c r="AW268" s="1152">
        <v>0</v>
      </c>
      <c r="AX268" s="1152">
        <v>0</v>
      </c>
      <c r="AY268" s="1152">
        <v>0</v>
      </c>
      <c r="AZ268" s="1152">
        <v>0</v>
      </c>
      <c r="BA268" s="1152">
        <v>0</v>
      </c>
      <c r="BB268" s="1152">
        <v>0</v>
      </c>
      <c r="BC268" s="1152">
        <v>0</v>
      </c>
      <c r="BD268" s="1152">
        <v>0</v>
      </c>
      <c r="BE268" s="1152">
        <v>0</v>
      </c>
      <c r="BF268" s="1152">
        <v>0</v>
      </c>
      <c r="BG268" s="1152">
        <v>0</v>
      </c>
      <c r="BH268" s="1152">
        <v>0</v>
      </c>
      <c r="BI268" s="1152">
        <v>0</v>
      </c>
      <c r="BJ268" s="1152">
        <v>0</v>
      </c>
      <c r="BK268" s="1152">
        <v>0</v>
      </c>
      <c r="BL268" s="1152">
        <v>0</v>
      </c>
      <c r="BM268" s="1152">
        <v>0</v>
      </c>
      <c r="BN268" s="1152">
        <v>0</v>
      </c>
      <c r="BO268" s="1152">
        <v>0</v>
      </c>
      <c r="BP268" s="1152">
        <v>0</v>
      </c>
      <c r="BQ268" s="1152">
        <v>0</v>
      </c>
      <c r="BR268" s="1152">
        <v>0</v>
      </c>
      <c r="BS268" s="1152">
        <v>0</v>
      </c>
      <c r="BT268" s="1152">
        <v>0</v>
      </c>
      <c r="BU268" s="1152">
        <v>0</v>
      </c>
      <c r="BV268" s="1152">
        <v>0</v>
      </c>
      <c r="BW268" s="1152">
        <v>0</v>
      </c>
      <c r="BX268" s="1152">
        <v>0</v>
      </c>
      <c r="BY268" s="1152">
        <v>0</v>
      </c>
      <c r="BZ268" s="1152">
        <v>0</v>
      </c>
      <c r="CA268" s="1152">
        <v>0</v>
      </c>
      <c r="CB268" s="1152">
        <v>0</v>
      </c>
      <c r="CC268" s="1148">
        <v>0</v>
      </c>
      <c r="CD268" s="1148">
        <v>0</v>
      </c>
      <c r="CE268" s="1148">
        <v>0</v>
      </c>
      <c r="CF268" s="1148">
        <v>0</v>
      </c>
    </row>
    <row r="269" spans="1:84" s="1148" customFormat="1" x14ac:dyDescent="0.3">
      <c r="A269" s="1144">
        <v>609</v>
      </c>
      <c r="B269" s="1144" t="s">
        <v>1768</v>
      </c>
      <c r="C269" s="1145">
        <v>609</v>
      </c>
      <c r="D269" s="1146" t="s">
        <v>707</v>
      </c>
      <c r="E269" s="1191"/>
      <c r="F269" s="1192">
        <v>0</v>
      </c>
      <c r="G269" s="1192">
        <v>0</v>
      </c>
      <c r="H269" s="1192">
        <v>0</v>
      </c>
      <c r="I269" s="1192">
        <v>0</v>
      </c>
      <c r="J269" s="1192">
        <v>0</v>
      </c>
      <c r="K269" s="1192">
        <v>0</v>
      </c>
      <c r="L269" s="1193">
        <v>0</v>
      </c>
      <c r="M269" s="1193">
        <v>0</v>
      </c>
      <c r="N269" s="1193">
        <v>0</v>
      </c>
      <c r="O269" s="1193">
        <v>0</v>
      </c>
      <c r="P269" s="1193">
        <v>0</v>
      </c>
      <c r="Q269" s="1193">
        <v>0</v>
      </c>
      <c r="R269" s="1193">
        <v>0</v>
      </c>
      <c r="S269" s="1193">
        <v>0</v>
      </c>
      <c r="T269" s="1193">
        <v>0</v>
      </c>
      <c r="U269" s="1193">
        <v>0</v>
      </c>
      <c r="V269" s="1193">
        <v>0</v>
      </c>
      <c r="W269" s="1193">
        <v>0</v>
      </c>
      <c r="X269" s="1193">
        <v>0</v>
      </c>
      <c r="Y269" s="1193">
        <v>0</v>
      </c>
      <c r="Z269" s="1193">
        <v>0</v>
      </c>
      <c r="AA269" s="1193">
        <v>0</v>
      </c>
      <c r="AB269" s="1193">
        <v>0</v>
      </c>
      <c r="AC269" s="1193">
        <v>0</v>
      </c>
      <c r="AD269" s="1193">
        <v>0</v>
      </c>
      <c r="AE269" s="1193">
        <v>0</v>
      </c>
      <c r="AF269" s="1193">
        <v>0</v>
      </c>
      <c r="AG269" s="1193">
        <v>0</v>
      </c>
      <c r="AH269" s="1193">
        <v>0</v>
      </c>
      <c r="AI269" s="1193">
        <v>0</v>
      </c>
      <c r="AJ269" s="1193">
        <v>0</v>
      </c>
      <c r="AK269" s="1193">
        <v>0</v>
      </c>
      <c r="AL269" s="1193">
        <v>0</v>
      </c>
      <c r="AM269" s="1193">
        <v>0</v>
      </c>
      <c r="AN269" s="1193">
        <v>0</v>
      </c>
      <c r="AO269" s="1193">
        <v>0</v>
      </c>
      <c r="AP269" s="1193">
        <v>0</v>
      </c>
      <c r="AQ269" s="1193">
        <v>0</v>
      </c>
      <c r="AR269" s="1193">
        <v>0</v>
      </c>
      <c r="AS269" s="1193">
        <v>0</v>
      </c>
      <c r="AT269" s="1193">
        <v>0</v>
      </c>
      <c r="AU269" s="1193">
        <v>0</v>
      </c>
      <c r="AV269" s="1193">
        <v>0</v>
      </c>
      <c r="AW269" s="1193">
        <v>0</v>
      </c>
      <c r="AX269" s="1193">
        <v>0</v>
      </c>
      <c r="AY269" s="1193">
        <v>0</v>
      </c>
      <c r="AZ269" s="1193">
        <v>0</v>
      </c>
      <c r="BA269" s="1193">
        <v>0</v>
      </c>
      <c r="BB269" s="1193">
        <v>0</v>
      </c>
      <c r="BC269" s="1193">
        <v>0</v>
      </c>
      <c r="BD269" s="1193">
        <v>0</v>
      </c>
      <c r="BE269" s="1193">
        <v>0</v>
      </c>
      <c r="BF269" s="1193">
        <v>0</v>
      </c>
      <c r="BG269" s="1193">
        <v>0</v>
      </c>
      <c r="BH269" s="1193">
        <v>0</v>
      </c>
      <c r="BI269" s="1193">
        <v>0</v>
      </c>
      <c r="BJ269" s="1193">
        <v>0</v>
      </c>
      <c r="BK269" s="1193">
        <v>0</v>
      </c>
      <c r="BL269" s="1193">
        <v>0</v>
      </c>
      <c r="BM269" s="1193">
        <v>0</v>
      </c>
      <c r="BN269" s="1193">
        <v>0</v>
      </c>
      <c r="BO269" s="1193">
        <v>0</v>
      </c>
      <c r="BP269" s="1193">
        <v>0</v>
      </c>
      <c r="BQ269" s="1193">
        <v>0</v>
      </c>
      <c r="BR269" s="1193">
        <v>0</v>
      </c>
      <c r="BS269" s="1193">
        <v>0</v>
      </c>
      <c r="BT269" s="1193">
        <v>0</v>
      </c>
      <c r="BU269" s="1193">
        <v>0</v>
      </c>
      <c r="BV269" s="1193">
        <v>0</v>
      </c>
      <c r="BW269" s="1193">
        <v>0</v>
      </c>
      <c r="BX269" s="1193">
        <v>0</v>
      </c>
      <c r="BY269" s="1193">
        <v>0</v>
      </c>
      <c r="BZ269" s="1193">
        <v>0</v>
      </c>
      <c r="CA269" s="1193">
        <v>0</v>
      </c>
      <c r="CB269" s="1193">
        <v>0</v>
      </c>
      <c r="CC269" s="1148">
        <v>0</v>
      </c>
      <c r="CD269" s="1148">
        <v>0</v>
      </c>
      <c r="CE269" s="1148">
        <v>0</v>
      </c>
      <c r="CF269" s="1148">
        <v>0</v>
      </c>
    </row>
    <row r="270" spans="1:84" s="1148" customFormat="1" x14ac:dyDescent="0.3">
      <c r="A270" s="1144">
        <v>610</v>
      </c>
      <c r="B270" s="1144" t="s">
        <v>1768</v>
      </c>
      <c r="C270" s="1145">
        <v>610</v>
      </c>
      <c r="D270" s="1146" t="s">
        <v>688</v>
      </c>
      <c r="E270" s="1179"/>
      <c r="F270" s="1180">
        <v>0</v>
      </c>
      <c r="G270" s="1180">
        <v>0</v>
      </c>
      <c r="H270" s="1180">
        <v>0</v>
      </c>
      <c r="I270" s="1180">
        <v>0</v>
      </c>
      <c r="J270" s="1180">
        <v>0</v>
      </c>
      <c r="K270" s="1180">
        <v>0</v>
      </c>
      <c r="L270" s="1152">
        <v>0</v>
      </c>
      <c r="M270" s="1152">
        <v>0</v>
      </c>
      <c r="N270" s="1152">
        <v>0</v>
      </c>
      <c r="O270" s="1152">
        <v>0</v>
      </c>
      <c r="P270" s="1152">
        <v>0</v>
      </c>
      <c r="Q270" s="1152">
        <v>0</v>
      </c>
      <c r="R270" s="1152">
        <v>0</v>
      </c>
      <c r="S270" s="1152">
        <v>0</v>
      </c>
      <c r="T270" s="1152">
        <v>0</v>
      </c>
      <c r="U270" s="1152">
        <v>0</v>
      </c>
      <c r="V270" s="1152">
        <v>0</v>
      </c>
      <c r="W270" s="1152">
        <v>0</v>
      </c>
      <c r="X270" s="1152">
        <v>0</v>
      </c>
      <c r="Y270" s="1152">
        <v>0</v>
      </c>
      <c r="Z270" s="1152">
        <v>0</v>
      </c>
      <c r="AA270" s="1152">
        <v>0</v>
      </c>
      <c r="AB270" s="1152">
        <v>0</v>
      </c>
      <c r="AC270" s="1152">
        <v>0</v>
      </c>
      <c r="AD270" s="1152">
        <v>0</v>
      </c>
      <c r="AE270" s="1152">
        <v>0</v>
      </c>
      <c r="AF270" s="1152">
        <v>0</v>
      </c>
      <c r="AG270" s="1152">
        <v>0</v>
      </c>
      <c r="AH270" s="1152">
        <v>0</v>
      </c>
      <c r="AI270" s="1152">
        <v>0</v>
      </c>
      <c r="AJ270" s="1152">
        <v>0</v>
      </c>
      <c r="AK270" s="1152">
        <v>0</v>
      </c>
      <c r="AL270" s="1152">
        <v>0</v>
      </c>
      <c r="AM270" s="1152">
        <v>0</v>
      </c>
      <c r="AN270" s="1152">
        <v>0</v>
      </c>
      <c r="AO270" s="1152">
        <v>0</v>
      </c>
      <c r="AP270" s="1152">
        <v>0</v>
      </c>
      <c r="AQ270" s="1152">
        <v>0</v>
      </c>
      <c r="AR270" s="1152">
        <v>0</v>
      </c>
      <c r="AS270" s="1152">
        <v>0</v>
      </c>
      <c r="AT270" s="1152">
        <v>0</v>
      </c>
      <c r="AU270" s="1152">
        <v>0</v>
      </c>
      <c r="AV270" s="1152">
        <v>0</v>
      </c>
      <c r="AW270" s="1152">
        <v>0</v>
      </c>
      <c r="AX270" s="1152">
        <v>0</v>
      </c>
      <c r="AY270" s="1152">
        <v>0</v>
      </c>
      <c r="AZ270" s="1152">
        <v>0</v>
      </c>
      <c r="BA270" s="1152">
        <v>0</v>
      </c>
      <c r="BB270" s="1152">
        <v>0</v>
      </c>
      <c r="BC270" s="1152">
        <v>0</v>
      </c>
      <c r="BD270" s="1152">
        <v>0</v>
      </c>
      <c r="BE270" s="1152">
        <v>0</v>
      </c>
      <c r="BF270" s="1152">
        <v>0</v>
      </c>
      <c r="BG270" s="1152">
        <v>0</v>
      </c>
      <c r="BH270" s="1152">
        <v>0</v>
      </c>
      <c r="BI270" s="1152">
        <v>0</v>
      </c>
      <c r="BJ270" s="1152">
        <v>0</v>
      </c>
      <c r="BK270" s="1152">
        <v>0</v>
      </c>
      <c r="BL270" s="1152">
        <v>0</v>
      </c>
      <c r="BM270" s="1152">
        <v>0</v>
      </c>
      <c r="BN270" s="1152">
        <v>0</v>
      </c>
      <c r="BO270" s="1152">
        <v>0</v>
      </c>
      <c r="BP270" s="1152">
        <v>0</v>
      </c>
      <c r="BQ270" s="1152">
        <v>0</v>
      </c>
      <c r="BR270" s="1152">
        <v>0</v>
      </c>
      <c r="BS270" s="1152">
        <v>0</v>
      </c>
      <c r="BT270" s="1152">
        <v>0</v>
      </c>
      <c r="BU270" s="1152">
        <v>0</v>
      </c>
      <c r="BV270" s="1152">
        <v>0</v>
      </c>
      <c r="BW270" s="1152">
        <v>0</v>
      </c>
      <c r="BX270" s="1152">
        <v>0</v>
      </c>
      <c r="BY270" s="1152">
        <v>0</v>
      </c>
      <c r="BZ270" s="1152">
        <v>0</v>
      </c>
      <c r="CA270" s="1152">
        <v>0</v>
      </c>
      <c r="CB270" s="1152">
        <v>0</v>
      </c>
      <c r="CC270" s="1148">
        <v>0</v>
      </c>
      <c r="CD270" s="1148">
        <v>0</v>
      </c>
      <c r="CE270" s="1148">
        <v>0</v>
      </c>
      <c r="CF270" s="1148">
        <v>0</v>
      </c>
    </row>
    <row r="271" spans="1:84" s="1148" customFormat="1" x14ac:dyDescent="0.3">
      <c r="A271" s="1144">
        <v>611</v>
      </c>
      <c r="B271" s="1144" t="s">
        <v>1768</v>
      </c>
      <c r="C271" s="1145">
        <v>611</v>
      </c>
      <c r="D271" s="1146" t="s">
        <v>689</v>
      </c>
      <c r="E271" s="1179"/>
      <c r="F271" s="1180">
        <v>0</v>
      </c>
      <c r="G271" s="1180">
        <v>0</v>
      </c>
      <c r="H271" s="1180">
        <v>0</v>
      </c>
      <c r="I271" s="1180">
        <v>0</v>
      </c>
      <c r="J271" s="1180">
        <v>0</v>
      </c>
      <c r="K271" s="1180">
        <v>0</v>
      </c>
      <c r="L271" s="1152">
        <v>0</v>
      </c>
      <c r="M271" s="1152">
        <v>0</v>
      </c>
      <c r="N271" s="1152">
        <v>0</v>
      </c>
      <c r="O271" s="1152">
        <v>0</v>
      </c>
      <c r="P271" s="1152">
        <v>0</v>
      </c>
      <c r="Q271" s="1152">
        <v>0</v>
      </c>
      <c r="R271" s="1152">
        <v>0</v>
      </c>
      <c r="S271" s="1152">
        <v>0</v>
      </c>
      <c r="T271" s="1152">
        <v>0</v>
      </c>
      <c r="U271" s="1152">
        <v>0</v>
      </c>
      <c r="V271" s="1152">
        <v>0</v>
      </c>
      <c r="W271" s="1152">
        <v>0</v>
      </c>
      <c r="X271" s="1152">
        <v>0</v>
      </c>
      <c r="Y271" s="1152">
        <v>0</v>
      </c>
      <c r="Z271" s="1152">
        <v>0</v>
      </c>
      <c r="AA271" s="1152">
        <v>0</v>
      </c>
      <c r="AB271" s="1152">
        <v>0</v>
      </c>
      <c r="AC271" s="1152">
        <v>0</v>
      </c>
      <c r="AD271" s="1152">
        <v>0</v>
      </c>
      <c r="AE271" s="1152">
        <v>0</v>
      </c>
      <c r="AF271" s="1152">
        <v>0</v>
      </c>
      <c r="AG271" s="1152">
        <v>0</v>
      </c>
      <c r="AH271" s="1152">
        <v>0</v>
      </c>
      <c r="AI271" s="1152">
        <v>0</v>
      </c>
      <c r="AJ271" s="1152">
        <v>0</v>
      </c>
      <c r="AK271" s="1152">
        <v>0</v>
      </c>
      <c r="AL271" s="1152">
        <v>0</v>
      </c>
      <c r="AM271" s="1152">
        <v>0</v>
      </c>
      <c r="AN271" s="1152">
        <v>0</v>
      </c>
      <c r="AO271" s="1152">
        <v>0</v>
      </c>
      <c r="AP271" s="1152">
        <v>0</v>
      </c>
      <c r="AQ271" s="1152">
        <v>0</v>
      </c>
      <c r="AR271" s="1152">
        <v>0</v>
      </c>
      <c r="AS271" s="1152">
        <v>0</v>
      </c>
      <c r="AT271" s="1152">
        <v>0</v>
      </c>
      <c r="AU271" s="1152">
        <v>0</v>
      </c>
      <c r="AV271" s="1152">
        <v>0</v>
      </c>
      <c r="AW271" s="1152">
        <v>0</v>
      </c>
      <c r="AX271" s="1152">
        <v>0</v>
      </c>
      <c r="AY271" s="1152">
        <v>0</v>
      </c>
      <c r="AZ271" s="1152">
        <v>0</v>
      </c>
      <c r="BA271" s="1152">
        <v>0</v>
      </c>
      <c r="BB271" s="1152">
        <v>0</v>
      </c>
      <c r="BC271" s="1152">
        <v>0</v>
      </c>
      <c r="BD271" s="1152">
        <v>0</v>
      </c>
      <c r="BE271" s="1152">
        <v>0</v>
      </c>
      <c r="BF271" s="1152">
        <v>0</v>
      </c>
      <c r="BG271" s="1152">
        <v>0</v>
      </c>
      <c r="BH271" s="1152">
        <v>0</v>
      </c>
      <c r="BI271" s="1152">
        <v>0</v>
      </c>
      <c r="BJ271" s="1152">
        <v>0</v>
      </c>
      <c r="BK271" s="1152">
        <v>0</v>
      </c>
      <c r="BL271" s="1152">
        <v>0</v>
      </c>
      <c r="BM271" s="1152">
        <v>0</v>
      </c>
      <c r="BN271" s="1152">
        <v>0</v>
      </c>
      <c r="BO271" s="1152">
        <v>0</v>
      </c>
      <c r="BP271" s="1152">
        <v>0</v>
      </c>
      <c r="BQ271" s="1152">
        <v>0</v>
      </c>
      <c r="BR271" s="1152">
        <v>0</v>
      </c>
      <c r="BS271" s="1152">
        <v>0</v>
      </c>
      <c r="BT271" s="1152">
        <v>0</v>
      </c>
      <c r="BU271" s="1152">
        <v>0</v>
      </c>
      <c r="BV271" s="1152">
        <v>0</v>
      </c>
      <c r="BW271" s="1152">
        <v>0</v>
      </c>
      <c r="BX271" s="1152">
        <v>0</v>
      </c>
      <c r="BY271" s="1152">
        <v>0</v>
      </c>
      <c r="BZ271" s="1152">
        <v>0</v>
      </c>
      <c r="CA271" s="1152">
        <v>0</v>
      </c>
      <c r="CB271" s="1152">
        <v>0</v>
      </c>
      <c r="CC271" s="1148">
        <v>0</v>
      </c>
      <c r="CD271" s="1148">
        <v>0</v>
      </c>
      <c r="CE271" s="1148">
        <v>0</v>
      </c>
      <c r="CF271" s="1148">
        <v>0</v>
      </c>
    </row>
    <row r="272" spans="1:84" s="1148" customFormat="1" x14ac:dyDescent="0.3">
      <c r="A272" s="1144">
        <v>612</v>
      </c>
      <c r="B272" s="1144" t="s">
        <v>1768</v>
      </c>
      <c r="C272" s="1145">
        <v>612</v>
      </c>
      <c r="D272" s="1146" t="s">
        <v>708</v>
      </c>
      <c r="E272" s="1191"/>
      <c r="F272" s="1192">
        <v>0</v>
      </c>
      <c r="G272" s="1192">
        <v>0</v>
      </c>
      <c r="H272" s="1192">
        <v>0</v>
      </c>
      <c r="I272" s="1192">
        <v>0</v>
      </c>
      <c r="J272" s="1192">
        <v>0</v>
      </c>
      <c r="K272" s="1192">
        <v>0</v>
      </c>
      <c r="L272" s="1193">
        <v>0</v>
      </c>
      <c r="M272" s="1193">
        <v>0</v>
      </c>
      <c r="N272" s="1193">
        <v>0</v>
      </c>
      <c r="O272" s="1193">
        <v>0</v>
      </c>
      <c r="P272" s="1193">
        <v>0</v>
      </c>
      <c r="Q272" s="1193">
        <v>0</v>
      </c>
      <c r="R272" s="1193">
        <v>0</v>
      </c>
      <c r="S272" s="1193">
        <v>0</v>
      </c>
      <c r="T272" s="1193">
        <v>0</v>
      </c>
      <c r="U272" s="1193">
        <v>0</v>
      </c>
      <c r="V272" s="1193">
        <v>0</v>
      </c>
      <c r="W272" s="1193">
        <v>0</v>
      </c>
      <c r="X272" s="1193">
        <v>0</v>
      </c>
      <c r="Y272" s="1193">
        <v>0</v>
      </c>
      <c r="Z272" s="1193">
        <v>0</v>
      </c>
      <c r="AA272" s="1193">
        <v>0</v>
      </c>
      <c r="AB272" s="1193">
        <v>0</v>
      </c>
      <c r="AC272" s="1193">
        <v>0</v>
      </c>
      <c r="AD272" s="1193">
        <v>0</v>
      </c>
      <c r="AE272" s="1193">
        <v>0</v>
      </c>
      <c r="AF272" s="1193">
        <v>0</v>
      </c>
      <c r="AG272" s="1193">
        <v>0</v>
      </c>
      <c r="AH272" s="1193">
        <v>0</v>
      </c>
      <c r="AI272" s="1193">
        <v>0</v>
      </c>
      <c r="AJ272" s="1193">
        <v>0</v>
      </c>
      <c r="AK272" s="1193">
        <v>0</v>
      </c>
      <c r="AL272" s="1193">
        <v>0</v>
      </c>
      <c r="AM272" s="1193">
        <v>0</v>
      </c>
      <c r="AN272" s="1193">
        <v>0</v>
      </c>
      <c r="AO272" s="1193">
        <v>0</v>
      </c>
      <c r="AP272" s="1193">
        <v>0</v>
      </c>
      <c r="AQ272" s="1193">
        <v>0</v>
      </c>
      <c r="AR272" s="1193">
        <v>0</v>
      </c>
      <c r="AS272" s="1193">
        <v>0</v>
      </c>
      <c r="AT272" s="1193">
        <v>0</v>
      </c>
      <c r="AU272" s="1193">
        <v>0</v>
      </c>
      <c r="AV272" s="1193">
        <v>0</v>
      </c>
      <c r="AW272" s="1193">
        <v>0</v>
      </c>
      <c r="AX272" s="1193">
        <v>0</v>
      </c>
      <c r="AY272" s="1193">
        <v>0</v>
      </c>
      <c r="AZ272" s="1193">
        <v>0</v>
      </c>
      <c r="BA272" s="1193">
        <v>0</v>
      </c>
      <c r="BB272" s="1193">
        <v>0</v>
      </c>
      <c r="BC272" s="1193">
        <v>0</v>
      </c>
      <c r="BD272" s="1193">
        <v>0</v>
      </c>
      <c r="BE272" s="1193">
        <v>0</v>
      </c>
      <c r="BF272" s="1193">
        <v>0</v>
      </c>
      <c r="BG272" s="1193">
        <v>0</v>
      </c>
      <c r="BH272" s="1193">
        <v>0</v>
      </c>
      <c r="BI272" s="1193">
        <v>0</v>
      </c>
      <c r="BJ272" s="1193">
        <v>0</v>
      </c>
      <c r="BK272" s="1193">
        <v>0</v>
      </c>
      <c r="BL272" s="1193">
        <v>0</v>
      </c>
      <c r="BM272" s="1193">
        <v>0</v>
      </c>
      <c r="BN272" s="1193">
        <v>0</v>
      </c>
      <c r="BO272" s="1193">
        <v>0</v>
      </c>
      <c r="BP272" s="1193">
        <v>0</v>
      </c>
      <c r="BQ272" s="1193">
        <v>0</v>
      </c>
      <c r="BR272" s="1193">
        <v>0</v>
      </c>
      <c r="BS272" s="1193">
        <v>0</v>
      </c>
      <c r="BT272" s="1193">
        <v>0</v>
      </c>
      <c r="BU272" s="1193">
        <v>0</v>
      </c>
      <c r="BV272" s="1193">
        <v>0</v>
      </c>
      <c r="BW272" s="1193">
        <v>0</v>
      </c>
      <c r="BX272" s="1193">
        <v>0</v>
      </c>
      <c r="BY272" s="1193">
        <v>0</v>
      </c>
      <c r="BZ272" s="1193">
        <v>0</v>
      </c>
      <c r="CA272" s="1193">
        <v>0</v>
      </c>
      <c r="CB272" s="1193">
        <v>0</v>
      </c>
      <c r="CC272" s="1148">
        <v>0</v>
      </c>
      <c r="CD272" s="1148">
        <v>0</v>
      </c>
      <c r="CE272" s="1148">
        <v>0</v>
      </c>
      <c r="CF272" s="1148">
        <v>0</v>
      </c>
    </row>
    <row r="273" spans="1:84" s="1148" customFormat="1" x14ac:dyDescent="0.3">
      <c r="A273" s="1144">
        <v>613</v>
      </c>
      <c r="B273" s="1144" t="s">
        <v>1768</v>
      </c>
      <c r="C273" s="1145">
        <v>613</v>
      </c>
      <c r="D273" s="1146" t="s">
        <v>697</v>
      </c>
      <c r="E273" s="1179"/>
      <c r="F273" s="1180">
        <v>0</v>
      </c>
      <c r="G273" s="1180">
        <v>0</v>
      </c>
      <c r="H273" s="1180">
        <v>0</v>
      </c>
      <c r="I273" s="1180">
        <v>0</v>
      </c>
      <c r="J273" s="1180">
        <v>0</v>
      </c>
      <c r="K273" s="1180">
        <v>0</v>
      </c>
      <c r="L273" s="1152">
        <v>0</v>
      </c>
      <c r="M273" s="1152">
        <v>0</v>
      </c>
      <c r="N273" s="1152">
        <v>0</v>
      </c>
      <c r="O273" s="1152">
        <v>0</v>
      </c>
      <c r="P273" s="1152">
        <v>0</v>
      </c>
      <c r="Q273" s="1152">
        <v>0</v>
      </c>
      <c r="R273" s="1152">
        <v>0</v>
      </c>
      <c r="S273" s="1152">
        <v>0</v>
      </c>
      <c r="T273" s="1152">
        <v>0</v>
      </c>
      <c r="U273" s="1152">
        <v>0</v>
      </c>
      <c r="V273" s="1152">
        <v>0</v>
      </c>
      <c r="W273" s="1152">
        <v>0</v>
      </c>
      <c r="X273" s="1152">
        <v>0</v>
      </c>
      <c r="Y273" s="1152">
        <v>0</v>
      </c>
      <c r="Z273" s="1152">
        <v>0</v>
      </c>
      <c r="AA273" s="1152">
        <v>0</v>
      </c>
      <c r="AB273" s="1152">
        <v>0</v>
      </c>
      <c r="AC273" s="1152">
        <v>0</v>
      </c>
      <c r="AD273" s="1152">
        <v>0</v>
      </c>
      <c r="AE273" s="1152">
        <v>0</v>
      </c>
      <c r="AF273" s="1152">
        <v>0</v>
      </c>
      <c r="AG273" s="1152">
        <v>0</v>
      </c>
      <c r="AH273" s="1152">
        <v>0</v>
      </c>
      <c r="AI273" s="1152">
        <v>0</v>
      </c>
      <c r="AJ273" s="1152">
        <v>0</v>
      </c>
      <c r="AK273" s="1152">
        <v>0</v>
      </c>
      <c r="AL273" s="1152">
        <v>0</v>
      </c>
      <c r="AM273" s="1152">
        <v>0</v>
      </c>
      <c r="AN273" s="1152">
        <v>0</v>
      </c>
      <c r="AO273" s="1152">
        <v>0</v>
      </c>
      <c r="AP273" s="1152">
        <v>0</v>
      </c>
      <c r="AQ273" s="1152">
        <v>0</v>
      </c>
      <c r="AR273" s="1152">
        <v>0</v>
      </c>
      <c r="AS273" s="1152">
        <v>0</v>
      </c>
      <c r="AT273" s="1152">
        <v>0</v>
      </c>
      <c r="AU273" s="1152">
        <v>0</v>
      </c>
      <c r="AV273" s="1152">
        <v>0</v>
      </c>
      <c r="AW273" s="1152">
        <v>0</v>
      </c>
      <c r="AX273" s="1152">
        <v>0</v>
      </c>
      <c r="AY273" s="1152">
        <v>0</v>
      </c>
      <c r="AZ273" s="1152">
        <v>0</v>
      </c>
      <c r="BA273" s="1152">
        <v>0</v>
      </c>
      <c r="BB273" s="1152">
        <v>0</v>
      </c>
      <c r="BC273" s="1152">
        <v>0</v>
      </c>
      <c r="BD273" s="1152">
        <v>0</v>
      </c>
      <c r="BE273" s="1152">
        <v>0</v>
      </c>
      <c r="BF273" s="1152">
        <v>0</v>
      </c>
      <c r="BG273" s="1152">
        <v>0</v>
      </c>
      <c r="BH273" s="1152">
        <v>0</v>
      </c>
      <c r="BI273" s="1152">
        <v>0</v>
      </c>
      <c r="BJ273" s="1152">
        <v>0</v>
      </c>
      <c r="BK273" s="1152">
        <v>0</v>
      </c>
      <c r="BL273" s="1152">
        <v>0</v>
      </c>
      <c r="BM273" s="1152">
        <v>0</v>
      </c>
      <c r="BN273" s="1152">
        <v>0</v>
      </c>
      <c r="BO273" s="1152">
        <v>0</v>
      </c>
      <c r="BP273" s="1152">
        <v>0</v>
      </c>
      <c r="BQ273" s="1152">
        <v>0</v>
      </c>
      <c r="BR273" s="1152">
        <v>0</v>
      </c>
      <c r="BS273" s="1152">
        <v>0</v>
      </c>
      <c r="BT273" s="1152">
        <v>0</v>
      </c>
      <c r="BU273" s="1152">
        <v>0</v>
      </c>
      <c r="BV273" s="1152">
        <v>0</v>
      </c>
      <c r="BW273" s="1152">
        <v>0</v>
      </c>
      <c r="BX273" s="1152">
        <v>0</v>
      </c>
      <c r="BY273" s="1152">
        <v>0</v>
      </c>
      <c r="BZ273" s="1152">
        <v>0</v>
      </c>
      <c r="CA273" s="1152">
        <v>0</v>
      </c>
      <c r="CB273" s="1152">
        <v>0</v>
      </c>
      <c r="CC273" s="1148">
        <v>0</v>
      </c>
      <c r="CD273" s="1148">
        <v>0</v>
      </c>
      <c r="CE273" s="1148">
        <v>0</v>
      </c>
      <c r="CF273" s="1148">
        <v>0</v>
      </c>
    </row>
    <row r="274" spans="1:84" s="1148" customFormat="1" x14ac:dyDescent="0.3">
      <c r="A274" s="1144">
        <v>614</v>
      </c>
      <c r="B274" s="1144" t="s">
        <v>1768</v>
      </c>
      <c r="C274" s="1145">
        <v>614</v>
      </c>
      <c r="D274" s="1146" t="s">
        <v>690</v>
      </c>
      <c r="E274" s="1179"/>
      <c r="F274" s="1180">
        <v>0</v>
      </c>
      <c r="G274" s="1180">
        <v>0</v>
      </c>
      <c r="H274" s="1180">
        <v>0</v>
      </c>
      <c r="I274" s="1180">
        <v>0</v>
      </c>
      <c r="J274" s="1180">
        <v>0</v>
      </c>
      <c r="K274" s="1180">
        <v>0</v>
      </c>
      <c r="L274" s="1152">
        <v>0</v>
      </c>
      <c r="M274" s="1152">
        <v>0</v>
      </c>
      <c r="N274" s="1152">
        <v>0</v>
      </c>
      <c r="O274" s="1152">
        <v>0</v>
      </c>
      <c r="P274" s="1152">
        <v>0</v>
      </c>
      <c r="Q274" s="1152">
        <v>0</v>
      </c>
      <c r="R274" s="1152">
        <v>0</v>
      </c>
      <c r="S274" s="1152">
        <v>0</v>
      </c>
      <c r="T274" s="1152">
        <v>0</v>
      </c>
      <c r="U274" s="1152">
        <v>0</v>
      </c>
      <c r="V274" s="1152">
        <v>0</v>
      </c>
      <c r="W274" s="1152">
        <v>0</v>
      </c>
      <c r="X274" s="1152">
        <v>0</v>
      </c>
      <c r="Y274" s="1152">
        <v>0</v>
      </c>
      <c r="Z274" s="1152">
        <v>0</v>
      </c>
      <c r="AA274" s="1152">
        <v>0</v>
      </c>
      <c r="AB274" s="1152">
        <v>0</v>
      </c>
      <c r="AC274" s="1152">
        <v>0</v>
      </c>
      <c r="AD274" s="1152">
        <v>0</v>
      </c>
      <c r="AE274" s="1152">
        <v>0</v>
      </c>
      <c r="AF274" s="1152">
        <v>0</v>
      </c>
      <c r="AG274" s="1152">
        <v>0</v>
      </c>
      <c r="AH274" s="1152">
        <v>0</v>
      </c>
      <c r="AI274" s="1152">
        <v>0</v>
      </c>
      <c r="AJ274" s="1152">
        <v>0</v>
      </c>
      <c r="AK274" s="1152">
        <v>0</v>
      </c>
      <c r="AL274" s="1152">
        <v>0</v>
      </c>
      <c r="AM274" s="1152">
        <v>0</v>
      </c>
      <c r="AN274" s="1152">
        <v>0</v>
      </c>
      <c r="AO274" s="1152">
        <v>0</v>
      </c>
      <c r="AP274" s="1152">
        <v>0</v>
      </c>
      <c r="AQ274" s="1152">
        <v>0</v>
      </c>
      <c r="AR274" s="1152">
        <v>0</v>
      </c>
      <c r="AS274" s="1152">
        <v>0</v>
      </c>
      <c r="AT274" s="1152">
        <v>0</v>
      </c>
      <c r="AU274" s="1152">
        <v>0</v>
      </c>
      <c r="AV274" s="1152">
        <v>0</v>
      </c>
      <c r="AW274" s="1152">
        <v>0</v>
      </c>
      <c r="AX274" s="1152">
        <v>0</v>
      </c>
      <c r="AY274" s="1152">
        <v>0</v>
      </c>
      <c r="AZ274" s="1152">
        <v>0</v>
      </c>
      <c r="BA274" s="1152">
        <v>0</v>
      </c>
      <c r="BB274" s="1152">
        <v>0</v>
      </c>
      <c r="BC274" s="1152">
        <v>0</v>
      </c>
      <c r="BD274" s="1152">
        <v>0</v>
      </c>
      <c r="BE274" s="1152">
        <v>0</v>
      </c>
      <c r="BF274" s="1152">
        <v>0</v>
      </c>
      <c r="BG274" s="1152">
        <v>0</v>
      </c>
      <c r="BH274" s="1152">
        <v>0</v>
      </c>
      <c r="BI274" s="1152">
        <v>0</v>
      </c>
      <c r="BJ274" s="1152">
        <v>0</v>
      </c>
      <c r="BK274" s="1152">
        <v>0</v>
      </c>
      <c r="BL274" s="1152">
        <v>0</v>
      </c>
      <c r="BM274" s="1152">
        <v>0</v>
      </c>
      <c r="BN274" s="1152">
        <v>0</v>
      </c>
      <c r="BO274" s="1152">
        <v>0</v>
      </c>
      <c r="BP274" s="1152">
        <v>0</v>
      </c>
      <c r="BQ274" s="1152">
        <v>0</v>
      </c>
      <c r="BR274" s="1152">
        <v>0</v>
      </c>
      <c r="BS274" s="1152">
        <v>0</v>
      </c>
      <c r="BT274" s="1152">
        <v>0</v>
      </c>
      <c r="BU274" s="1152">
        <v>0</v>
      </c>
      <c r="BV274" s="1152">
        <v>0</v>
      </c>
      <c r="BW274" s="1152">
        <v>0</v>
      </c>
      <c r="BX274" s="1152">
        <v>0</v>
      </c>
      <c r="BY274" s="1152">
        <v>0</v>
      </c>
      <c r="BZ274" s="1152">
        <v>0</v>
      </c>
      <c r="CA274" s="1152">
        <v>0</v>
      </c>
      <c r="CB274" s="1152">
        <v>0</v>
      </c>
      <c r="CC274" s="1148">
        <v>0</v>
      </c>
      <c r="CD274" s="1148">
        <v>0</v>
      </c>
      <c r="CE274" s="1148">
        <v>0</v>
      </c>
      <c r="CF274" s="1148">
        <v>0</v>
      </c>
    </row>
    <row r="275" spans="1:84" s="1148" customFormat="1" x14ac:dyDescent="0.3">
      <c r="A275" s="1144">
        <v>615</v>
      </c>
      <c r="B275" s="1144" t="s">
        <v>1768</v>
      </c>
      <c r="C275" s="1145">
        <v>615</v>
      </c>
      <c r="D275" s="1146" t="s">
        <v>709</v>
      </c>
      <c r="E275" s="1191"/>
      <c r="F275" s="1192">
        <v>0</v>
      </c>
      <c r="G275" s="1192">
        <v>0</v>
      </c>
      <c r="H275" s="1192">
        <v>0</v>
      </c>
      <c r="I275" s="1192">
        <v>0</v>
      </c>
      <c r="J275" s="1192">
        <v>0</v>
      </c>
      <c r="K275" s="1192">
        <v>0</v>
      </c>
      <c r="L275" s="1193">
        <v>0</v>
      </c>
      <c r="M275" s="1193">
        <v>0</v>
      </c>
      <c r="N275" s="1193">
        <v>0</v>
      </c>
      <c r="O275" s="1193">
        <v>0</v>
      </c>
      <c r="P275" s="1193">
        <v>0</v>
      </c>
      <c r="Q275" s="1193">
        <v>0</v>
      </c>
      <c r="R275" s="1193">
        <v>0</v>
      </c>
      <c r="S275" s="1193">
        <v>0</v>
      </c>
      <c r="T275" s="1193">
        <v>0</v>
      </c>
      <c r="U275" s="1193">
        <v>0</v>
      </c>
      <c r="V275" s="1193">
        <v>0</v>
      </c>
      <c r="W275" s="1193">
        <v>0</v>
      </c>
      <c r="X275" s="1193">
        <v>0</v>
      </c>
      <c r="Y275" s="1193">
        <v>0</v>
      </c>
      <c r="Z275" s="1193">
        <v>0</v>
      </c>
      <c r="AA275" s="1193">
        <v>0</v>
      </c>
      <c r="AB275" s="1193">
        <v>0</v>
      </c>
      <c r="AC275" s="1193">
        <v>0</v>
      </c>
      <c r="AD275" s="1193">
        <v>0</v>
      </c>
      <c r="AE275" s="1193">
        <v>0</v>
      </c>
      <c r="AF275" s="1193">
        <v>0</v>
      </c>
      <c r="AG275" s="1193">
        <v>0</v>
      </c>
      <c r="AH275" s="1193">
        <v>0</v>
      </c>
      <c r="AI275" s="1193">
        <v>0</v>
      </c>
      <c r="AJ275" s="1193">
        <v>0</v>
      </c>
      <c r="AK275" s="1193">
        <v>0</v>
      </c>
      <c r="AL275" s="1193">
        <v>0</v>
      </c>
      <c r="AM275" s="1193">
        <v>0</v>
      </c>
      <c r="AN275" s="1193">
        <v>0</v>
      </c>
      <c r="AO275" s="1193">
        <v>0</v>
      </c>
      <c r="AP275" s="1193">
        <v>0</v>
      </c>
      <c r="AQ275" s="1193">
        <v>0</v>
      </c>
      <c r="AR275" s="1193">
        <v>0</v>
      </c>
      <c r="AS275" s="1193">
        <v>0</v>
      </c>
      <c r="AT275" s="1193">
        <v>0</v>
      </c>
      <c r="AU275" s="1193">
        <v>0</v>
      </c>
      <c r="AV275" s="1193">
        <v>0</v>
      </c>
      <c r="AW275" s="1193">
        <v>0</v>
      </c>
      <c r="AX275" s="1193">
        <v>0</v>
      </c>
      <c r="AY275" s="1193">
        <v>0</v>
      </c>
      <c r="AZ275" s="1193">
        <v>0</v>
      </c>
      <c r="BA275" s="1193">
        <v>0</v>
      </c>
      <c r="BB275" s="1193">
        <v>0</v>
      </c>
      <c r="BC275" s="1193">
        <v>0</v>
      </c>
      <c r="BD275" s="1193">
        <v>0</v>
      </c>
      <c r="BE275" s="1193">
        <v>0</v>
      </c>
      <c r="BF275" s="1193">
        <v>0</v>
      </c>
      <c r="BG275" s="1193">
        <v>0</v>
      </c>
      <c r="BH275" s="1193">
        <v>0</v>
      </c>
      <c r="BI275" s="1193">
        <v>0</v>
      </c>
      <c r="BJ275" s="1193">
        <v>0</v>
      </c>
      <c r="BK275" s="1193">
        <v>0</v>
      </c>
      <c r="BL275" s="1193">
        <v>0</v>
      </c>
      <c r="BM275" s="1193">
        <v>0</v>
      </c>
      <c r="BN275" s="1193">
        <v>0</v>
      </c>
      <c r="BO275" s="1193">
        <v>0</v>
      </c>
      <c r="BP275" s="1193">
        <v>0</v>
      </c>
      <c r="BQ275" s="1193">
        <v>0</v>
      </c>
      <c r="BR275" s="1193">
        <v>0</v>
      </c>
      <c r="BS275" s="1193">
        <v>0</v>
      </c>
      <c r="BT275" s="1193">
        <v>0</v>
      </c>
      <c r="BU275" s="1193">
        <v>0</v>
      </c>
      <c r="BV275" s="1193">
        <v>0</v>
      </c>
      <c r="BW275" s="1193">
        <v>0</v>
      </c>
      <c r="BX275" s="1193">
        <v>0</v>
      </c>
      <c r="BY275" s="1193">
        <v>0</v>
      </c>
      <c r="BZ275" s="1193">
        <v>0</v>
      </c>
      <c r="CA275" s="1193">
        <v>0</v>
      </c>
      <c r="CB275" s="1193">
        <v>0</v>
      </c>
      <c r="CC275" s="1148">
        <v>0</v>
      </c>
      <c r="CD275" s="1148">
        <v>0</v>
      </c>
      <c r="CE275" s="1148">
        <v>0</v>
      </c>
      <c r="CF275" s="1148">
        <v>0</v>
      </c>
    </row>
    <row r="276" spans="1:84" s="1148" customFormat="1" x14ac:dyDescent="0.3">
      <c r="A276" s="1144">
        <v>616</v>
      </c>
      <c r="B276" s="1144" t="s">
        <v>1768</v>
      </c>
      <c r="C276" s="1145">
        <v>616</v>
      </c>
      <c r="D276" s="1146" t="s">
        <v>691</v>
      </c>
      <c r="E276" s="1179"/>
      <c r="F276" s="1180">
        <v>0</v>
      </c>
      <c r="G276" s="1180">
        <v>0</v>
      </c>
      <c r="H276" s="1180">
        <v>0</v>
      </c>
      <c r="I276" s="1180">
        <v>0</v>
      </c>
      <c r="J276" s="1180">
        <v>0</v>
      </c>
      <c r="K276" s="1180">
        <v>0</v>
      </c>
      <c r="L276" s="1152">
        <v>0</v>
      </c>
      <c r="M276" s="1152">
        <v>0</v>
      </c>
      <c r="N276" s="1152">
        <v>0</v>
      </c>
      <c r="O276" s="1152">
        <v>0</v>
      </c>
      <c r="P276" s="1152">
        <v>0</v>
      </c>
      <c r="Q276" s="1152">
        <v>0</v>
      </c>
      <c r="R276" s="1152">
        <v>0</v>
      </c>
      <c r="S276" s="1152">
        <v>0</v>
      </c>
      <c r="T276" s="1152">
        <v>0</v>
      </c>
      <c r="U276" s="1152">
        <v>0</v>
      </c>
      <c r="V276" s="1152">
        <v>0</v>
      </c>
      <c r="W276" s="1152">
        <v>0</v>
      </c>
      <c r="X276" s="1152">
        <v>0</v>
      </c>
      <c r="Y276" s="1152">
        <v>0</v>
      </c>
      <c r="Z276" s="1152">
        <v>0</v>
      </c>
      <c r="AA276" s="1152">
        <v>0</v>
      </c>
      <c r="AB276" s="1152">
        <v>0</v>
      </c>
      <c r="AC276" s="1152">
        <v>0</v>
      </c>
      <c r="AD276" s="1152">
        <v>0</v>
      </c>
      <c r="AE276" s="1152">
        <v>0</v>
      </c>
      <c r="AF276" s="1152">
        <v>0</v>
      </c>
      <c r="AG276" s="1152">
        <v>0</v>
      </c>
      <c r="AH276" s="1152">
        <v>0</v>
      </c>
      <c r="AI276" s="1152">
        <v>0</v>
      </c>
      <c r="AJ276" s="1152">
        <v>0</v>
      </c>
      <c r="AK276" s="1152">
        <v>0</v>
      </c>
      <c r="AL276" s="1152">
        <v>0</v>
      </c>
      <c r="AM276" s="1152">
        <v>0</v>
      </c>
      <c r="AN276" s="1152">
        <v>0</v>
      </c>
      <c r="AO276" s="1152">
        <v>0</v>
      </c>
      <c r="AP276" s="1152">
        <v>0</v>
      </c>
      <c r="AQ276" s="1152">
        <v>0</v>
      </c>
      <c r="AR276" s="1152">
        <v>0</v>
      </c>
      <c r="AS276" s="1152">
        <v>0</v>
      </c>
      <c r="AT276" s="1152">
        <v>0</v>
      </c>
      <c r="AU276" s="1152">
        <v>0</v>
      </c>
      <c r="AV276" s="1152">
        <v>0</v>
      </c>
      <c r="AW276" s="1152">
        <v>0</v>
      </c>
      <c r="AX276" s="1152">
        <v>0</v>
      </c>
      <c r="AY276" s="1152">
        <v>0</v>
      </c>
      <c r="AZ276" s="1152">
        <v>0</v>
      </c>
      <c r="BA276" s="1152">
        <v>0</v>
      </c>
      <c r="BB276" s="1152">
        <v>0</v>
      </c>
      <c r="BC276" s="1152">
        <v>0</v>
      </c>
      <c r="BD276" s="1152">
        <v>0</v>
      </c>
      <c r="BE276" s="1152">
        <v>0</v>
      </c>
      <c r="BF276" s="1152">
        <v>0</v>
      </c>
      <c r="BG276" s="1152">
        <v>0</v>
      </c>
      <c r="BH276" s="1152">
        <v>0</v>
      </c>
      <c r="BI276" s="1152">
        <v>0</v>
      </c>
      <c r="BJ276" s="1152">
        <v>0</v>
      </c>
      <c r="BK276" s="1152">
        <v>0</v>
      </c>
      <c r="BL276" s="1152">
        <v>0</v>
      </c>
      <c r="BM276" s="1152">
        <v>0</v>
      </c>
      <c r="BN276" s="1152">
        <v>0</v>
      </c>
      <c r="BO276" s="1152">
        <v>0</v>
      </c>
      <c r="BP276" s="1152">
        <v>0</v>
      </c>
      <c r="BQ276" s="1152">
        <v>0</v>
      </c>
      <c r="BR276" s="1152">
        <v>0</v>
      </c>
      <c r="BS276" s="1152">
        <v>0</v>
      </c>
      <c r="BT276" s="1152">
        <v>0</v>
      </c>
      <c r="BU276" s="1152">
        <v>0</v>
      </c>
      <c r="BV276" s="1152">
        <v>0</v>
      </c>
      <c r="BW276" s="1152">
        <v>0</v>
      </c>
      <c r="BX276" s="1152">
        <v>0</v>
      </c>
      <c r="BY276" s="1152">
        <v>0</v>
      </c>
      <c r="BZ276" s="1152">
        <v>0</v>
      </c>
      <c r="CA276" s="1152">
        <v>0</v>
      </c>
      <c r="CB276" s="1152">
        <v>0</v>
      </c>
      <c r="CC276" s="1148">
        <v>0</v>
      </c>
      <c r="CD276" s="1148">
        <v>0</v>
      </c>
      <c r="CE276" s="1148">
        <v>0</v>
      </c>
      <c r="CF276" s="1148">
        <v>0</v>
      </c>
    </row>
    <row r="277" spans="1:84" s="1148" customFormat="1" x14ac:dyDescent="0.3">
      <c r="A277" s="1144">
        <v>617</v>
      </c>
      <c r="B277" s="1144" t="s">
        <v>1769</v>
      </c>
      <c r="C277" s="1145">
        <v>617</v>
      </c>
      <c r="D277" s="1146" t="s">
        <v>692</v>
      </c>
      <c r="E277" s="1179"/>
      <c r="F277" s="1180">
        <v>0</v>
      </c>
      <c r="G277" s="1180">
        <v>0</v>
      </c>
      <c r="H277" s="1180">
        <v>0</v>
      </c>
      <c r="I277" s="1180">
        <v>0</v>
      </c>
      <c r="J277" s="1180">
        <v>0</v>
      </c>
      <c r="K277" s="1180">
        <v>0</v>
      </c>
      <c r="L277" s="1152">
        <v>0</v>
      </c>
      <c r="M277" s="1152">
        <v>0</v>
      </c>
      <c r="N277" s="1152">
        <v>0</v>
      </c>
      <c r="O277" s="1152">
        <v>0</v>
      </c>
      <c r="P277" s="1152">
        <v>0</v>
      </c>
      <c r="Q277" s="1152">
        <v>0</v>
      </c>
      <c r="R277" s="1152">
        <v>0</v>
      </c>
      <c r="S277" s="1152">
        <v>0</v>
      </c>
      <c r="T277" s="1152">
        <v>0</v>
      </c>
      <c r="U277" s="1152">
        <v>0</v>
      </c>
      <c r="V277" s="1152">
        <v>0</v>
      </c>
      <c r="W277" s="1152">
        <v>0</v>
      </c>
      <c r="X277" s="1152">
        <v>0</v>
      </c>
      <c r="Y277" s="1152">
        <v>0</v>
      </c>
      <c r="Z277" s="1152">
        <v>0</v>
      </c>
      <c r="AA277" s="1152">
        <v>0</v>
      </c>
      <c r="AB277" s="1152">
        <v>0</v>
      </c>
      <c r="AC277" s="1152">
        <v>0</v>
      </c>
      <c r="AD277" s="1152">
        <v>0</v>
      </c>
      <c r="AE277" s="1152">
        <v>0</v>
      </c>
      <c r="AF277" s="1152">
        <v>0</v>
      </c>
      <c r="AG277" s="1152">
        <v>0</v>
      </c>
      <c r="AH277" s="1152">
        <v>0</v>
      </c>
      <c r="AI277" s="1152">
        <v>0</v>
      </c>
      <c r="AJ277" s="1152">
        <v>0</v>
      </c>
      <c r="AK277" s="1152">
        <v>0</v>
      </c>
      <c r="AL277" s="1152">
        <v>0</v>
      </c>
      <c r="AM277" s="1152">
        <v>0</v>
      </c>
      <c r="AN277" s="1152">
        <v>0</v>
      </c>
      <c r="AO277" s="1152">
        <v>0</v>
      </c>
      <c r="AP277" s="1152">
        <v>0</v>
      </c>
      <c r="AQ277" s="1152">
        <v>0</v>
      </c>
      <c r="AR277" s="1152">
        <v>0</v>
      </c>
      <c r="AS277" s="1152">
        <v>0</v>
      </c>
      <c r="AT277" s="1152">
        <v>0</v>
      </c>
      <c r="AU277" s="1152">
        <v>0</v>
      </c>
      <c r="AV277" s="1152">
        <v>0</v>
      </c>
      <c r="AW277" s="1152">
        <v>0</v>
      </c>
      <c r="AX277" s="1152">
        <v>0</v>
      </c>
      <c r="AY277" s="1152">
        <v>0</v>
      </c>
      <c r="AZ277" s="1152">
        <v>0</v>
      </c>
      <c r="BA277" s="1152">
        <v>0</v>
      </c>
      <c r="BB277" s="1152">
        <v>0</v>
      </c>
      <c r="BC277" s="1152">
        <v>0</v>
      </c>
      <c r="BD277" s="1152">
        <v>0</v>
      </c>
      <c r="BE277" s="1152">
        <v>0</v>
      </c>
      <c r="BF277" s="1152">
        <v>0</v>
      </c>
      <c r="BG277" s="1152">
        <v>0</v>
      </c>
      <c r="BH277" s="1152">
        <v>0</v>
      </c>
      <c r="BI277" s="1152">
        <v>0</v>
      </c>
      <c r="BJ277" s="1152">
        <v>0</v>
      </c>
      <c r="BK277" s="1152">
        <v>0</v>
      </c>
      <c r="BL277" s="1152">
        <v>0</v>
      </c>
      <c r="BM277" s="1152">
        <v>0</v>
      </c>
      <c r="BN277" s="1152">
        <v>0</v>
      </c>
      <c r="BO277" s="1152">
        <v>0</v>
      </c>
      <c r="BP277" s="1152">
        <v>0</v>
      </c>
      <c r="BQ277" s="1152">
        <v>0</v>
      </c>
      <c r="BR277" s="1152">
        <v>0</v>
      </c>
      <c r="BS277" s="1152">
        <v>0</v>
      </c>
      <c r="BT277" s="1152">
        <v>0</v>
      </c>
      <c r="BU277" s="1152">
        <v>0</v>
      </c>
      <c r="BV277" s="1152">
        <v>0</v>
      </c>
      <c r="BW277" s="1152">
        <v>0</v>
      </c>
      <c r="BX277" s="1152">
        <v>0</v>
      </c>
      <c r="BY277" s="1152">
        <v>0</v>
      </c>
      <c r="BZ277" s="1152">
        <v>0</v>
      </c>
      <c r="CA277" s="1152">
        <v>0</v>
      </c>
      <c r="CB277" s="1152">
        <v>0</v>
      </c>
      <c r="CC277" s="1148">
        <v>0</v>
      </c>
      <c r="CD277" s="1148">
        <v>0</v>
      </c>
      <c r="CE277" s="1148">
        <v>0</v>
      </c>
      <c r="CF277" s="1148">
        <v>0</v>
      </c>
    </row>
    <row r="278" spans="1:84" s="1148" customFormat="1" x14ac:dyDescent="0.3">
      <c r="A278" s="1144">
        <v>618</v>
      </c>
      <c r="B278" s="1144" t="s">
        <v>1770</v>
      </c>
      <c r="C278" s="1145">
        <v>618</v>
      </c>
      <c r="D278" s="1146" t="s">
        <v>710</v>
      </c>
      <c r="E278" s="1191"/>
      <c r="F278" s="1192">
        <v>0</v>
      </c>
      <c r="G278" s="1192">
        <v>0</v>
      </c>
      <c r="H278" s="1192">
        <v>0</v>
      </c>
      <c r="I278" s="1192">
        <v>0</v>
      </c>
      <c r="J278" s="1192">
        <v>0</v>
      </c>
      <c r="K278" s="1192">
        <v>0</v>
      </c>
      <c r="L278" s="1193">
        <v>0</v>
      </c>
      <c r="M278" s="1193">
        <v>0</v>
      </c>
      <c r="N278" s="1193">
        <v>0</v>
      </c>
      <c r="O278" s="1193">
        <v>0</v>
      </c>
      <c r="P278" s="1193">
        <v>0</v>
      </c>
      <c r="Q278" s="1193">
        <v>0</v>
      </c>
      <c r="R278" s="1193">
        <v>0</v>
      </c>
      <c r="S278" s="1193">
        <v>0</v>
      </c>
      <c r="T278" s="1193">
        <v>0</v>
      </c>
      <c r="U278" s="1193">
        <v>0</v>
      </c>
      <c r="V278" s="1193">
        <v>0</v>
      </c>
      <c r="W278" s="1193">
        <v>0</v>
      </c>
      <c r="X278" s="1193">
        <v>0</v>
      </c>
      <c r="Y278" s="1193">
        <v>0</v>
      </c>
      <c r="Z278" s="1193">
        <v>0</v>
      </c>
      <c r="AA278" s="1193">
        <v>0</v>
      </c>
      <c r="AB278" s="1193">
        <v>0</v>
      </c>
      <c r="AC278" s="1193">
        <v>0</v>
      </c>
      <c r="AD278" s="1193">
        <v>0</v>
      </c>
      <c r="AE278" s="1193">
        <v>0</v>
      </c>
      <c r="AF278" s="1193">
        <v>0</v>
      </c>
      <c r="AG278" s="1193">
        <v>0</v>
      </c>
      <c r="AH278" s="1193">
        <v>0</v>
      </c>
      <c r="AI278" s="1193">
        <v>0</v>
      </c>
      <c r="AJ278" s="1193">
        <v>0</v>
      </c>
      <c r="AK278" s="1193">
        <v>0</v>
      </c>
      <c r="AL278" s="1193">
        <v>0</v>
      </c>
      <c r="AM278" s="1193">
        <v>0</v>
      </c>
      <c r="AN278" s="1193">
        <v>0</v>
      </c>
      <c r="AO278" s="1193">
        <v>0</v>
      </c>
      <c r="AP278" s="1193">
        <v>0</v>
      </c>
      <c r="AQ278" s="1193">
        <v>0</v>
      </c>
      <c r="AR278" s="1193">
        <v>0</v>
      </c>
      <c r="AS278" s="1193">
        <v>0</v>
      </c>
      <c r="AT278" s="1193">
        <v>0</v>
      </c>
      <c r="AU278" s="1193">
        <v>0</v>
      </c>
      <c r="AV278" s="1193">
        <v>0</v>
      </c>
      <c r="AW278" s="1193">
        <v>0</v>
      </c>
      <c r="AX278" s="1193">
        <v>0</v>
      </c>
      <c r="AY278" s="1193">
        <v>0</v>
      </c>
      <c r="AZ278" s="1193">
        <v>0</v>
      </c>
      <c r="BA278" s="1193">
        <v>0</v>
      </c>
      <c r="BB278" s="1193">
        <v>0</v>
      </c>
      <c r="BC278" s="1193">
        <v>0</v>
      </c>
      <c r="BD278" s="1193">
        <v>0</v>
      </c>
      <c r="BE278" s="1193">
        <v>0</v>
      </c>
      <c r="BF278" s="1193">
        <v>0</v>
      </c>
      <c r="BG278" s="1193">
        <v>0</v>
      </c>
      <c r="BH278" s="1193">
        <v>0</v>
      </c>
      <c r="BI278" s="1193">
        <v>0</v>
      </c>
      <c r="BJ278" s="1193">
        <v>0</v>
      </c>
      <c r="BK278" s="1193">
        <v>0</v>
      </c>
      <c r="BL278" s="1193">
        <v>0</v>
      </c>
      <c r="BM278" s="1193">
        <v>0</v>
      </c>
      <c r="BN278" s="1193">
        <v>0</v>
      </c>
      <c r="BO278" s="1193">
        <v>0</v>
      </c>
      <c r="BP278" s="1193">
        <v>0</v>
      </c>
      <c r="BQ278" s="1193">
        <v>0</v>
      </c>
      <c r="BR278" s="1193">
        <v>0</v>
      </c>
      <c r="BS278" s="1193">
        <v>0</v>
      </c>
      <c r="BT278" s="1193">
        <v>0</v>
      </c>
      <c r="BU278" s="1193">
        <v>0</v>
      </c>
      <c r="BV278" s="1193">
        <v>0</v>
      </c>
      <c r="BW278" s="1193">
        <v>0</v>
      </c>
      <c r="BX278" s="1193">
        <v>0</v>
      </c>
      <c r="BY278" s="1193">
        <v>0</v>
      </c>
      <c r="BZ278" s="1193">
        <v>0</v>
      </c>
      <c r="CA278" s="1193">
        <v>0</v>
      </c>
      <c r="CB278" s="1193">
        <v>0</v>
      </c>
      <c r="CC278" s="1148">
        <v>0</v>
      </c>
      <c r="CD278" s="1148">
        <v>0</v>
      </c>
      <c r="CE278" s="1148">
        <v>0</v>
      </c>
      <c r="CF278" s="1148">
        <v>0</v>
      </c>
    </row>
    <row r="279" spans="1:84" s="1148" customFormat="1" x14ac:dyDescent="0.3">
      <c r="A279" s="1144">
        <v>619</v>
      </c>
      <c r="B279" s="1144">
        <v>619</v>
      </c>
      <c r="C279" s="1145">
        <v>619</v>
      </c>
      <c r="D279" s="1146" t="s">
        <v>712</v>
      </c>
      <c r="E279" s="1191"/>
      <c r="F279" s="1192">
        <v>0</v>
      </c>
      <c r="G279" s="1192">
        <v>0</v>
      </c>
      <c r="H279" s="1192">
        <v>0</v>
      </c>
      <c r="I279" s="1192">
        <v>0</v>
      </c>
      <c r="J279" s="1192">
        <v>0</v>
      </c>
      <c r="K279" s="1192">
        <v>0</v>
      </c>
      <c r="L279" s="1193">
        <v>0</v>
      </c>
      <c r="M279" s="1193">
        <v>0</v>
      </c>
      <c r="N279" s="1193">
        <v>0</v>
      </c>
      <c r="O279" s="1193">
        <v>0</v>
      </c>
      <c r="P279" s="1193">
        <v>0</v>
      </c>
      <c r="Q279" s="1193">
        <v>0</v>
      </c>
      <c r="R279" s="1193">
        <v>0</v>
      </c>
      <c r="S279" s="1193">
        <v>0</v>
      </c>
      <c r="T279" s="1193">
        <v>0</v>
      </c>
      <c r="U279" s="1193">
        <v>0</v>
      </c>
      <c r="V279" s="1193">
        <v>0</v>
      </c>
      <c r="W279" s="1193">
        <v>0</v>
      </c>
      <c r="X279" s="1193">
        <v>0</v>
      </c>
      <c r="Y279" s="1193">
        <v>0</v>
      </c>
      <c r="Z279" s="1193">
        <v>0</v>
      </c>
      <c r="AA279" s="1193">
        <v>0</v>
      </c>
      <c r="AB279" s="1193">
        <v>0</v>
      </c>
      <c r="AC279" s="1193">
        <v>0</v>
      </c>
      <c r="AD279" s="1193">
        <v>0</v>
      </c>
      <c r="AE279" s="1193">
        <v>0</v>
      </c>
      <c r="AF279" s="1193">
        <v>0</v>
      </c>
      <c r="AG279" s="1193">
        <v>0</v>
      </c>
      <c r="AH279" s="1193">
        <v>0</v>
      </c>
      <c r="AI279" s="1193">
        <v>0</v>
      </c>
      <c r="AJ279" s="1193">
        <v>0</v>
      </c>
      <c r="AK279" s="1193">
        <v>0</v>
      </c>
      <c r="AL279" s="1193">
        <v>0</v>
      </c>
      <c r="AM279" s="1193">
        <v>0</v>
      </c>
      <c r="AN279" s="1193">
        <v>0</v>
      </c>
      <c r="AO279" s="1193">
        <v>0</v>
      </c>
      <c r="AP279" s="1193">
        <v>0</v>
      </c>
      <c r="AQ279" s="1193">
        <v>0</v>
      </c>
      <c r="AR279" s="1193">
        <v>0</v>
      </c>
      <c r="AS279" s="1193">
        <v>0</v>
      </c>
      <c r="AT279" s="1193">
        <v>0</v>
      </c>
      <c r="AU279" s="1193">
        <v>0</v>
      </c>
      <c r="AV279" s="1193">
        <v>0</v>
      </c>
      <c r="AW279" s="1193">
        <v>0</v>
      </c>
      <c r="AX279" s="1193">
        <v>0</v>
      </c>
      <c r="AY279" s="1193">
        <v>0</v>
      </c>
      <c r="AZ279" s="1193">
        <v>0</v>
      </c>
      <c r="BA279" s="1193">
        <v>0</v>
      </c>
      <c r="BB279" s="1193">
        <v>0</v>
      </c>
      <c r="BC279" s="1193">
        <v>0</v>
      </c>
      <c r="BD279" s="1193">
        <v>0</v>
      </c>
      <c r="BE279" s="1193">
        <v>0</v>
      </c>
      <c r="BF279" s="1193">
        <v>0</v>
      </c>
      <c r="BG279" s="1193">
        <v>0</v>
      </c>
      <c r="BH279" s="1193">
        <v>0</v>
      </c>
      <c r="BI279" s="1193">
        <v>0</v>
      </c>
      <c r="BJ279" s="1193">
        <v>0</v>
      </c>
      <c r="BK279" s="1193">
        <v>0</v>
      </c>
      <c r="BL279" s="1193">
        <v>0</v>
      </c>
      <c r="BM279" s="1193">
        <v>0</v>
      </c>
      <c r="BN279" s="1193">
        <v>0</v>
      </c>
      <c r="BO279" s="1193">
        <v>0</v>
      </c>
      <c r="BP279" s="1193">
        <v>0</v>
      </c>
      <c r="BQ279" s="1193">
        <v>0</v>
      </c>
      <c r="BR279" s="1193">
        <v>0</v>
      </c>
      <c r="BS279" s="1193">
        <v>0</v>
      </c>
      <c r="BT279" s="1193">
        <v>0</v>
      </c>
      <c r="BU279" s="1193">
        <v>0</v>
      </c>
      <c r="BV279" s="1193">
        <v>0</v>
      </c>
      <c r="BW279" s="1193">
        <v>0</v>
      </c>
      <c r="BX279" s="1193">
        <v>0</v>
      </c>
      <c r="BY279" s="1193">
        <v>0</v>
      </c>
      <c r="BZ279" s="1193">
        <v>0</v>
      </c>
      <c r="CA279" s="1193">
        <v>0</v>
      </c>
      <c r="CB279" s="1193">
        <v>0</v>
      </c>
      <c r="CC279" s="1148">
        <v>0</v>
      </c>
      <c r="CD279" s="1148">
        <v>0</v>
      </c>
      <c r="CE279" s="1148">
        <v>0</v>
      </c>
      <c r="CF279" s="1148">
        <v>0</v>
      </c>
    </row>
    <row r="280" spans="1:84" s="1148" customFormat="1" x14ac:dyDescent="0.3">
      <c r="A280" s="1144">
        <v>620</v>
      </c>
      <c r="B280" s="1144">
        <v>620</v>
      </c>
      <c r="C280" s="1145">
        <v>620</v>
      </c>
      <c r="D280" s="1146" t="s">
        <v>701</v>
      </c>
      <c r="E280" s="1191"/>
      <c r="F280" s="1192">
        <v>0</v>
      </c>
      <c r="G280" s="1192">
        <v>2</v>
      </c>
      <c r="H280" s="1192">
        <v>2</v>
      </c>
      <c r="I280" s="1192">
        <v>2</v>
      </c>
      <c r="J280" s="1192">
        <v>2</v>
      </c>
      <c r="K280" s="1192">
        <v>2</v>
      </c>
      <c r="L280" s="1193">
        <v>2</v>
      </c>
      <c r="M280" s="1193">
        <v>1</v>
      </c>
      <c r="N280" s="1193">
        <v>2</v>
      </c>
      <c r="O280" s="1193">
        <v>2</v>
      </c>
      <c r="P280" s="1193">
        <v>2</v>
      </c>
      <c r="Q280" s="1193">
        <v>2</v>
      </c>
      <c r="R280" s="1193">
        <v>2</v>
      </c>
      <c r="S280" s="1193">
        <v>1</v>
      </c>
      <c r="T280" s="1193">
        <v>0</v>
      </c>
      <c r="U280" s="1193">
        <v>2</v>
      </c>
      <c r="V280" s="1193">
        <v>1</v>
      </c>
      <c r="W280" s="1193">
        <v>2</v>
      </c>
      <c r="X280" s="1193">
        <v>2</v>
      </c>
      <c r="Y280" s="1193">
        <v>2</v>
      </c>
      <c r="Z280" s="1193">
        <v>2</v>
      </c>
      <c r="AA280" s="1193">
        <v>1</v>
      </c>
      <c r="AB280" s="1193">
        <v>2</v>
      </c>
      <c r="AC280" s="1193">
        <v>1</v>
      </c>
      <c r="AD280" s="1193">
        <v>2</v>
      </c>
      <c r="AE280" s="1193">
        <v>2</v>
      </c>
      <c r="AF280" s="1193">
        <v>2</v>
      </c>
      <c r="AG280" s="1193">
        <v>2</v>
      </c>
      <c r="AH280" s="1193">
        <v>2</v>
      </c>
      <c r="AI280" s="1193">
        <v>2</v>
      </c>
      <c r="AJ280" s="1193">
        <v>2</v>
      </c>
      <c r="AK280" s="1193">
        <v>1</v>
      </c>
      <c r="AL280" s="1193">
        <v>2</v>
      </c>
      <c r="AM280" s="1193">
        <v>2</v>
      </c>
      <c r="AN280" s="1193">
        <v>0</v>
      </c>
      <c r="AO280" s="1193">
        <v>1</v>
      </c>
      <c r="AP280" s="1193">
        <v>0</v>
      </c>
      <c r="AQ280" s="1193">
        <v>2</v>
      </c>
      <c r="AR280" s="1193">
        <v>2</v>
      </c>
      <c r="AS280" s="1193">
        <v>2</v>
      </c>
      <c r="AT280" s="1193">
        <v>1</v>
      </c>
      <c r="AU280" s="1193">
        <v>2</v>
      </c>
      <c r="AV280" s="1193">
        <v>2</v>
      </c>
      <c r="AW280" s="1193">
        <v>0</v>
      </c>
      <c r="AX280" s="1193">
        <v>2</v>
      </c>
      <c r="AY280" s="1193">
        <v>2</v>
      </c>
      <c r="AZ280" s="1193">
        <v>2</v>
      </c>
      <c r="BA280" s="1193">
        <v>2</v>
      </c>
      <c r="BB280" s="1193">
        <v>2</v>
      </c>
      <c r="BC280" s="1193">
        <v>0</v>
      </c>
      <c r="BD280" s="1193">
        <v>2</v>
      </c>
      <c r="BE280" s="1193">
        <v>2</v>
      </c>
      <c r="BF280" s="1193">
        <v>2</v>
      </c>
      <c r="BG280" s="1193">
        <v>2</v>
      </c>
      <c r="BH280" s="1193">
        <v>2</v>
      </c>
      <c r="BI280" s="1193">
        <v>2</v>
      </c>
      <c r="BJ280" s="1193">
        <v>2</v>
      </c>
      <c r="BK280" s="1193">
        <v>2</v>
      </c>
      <c r="BL280" s="1193">
        <v>2</v>
      </c>
      <c r="BM280" s="1193">
        <v>2</v>
      </c>
      <c r="BN280" s="1193">
        <v>0</v>
      </c>
      <c r="BO280" s="1193">
        <v>1</v>
      </c>
      <c r="BP280" s="1193">
        <v>2</v>
      </c>
      <c r="BQ280" s="1193">
        <v>2</v>
      </c>
      <c r="BR280" s="1193">
        <v>2</v>
      </c>
      <c r="BS280" s="1193">
        <v>2</v>
      </c>
      <c r="BT280" s="1193">
        <v>2</v>
      </c>
      <c r="BU280" s="1193">
        <v>1</v>
      </c>
      <c r="BV280" s="1193">
        <v>2</v>
      </c>
      <c r="BW280" s="1193">
        <v>1</v>
      </c>
      <c r="BX280" s="1193">
        <v>2</v>
      </c>
      <c r="BY280" s="1193">
        <v>0</v>
      </c>
      <c r="BZ280" s="1193">
        <v>1</v>
      </c>
      <c r="CA280" s="1193">
        <v>2</v>
      </c>
      <c r="CB280" s="1193">
        <v>2</v>
      </c>
      <c r="CC280" s="1148">
        <v>2</v>
      </c>
      <c r="CD280" s="1148">
        <v>2</v>
      </c>
      <c r="CE280" s="1148">
        <v>0</v>
      </c>
      <c r="CF280" s="1148">
        <v>2</v>
      </c>
    </row>
    <row r="281" spans="1:84" s="1148" customFormat="1" x14ac:dyDescent="0.3">
      <c r="A281" s="1144">
        <v>621</v>
      </c>
      <c r="B281" s="1144">
        <v>621</v>
      </c>
      <c r="C281" s="1194">
        <v>621</v>
      </c>
      <c r="D281" s="1146" t="s">
        <v>717</v>
      </c>
      <c r="E281" s="1191"/>
      <c r="F281" s="1192">
        <v>0</v>
      </c>
      <c r="G281" s="1192">
        <v>0</v>
      </c>
      <c r="H281" s="1192">
        <v>0</v>
      </c>
      <c r="I281" s="1192">
        <v>0</v>
      </c>
      <c r="J281" s="1192">
        <v>0</v>
      </c>
      <c r="K281" s="1192">
        <v>0</v>
      </c>
      <c r="L281" s="1193">
        <v>0</v>
      </c>
      <c r="M281" s="1193">
        <v>0</v>
      </c>
      <c r="N281" s="1193">
        <v>0</v>
      </c>
      <c r="O281" s="1193">
        <v>0</v>
      </c>
      <c r="P281" s="1193">
        <v>0</v>
      </c>
      <c r="Q281" s="1193">
        <v>0</v>
      </c>
      <c r="R281" s="1193">
        <v>0</v>
      </c>
      <c r="S281" s="1193">
        <v>0</v>
      </c>
      <c r="T281" s="1193">
        <v>0</v>
      </c>
      <c r="U281" s="1193">
        <v>0</v>
      </c>
      <c r="V281" s="1193">
        <v>0</v>
      </c>
      <c r="W281" s="1193">
        <v>0</v>
      </c>
      <c r="X281" s="1193">
        <v>0</v>
      </c>
      <c r="Y281" s="1193">
        <v>0</v>
      </c>
      <c r="Z281" s="1193">
        <v>0</v>
      </c>
      <c r="AA281" s="1193">
        <v>0</v>
      </c>
      <c r="AB281" s="1193">
        <v>0</v>
      </c>
      <c r="AC281" s="1193">
        <v>0</v>
      </c>
      <c r="AD281" s="1193">
        <v>0</v>
      </c>
      <c r="AE281" s="1193">
        <v>0</v>
      </c>
      <c r="AF281" s="1193">
        <v>0</v>
      </c>
      <c r="AG281" s="1193">
        <v>0</v>
      </c>
      <c r="AH281" s="1193">
        <v>0</v>
      </c>
      <c r="AI281" s="1193">
        <v>0</v>
      </c>
      <c r="AJ281" s="1193">
        <v>0</v>
      </c>
      <c r="AK281" s="1193">
        <v>0</v>
      </c>
      <c r="AL281" s="1193">
        <v>0</v>
      </c>
      <c r="AM281" s="1193">
        <v>0</v>
      </c>
      <c r="AN281" s="1193">
        <v>0</v>
      </c>
      <c r="AO281" s="1193">
        <v>0</v>
      </c>
      <c r="AP281" s="1193">
        <v>0</v>
      </c>
      <c r="AQ281" s="1193">
        <v>0</v>
      </c>
      <c r="AR281" s="1193">
        <v>0</v>
      </c>
      <c r="AS281" s="1193">
        <v>0</v>
      </c>
      <c r="AT281" s="1193">
        <v>0</v>
      </c>
      <c r="AU281" s="1193">
        <v>0</v>
      </c>
      <c r="AV281" s="1193">
        <v>0</v>
      </c>
      <c r="AW281" s="1193">
        <v>0</v>
      </c>
      <c r="AX281" s="1193">
        <v>0</v>
      </c>
      <c r="AY281" s="1193">
        <v>0</v>
      </c>
      <c r="AZ281" s="1193">
        <v>0</v>
      </c>
      <c r="BA281" s="1193">
        <v>0</v>
      </c>
      <c r="BB281" s="1193">
        <v>0</v>
      </c>
      <c r="BC281" s="1193">
        <v>0</v>
      </c>
      <c r="BD281" s="1193">
        <v>0</v>
      </c>
      <c r="BE281" s="1193">
        <v>0</v>
      </c>
      <c r="BF281" s="1193">
        <v>0</v>
      </c>
      <c r="BG281" s="1193">
        <v>0</v>
      </c>
      <c r="BH281" s="1193">
        <v>0</v>
      </c>
      <c r="BI281" s="1193">
        <v>0</v>
      </c>
      <c r="BJ281" s="1193">
        <v>0</v>
      </c>
      <c r="BK281" s="1193">
        <v>0</v>
      </c>
      <c r="BL281" s="1193">
        <v>0</v>
      </c>
      <c r="BM281" s="1193">
        <v>0</v>
      </c>
      <c r="BN281" s="1193">
        <v>0</v>
      </c>
      <c r="BO281" s="1193">
        <v>0</v>
      </c>
      <c r="BP281" s="1193">
        <v>0</v>
      </c>
      <c r="BQ281" s="1193">
        <v>0</v>
      </c>
      <c r="BR281" s="1193">
        <v>0</v>
      </c>
      <c r="BS281" s="1193">
        <v>0</v>
      </c>
      <c r="BT281" s="1193">
        <v>0</v>
      </c>
      <c r="BU281" s="1193">
        <v>0</v>
      </c>
      <c r="BV281" s="1193">
        <v>0</v>
      </c>
      <c r="BW281" s="1193">
        <v>0</v>
      </c>
      <c r="BX281" s="1193">
        <v>0</v>
      </c>
      <c r="BY281" s="1193">
        <v>0</v>
      </c>
      <c r="BZ281" s="1193">
        <v>0</v>
      </c>
      <c r="CA281" s="1193">
        <v>0</v>
      </c>
      <c r="CB281" s="1193">
        <v>0</v>
      </c>
      <c r="CC281" s="1148">
        <v>0</v>
      </c>
      <c r="CD281" s="1148">
        <v>0</v>
      </c>
      <c r="CE281" s="1148">
        <v>0</v>
      </c>
      <c r="CF281" s="1148">
        <v>0</v>
      </c>
    </row>
    <row r="282" spans="1:84" s="1148" customFormat="1" x14ac:dyDescent="0.3">
      <c r="A282" s="1144">
        <v>622</v>
      </c>
      <c r="B282" s="1195">
        <v>622</v>
      </c>
      <c r="C282" s="1195"/>
      <c r="D282" s="1146"/>
      <c r="E282" s="1191"/>
      <c r="F282" s="1192">
        <v>0</v>
      </c>
      <c r="G282" s="1192">
        <v>0</v>
      </c>
      <c r="H282" s="1192">
        <v>91759</v>
      </c>
      <c r="I282" s="1192">
        <v>103502</v>
      </c>
      <c r="J282" s="1192">
        <v>11470</v>
      </c>
      <c r="K282" s="1192">
        <v>144739</v>
      </c>
      <c r="L282" s="1193">
        <v>0</v>
      </c>
      <c r="M282" s="1193">
        <v>24032</v>
      </c>
      <c r="N282" s="1193">
        <v>0</v>
      </c>
      <c r="O282" s="1193">
        <v>2288420</v>
      </c>
      <c r="P282" s="1193">
        <v>82201</v>
      </c>
      <c r="Q282" s="1193">
        <v>844128</v>
      </c>
      <c r="R282" s="1193">
        <v>0</v>
      </c>
      <c r="S282" s="1193">
        <v>10519788</v>
      </c>
      <c r="T282" s="1193">
        <v>0</v>
      </c>
      <c r="U282" s="1193">
        <v>0</v>
      </c>
      <c r="V282" s="1193">
        <v>10511046</v>
      </c>
      <c r="W282" s="1193">
        <v>4002983</v>
      </c>
      <c r="X282" s="1193">
        <v>5113105</v>
      </c>
      <c r="Y282" s="1193">
        <v>4472158</v>
      </c>
      <c r="Z282" s="1193">
        <v>5735</v>
      </c>
      <c r="AA282" s="1193">
        <v>2742392</v>
      </c>
      <c r="AB282" s="1193">
        <v>274185</v>
      </c>
      <c r="AC282" s="1193">
        <v>2973974</v>
      </c>
      <c r="AD282" s="1193">
        <v>970297</v>
      </c>
      <c r="AE282" s="1193">
        <v>146377</v>
      </c>
      <c r="AF282" s="1193">
        <v>363759</v>
      </c>
      <c r="AG282" s="1193">
        <v>521606</v>
      </c>
      <c r="AH282" s="1193">
        <v>2489508</v>
      </c>
      <c r="AI282" s="1193">
        <v>1038023</v>
      </c>
      <c r="AJ282" s="1193">
        <v>84932</v>
      </c>
      <c r="AK282" s="1193">
        <v>9749392</v>
      </c>
      <c r="AL282" s="1193">
        <v>17478</v>
      </c>
      <c r="AM282" s="1193">
        <v>190345</v>
      </c>
      <c r="AN282" s="1193">
        <v>0</v>
      </c>
      <c r="AO282" s="1193">
        <v>3583242</v>
      </c>
      <c r="AP282" s="1193">
        <v>0</v>
      </c>
      <c r="AQ282" s="1193">
        <v>163036</v>
      </c>
      <c r="AR282" s="1193">
        <v>0</v>
      </c>
      <c r="AS282" s="1193">
        <v>834024</v>
      </c>
      <c r="AT282" s="1193">
        <v>1160369</v>
      </c>
      <c r="AU282" s="1193">
        <v>39871</v>
      </c>
      <c r="AV282" s="1193">
        <v>306136</v>
      </c>
      <c r="AW282" s="1193">
        <v>0</v>
      </c>
      <c r="AX282" s="1193">
        <v>2525010</v>
      </c>
      <c r="AY282" s="1193">
        <v>132723</v>
      </c>
      <c r="AZ282" s="1193">
        <v>279373</v>
      </c>
      <c r="BA282" s="1193">
        <v>1038843</v>
      </c>
      <c r="BB282" s="1193">
        <v>148016</v>
      </c>
      <c r="BC282" s="1193">
        <v>196626</v>
      </c>
      <c r="BD282" s="1193">
        <v>0</v>
      </c>
      <c r="BE282" s="1193">
        <v>0</v>
      </c>
      <c r="BF282" s="1193">
        <v>1756529</v>
      </c>
      <c r="BG282" s="1193">
        <v>0</v>
      </c>
      <c r="BH282" s="1193">
        <v>33044</v>
      </c>
      <c r="BI282" s="1193">
        <v>0</v>
      </c>
      <c r="BJ282" s="1193">
        <v>0</v>
      </c>
      <c r="BK282" s="1193">
        <v>18297</v>
      </c>
      <c r="BL282" s="1193">
        <v>0</v>
      </c>
      <c r="BM282" s="1193">
        <v>752096</v>
      </c>
      <c r="BN282" s="1193">
        <v>0</v>
      </c>
      <c r="BO282" s="1193">
        <v>326618</v>
      </c>
      <c r="BP282" s="1193">
        <v>778859</v>
      </c>
      <c r="BQ282" s="1193">
        <v>194442</v>
      </c>
      <c r="BR282" s="1193">
        <v>112241</v>
      </c>
      <c r="BS282" s="1193">
        <v>2756320</v>
      </c>
      <c r="BT282" s="1193">
        <v>317060</v>
      </c>
      <c r="BU282" s="1193">
        <v>2116191</v>
      </c>
      <c r="BV282" s="1193">
        <v>100225</v>
      </c>
      <c r="BW282" s="1193">
        <v>1050859</v>
      </c>
      <c r="BX282" s="1193">
        <v>0</v>
      </c>
      <c r="BY282" s="1193">
        <v>0</v>
      </c>
      <c r="BZ282" s="1193">
        <v>131357</v>
      </c>
      <c r="CA282" s="1193">
        <v>0</v>
      </c>
      <c r="CB282" s="1193">
        <v>13928</v>
      </c>
      <c r="CC282" s="1148">
        <v>0</v>
      </c>
      <c r="CD282" s="1148">
        <v>163036</v>
      </c>
      <c r="CE282" s="1148">
        <v>0</v>
      </c>
      <c r="CF282" s="1148">
        <v>0</v>
      </c>
    </row>
    <row r="283" spans="1:84" s="1148" customFormat="1" x14ac:dyDescent="0.3">
      <c r="A283" s="1144">
        <v>624</v>
      </c>
      <c r="B283" s="1195">
        <v>624</v>
      </c>
      <c r="C283" s="1195"/>
      <c r="D283" s="1146"/>
      <c r="E283" s="1191"/>
      <c r="F283" s="1192">
        <v>0</v>
      </c>
      <c r="G283" s="1192">
        <v>1</v>
      </c>
      <c r="H283" s="1192">
        <v>1</v>
      </c>
      <c r="I283" s="1192">
        <v>1</v>
      </c>
      <c r="J283" s="1192">
        <v>1</v>
      </c>
      <c r="K283" s="1192">
        <v>2</v>
      </c>
      <c r="L283" s="1193">
        <v>1</v>
      </c>
      <c r="M283" s="1193">
        <v>0</v>
      </c>
      <c r="N283" s="1193">
        <v>2</v>
      </c>
      <c r="O283" s="1193">
        <v>1</v>
      </c>
      <c r="P283" s="1193">
        <v>1</v>
      </c>
      <c r="Q283" s="1193">
        <v>1</v>
      </c>
      <c r="R283" s="1193">
        <v>1</v>
      </c>
      <c r="S283" s="1193">
        <v>2</v>
      </c>
      <c r="T283" s="1193">
        <v>0</v>
      </c>
      <c r="U283" s="1193">
        <v>2</v>
      </c>
      <c r="V283" s="1193">
        <v>1</v>
      </c>
      <c r="W283" s="1193">
        <v>2</v>
      </c>
      <c r="X283" s="1193">
        <v>2</v>
      </c>
      <c r="Y283" s="1193">
        <v>1</v>
      </c>
      <c r="Z283" s="1193">
        <v>1</v>
      </c>
      <c r="AA283" s="1193">
        <v>2</v>
      </c>
      <c r="AB283" s="1193">
        <v>1</v>
      </c>
      <c r="AC283" s="1193">
        <v>1</v>
      </c>
      <c r="AD283" s="1193">
        <v>1</v>
      </c>
      <c r="AE283" s="1193">
        <v>1</v>
      </c>
      <c r="AF283" s="1193">
        <v>1</v>
      </c>
      <c r="AG283" s="1193">
        <v>2</v>
      </c>
      <c r="AH283" s="1193">
        <v>2</v>
      </c>
      <c r="AI283" s="1193">
        <v>2</v>
      </c>
      <c r="AJ283" s="1193">
        <v>2</v>
      </c>
      <c r="AK283" s="1193">
        <v>1</v>
      </c>
      <c r="AL283" s="1193">
        <v>1</v>
      </c>
      <c r="AM283" s="1193">
        <v>2</v>
      </c>
      <c r="AN283" s="1193">
        <v>0</v>
      </c>
      <c r="AO283" s="1193">
        <v>1</v>
      </c>
      <c r="AP283" s="1193">
        <v>0</v>
      </c>
      <c r="AQ283" s="1193">
        <v>1</v>
      </c>
      <c r="AR283" s="1193">
        <v>2</v>
      </c>
      <c r="AS283" s="1193">
        <v>2</v>
      </c>
      <c r="AT283" s="1193">
        <v>1</v>
      </c>
      <c r="AU283" s="1193">
        <v>1</v>
      </c>
      <c r="AV283" s="1193">
        <v>2</v>
      </c>
      <c r="AW283" s="1193">
        <v>0</v>
      </c>
      <c r="AX283" s="1193">
        <v>2</v>
      </c>
      <c r="AY283" s="1193">
        <v>1</v>
      </c>
      <c r="AZ283" s="1193">
        <v>2</v>
      </c>
      <c r="BA283" s="1193">
        <v>2</v>
      </c>
      <c r="BB283" s="1193">
        <v>2</v>
      </c>
      <c r="BC283" s="1193">
        <v>1</v>
      </c>
      <c r="BD283" s="1193">
        <v>2</v>
      </c>
      <c r="BE283" s="1193">
        <v>1</v>
      </c>
      <c r="BF283" s="1193">
        <v>1</v>
      </c>
      <c r="BG283" s="1193">
        <v>1</v>
      </c>
      <c r="BH283" s="1193">
        <v>1</v>
      </c>
      <c r="BI283" s="1193">
        <v>1</v>
      </c>
      <c r="BJ283" s="1193">
        <v>1</v>
      </c>
      <c r="BK283" s="1193">
        <v>1</v>
      </c>
      <c r="BL283" s="1193">
        <v>1</v>
      </c>
      <c r="BM283" s="1193">
        <v>2</v>
      </c>
      <c r="BN283" s="1193">
        <v>0</v>
      </c>
      <c r="BO283" s="1193">
        <v>1</v>
      </c>
      <c r="BP283" s="1193">
        <v>2</v>
      </c>
      <c r="BQ283" s="1193">
        <v>1</v>
      </c>
      <c r="BR283" s="1193">
        <v>1</v>
      </c>
      <c r="BS283" s="1193">
        <v>1</v>
      </c>
      <c r="BT283" s="1193">
        <v>2</v>
      </c>
      <c r="BU283" s="1193">
        <v>1</v>
      </c>
      <c r="BV283" s="1193">
        <v>1</v>
      </c>
      <c r="BW283" s="1193">
        <v>2</v>
      </c>
      <c r="BX283" s="1193">
        <v>1</v>
      </c>
      <c r="BY283" s="1193">
        <v>0</v>
      </c>
      <c r="BZ283" s="1193">
        <v>1</v>
      </c>
      <c r="CA283" s="1193">
        <v>1</v>
      </c>
      <c r="CB283" s="1193">
        <v>1</v>
      </c>
      <c r="CC283" s="1148">
        <v>1</v>
      </c>
      <c r="CD283" s="1148">
        <v>1</v>
      </c>
      <c r="CE283" s="1148">
        <v>0</v>
      </c>
      <c r="CF283" s="1148">
        <v>1</v>
      </c>
    </row>
    <row r="284" spans="1:84" s="1148" customFormat="1" x14ac:dyDescent="0.3">
      <c r="A284" s="1144">
        <v>625</v>
      </c>
      <c r="B284" s="1195" t="s">
        <v>1319</v>
      </c>
      <c r="C284" s="1196"/>
      <c r="D284" s="1146"/>
      <c r="E284" s="1191"/>
      <c r="F284" s="1192">
        <v>0</v>
      </c>
      <c r="G284" s="1192">
        <v>0</v>
      </c>
      <c r="H284" s="1192">
        <v>0</v>
      </c>
      <c r="I284" s="1192">
        <v>0</v>
      </c>
      <c r="J284" s="1192">
        <v>0</v>
      </c>
      <c r="K284" s="1192">
        <v>0</v>
      </c>
      <c r="L284" s="1193">
        <v>0</v>
      </c>
      <c r="M284" s="1193">
        <v>0</v>
      </c>
      <c r="N284" s="1193">
        <v>0</v>
      </c>
      <c r="O284" s="1193">
        <v>0</v>
      </c>
      <c r="P284" s="1193">
        <v>0</v>
      </c>
      <c r="Q284" s="1193">
        <v>0</v>
      </c>
      <c r="R284" s="1193">
        <v>0</v>
      </c>
      <c r="S284" s="1193">
        <v>0</v>
      </c>
      <c r="T284" s="1193">
        <v>0</v>
      </c>
      <c r="U284" s="1193">
        <v>0</v>
      </c>
      <c r="V284" s="1193">
        <v>0</v>
      </c>
      <c r="W284" s="1193">
        <v>0</v>
      </c>
      <c r="X284" s="1193">
        <v>0</v>
      </c>
      <c r="Y284" s="1193">
        <v>0</v>
      </c>
      <c r="Z284" s="1193">
        <v>0</v>
      </c>
      <c r="AA284" s="1193">
        <v>0</v>
      </c>
      <c r="AB284" s="1193">
        <v>0</v>
      </c>
      <c r="AC284" s="1193">
        <v>0</v>
      </c>
      <c r="AD284" s="1193">
        <v>0</v>
      </c>
      <c r="AE284" s="1193">
        <v>0</v>
      </c>
      <c r="AF284" s="1193">
        <v>0</v>
      </c>
      <c r="AG284" s="1193">
        <v>0</v>
      </c>
      <c r="AH284" s="1193">
        <v>0</v>
      </c>
      <c r="AI284" s="1193">
        <v>0</v>
      </c>
      <c r="AJ284" s="1193">
        <v>0</v>
      </c>
      <c r="AK284" s="1193">
        <v>0</v>
      </c>
      <c r="AL284" s="1193">
        <v>0</v>
      </c>
      <c r="AM284" s="1193">
        <v>0</v>
      </c>
      <c r="AN284" s="1193">
        <v>0</v>
      </c>
      <c r="AO284" s="1193">
        <v>0</v>
      </c>
      <c r="AP284" s="1193">
        <v>0</v>
      </c>
      <c r="AQ284" s="1193">
        <v>0</v>
      </c>
      <c r="AR284" s="1193">
        <v>0</v>
      </c>
      <c r="AS284" s="1193">
        <v>0</v>
      </c>
      <c r="AT284" s="1193">
        <v>0</v>
      </c>
      <c r="AU284" s="1193">
        <v>0</v>
      </c>
      <c r="AV284" s="1193">
        <v>0</v>
      </c>
      <c r="AW284" s="1193">
        <v>0</v>
      </c>
      <c r="AX284" s="1193">
        <v>0</v>
      </c>
      <c r="AY284" s="1193">
        <v>0</v>
      </c>
      <c r="AZ284" s="1193">
        <v>0</v>
      </c>
      <c r="BA284" s="1193">
        <v>0</v>
      </c>
      <c r="BB284" s="1193">
        <v>0</v>
      </c>
      <c r="BC284" s="1193">
        <v>0</v>
      </c>
      <c r="BD284" s="1193">
        <v>0</v>
      </c>
      <c r="BE284" s="1193">
        <v>0</v>
      </c>
      <c r="BF284" s="1193">
        <v>0</v>
      </c>
      <c r="BG284" s="1193">
        <v>0</v>
      </c>
      <c r="BH284" s="1193">
        <v>0</v>
      </c>
      <c r="BI284" s="1193">
        <v>0</v>
      </c>
      <c r="BJ284" s="1193">
        <v>0</v>
      </c>
      <c r="BK284" s="1193">
        <v>0</v>
      </c>
      <c r="BL284" s="1193">
        <v>0</v>
      </c>
      <c r="BM284" s="1193">
        <v>0</v>
      </c>
      <c r="BN284" s="1193">
        <v>0</v>
      </c>
      <c r="BO284" s="1193">
        <v>0</v>
      </c>
      <c r="BP284" s="1193">
        <v>0</v>
      </c>
      <c r="BQ284" s="1193">
        <v>0</v>
      </c>
      <c r="BR284" s="1193">
        <v>0</v>
      </c>
      <c r="BS284" s="1193">
        <v>0</v>
      </c>
      <c r="BT284" s="1193">
        <v>0</v>
      </c>
      <c r="BU284" s="1193">
        <v>0</v>
      </c>
      <c r="BV284" s="1193">
        <v>0</v>
      </c>
      <c r="BW284" s="1193">
        <v>0</v>
      </c>
      <c r="BX284" s="1193">
        <v>0</v>
      </c>
      <c r="BY284" s="1193">
        <v>0</v>
      </c>
      <c r="BZ284" s="1193">
        <v>0</v>
      </c>
      <c r="CA284" s="1193">
        <v>0</v>
      </c>
      <c r="CB284" s="1193">
        <v>0</v>
      </c>
      <c r="CC284" s="1148">
        <v>0</v>
      </c>
      <c r="CD284" s="1148">
        <v>0</v>
      </c>
      <c r="CE284" s="1148">
        <v>0</v>
      </c>
      <c r="CF284" s="1148">
        <v>0</v>
      </c>
    </row>
    <row r="285" spans="1:84" s="1148" customFormat="1" x14ac:dyDescent="0.3">
      <c r="A285" s="1144">
        <v>626</v>
      </c>
      <c r="B285" s="1144">
        <v>626</v>
      </c>
      <c r="C285" s="1196"/>
      <c r="D285" s="1146"/>
      <c r="E285" s="1191"/>
      <c r="F285" s="1192">
        <v>0</v>
      </c>
      <c r="G285" s="1192">
        <v>4345</v>
      </c>
      <c r="H285" s="1192">
        <v>62861</v>
      </c>
      <c r="I285" s="1192">
        <v>86909</v>
      </c>
      <c r="J285" s="1192">
        <v>246106</v>
      </c>
      <c r="K285" s="1192">
        <v>85284</v>
      </c>
      <c r="L285" s="1193">
        <v>751</v>
      </c>
      <c r="M285" s="1193">
        <v>2247</v>
      </c>
      <c r="N285" s="1193">
        <v>5367</v>
      </c>
      <c r="O285" s="1193">
        <v>1250594</v>
      </c>
      <c r="P285" s="1193">
        <v>48058</v>
      </c>
      <c r="Q285" s="1193">
        <v>310335</v>
      </c>
      <c r="R285" s="1193">
        <v>1344</v>
      </c>
      <c r="S285" s="1193">
        <v>7492610</v>
      </c>
      <c r="T285" s="1193">
        <v>0</v>
      </c>
      <c r="U285" s="1193">
        <v>1261</v>
      </c>
      <c r="V285" s="1193">
        <v>15333123</v>
      </c>
      <c r="W285" s="1193">
        <v>2905844</v>
      </c>
      <c r="X285" s="1193">
        <v>2163930</v>
      </c>
      <c r="Y285" s="1193">
        <v>7399225</v>
      </c>
      <c r="Z285" s="1193">
        <v>17752</v>
      </c>
      <c r="AA285" s="1193">
        <v>1657551</v>
      </c>
      <c r="AB285" s="1193">
        <v>50214</v>
      </c>
      <c r="AC285" s="1193">
        <v>1906153</v>
      </c>
      <c r="AD285" s="1193">
        <v>190233</v>
      </c>
      <c r="AE285" s="1193">
        <v>160282</v>
      </c>
      <c r="AF285" s="1193">
        <v>45853</v>
      </c>
      <c r="AG285" s="1193">
        <v>137648</v>
      </c>
      <c r="AH285" s="1193">
        <v>4647755</v>
      </c>
      <c r="AI285" s="1193">
        <v>304921</v>
      </c>
      <c r="AJ285" s="1193">
        <v>58159</v>
      </c>
      <c r="AK285" s="1193">
        <v>6019260</v>
      </c>
      <c r="AL285" s="1193">
        <v>132981</v>
      </c>
      <c r="AM285" s="1193">
        <v>72207</v>
      </c>
      <c r="AN285" s="1193">
        <v>0</v>
      </c>
      <c r="AO285" s="1193">
        <v>2953661</v>
      </c>
      <c r="AP285" s="1193">
        <v>0</v>
      </c>
      <c r="AQ285" s="1193">
        <v>32648</v>
      </c>
      <c r="AR285" s="1193">
        <v>243</v>
      </c>
      <c r="AS285" s="1193">
        <v>808930</v>
      </c>
      <c r="AT285" s="1193">
        <v>499706</v>
      </c>
      <c r="AU285" s="1193">
        <v>8106</v>
      </c>
      <c r="AV285" s="1193">
        <v>258785</v>
      </c>
      <c r="AW285" s="1193">
        <v>0</v>
      </c>
      <c r="AX285" s="1193">
        <v>2183299</v>
      </c>
      <c r="AY285" s="1193">
        <v>333311</v>
      </c>
      <c r="AZ285" s="1193">
        <v>69801</v>
      </c>
      <c r="BA285" s="1193">
        <v>1279056</v>
      </c>
      <c r="BB285" s="1193">
        <v>34470</v>
      </c>
      <c r="BC285" s="1193">
        <v>0</v>
      </c>
      <c r="BD285" s="1193">
        <v>0</v>
      </c>
      <c r="BE285" s="1193">
        <v>19444</v>
      </c>
      <c r="BF285" s="1193">
        <v>623274</v>
      </c>
      <c r="BG285" s="1193">
        <v>1434</v>
      </c>
      <c r="BH285" s="1193">
        <v>6768</v>
      </c>
      <c r="BI285" s="1193">
        <v>13361</v>
      </c>
      <c r="BJ285" s="1193">
        <v>1184</v>
      </c>
      <c r="BK285" s="1193">
        <v>2509</v>
      </c>
      <c r="BL285" s="1193">
        <v>19725</v>
      </c>
      <c r="BM285" s="1193">
        <v>602651</v>
      </c>
      <c r="BN285" s="1193">
        <v>0</v>
      </c>
      <c r="BO285" s="1193">
        <v>177726</v>
      </c>
      <c r="BP285" s="1193">
        <v>6020384</v>
      </c>
      <c r="BQ285" s="1193">
        <v>78579</v>
      </c>
      <c r="BR285" s="1193">
        <v>115327</v>
      </c>
      <c r="BS285" s="1193">
        <v>1835306</v>
      </c>
      <c r="BT285" s="1193">
        <v>131352</v>
      </c>
      <c r="BU285" s="1193">
        <v>950449</v>
      </c>
      <c r="BV285" s="1193">
        <v>68147</v>
      </c>
      <c r="BW285" s="1193">
        <v>1817434</v>
      </c>
      <c r="BX285" s="1193">
        <v>21797</v>
      </c>
      <c r="BY285" s="1193">
        <v>0</v>
      </c>
      <c r="BZ285" s="1193">
        <v>39671</v>
      </c>
      <c r="CA285" s="1193">
        <v>2611</v>
      </c>
      <c r="CB285" s="1193">
        <v>20663</v>
      </c>
      <c r="CC285" s="1148">
        <v>6491</v>
      </c>
      <c r="CD285" s="1148">
        <v>133321</v>
      </c>
      <c r="CE285" s="1148">
        <v>0</v>
      </c>
      <c r="CF285" s="1148">
        <v>10954</v>
      </c>
    </row>
    <row r="286" spans="1:84" s="1148" customFormat="1" x14ac:dyDescent="0.3">
      <c r="A286" s="1144">
        <v>627</v>
      </c>
      <c r="B286" s="1144">
        <v>627</v>
      </c>
      <c r="C286" s="1196"/>
      <c r="D286" s="1146"/>
      <c r="E286" s="1191"/>
      <c r="F286" s="1192">
        <v>0</v>
      </c>
      <c r="G286" s="1192">
        <v>0</v>
      </c>
      <c r="H286" s="1192">
        <v>0</v>
      </c>
      <c r="I286" s="1192">
        <v>0</v>
      </c>
      <c r="J286" s="1192">
        <v>0</v>
      </c>
      <c r="K286" s="1192">
        <v>0</v>
      </c>
      <c r="L286" s="1193">
        <v>0</v>
      </c>
      <c r="M286" s="1193">
        <v>0</v>
      </c>
      <c r="N286" s="1193">
        <v>0</v>
      </c>
      <c r="O286" s="1193">
        <v>0</v>
      </c>
      <c r="P286" s="1193">
        <v>0</v>
      </c>
      <c r="Q286" s="1193">
        <v>0</v>
      </c>
      <c r="R286" s="1193">
        <v>0</v>
      </c>
      <c r="S286" s="1193">
        <v>0</v>
      </c>
      <c r="T286" s="1193">
        <v>0</v>
      </c>
      <c r="U286" s="1193">
        <v>0</v>
      </c>
      <c r="V286" s="1193">
        <v>0</v>
      </c>
      <c r="W286" s="1193">
        <v>0</v>
      </c>
      <c r="X286" s="1193">
        <v>0</v>
      </c>
      <c r="Y286" s="1193">
        <v>0</v>
      </c>
      <c r="Z286" s="1193">
        <v>0</v>
      </c>
      <c r="AA286" s="1193">
        <v>0</v>
      </c>
      <c r="AB286" s="1193">
        <v>0</v>
      </c>
      <c r="AC286" s="1193">
        <v>0</v>
      </c>
      <c r="AD286" s="1193">
        <v>16449</v>
      </c>
      <c r="AE286" s="1193">
        <v>0</v>
      </c>
      <c r="AF286" s="1193">
        <v>0</v>
      </c>
      <c r="AG286" s="1193">
        <v>0</v>
      </c>
      <c r="AH286" s="1193">
        <v>0</v>
      </c>
      <c r="AI286" s="1193">
        <v>0</v>
      </c>
      <c r="AJ286" s="1193">
        <v>0</v>
      </c>
      <c r="AK286" s="1193">
        <v>0</v>
      </c>
      <c r="AL286" s="1193">
        <v>0</v>
      </c>
      <c r="AM286" s="1193">
        <v>0</v>
      </c>
      <c r="AN286" s="1193">
        <v>0</v>
      </c>
      <c r="AO286" s="1193">
        <v>0</v>
      </c>
      <c r="AP286" s="1193">
        <v>0</v>
      </c>
      <c r="AQ286" s="1193">
        <v>0</v>
      </c>
      <c r="AR286" s="1193">
        <v>0</v>
      </c>
      <c r="AS286" s="1193">
        <v>0</v>
      </c>
      <c r="AT286" s="1193">
        <v>0</v>
      </c>
      <c r="AU286" s="1193">
        <v>0</v>
      </c>
      <c r="AV286" s="1193">
        <v>0</v>
      </c>
      <c r="AW286" s="1193">
        <v>0</v>
      </c>
      <c r="AX286" s="1193">
        <v>0</v>
      </c>
      <c r="AY286" s="1193">
        <v>0</v>
      </c>
      <c r="AZ286" s="1193">
        <v>0</v>
      </c>
      <c r="BA286" s="1193">
        <v>0</v>
      </c>
      <c r="BB286" s="1193">
        <v>0</v>
      </c>
      <c r="BC286" s="1193">
        <v>0</v>
      </c>
      <c r="BD286" s="1193">
        <v>0</v>
      </c>
      <c r="BE286" s="1193">
        <v>0</v>
      </c>
      <c r="BF286" s="1193">
        <v>0</v>
      </c>
      <c r="BG286" s="1193">
        <v>0</v>
      </c>
      <c r="BH286" s="1193">
        <v>0</v>
      </c>
      <c r="BI286" s="1193">
        <v>0</v>
      </c>
      <c r="BJ286" s="1193">
        <v>0</v>
      </c>
      <c r="BK286" s="1193">
        <v>0</v>
      </c>
      <c r="BL286" s="1193">
        <v>0</v>
      </c>
      <c r="BM286" s="1193">
        <v>0</v>
      </c>
      <c r="BN286" s="1193">
        <v>0</v>
      </c>
      <c r="BO286" s="1193">
        <v>0</v>
      </c>
      <c r="BP286" s="1193">
        <v>0</v>
      </c>
      <c r="BQ286" s="1193">
        <v>0</v>
      </c>
      <c r="BR286" s="1193">
        <v>0</v>
      </c>
      <c r="BS286" s="1193">
        <v>0</v>
      </c>
      <c r="BT286" s="1193">
        <v>19280</v>
      </c>
      <c r="BU286" s="1193">
        <v>0</v>
      </c>
      <c r="BV286" s="1193">
        <v>0</v>
      </c>
      <c r="BW286" s="1193">
        <v>0</v>
      </c>
      <c r="BX286" s="1193">
        <v>0</v>
      </c>
      <c r="BY286" s="1193">
        <v>0</v>
      </c>
      <c r="BZ286" s="1193">
        <v>0</v>
      </c>
      <c r="CA286" s="1193">
        <v>0</v>
      </c>
      <c r="CB286" s="1193">
        <v>0</v>
      </c>
      <c r="CC286" s="1148">
        <v>0</v>
      </c>
      <c r="CD286" s="1148">
        <v>47041</v>
      </c>
      <c r="CE286" s="1148">
        <v>0</v>
      </c>
      <c r="CF286" s="1148">
        <v>0</v>
      </c>
    </row>
    <row r="287" spans="1:84" s="1148" customFormat="1" x14ac:dyDescent="0.3">
      <c r="A287" s="1144">
        <v>628</v>
      </c>
      <c r="B287" s="1144">
        <v>628</v>
      </c>
      <c r="C287" s="1196"/>
      <c r="D287" s="1146"/>
      <c r="E287" s="1191"/>
      <c r="F287" s="1192">
        <v>0</v>
      </c>
      <c r="G287" s="1192">
        <v>0</v>
      </c>
      <c r="H287" s="1192">
        <v>7753</v>
      </c>
      <c r="I287" s="1192">
        <v>3851</v>
      </c>
      <c r="J287" s="1192">
        <v>0</v>
      </c>
      <c r="K287" s="1192">
        <v>29430</v>
      </c>
      <c r="L287" s="1193">
        <v>0</v>
      </c>
      <c r="M287" s="1193">
        <v>0</v>
      </c>
      <c r="N287" s="1193">
        <v>0</v>
      </c>
      <c r="O287" s="1193">
        <v>217863</v>
      </c>
      <c r="P287" s="1193">
        <v>0</v>
      </c>
      <c r="Q287" s="1193">
        <v>0</v>
      </c>
      <c r="R287" s="1193">
        <v>501</v>
      </c>
      <c r="S287" s="1193">
        <v>0</v>
      </c>
      <c r="T287" s="1193">
        <v>0</v>
      </c>
      <c r="U287" s="1193">
        <v>0</v>
      </c>
      <c r="V287" s="1193">
        <v>2011200</v>
      </c>
      <c r="W287" s="1193">
        <v>515665</v>
      </c>
      <c r="X287" s="1193">
        <v>5432</v>
      </c>
      <c r="Y287" s="1193">
        <v>1077919</v>
      </c>
      <c r="Z287" s="1193">
        <v>0</v>
      </c>
      <c r="AA287" s="1193">
        <v>284989</v>
      </c>
      <c r="AB287" s="1193">
        <v>0</v>
      </c>
      <c r="AC287" s="1193">
        <v>184294</v>
      </c>
      <c r="AD287" s="1193">
        <v>35000</v>
      </c>
      <c r="AE287" s="1193">
        <v>0</v>
      </c>
      <c r="AF287" s="1193">
        <v>9283</v>
      </c>
      <c r="AG287" s="1193">
        <v>0</v>
      </c>
      <c r="AH287" s="1193">
        <v>310000</v>
      </c>
      <c r="AI287" s="1193">
        <v>0</v>
      </c>
      <c r="AJ287" s="1193">
        <v>0</v>
      </c>
      <c r="AK287" s="1193">
        <v>502325</v>
      </c>
      <c r="AL287" s="1193">
        <v>0</v>
      </c>
      <c r="AM287" s="1193">
        <v>0</v>
      </c>
      <c r="AN287" s="1193">
        <v>0</v>
      </c>
      <c r="AO287" s="1193">
        <v>328613</v>
      </c>
      <c r="AP287" s="1193">
        <v>0</v>
      </c>
      <c r="AQ287" s="1193">
        <v>0</v>
      </c>
      <c r="AR287" s="1193">
        <v>0</v>
      </c>
      <c r="AS287" s="1193">
        <v>0</v>
      </c>
      <c r="AT287" s="1193">
        <v>74335</v>
      </c>
      <c r="AU287" s="1193">
        <v>0</v>
      </c>
      <c r="AV287" s="1193">
        <v>15463</v>
      </c>
      <c r="AW287" s="1193">
        <v>0</v>
      </c>
      <c r="AX287" s="1193">
        <v>0</v>
      </c>
      <c r="AY287" s="1193">
        <v>21575</v>
      </c>
      <c r="AZ287" s="1193">
        <v>0</v>
      </c>
      <c r="BA287" s="1193">
        <v>121297</v>
      </c>
      <c r="BB287" s="1193">
        <v>0</v>
      </c>
      <c r="BC287" s="1193">
        <v>0</v>
      </c>
      <c r="BD287" s="1193">
        <v>0</v>
      </c>
      <c r="BE287" s="1193">
        <v>0</v>
      </c>
      <c r="BF287" s="1193">
        <v>135236</v>
      </c>
      <c r="BG287" s="1193">
        <v>0</v>
      </c>
      <c r="BH287" s="1193">
        <v>0</v>
      </c>
      <c r="BI287" s="1193">
        <v>0</v>
      </c>
      <c r="BJ287" s="1193">
        <v>0</v>
      </c>
      <c r="BK287" s="1193">
        <v>0</v>
      </c>
      <c r="BL287" s="1193">
        <v>0</v>
      </c>
      <c r="BM287" s="1193">
        <v>0</v>
      </c>
      <c r="BN287" s="1193">
        <v>0</v>
      </c>
      <c r="BO287" s="1193">
        <v>43408</v>
      </c>
      <c r="BP287" s="1193">
        <v>60000</v>
      </c>
      <c r="BQ287" s="1193">
        <v>0</v>
      </c>
      <c r="BR287" s="1193">
        <v>0</v>
      </c>
      <c r="BS287" s="1193">
        <v>442519</v>
      </c>
      <c r="BT287" s="1193">
        <v>48700</v>
      </c>
      <c r="BU287" s="1193">
        <v>31295</v>
      </c>
      <c r="BV287" s="1193">
        <v>1162</v>
      </c>
      <c r="BW287" s="1193">
        <v>0</v>
      </c>
      <c r="BX287" s="1193">
        <v>0</v>
      </c>
      <c r="BY287" s="1193">
        <v>0</v>
      </c>
      <c r="BZ287" s="1193">
        <v>0</v>
      </c>
      <c r="CA287" s="1193">
        <v>0</v>
      </c>
      <c r="CB287" s="1193">
        <v>0</v>
      </c>
      <c r="CC287" s="1148">
        <v>0</v>
      </c>
      <c r="CD287" s="1148">
        <v>0</v>
      </c>
      <c r="CE287" s="1148">
        <v>0</v>
      </c>
      <c r="CF287" s="1148">
        <v>0</v>
      </c>
    </row>
    <row r="288" spans="1:84" s="1148" customFormat="1" x14ac:dyDescent="0.3">
      <c r="A288" s="1144">
        <v>629</v>
      </c>
      <c r="B288" s="1144">
        <v>629</v>
      </c>
      <c r="C288" s="1196"/>
      <c r="D288" s="1146"/>
      <c r="E288" s="1191"/>
      <c r="F288" s="1192">
        <v>0</v>
      </c>
      <c r="G288" s="1192">
        <v>0</v>
      </c>
      <c r="H288" s="1192">
        <v>0</v>
      </c>
      <c r="I288" s="1192">
        <v>0</v>
      </c>
      <c r="J288" s="1192">
        <v>0</v>
      </c>
      <c r="K288" s="1192">
        <v>0</v>
      </c>
      <c r="L288" s="1193">
        <v>0</v>
      </c>
      <c r="M288" s="1193">
        <v>0</v>
      </c>
      <c r="N288" s="1193">
        <v>0</v>
      </c>
      <c r="O288" s="1193">
        <v>0</v>
      </c>
      <c r="P288" s="1193">
        <v>0</v>
      </c>
      <c r="Q288" s="1193">
        <v>0</v>
      </c>
      <c r="R288" s="1193">
        <v>0</v>
      </c>
      <c r="S288" s="1193">
        <v>0</v>
      </c>
      <c r="T288" s="1193">
        <v>0</v>
      </c>
      <c r="U288" s="1193">
        <v>0</v>
      </c>
      <c r="V288" s="1193">
        <v>0</v>
      </c>
      <c r="W288" s="1193">
        <v>0</v>
      </c>
      <c r="X288" s="1193">
        <v>0</v>
      </c>
      <c r="Y288" s="1193">
        <v>0</v>
      </c>
      <c r="Z288" s="1193">
        <v>0</v>
      </c>
      <c r="AA288" s="1193">
        <v>0</v>
      </c>
      <c r="AB288" s="1193">
        <v>0</v>
      </c>
      <c r="AC288" s="1193">
        <v>0</v>
      </c>
      <c r="AD288" s="1193">
        <v>0</v>
      </c>
      <c r="AE288" s="1193">
        <v>0</v>
      </c>
      <c r="AF288" s="1193">
        <v>0</v>
      </c>
      <c r="AG288" s="1193">
        <v>0</v>
      </c>
      <c r="AH288" s="1193">
        <v>0</v>
      </c>
      <c r="AI288" s="1193">
        <v>0</v>
      </c>
      <c r="AJ288" s="1193">
        <v>0</v>
      </c>
      <c r="AK288" s="1193">
        <v>0</v>
      </c>
      <c r="AL288" s="1193">
        <v>0</v>
      </c>
      <c r="AM288" s="1193">
        <v>0</v>
      </c>
      <c r="AN288" s="1193">
        <v>0</v>
      </c>
      <c r="AO288" s="1193">
        <v>0</v>
      </c>
      <c r="AP288" s="1193">
        <v>0</v>
      </c>
      <c r="AQ288" s="1193">
        <v>0</v>
      </c>
      <c r="AR288" s="1193">
        <v>0</v>
      </c>
      <c r="AS288" s="1193">
        <v>0</v>
      </c>
      <c r="AT288" s="1193">
        <v>0</v>
      </c>
      <c r="AU288" s="1193">
        <v>0</v>
      </c>
      <c r="AV288" s="1193">
        <v>0</v>
      </c>
      <c r="AW288" s="1193">
        <v>0</v>
      </c>
      <c r="AX288" s="1193">
        <v>0</v>
      </c>
      <c r="AY288" s="1193">
        <v>0</v>
      </c>
      <c r="AZ288" s="1193">
        <v>0</v>
      </c>
      <c r="BA288" s="1193">
        <v>0</v>
      </c>
      <c r="BB288" s="1193">
        <v>0</v>
      </c>
      <c r="BC288" s="1193">
        <v>0</v>
      </c>
      <c r="BD288" s="1193">
        <v>0</v>
      </c>
      <c r="BE288" s="1193">
        <v>0</v>
      </c>
      <c r="BF288" s="1193">
        <v>0</v>
      </c>
      <c r="BG288" s="1193">
        <v>0</v>
      </c>
      <c r="BH288" s="1193">
        <v>0</v>
      </c>
      <c r="BI288" s="1193">
        <v>0</v>
      </c>
      <c r="BJ288" s="1193">
        <v>0</v>
      </c>
      <c r="BK288" s="1193">
        <v>0</v>
      </c>
      <c r="BL288" s="1193">
        <v>0</v>
      </c>
      <c r="BM288" s="1193">
        <v>0</v>
      </c>
      <c r="BN288" s="1193">
        <v>0</v>
      </c>
      <c r="BO288" s="1193">
        <v>0</v>
      </c>
      <c r="BP288" s="1193">
        <v>0</v>
      </c>
      <c r="BQ288" s="1193">
        <v>0</v>
      </c>
      <c r="BR288" s="1193">
        <v>0</v>
      </c>
      <c r="BS288" s="1193">
        <v>0</v>
      </c>
      <c r="BT288" s="1193">
        <v>0</v>
      </c>
      <c r="BU288" s="1193">
        <v>0</v>
      </c>
      <c r="BV288" s="1193">
        <v>0</v>
      </c>
      <c r="BW288" s="1193">
        <v>0</v>
      </c>
      <c r="BX288" s="1193">
        <v>0</v>
      </c>
      <c r="BY288" s="1193">
        <v>0</v>
      </c>
      <c r="BZ288" s="1193">
        <v>0</v>
      </c>
      <c r="CA288" s="1193">
        <v>0</v>
      </c>
      <c r="CB288" s="1193">
        <v>0</v>
      </c>
      <c r="CC288" s="1148">
        <v>0</v>
      </c>
      <c r="CD288" s="1148">
        <v>0</v>
      </c>
      <c r="CE288" s="1148">
        <v>0</v>
      </c>
      <c r="CF288" s="1148">
        <v>0</v>
      </c>
    </row>
    <row r="289" spans="1:84" s="1148" customFormat="1" x14ac:dyDescent="0.3">
      <c r="A289" s="1144">
        <v>630</v>
      </c>
      <c r="B289" s="1144">
        <v>630</v>
      </c>
      <c r="C289" s="1196"/>
      <c r="D289" s="1146"/>
      <c r="E289" s="1191"/>
      <c r="F289" s="1192">
        <v>0</v>
      </c>
      <c r="G289" s="1192">
        <v>0</v>
      </c>
      <c r="H289" s="1192">
        <v>0</v>
      </c>
      <c r="I289" s="1192">
        <v>0</v>
      </c>
      <c r="J289" s="1192">
        <v>0</v>
      </c>
      <c r="K289" s="1192">
        <v>0</v>
      </c>
      <c r="L289" s="1193">
        <v>0</v>
      </c>
      <c r="M289" s="1193">
        <v>0</v>
      </c>
      <c r="N289" s="1193">
        <v>0</v>
      </c>
      <c r="O289" s="1193">
        <v>322382</v>
      </c>
      <c r="P289" s="1193">
        <v>0</v>
      </c>
      <c r="Q289" s="1193">
        <v>0</v>
      </c>
      <c r="R289" s="1193">
        <v>0</v>
      </c>
      <c r="S289" s="1193">
        <v>48120</v>
      </c>
      <c r="T289" s="1193">
        <v>0</v>
      </c>
      <c r="U289" s="1193">
        <v>0</v>
      </c>
      <c r="V289" s="1193">
        <v>1132436</v>
      </c>
      <c r="W289" s="1193">
        <v>0</v>
      </c>
      <c r="X289" s="1193">
        <v>0</v>
      </c>
      <c r="Y289" s="1193">
        <v>806152</v>
      </c>
      <c r="Z289" s="1193">
        <v>0</v>
      </c>
      <c r="AA289" s="1193">
        <v>20189</v>
      </c>
      <c r="AB289" s="1193">
        <v>0</v>
      </c>
      <c r="AC289" s="1193">
        <v>14745</v>
      </c>
      <c r="AD289" s="1193">
        <v>0</v>
      </c>
      <c r="AE289" s="1193">
        <v>0</v>
      </c>
      <c r="AF289" s="1193">
        <v>0</v>
      </c>
      <c r="AG289" s="1193">
        <v>0</v>
      </c>
      <c r="AH289" s="1193">
        <v>10037</v>
      </c>
      <c r="AI289" s="1193">
        <v>0</v>
      </c>
      <c r="AJ289" s="1193">
        <v>0</v>
      </c>
      <c r="AK289" s="1193">
        <v>0</v>
      </c>
      <c r="AL289" s="1193">
        <v>0</v>
      </c>
      <c r="AM289" s="1193">
        <v>0</v>
      </c>
      <c r="AN289" s="1193">
        <v>0</v>
      </c>
      <c r="AO289" s="1193">
        <v>30900</v>
      </c>
      <c r="AP289" s="1193">
        <v>0</v>
      </c>
      <c r="AQ289" s="1193">
        <v>0</v>
      </c>
      <c r="AR289" s="1193">
        <v>0</v>
      </c>
      <c r="AS289" s="1193">
        <v>0</v>
      </c>
      <c r="AT289" s="1193">
        <v>0</v>
      </c>
      <c r="AU289" s="1193">
        <v>0</v>
      </c>
      <c r="AV289" s="1193">
        <v>0</v>
      </c>
      <c r="AW289" s="1193">
        <v>0</v>
      </c>
      <c r="AX289" s="1193">
        <v>0</v>
      </c>
      <c r="AY289" s="1193">
        <v>0</v>
      </c>
      <c r="AZ289" s="1193">
        <v>33000</v>
      </c>
      <c r="BA289" s="1193">
        <v>0</v>
      </c>
      <c r="BB289" s="1193">
        <v>0</v>
      </c>
      <c r="BC289" s="1193">
        <v>0</v>
      </c>
      <c r="BD289" s="1193">
        <v>0</v>
      </c>
      <c r="BE289" s="1193">
        <v>2775</v>
      </c>
      <c r="BF289" s="1193">
        <v>0</v>
      </c>
      <c r="BG289" s="1193">
        <v>0</v>
      </c>
      <c r="BH289" s="1193">
        <v>0</v>
      </c>
      <c r="BI289" s="1193">
        <v>0</v>
      </c>
      <c r="BJ289" s="1193">
        <v>0</v>
      </c>
      <c r="BK289" s="1193">
        <v>0</v>
      </c>
      <c r="BL289" s="1193">
        <v>0</v>
      </c>
      <c r="BM289" s="1193">
        <v>0</v>
      </c>
      <c r="BN289" s="1193">
        <v>0</v>
      </c>
      <c r="BO289" s="1193">
        <v>0</v>
      </c>
      <c r="BP289" s="1193">
        <v>21000</v>
      </c>
      <c r="BQ289" s="1193">
        <v>0</v>
      </c>
      <c r="BR289" s="1193">
        <v>0</v>
      </c>
      <c r="BS289" s="1193">
        <v>0</v>
      </c>
      <c r="BT289" s="1193">
        <v>0</v>
      </c>
      <c r="BU289" s="1193">
        <v>0</v>
      </c>
      <c r="BV289" s="1193">
        <v>0</v>
      </c>
      <c r="BW289" s="1193">
        <v>1502287</v>
      </c>
      <c r="BX289" s="1193">
        <v>0</v>
      </c>
      <c r="BY289" s="1193">
        <v>0</v>
      </c>
      <c r="BZ289" s="1193">
        <v>0</v>
      </c>
      <c r="CA289" s="1193">
        <v>0</v>
      </c>
      <c r="CB289" s="1193">
        <v>0</v>
      </c>
      <c r="CC289" s="1148">
        <v>0</v>
      </c>
      <c r="CD289" s="1148">
        <v>0</v>
      </c>
      <c r="CE289" s="1148">
        <v>0</v>
      </c>
      <c r="CF289" s="1148">
        <v>0</v>
      </c>
    </row>
    <row r="290" spans="1:84" s="1148" customFormat="1" x14ac:dyDescent="0.3">
      <c r="A290" s="1144">
        <v>631</v>
      </c>
      <c r="B290" s="1144">
        <v>631</v>
      </c>
      <c r="C290" s="1196"/>
      <c r="D290" s="1146"/>
      <c r="E290" s="1191"/>
      <c r="F290" s="1192">
        <v>0</v>
      </c>
      <c r="G290" s="1192">
        <v>0</v>
      </c>
      <c r="H290" s="1192">
        <v>0</v>
      </c>
      <c r="I290" s="1192">
        <v>0</v>
      </c>
      <c r="J290" s="1192">
        <v>0</v>
      </c>
      <c r="K290" s="1192">
        <v>0</v>
      </c>
      <c r="L290" s="1193">
        <v>0</v>
      </c>
      <c r="M290" s="1193">
        <v>0</v>
      </c>
      <c r="N290" s="1193">
        <v>0</v>
      </c>
      <c r="O290" s="1193">
        <v>0</v>
      </c>
      <c r="P290" s="1193">
        <v>0</v>
      </c>
      <c r="Q290" s="1193">
        <v>0</v>
      </c>
      <c r="R290" s="1193">
        <v>0</v>
      </c>
      <c r="S290" s="1193">
        <v>0</v>
      </c>
      <c r="T290" s="1193">
        <v>0</v>
      </c>
      <c r="U290" s="1193">
        <v>0</v>
      </c>
      <c r="V290" s="1193">
        <v>0</v>
      </c>
      <c r="W290" s="1193">
        <v>0</v>
      </c>
      <c r="X290" s="1193">
        <v>0</v>
      </c>
      <c r="Y290" s="1193">
        <v>0</v>
      </c>
      <c r="Z290" s="1193">
        <v>0</v>
      </c>
      <c r="AA290" s="1193">
        <v>0</v>
      </c>
      <c r="AB290" s="1193">
        <v>0</v>
      </c>
      <c r="AC290" s="1193">
        <v>0</v>
      </c>
      <c r="AD290" s="1193">
        <v>0</v>
      </c>
      <c r="AE290" s="1193">
        <v>0</v>
      </c>
      <c r="AF290" s="1193">
        <v>0</v>
      </c>
      <c r="AG290" s="1193">
        <v>0</v>
      </c>
      <c r="AH290" s="1193">
        <v>0</v>
      </c>
      <c r="AI290" s="1193">
        <v>0</v>
      </c>
      <c r="AJ290" s="1193">
        <v>0</v>
      </c>
      <c r="AK290" s="1193">
        <v>0</v>
      </c>
      <c r="AL290" s="1193">
        <v>0</v>
      </c>
      <c r="AM290" s="1193">
        <v>0</v>
      </c>
      <c r="AN290" s="1193">
        <v>0</v>
      </c>
      <c r="AO290" s="1193">
        <v>0</v>
      </c>
      <c r="AP290" s="1193">
        <v>0</v>
      </c>
      <c r="AQ290" s="1193">
        <v>0</v>
      </c>
      <c r="AR290" s="1193">
        <v>0</v>
      </c>
      <c r="AS290" s="1193">
        <v>0</v>
      </c>
      <c r="AT290" s="1193">
        <v>0</v>
      </c>
      <c r="AU290" s="1193">
        <v>0</v>
      </c>
      <c r="AV290" s="1193">
        <v>0</v>
      </c>
      <c r="AW290" s="1193">
        <v>0</v>
      </c>
      <c r="AX290" s="1193">
        <v>0</v>
      </c>
      <c r="AY290" s="1193">
        <v>0</v>
      </c>
      <c r="AZ290" s="1193">
        <v>0</v>
      </c>
      <c r="BA290" s="1193">
        <v>0</v>
      </c>
      <c r="BB290" s="1193">
        <v>0</v>
      </c>
      <c r="BC290" s="1193">
        <v>0</v>
      </c>
      <c r="BD290" s="1193">
        <v>0</v>
      </c>
      <c r="BE290" s="1193">
        <v>0</v>
      </c>
      <c r="BF290" s="1193">
        <v>0</v>
      </c>
      <c r="BG290" s="1193">
        <v>0</v>
      </c>
      <c r="BH290" s="1193">
        <v>0</v>
      </c>
      <c r="BI290" s="1193">
        <v>0</v>
      </c>
      <c r="BJ290" s="1193">
        <v>0</v>
      </c>
      <c r="BK290" s="1193">
        <v>0</v>
      </c>
      <c r="BL290" s="1193">
        <v>0</v>
      </c>
      <c r="BM290" s="1193">
        <v>0</v>
      </c>
      <c r="BN290" s="1193">
        <v>0</v>
      </c>
      <c r="BO290" s="1193">
        <v>0</v>
      </c>
      <c r="BP290" s="1193">
        <v>0</v>
      </c>
      <c r="BQ290" s="1193">
        <v>0</v>
      </c>
      <c r="BR290" s="1193">
        <v>0</v>
      </c>
      <c r="BS290" s="1193">
        <v>0</v>
      </c>
      <c r="BT290" s="1193">
        <v>0</v>
      </c>
      <c r="BU290" s="1193">
        <v>0</v>
      </c>
      <c r="BV290" s="1193">
        <v>0</v>
      </c>
      <c r="BW290" s="1193">
        <v>0</v>
      </c>
      <c r="BX290" s="1193">
        <v>0</v>
      </c>
      <c r="BY290" s="1193">
        <v>0</v>
      </c>
      <c r="BZ290" s="1193">
        <v>0</v>
      </c>
      <c r="CA290" s="1193">
        <v>0</v>
      </c>
      <c r="CB290" s="1193">
        <v>0</v>
      </c>
      <c r="CC290" s="1148">
        <v>0</v>
      </c>
      <c r="CD290" s="1148">
        <v>0</v>
      </c>
      <c r="CE290" s="1148">
        <v>0</v>
      </c>
      <c r="CF290" s="1148">
        <v>0</v>
      </c>
    </row>
    <row r="291" spans="1:84" s="1148" customFormat="1" x14ac:dyDescent="0.3">
      <c r="A291" s="1144">
        <v>632</v>
      </c>
      <c r="B291" s="1144">
        <v>632</v>
      </c>
      <c r="C291" s="1196"/>
      <c r="D291" s="1146"/>
      <c r="E291" s="1191"/>
      <c r="F291" s="1192">
        <v>0</v>
      </c>
      <c r="G291" s="1192">
        <v>0</v>
      </c>
      <c r="H291" s="1192">
        <v>0</v>
      </c>
      <c r="I291" s="1192">
        <v>0</v>
      </c>
      <c r="J291" s="1192">
        <v>0</v>
      </c>
      <c r="K291" s="1192">
        <v>0</v>
      </c>
      <c r="L291" s="1193">
        <v>0</v>
      </c>
      <c r="M291" s="1193">
        <v>0</v>
      </c>
      <c r="N291" s="1193">
        <v>0</v>
      </c>
      <c r="O291" s="1193">
        <v>0</v>
      </c>
      <c r="P291" s="1193">
        <v>0</v>
      </c>
      <c r="Q291" s="1193">
        <v>0</v>
      </c>
      <c r="R291" s="1193">
        <v>0</v>
      </c>
      <c r="S291" s="1193">
        <v>0</v>
      </c>
      <c r="T291" s="1193">
        <v>0</v>
      </c>
      <c r="U291" s="1193">
        <v>0</v>
      </c>
      <c r="V291" s="1193">
        <v>0</v>
      </c>
      <c r="W291" s="1193">
        <v>0</v>
      </c>
      <c r="X291" s="1193">
        <v>0</v>
      </c>
      <c r="Y291" s="1193">
        <v>0</v>
      </c>
      <c r="Z291" s="1193">
        <v>0</v>
      </c>
      <c r="AA291" s="1193">
        <v>0</v>
      </c>
      <c r="AB291" s="1193">
        <v>0</v>
      </c>
      <c r="AC291" s="1193">
        <v>0</v>
      </c>
      <c r="AD291" s="1193">
        <v>0</v>
      </c>
      <c r="AE291" s="1193">
        <v>0</v>
      </c>
      <c r="AF291" s="1193">
        <v>0</v>
      </c>
      <c r="AG291" s="1193">
        <v>0</v>
      </c>
      <c r="AH291" s="1193">
        <v>0</v>
      </c>
      <c r="AI291" s="1193">
        <v>0</v>
      </c>
      <c r="AJ291" s="1193">
        <v>0</v>
      </c>
      <c r="AK291" s="1193">
        <v>0</v>
      </c>
      <c r="AL291" s="1193">
        <v>0</v>
      </c>
      <c r="AM291" s="1193">
        <v>0</v>
      </c>
      <c r="AN291" s="1193">
        <v>0</v>
      </c>
      <c r="AO291" s="1193">
        <v>0</v>
      </c>
      <c r="AP291" s="1193">
        <v>0</v>
      </c>
      <c r="AQ291" s="1193">
        <v>0</v>
      </c>
      <c r="AR291" s="1193">
        <v>0</v>
      </c>
      <c r="AS291" s="1193">
        <v>0</v>
      </c>
      <c r="AT291" s="1193">
        <v>0</v>
      </c>
      <c r="AU291" s="1193">
        <v>0</v>
      </c>
      <c r="AV291" s="1193">
        <v>0</v>
      </c>
      <c r="AW291" s="1193">
        <v>0</v>
      </c>
      <c r="AX291" s="1193">
        <v>0</v>
      </c>
      <c r="AY291" s="1193">
        <v>0</v>
      </c>
      <c r="AZ291" s="1193">
        <v>0</v>
      </c>
      <c r="BA291" s="1193">
        <v>0</v>
      </c>
      <c r="BB291" s="1193">
        <v>0</v>
      </c>
      <c r="BC291" s="1193">
        <v>0</v>
      </c>
      <c r="BD291" s="1193">
        <v>0</v>
      </c>
      <c r="BE291" s="1193">
        <v>0</v>
      </c>
      <c r="BF291" s="1193">
        <v>0</v>
      </c>
      <c r="BG291" s="1193">
        <v>0</v>
      </c>
      <c r="BH291" s="1193">
        <v>0</v>
      </c>
      <c r="BI291" s="1193">
        <v>0</v>
      </c>
      <c r="BJ291" s="1193">
        <v>0</v>
      </c>
      <c r="BK291" s="1193">
        <v>0</v>
      </c>
      <c r="BL291" s="1193">
        <v>0</v>
      </c>
      <c r="BM291" s="1193">
        <v>0</v>
      </c>
      <c r="BN291" s="1193">
        <v>0</v>
      </c>
      <c r="BO291" s="1193">
        <v>0</v>
      </c>
      <c r="BP291" s="1193">
        <v>0</v>
      </c>
      <c r="BQ291" s="1193">
        <v>0</v>
      </c>
      <c r="BR291" s="1193">
        <v>0</v>
      </c>
      <c r="BS291" s="1193">
        <v>0</v>
      </c>
      <c r="BT291" s="1193">
        <v>0</v>
      </c>
      <c r="BU291" s="1193">
        <v>0</v>
      </c>
      <c r="BV291" s="1193">
        <v>0</v>
      </c>
      <c r="BW291" s="1193">
        <v>0</v>
      </c>
      <c r="BX291" s="1193">
        <v>0</v>
      </c>
      <c r="BY291" s="1193">
        <v>0</v>
      </c>
      <c r="BZ291" s="1193">
        <v>0</v>
      </c>
      <c r="CA291" s="1193">
        <v>0</v>
      </c>
      <c r="CB291" s="1193">
        <v>0</v>
      </c>
      <c r="CC291" s="1148">
        <v>0</v>
      </c>
      <c r="CD291" s="1148">
        <v>0</v>
      </c>
      <c r="CE291" s="1148">
        <v>0</v>
      </c>
      <c r="CF291" s="1148">
        <v>0</v>
      </c>
    </row>
    <row r="292" spans="1:84" s="1148" customFormat="1" x14ac:dyDescent="0.3">
      <c r="A292" s="1144">
        <v>633</v>
      </c>
      <c r="B292" s="1144">
        <v>633</v>
      </c>
      <c r="C292" s="1196"/>
      <c r="D292" s="1146"/>
      <c r="E292" s="1191"/>
      <c r="F292" s="1192">
        <v>0</v>
      </c>
      <c r="G292" s="1192">
        <v>0</v>
      </c>
      <c r="H292" s="1192">
        <v>91285</v>
      </c>
      <c r="I292" s="1192">
        <v>0</v>
      </c>
      <c r="J292" s="1192">
        <v>0</v>
      </c>
      <c r="K292" s="1192">
        <v>0</v>
      </c>
      <c r="L292" s="1193">
        <v>23048</v>
      </c>
      <c r="M292" s="1193">
        <v>0</v>
      </c>
      <c r="N292" s="1193">
        <v>0</v>
      </c>
      <c r="O292" s="1193">
        <v>0</v>
      </c>
      <c r="P292" s="1193">
        <v>0</v>
      </c>
      <c r="Q292" s="1193">
        <v>300818</v>
      </c>
      <c r="R292" s="1193">
        <v>0</v>
      </c>
      <c r="S292" s="1193">
        <v>3956748</v>
      </c>
      <c r="T292" s="1193">
        <v>0</v>
      </c>
      <c r="U292" s="1193">
        <v>0</v>
      </c>
      <c r="V292" s="1193">
        <v>6494689</v>
      </c>
      <c r="W292" s="1193">
        <v>2710735</v>
      </c>
      <c r="X292" s="1193">
        <v>2232854</v>
      </c>
      <c r="Y292" s="1193">
        <v>0</v>
      </c>
      <c r="Z292" s="1193">
        <v>22215</v>
      </c>
      <c r="AA292" s="1193">
        <v>2428989</v>
      </c>
      <c r="AB292" s="1193">
        <v>695623</v>
      </c>
      <c r="AC292" s="1193">
        <v>807407</v>
      </c>
      <c r="AD292" s="1193">
        <v>827751</v>
      </c>
      <c r="AE292" s="1193">
        <v>274846</v>
      </c>
      <c r="AF292" s="1193">
        <v>465654</v>
      </c>
      <c r="AG292" s="1193">
        <v>652081</v>
      </c>
      <c r="AH292" s="1193">
        <v>625582</v>
      </c>
      <c r="AI292" s="1193">
        <v>553135</v>
      </c>
      <c r="AJ292" s="1193">
        <v>114500</v>
      </c>
      <c r="AK292" s="1193">
        <v>5151455</v>
      </c>
      <c r="AL292" s="1193">
        <v>29947</v>
      </c>
      <c r="AM292" s="1193">
        <v>17300</v>
      </c>
      <c r="AN292" s="1193">
        <v>0</v>
      </c>
      <c r="AO292" s="1193">
        <v>1868776</v>
      </c>
      <c r="AP292" s="1193">
        <v>0</v>
      </c>
      <c r="AQ292" s="1193">
        <v>160166</v>
      </c>
      <c r="AR292" s="1193">
        <v>0</v>
      </c>
      <c r="AS292" s="1193">
        <v>0</v>
      </c>
      <c r="AT292" s="1193">
        <v>1009295</v>
      </c>
      <c r="AU292" s="1193">
        <v>0</v>
      </c>
      <c r="AV292" s="1193">
        <v>630294</v>
      </c>
      <c r="AW292" s="1193">
        <v>0</v>
      </c>
      <c r="AX292" s="1193">
        <v>4717152</v>
      </c>
      <c r="AY292" s="1193">
        <v>0</v>
      </c>
      <c r="AZ292" s="1193">
        <v>178747</v>
      </c>
      <c r="BA292" s="1193">
        <v>234380</v>
      </c>
      <c r="BB292" s="1193">
        <v>71494</v>
      </c>
      <c r="BC292" s="1193">
        <v>60806</v>
      </c>
      <c r="BD292" s="1193">
        <v>0</v>
      </c>
      <c r="BE292" s="1193">
        <v>227815</v>
      </c>
      <c r="BF292" s="1193">
        <v>7135746</v>
      </c>
      <c r="BG292" s="1193">
        <v>0</v>
      </c>
      <c r="BH292" s="1193">
        <v>125653</v>
      </c>
      <c r="BI292" s="1193">
        <v>5856</v>
      </c>
      <c r="BJ292" s="1193">
        <v>0</v>
      </c>
      <c r="BK292" s="1193">
        <v>30435</v>
      </c>
      <c r="BL292" s="1193">
        <v>0</v>
      </c>
      <c r="BM292" s="1193">
        <v>231445</v>
      </c>
      <c r="BN292" s="1193">
        <v>0</v>
      </c>
      <c r="BO292" s="1193">
        <v>669965</v>
      </c>
      <c r="BP292" s="1193">
        <v>165083</v>
      </c>
      <c r="BQ292" s="1193">
        <v>140287</v>
      </c>
      <c r="BR292" s="1193">
        <v>88854</v>
      </c>
      <c r="BS292" s="1193">
        <v>0</v>
      </c>
      <c r="BT292" s="1193">
        <v>84718</v>
      </c>
      <c r="BU292" s="1193">
        <v>0</v>
      </c>
      <c r="BV292" s="1193">
        <v>81385</v>
      </c>
      <c r="BW292" s="1193">
        <v>384359</v>
      </c>
      <c r="BX292" s="1193">
        <v>0</v>
      </c>
      <c r="BY292" s="1193">
        <v>0</v>
      </c>
      <c r="BZ292" s="1193">
        <v>79789</v>
      </c>
      <c r="CA292" s="1193">
        <v>14533</v>
      </c>
      <c r="CB292" s="1193">
        <v>101174</v>
      </c>
      <c r="CC292" s="1148">
        <v>22174</v>
      </c>
      <c r="CD292" s="1148">
        <v>153138</v>
      </c>
      <c r="CE292" s="1148">
        <v>0</v>
      </c>
      <c r="CF292" s="1148">
        <v>0</v>
      </c>
    </row>
    <row r="293" spans="1:84" s="1148" customFormat="1" x14ac:dyDescent="0.3">
      <c r="A293" s="1144">
        <v>634</v>
      </c>
      <c r="B293" s="1144">
        <v>634</v>
      </c>
      <c r="C293" s="1196"/>
      <c r="D293" s="1146"/>
      <c r="E293" s="1191"/>
      <c r="F293" s="1192">
        <v>0</v>
      </c>
      <c r="G293" s="1192">
        <v>0</v>
      </c>
      <c r="H293" s="1192">
        <v>0</v>
      </c>
      <c r="I293" s="1192">
        <v>0</v>
      </c>
      <c r="J293" s="1192">
        <v>0</v>
      </c>
      <c r="K293" s="1192">
        <v>0</v>
      </c>
      <c r="L293" s="1193">
        <v>0</v>
      </c>
      <c r="M293" s="1193">
        <v>0</v>
      </c>
      <c r="N293" s="1193">
        <v>0</v>
      </c>
      <c r="O293" s="1193">
        <v>0</v>
      </c>
      <c r="P293" s="1193">
        <v>0</v>
      </c>
      <c r="Q293" s="1193">
        <v>0</v>
      </c>
      <c r="R293" s="1193">
        <v>0</v>
      </c>
      <c r="S293" s="1193">
        <v>0</v>
      </c>
      <c r="T293" s="1193">
        <v>0</v>
      </c>
      <c r="U293" s="1193">
        <v>0</v>
      </c>
      <c r="V293" s="1193">
        <v>0</v>
      </c>
      <c r="W293" s="1193">
        <v>0</v>
      </c>
      <c r="X293" s="1193">
        <v>0</v>
      </c>
      <c r="Y293" s="1193">
        <v>0</v>
      </c>
      <c r="Z293" s="1193">
        <v>0</v>
      </c>
      <c r="AA293" s="1193">
        <v>0</v>
      </c>
      <c r="AB293" s="1193">
        <v>0</v>
      </c>
      <c r="AC293" s="1193">
        <v>0</v>
      </c>
      <c r="AD293" s="1193">
        <v>386907</v>
      </c>
      <c r="AE293" s="1193">
        <v>0</v>
      </c>
      <c r="AF293" s="1193">
        <v>8000</v>
      </c>
      <c r="AG293" s="1193">
        <v>0</v>
      </c>
      <c r="AH293" s="1193">
        <v>0</v>
      </c>
      <c r="AI293" s="1193">
        <v>45500</v>
      </c>
      <c r="AJ293" s="1193">
        <v>0</v>
      </c>
      <c r="AK293" s="1193">
        <v>0</v>
      </c>
      <c r="AL293" s="1193">
        <v>0</v>
      </c>
      <c r="AM293" s="1193">
        <v>0</v>
      </c>
      <c r="AN293" s="1193">
        <v>0</v>
      </c>
      <c r="AO293" s="1193">
        <v>0</v>
      </c>
      <c r="AP293" s="1193">
        <v>0</v>
      </c>
      <c r="AQ293" s="1193">
        <v>0</v>
      </c>
      <c r="AR293" s="1193">
        <v>0</v>
      </c>
      <c r="AS293" s="1193">
        <v>0</v>
      </c>
      <c r="AT293" s="1193">
        <v>0</v>
      </c>
      <c r="AU293" s="1193">
        <v>0</v>
      </c>
      <c r="AV293" s="1193">
        <v>0</v>
      </c>
      <c r="AW293" s="1193">
        <v>0</v>
      </c>
      <c r="AX293" s="1193">
        <v>0</v>
      </c>
      <c r="AY293" s="1193">
        <v>0</v>
      </c>
      <c r="AZ293" s="1193">
        <v>0</v>
      </c>
      <c r="BA293" s="1193">
        <v>0</v>
      </c>
      <c r="BB293" s="1193">
        <v>0</v>
      </c>
      <c r="BC293" s="1193">
        <v>0</v>
      </c>
      <c r="BD293" s="1193">
        <v>0</v>
      </c>
      <c r="BE293" s="1193">
        <v>0</v>
      </c>
      <c r="BF293" s="1193">
        <v>0</v>
      </c>
      <c r="BG293" s="1193">
        <v>0</v>
      </c>
      <c r="BH293" s="1193">
        <v>0</v>
      </c>
      <c r="BI293" s="1193">
        <v>0</v>
      </c>
      <c r="BJ293" s="1193">
        <v>0</v>
      </c>
      <c r="BK293" s="1193">
        <v>0</v>
      </c>
      <c r="BL293" s="1193">
        <v>0</v>
      </c>
      <c r="BM293" s="1193">
        <v>0</v>
      </c>
      <c r="BN293" s="1193">
        <v>0</v>
      </c>
      <c r="BO293" s="1193">
        <v>0</v>
      </c>
      <c r="BP293" s="1193">
        <v>0</v>
      </c>
      <c r="BQ293" s="1193">
        <v>17000</v>
      </c>
      <c r="BR293" s="1193">
        <v>0</v>
      </c>
      <c r="BS293" s="1193">
        <v>0</v>
      </c>
      <c r="BT293" s="1193">
        <v>31117</v>
      </c>
      <c r="BU293" s="1193">
        <v>0</v>
      </c>
      <c r="BV293" s="1193">
        <v>0</v>
      </c>
      <c r="BW293" s="1193">
        <v>17000</v>
      </c>
      <c r="BX293" s="1193">
        <v>0</v>
      </c>
      <c r="BY293" s="1193">
        <v>0</v>
      </c>
      <c r="BZ293" s="1193">
        <v>0</v>
      </c>
      <c r="CA293" s="1193">
        <v>0</v>
      </c>
      <c r="CB293" s="1193">
        <v>0</v>
      </c>
      <c r="CC293" s="1148">
        <v>0</v>
      </c>
      <c r="CD293" s="1148">
        <v>73122</v>
      </c>
      <c r="CE293" s="1148">
        <v>0</v>
      </c>
      <c r="CF293" s="1148">
        <v>0</v>
      </c>
    </row>
    <row r="294" spans="1:84" s="1148" customFormat="1" x14ac:dyDescent="0.3">
      <c r="A294" s="1144">
        <v>635</v>
      </c>
      <c r="B294" s="1144">
        <v>635</v>
      </c>
      <c r="C294" s="1196"/>
      <c r="D294" s="1146"/>
      <c r="E294" s="1191"/>
      <c r="F294" s="1192">
        <v>0</v>
      </c>
      <c r="G294" s="1192">
        <v>0</v>
      </c>
      <c r="H294" s="1192">
        <v>5867</v>
      </c>
      <c r="I294" s="1192">
        <v>0</v>
      </c>
      <c r="J294" s="1192">
        <v>0</v>
      </c>
      <c r="K294" s="1192">
        <v>0</v>
      </c>
      <c r="L294" s="1193">
        <v>0</v>
      </c>
      <c r="M294" s="1193">
        <v>0</v>
      </c>
      <c r="N294" s="1193">
        <v>0</v>
      </c>
      <c r="O294" s="1193">
        <v>0</v>
      </c>
      <c r="P294" s="1193">
        <v>0</v>
      </c>
      <c r="Q294" s="1193">
        <v>0</v>
      </c>
      <c r="R294" s="1193">
        <v>0</v>
      </c>
      <c r="S294" s="1193">
        <v>228218</v>
      </c>
      <c r="T294" s="1193">
        <v>0</v>
      </c>
      <c r="U294" s="1193">
        <v>0</v>
      </c>
      <c r="V294" s="1193">
        <v>296183</v>
      </c>
      <c r="W294" s="1193">
        <v>80237</v>
      </c>
      <c r="X294" s="1193">
        <v>15460</v>
      </c>
      <c r="Y294" s="1193">
        <v>0</v>
      </c>
      <c r="Z294" s="1193">
        <v>0</v>
      </c>
      <c r="AA294" s="1193">
        <v>54671</v>
      </c>
      <c r="AB294" s="1193">
        <v>0</v>
      </c>
      <c r="AC294" s="1193">
        <v>31161</v>
      </c>
      <c r="AD294" s="1193">
        <v>35000</v>
      </c>
      <c r="AE294" s="1193">
        <v>0</v>
      </c>
      <c r="AF294" s="1193">
        <v>13559</v>
      </c>
      <c r="AG294" s="1193">
        <v>6000</v>
      </c>
      <c r="AH294" s="1193">
        <v>20000</v>
      </c>
      <c r="AI294" s="1193">
        <v>0</v>
      </c>
      <c r="AJ294" s="1193">
        <v>0</v>
      </c>
      <c r="AK294" s="1193">
        <v>83636</v>
      </c>
      <c r="AL294" s="1193">
        <v>0</v>
      </c>
      <c r="AM294" s="1193">
        <v>0</v>
      </c>
      <c r="AN294" s="1193">
        <v>0</v>
      </c>
      <c r="AO294" s="1193">
        <v>62899</v>
      </c>
      <c r="AP294" s="1193">
        <v>0</v>
      </c>
      <c r="AQ294" s="1193">
        <v>0</v>
      </c>
      <c r="AR294" s="1193">
        <v>0</v>
      </c>
      <c r="AS294" s="1193">
        <v>0</v>
      </c>
      <c r="AT294" s="1193">
        <v>18295</v>
      </c>
      <c r="AU294" s="1193">
        <v>0</v>
      </c>
      <c r="AV294" s="1193">
        <v>2622</v>
      </c>
      <c r="AW294" s="1193">
        <v>0</v>
      </c>
      <c r="AX294" s="1193">
        <v>109854</v>
      </c>
      <c r="AY294" s="1193">
        <v>0</v>
      </c>
      <c r="AZ294" s="1193">
        <v>0</v>
      </c>
      <c r="BA294" s="1193">
        <v>9930</v>
      </c>
      <c r="BB294" s="1193">
        <v>0</v>
      </c>
      <c r="BC294" s="1193">
        <v>0</v>
      </c>
      <c r="BD294" s="1193">
        <v>0</v>
      </c>
      <c r="BE294" s="1193">
        <v>0</v>
      </c>
      <c r="BF294" s="1193">
        <v>34507</v>
      </c>
      <c r="BG294" s="1193">
        <v>0</v>
      </c>
      <c r="BH294" s="1193">
        <v>0</v>
      </c>
      <c r="BI294" s="1193">
        <v>0</v>
      </c>
      <c r="BJ294" s="1193">
        <v>0</v>
      </c>
      <c r="BK294" s="1193">
        <v>0</v>
      </c>
      <c r="BL294" s="1193">
        <v>0</v>
      </c>
      <c r="BM294" s="1193">
        <v>0</v>
      </c>
      <c r="BN294" s="1193">
        <v>0</v>
      </c>
      <c r="BO294" s="1193">
        <v>11188</v>
      </c>
      <c r="BP294" s="1193">
        <v>8199</v>
      </c>
      <c r="BQ294" s="1193">
        <v>0</v>
      </c>
      <c r="BR294" s="1193">
        <v>0</v>
      </c>
      <c r="BS294" s="1193">
        <v>0</v>
      </c>
      <c r="BT294" s="1193">
        <v>0</v>
      </c>
      <c r="BU294" s="1193">
        <v>0</v>
      </c>
      <c r="BV294" s="1193">
        <v>10234</v>
      </c>
      <c r="BW294" s="1193">
        <v>0</v>
      </c>
      <c r="BX294" s="1193">
        <v>0</v>
      </c>
      <c r="BY294" s="1193">
        <v>0</v>
      </c>
      <c r="BZ294" s="1193">
        <v>0</v>
      </c>
      <c r="CA294" s="1193">
        <v>0</v>
      </c>
      <c r="CB294" s="1193">
        <v>0</v>
      </c>
      <c r="CC294" s="1148">
        <v>0</v>
      </c>
      <c r="CD294" s="1148">
        <v>0</v>
      </c>
      <c r="CE294" s="1148">
        <v>0</v>
      </c>
      <c r="CF294" s="1148">
        <v>0</v>
      </c>
    </row>
    <row r="295" spans="1:84" s="1148" customFormat="1" x14ac:dyDescent="0.3">
      <c r="A295" s="1144">
        <v>636</v>
      </c>
      <c r="B295" s="1144">
        <v>636</v>
      </c>
      <c r="C295" s="1196"/>
      <c r="D295" s="1146"/>
      <c r="E295" s="1191"/>
      <c r="F295" s="1192">
        <v>0</v>
      </c>
      <c r="G295" s="1192">
        <v>0</v>
      </c>
      <c r="H295" s="1192">
        <v>0</v>
      </c>
      <c r="I295" s="1192">
        <v>0</v>
      </c>
      <c r="J295" s="1192">
        <v>0</v>
      </c>
      <c r="K295" s="1192">
        <v>0</v>
      </c>
      <c r="L295" s="1193">
        <v>0</v>
      </c>
      <c r="M295" s="1193">
        <v>0</v>
      </c>
      <c r="N295" s="1193">
        <v>0</v>
      </c>
      <c r="O295" s="1193">
        <v>0</v>
      </c>
      <c r="P295" s="1193">
        <v>0</v>
      </c>
      <c r="Q295" s="1193">
        <v>0</v>
      </c>
      <c r="R295" s="1193">
        <v>0</v>
      </c>
      <c r="S295" s="1193">
        <v>0</v>
      </c>
      <c r="T295" s="1193">
        <v>0</v>
      </c>
      <c r="U295" s="1193">
        <v>0</v>
      </c>
      <c r="V295" s="1193">
        <v>0</v>
      </c>
      <c r="W295" s="1193">
        <v>0</v>
      </c>
      <c r="X295" s="1193">
        <v>0</v>
      </c>
      <c r="Y295" s="1193">
        <v>0</v>
      </c>
      <c r="Z295" s="1193">
        <v>0</v>
      </c>
      <c r="AA295" s="1193">
        <v>0</v>
      </c>
      <c r="AB295" s="1193">
        <v>0</v>
      </c>
      <c r="AC295" s="1193">
        <v>0</v>
      </c>
      <c r="AD295" s="1193">
        <v>0</v>
      </c>
      <c r="AE295" s="1193">
        <v>0</v>
      </c>
      <c r="AF295" s="1193">
        <v>0</v>
      </c>
      <c r="AG295" s="1193">
        <v>0</v>
      </c>
      <c r="AH295" s="1193">
        <v>0</v>
      </c>
      <c r="AI295" s="1193">
        <v>0</v>
      </c>
      <c r="AJ295" s="1193">
        <v>0</v>
      </c>
      <c r="AK295" s="1193">
        <v>0</v>
      </c>
      <c r="AL295" s="1193">
        <v>0</v>
      </c>
      <c r="AM295" s="1193">
        <v>0</v>
      </c>
      <c r="AN295" s="1193">
        <v>0</v>
      </c>
      <c r="AO295" s="1193">
        <v>0</v>
      </c>
      <c r="AP295" s="1193">
        <v>0</v>
      </c>
      <c r="AQ295" s="1193">
        <v>0</v>
      </c>
      <c r="AR295" s="1193">
        <v>0</v>
      </c>
      <c r="AS295" s="1193">
        <v>0</v>
      </c>
      <c r="AT295" s="1193">
        <v>0</v>
      </c>
      <c r="AU295" s="1193">
        <v>0</v>
      </c>
      <c r="AV295" s="1193">
        <v>0</v>
      </c>
      <c r="AW295" s="1193">
        <v>0</v>
      </c>
      <c r="AX295" s="1193">
        <v>0</v>
      </c>
      <c r="AY295" s="1193">
        <v>0</v>
      </c>
      <c r="AZ295" s="1193">
        <v>0</v>
      </c>
      <c r="BA295" s="1193">
        <v>0</v>
      </c>
      <c r="BB295" s="1193">
        <v>0</v>
      </c>
      <c r="BC295" s="1193">
        <v>0</v>
      </c>
      <c r="BD295" s="1193">
        <v>0</v>
      </c>
      <c r="BE295" s="1193">
        <v>0</v>
      </c>
      <c r="BF295" s="1193">
        <v>0</v>
      </c>
      <c r="BG295" s="1193">
        <v>0</v>
      </c>
      <c r="BH295" s="1193">
        <v>0</v>
      </c>
      <c r="BI295" s="1193">
        <v>0</v>
      </c>
      <c r="BJ295" s="1193">
        <v>0</v>
      </c>
      <c r="BK295" s="1193">
        <v>0</v>
      </c>
      <c r="BL295" s="1193">
        <v>0</v>
      </c>
      <c r="BM295" s="1193">
        <v>0</v>
      </c>
      <c r="BN295" s="1193">
        <v>0</v>
      </c>
      <c r="BO295" s="1193">
        <v>0</v>
      </c>
      <c r="BP295" s="1193">
        <v>0</v>
      </c>
      <c r="BQ295" s="1193">
        <v>0</v>
      </c>
      <c r="BR295" s="1193">
        <v>0</v>
      </c>
      <c r="BS295" s="1193">
        <v>0</v>
      </c>
      <c r="BT295" s="1193">
        <v>0</v>
      </c>
      <c r="BU295" s="1193">
        <v>0</v>
      </c>
      <c r="BV295" s="1193">
        <v>0</v>
      </c>
      <c r="BW295" s="1193">
        <v>0</v>
      </c>
      <c r="BX295" s="1193">
        <v>0</v>
      </c>
      <c r="BY295" s="1193">
        <v>0</v>
      </c>
      <c r="BZ295" s="1193">
        <v>0</v>
      </c>
      <c r="CA295" s="1193">
        <v>0</v>
      </c>
      <c r="CB295" s="1193">
        <v>0</v>
      </c>
      <c r="CC295" s="1148">
        <v>0</v>
      </c>
      <c r="CD295" s="1148">
        <v>0</v>
      </c>
      <c r="CE295" s="1148">
        <v>0</v>
      </c>
      <c r="CF295" s="1148">
        <v>0</v>
      </c>
    </row>
    <row r="296" spans="1:84" s="1148" customFormat="1" x14ac:dyDescent="0.3">
      <c r="A296" s="1144">
        <v>637</v>
      </c>
      <c r="B296" s="1144">
        <v>637</v>
      </c>
      <c r="C296" s="1196"/>
      <c r="D296" s="1146"/>
      <c r="E296" s="1191"/>
      <c r="F296" s="1192">
        <v>0</v>
      </c>
      <c r="G296" s="1192">
        <v>0</v>
      </c>
      <c r="H296" s="1192">
        <v>65902</v>
      </c>
      <c r="I296" s="1192">
        <v>0</v>
      </c>
      <c r="J296" s="1192">
        <v>0</v>
      </c>
      <c r="K296" s="1192">
        <v>0</v>
      </c>
      <c r="L296" s="1193">
        <v>9594</v>
      </c>
      <c r="M296" s="1193">
        <v>0</v>
      </c>
      <c r="N296" s="1193">
        <v>0</v>
      </c>
      <c r="O296" s="1193">
        <v>0</v>
      </c>
      <c r="P296" s="1193">
        <v>0</v>
      </c>
      <c r="Q296" s="1193">
        <v>119530</v>
      </c>
      <c r="R296" s="1193">
        <v>0</v>
      </c>
      <c r="S296" s="1193">
        <v>0</v>
      </c>
      <c r="T296" s="1193">
        <v>0</v>
      </c>
      <c r="U296" s="1193">
        <v>0</v>
      </c>
      <c r="V296" s="1193">
        <v>0</v>
      </c>
      <c r="W296" s="1193">
        <v>0</v>
      </c>
      <c r="X296" s="1193">
        <v>0</v>
      </c>
      <c r="Y296" s="1193">
        <v>0</v>
      </c>
      <c r="Z296" s="1193">
        <v>0</v>
      </c>
      <c r="AA296" s="1193">
        <v>49390</v>
      </c>
      <c r="AB296" s="1193">
        <v>467710</v>
      </c>
      <c r="AC296" s="1193">
        <v>260523</v>
      </c>
      <c r="AD296" s="1193">
        <v>0</v>
      </c>
      <c r="AE296" s="1193">
        <v>80050</v>
      </c>
      <c r="AF296" s="1193">
        <v>125740</v>
      </c>
      <c r="AG296" s="1193">
        <v>107919</v>
      </c>
      <c r="AH296" s="1193">
        <v>442692</v>
      </c>
      <c r="AI296" s="1193">
        <v>166001</v>
      </c>
      <c r="AJ296" s="1193">
        <v>0</v>
      </c>
      <c r="AK296" s="1193">
        <v>0</v>
      </c>
      <c r="AL296" s="1193">
        <v>0</v>
      </c>
      <c r="AM296" s="1193">
        <v>0</v>
      </c>
      <c r="AN296" s="1193">
        <v>0</v>
      </c>
      <c r="AO296" s="1193">
        <v>105148</v>
      </c>
      <c r="AP296" s="1193">
        <v>0</v>
      </c>
      <c r="AQ296" s="1193">
        <v>0</v>
      </c>
      <c r="AR296" s="1193">
        <v>0</v>
      </c>
      <c r="AS296" s="1193">
        <v>0</v>
      </c>
      <c r="AT296" s="1193">
        <v>0</v>
      </c>
      <c r="AU296" s="1193">
        <v>0</v>
      </c>
      <c r="AV296" s="1193">
        <v>0</v>
      </c>
      <c r="AW296" s="1193">
        <v>0</v>
      </c>
      <c r="AX296" s="1193">
        <v>3230000</v>
      </c>
      <c r="AY296" s="1193">
        <v>0</v>
      </c>
      <c r="AZ296" s="1193">
        <v>23468</v>
      </c>
      <c r="BA296" s="1193">
        <v>0</v>
      </c>
      <c r="BB296" s="1193">
        <v>31710</v>
      </c>
      <c r="BC296" s="1193">
        <v>0</v>
      </c>
      <c r="BD296" s="1193">
        <v>0</v>
      </c>
      <c r="BE296" s="1193">
        <v>9135</v>
      </c>
      <c r="BF296" s="1193">
        <v>0</v>
      </c>
      <c r="BG296" s="1193">
        <v>0</v>
      </c>
      <c r="BH296" s="1193">
        <v>0</v>
      </c>
      <c r="BI296" s="1193">
        <v>0</v>
      </c>
      <c r="BJ296" s="1193">
        <v>0</v>
      </c>
      <c r="BK296" s="1193">
        <v>20790</v>
      </c>
      <c r="BL296" s="1193">
        <v>0</v>
      </c>
      <c r="BM296" s="1193">
        <v>0</v>
      </c>
      <c r="BN296" s="1193">
        <v>0</v>
      </c>
      <c r="BO296" s="1193">
        <v>39807</v>
      </c>
      <c r="BP296" s="1193">
        <v>3858</v>
      </c>
      <c r="BQ296" s="1193">
        <v>66955</v>
      </c>
      <c r="BR296" s="1193">
        <v>0</v>
      </c>
      <c r="BS296" s="1193">
        <v>0</v>
      </c>
      <c r="BT296" s="1193">
        <v>48685</v>
      </c>
      <c r="BU296" s="1193">
        <v>0</v>
      </c>
      <c r="BV296" s="1193">
        <v>0</v>
      </c>
      <c r="BW296" s="1193">
        <v>121724</v>
      </c>
      <c r="BX296" s="1193">
        <v>0</v>
      </c>
      <c r="BY296" s="1193">
        <v>0</v>
      </c>
      <c r="BZ296" s="1193">
        <v>37161</v>
      </c>
      <c r="CA296" s="1193">
        <v>0</v>
      </c>
      <c r="CB296" s="1193">
        <v>0</v>
      </c>
      <c r="CC296" s="1148">
        <v>11087</v>
      </c>
      <c r="CD296" s="1148">
        <v>49527</v>
      </c>
      <c r="CE296" s="1148">
        <v>0</v>
      </c>
      <c r="CF296" s="1148">
        <v>0</v>
      </c>
    </row>
    <row r="297" spans="1:84" s="1148" customFormat="1" x14ac:dyDescent="0.3">
      <c r="A297" s="1144">
        <v>638</v>
      </c>
      <c r="B297" s="1144">
        <v>638</v>
      </c>
      <c r="C297" s="1196"/>
      <c r="D297" s="1146"/>
      <c r="E297" s="1191"/>
      <c r="F297" s="1192">
        <v>0</v>
      </c>
      <c r="G297" s="1192">
        <v>0</v>
      </c>
      <c r="H297" s="1192">
        <v>0</v>
      </c>
      <c r="I297" s="1192">
        <v>0</v>
      </c>
      <c r="J297" s="1192">
        <v>0</v>
      </c>
      <c r="K297" s="1192">
        <v>0</v>
      </c>
      <c r="L297" s="1193">
        <v>0</v>
      </c>
      <c r="M297" s="1193">
        <v>0</v>
      </c>
      <c r="N297" s="1193">
        <v>0</v>
      </c>
      <c r="O297" s="1193">
        <v>0</v>
      </c>
      <c r="P297" s="1193">
        <v>0</v>
      </c>
      <c r="Q297" s="1193">
        <v>0</v>
      </c>
      <c r="R297" s="1193">
        <v>0</v>
      </c>
      <c r="S297" s="1193">
        <v>0</v>
      </c>
      <c r="T297" s="1193">
        <v>0</v>
      </c>
      <c r="U297" s="1193">
        <v>0</v>
      </c>
      <c r="V297" s="1193">
        <v>0</v>
      </c>
      <c r="W297" s="1193">
        <v>0</v>
      </c>
      <c r="X297" s="1193">
        <v>0</v>
      </c>
      <c r="Y297" s="1193">
        <v>0</v>
      </c>
      <c r="Z297" s="1193">
        <v>0</v>
      </c>
      <c r="AA297" s="1193">
        <v>0</v>
      </c>
      <c r="AB297" s="1193">
        <v>0</v>
      </c>
      <c r="AC297" s="1193">
        <v>0</v>
      </c>
      <c r="AD297" s="1193">
        <v>0</v>
      </c>
      <c r="AE297" s="1193">
        <v>0</v>
      </c>
      <c r="AF297" s="1193">
        <v>0</v>
      </c>
      <c r="AG297" s="1193">
        <v>0</v>
      </c>
      <c r="AH297" s="1193">
        <v>0</v>
      </c>
      <c r="AI297" s="1193">
        <v>0</v>
      </c>
      <c r="AJ297" s="1193">
        <v>0</v>
      </c>
      <c r="AK297" s="1193">
        <v>0</v>
      </c>
      <c r="AL297" s="1193">
        <v>0</v>
      </c>
      <c r="AM297" s="1193">
        <v>0</v>
      </c>
      <c r="AN297" s="1193">
        <v>0</v>
      </c>
      <c r="AO297" s="1193">
        <v>0</v>
      </c>
      <c r="AP297" s="1193">
        <v>0</v>
      </c>
      <c r="AQ297" s="1193">
        <v>0</v>
      </c>
      <c r="AR297" s="1193">
        <v>0</v>
      </c>
      <c r="AS297" s="1193">
        <v>0</v>
      </c>
      <c r="AT297" s="1193">
        <v>0</v>
      </c>
      <c r="AU297" s="1193">
        <v>0</v>
      </c>
      <c r="AV297" s="1193">
        <v>0</v>
      </c>
      <c r="AW297" s="1193">
        <v>0</v>
      </c>
      <c r="AX297" s="1193">
        <v>0</v>
      </c>
      <c r="AY297" s="1193">
        <v>0</v>
      </c>
      <c r="AZ297" s="1193">
        <v>0</v>
      </c>
      <c r="BA297" s="1193">
        <v>0</v>
      </c>
      <c r="BB297" s="1193">
        <v>0</v>
      </c>
      <c r="BC297" s="1193">
        <v>0</v>
      </c>
      <c r="BD297" s="1193">
        <v>0</v>
      </c>
      <c r="BE297" s="1193">
        <v>0</v>
      </c>
      <c r="BF297" s="1193">
        <v>0</v>
      </c>
      <c r="BG297" s="1193">
        <v>0</v>
      </c>
      <c r="BH297" s="1193">
        <v>0</v>
      </c>
      <c r="BI297" s="1193">
        <v>0</v>
      </c>
      <c r="BJ297" s="1193">
        <v>0</v>
      </c>
      <c r="BK297" s="1193">
        <v>0</v>
      </c>
      <c r="BL297" s="1193">
        <v>0</v>
      </c>
      <c r="BM297" s="1193">
        <v>0</v>
      </c>
      <c r="BN297" s="1193">
        <v>0</v>
      </c>
      <c r="BO297" s="1193">
        <v>0</v>
      </c>
      <c r="BP297" s="1193">
        <v>0</v>
      </c>
      <c r="BQ297" s="1193">
        <v>0</v>
      </c>
      <c r="BR297" s="1193">
        <v>0</v>
      </c>
      <c r="BS297" s="1193">
        <v>0</v>
      </c>
      <c r="BT297" s="1193">
        <v>0</v>
      </c>
      <c r="BU297" s="1193">
        <v>0</v>
      </c>
      <c r="BV297" s="1193">
        <v>0</v>
      </c>
      <c r="BW297" s="1193">
        <v>0</v>
      </c>
      <c r="BX297" s="1193">
        <v>0</v>
      </c>
      <c r="BY297" s="1193">
        <v>0</v>
      </c>
      <c r="BZ297" s="1193">
        <v>0</v>
      </c>
      <c r="CA297" s="1193">
        <v>0</v>
      </c>
      <c r="CB297" s="1193">
        <v>0</v>
      </c>
      <c r="CC297" s="1148">
        <v>0</v>
      </c>
      <c r="CD297" s="1148">
        <v>0</v>
      </c>
      <c r="CE297" s="1148">
        <v>0</v>
      </c>
      <c r="CF297" s="1148">
        <v>0</v>
      </c>
    </row>
    <row r="298" spans="1:84" s="1148" customFormat="1" x14ac:dyDescent="0.3">
      <c r="A298" s="1144">
        <v>639</v>
      </c>
      <c r="B298" s="1144">
        <v>639</v>
      </c>
      <c r="C298" s="1196"/>
      <c r="D298" s="1146"/>
      <c r="E298" s="1191"/>
      <c r="F298" s="1192">
        <v>0</v>
      </c>
      <c r="G298" s="1192">
        <v>0</v>
      </c>
      <c r="H298" s="1192">
        <v>0</v>
      </c>
      <c r="I298" s="1192">
        <v>0</v>
      </c>
      <c r="J298" s="1192">
        <v>0</v>
      </c>
      <c r="K298" s="1192">
        <v>0</v>
      </c>
      <c r="L298" s="1193">
        <v>0</v>
      </c>
      <c r="M298" s="1193">
        <v>0</v>
      </c>
      <c r="N298" s="1193">
        <v>0</v>
      </c>
      <c r="O298" s="1193">
        <v>0</v>
      </c>
      <c r="P298" s="1193">
        <v>0</v>
      </c>
      <c r="Q298" s="1193">
        <v>0</v>
      </c>
      <c r="R298" s="1193">
        <v>0</v>
      </c>
      <c r="S298" s="1193">
        <v>5833825</v>
      </c>
      <c r="T298" s="1193">
        <v>0</v>
      </c>
      <c r="U298" s="1193">
        <v>0</v>
      </c>
      <c r="V298" s="1193">
        <v>0</v>
      </c>
      <c r="W298" s="1193">
        <v>0</v>
      </c>
      <c r="X298" s="1193">
        <v>2534660</v>
      </c>
      <c r="Y298" s="1193">
        <v>0</v>
      </c>
      <c r="Z298" s="1193">
        <v>0</v>
      </c>
      <c r="AA298" s="1193">
        <v>0</v>
      </c>
      <c r="AB298" s="1193">
        <v>0</v>
      </c>
      <c r="AC298" s="1193">
        <v>0</v>
      </c>
      <c r="AD298" s="1193">
        <v>0</v>
      </c>
      <c r="AE298" s="1193">
        <v>0</v>
      </c>
      <c r="AF298" s="1193">
        <v>0</v>
      </c>
      <c r="AG298" s="1193">
        <v>0</v>
      </c>
      <c r="AH298" s="1193">
        <v>0</v>
      </c>
      <c r="AI298" s="1193">
        <v>0</v>
      </c>
      <c r="AJ298" s="1193">
        <v>0</v>
      </c>
      <c r="AK298" s="1193">
        <v>8174483</v>
      </c>
      <c r="AL298" s="1193">
        <v>0</v>
      </c>
      <c r="AM298" s="1193">
        <v>0</v>
      </c>
      <c r="AN298" s="1193">
        <v>0</v>
      </c>
      <c r="AO298" s="1193">
        <v>2311350</v>
      </c>
      <c r="AP298" s="1193">
        <v>0</v>
      </c>
      <c r="AQ298" s="1193">
        <v>0</v>
      </c>
      <c r="AR298" s="1193">
        <v>0</v>
      </c>
      <c r="AS298" s="1193">
        <v>0</v>
      </c>
      <c r="AT298" s="1193">
        <v>0</v>
      </c>
      <c r="AU298" s="1193">
        <v>0</v>
      </c>
      <c r="AV298" s="1193">
        <v>0</v>
      </c>
      <c r="AW298" s="1193">
        <v>0</v>
      </c>
      <c r="AX298" s="1193">
        <v>0</v>
      </c>
      <c r="AY298" s="1193">
        <v>0</v>
      </c>
      <c r="AZ298" s="1193">
        <v>0</v>
      </c>
      <c r="BA298" s="1193">
        <v>0</v>
      </c>
      <c r="BB298" s="1193">
        <v>0</v>
      </c>
      <c r="BC298" s="1193">
        <v>0</v>
      </c>
      <c r="BD298" s="1193">
        <v>0</v>
      </c>
      <c r="BE298" s="1193">
        <v>0</v>
      </c>
      <c r="BF298" s="1193">
        <v>0</v>
      </c>
      <c r="BG298" s="1193">
        <v>0</v>
      </c>
      <c r="BH298" s="1193">
        <v>0</v>
      </c>
      <c r="BI298" s="1193">
        <v>0</v>
      </c>
      <c r="BJ298" s="1193">
        <v>0</v>
      </c>
      <c r="BK298" s="1193">
        <v>0</v>
      </c>
      <c r="BL298" s="1193">
        <v>0</v>
      </c>
      <c r="BM298" s="1193">
        <v>0</v>
      </c>
      <c r="BN298" s="1193">
        <v>0</v>
      </c>
      <c r="BO298" s="1193">
        <v>0</v>
      </c>
      <c r="BP298" s="1193">
        <v>0</v>
      </c>
      <c r="BQ298" s="1193">
        <v>0</v>
      </c>
      <c r="BR298" s="1193">
        <v>0</v>
      </c>
      <c r="BS298" s="1193">
        <v>0</v>
      </c>
      <c r="BT298" s="1193">
        <v>151799</v>
      </c>
      <c r="BU298" s="1193">
        <v>1238733</v>
      </c>
      <c r="BV298" s="1193">
        <v>0</v>
      </c>
      <c r="BW298" s="1193">
        <v>0</v>
      </c>
      <c r="BX298" s="1193">
        <v>0</v>
      </c>
      <c r="BY298" s="1193">
        <v>0</v>
      </c>
      <c r="BZ298" s="1193">
        <v>0</v>
      </c>
      <c r="CA298" s="1193">
        <v>0</v>
      </c>
      <c r="CB298" s="1193">
        <v>0</v>
      </c>
      <c r="CC298" s="1148">
        <v>0</v>
      </c>
      <c r="CD298" s="1148">
        <v>0</v>
      </c>
      <c r="CE298" s="1148">
        <v>0</v>
      </c>
      <c r="CF298" s="1148">
        <v>0</v>
      </c>
    </row>
    <row r="299" spans="1:84" s="1148" customFormat="1" x14ac:dyDescent="0.3">
      <c r="A299" s="1144">
        <v>640</v>
      </c>
      <c r="B299" s="1144">
        <v>640</v>
      </c>
      <c r="C299" s="1196"/>
      <c r="D299" s="1146"/>
      <c r="E299" s="1191"/>
      <c r="F299" s="1192">
        <v>0</v>
      </c>
      <c r="G299" s="1192">
        <v>0</v>
      </c>
      <c r="H299" s="1192">
        <v>0</v>
      </c>
      <c r="I299" s="1192">
        <v>0</v>
      </c>
      <c r="J299" s="1192">
        <v>0</v>
      </c>
      <c r="K299" s="1192">
        <v>0</v>
      </c>
      <c r="L299" s="1193">
        <v>0</v>
      </c>
      <c r="M299" s="1193">
        <v>0</v>
      </c>
      <c r="N299" s="1193">
        <v>0</v>
      </c>
      <c r="O299" s="1193">
        <v>0</v>
      </c>
      <c r="P299" s="1193">
        <v>0</v>
      </c>
      <c r="Q299" s="1193">
        <v>0</v>
      </c>
      <c r="R299" s="1193">
        <v>0</v>
      </c>
      <c r="S299" s="1193">
        <v>0</v>
      </c>
      <c r="T299" s="1193">
        <v>0</v>
      </c>
      <c r="U299" s="1193">
        <v>0</v>
      </c>
      <c r="V299" s="1193">
        <v>0</v>
      </c>
      <c r="W299" s="1193">
        <v>0</v>
      </c>
      <c r="X299" s="1193">
        <v>0</v>
      </c>
      <c r="Y299" s="1193">
        <v>0</v>
      </c>
      <c r="Z299" s="1193">
        <v>0</v>
      </c>
      <c r="AA299" s="1193">
        <v>0</v>
      </c>
      <c r="AB299" s="1193">
        <v>0</v>
      </c>
      <c r="AC299" s="1193">
        <v>0</v>
      </c>
      <c r="AD299" s="1193">
        <v>0</v>
      </c>
      <c r="AE299" s="1193">
        <v>0</v>
      </c>
      <c r="AF299" s="1193">
        <v>0</v>
      </c>
      <c r="AG299" s="1193">
        <v>0</v>
      </c>
      <c r="AH299" s="1193">
        <v>0</v>
      </c>
      <c r="AI299" s="1193">
        <v>0</v>
      </c>
      <c r="AJ299" s="1193">
        <v>0</v>
      </c>
      <c r="AK299" s="1193">
        <v>0</v>
      </c>
      <c r="AL299" s="1193">
        <v>0</v>
      </c>
      <c r="AM299" s="1193">
        <v>0</v>
      </c>
      <c r="AN299" s="1193">
        <v>0</v>
      </c>
      <c r="AO299" s="1193">
        <v>0</v>
      </c>
      <c r="AP299" s="1193">
        <v>0</v>
      </c>
      <c r="AQ299" s="1193">
        <v>0</v>
      </c>
      <c r="AR299" s="1193">
        <v>0</v>
      </c>
      <c r="AS299" s="1193">
        <v>0</v>
      </c>
      <c r="AT299" s="1193">
        <v>0</v>
      </c>
      <c r="AU299" s="1193">
        <v>0</v>
      </c>
      <c r="AV299" s="1193">
        <v>0</v>
      </c>
      <c r="AW299" s="1193">
        <v>0</v>
      </c>
      <c r="AX299" s="1193">
        <v>0</v>
      </c>
      <c r="AY299" s="1193">
        <v>0</v>
      </c>
      <c r="AZ299" s="1193">
        <v>0</v>
      </c>
      <c r="BA299" s="1193">
        <v>0</v>
      </c>
      <c r="BB299" s="1193">
        <v>0</v>
      </c>
      <c r="BC299" s="1193">
        <v>0</v>
      </c>
      <c r="BD299" s="1193">
        <v>0</v>
      </c>
      <c r="BE299" s="1193">
        <v>0</v>
      </c>
      <c r="BF299" s="1193">
        <v>0</v>
      </c>
      <c r="BG299" s="1193">
        <v>0</v>
      </c>
      <c r="BH299" s="1193">
        <v>0</v>
      </c>
      <c r="BI299" s="1193">
        <v>0</v>
      </c>
      <c r="BJ299" s="1193">
        <v>0</v>
      </c>
      <c r="BK299" s="1193">
        <v>0</v>
      </c>
      <c r="BL299" s="1193">
        <v>0</v>
      </c>
      <c r="BM299" s="1193">
        <v>0</v>
      </c>
      <c r="BN299" s="1193">
        <v>0</v>
      </c>
      <c r="BO299" s="1193">
        <v>0</v>
      </c>
      <c r="BP299" s="1193">
        <v>0</v>
      </c>
      <c r="BQ299" s="1193">
        <v>0</v>
      </c>
      <c r="BR299" s="1193">
        <v>0</v>
      </c>
      <c r="BS299" s="1193">
        <v>0</v>
      </c>
      <c r="BT299" s="1193">
        <v>7024</v>
      </c>
      <c r="BU299" s="1193">
        <v>0</v>
      </c>
      <c r="BV299" s="1193">
        <v>0</v>
      </c>
      <c r="BW299" s="1193">
        <v>0</v>
      </c>
      <c r="BX299" s="1193">
        <v>0</v>
      </c>
      <c r="BY299" s="1193">
        <v>0</v>
      </c>
      <c r="BZ299" s="1193">
        <v>0</v>
      </c>
      <c r="CA299" s="1193">
        <v>0</v>
      </c>
      <c r="CB299" s="1193">
        <v>0</v>
      </c>
      <c r="CC299" s="1148">
        <v>0</v>
      </c>
      <c r="CD299" s="1148">
        <v>0</v>
      </c>
      <c r="CE299" s="1148">
        <v>0</v>
      </c>
      <c r="CF299" s="1148">
        <v>0</v>
      </c>
    </row>
    <row r="300" spans="1:84" s="1148" customFormat="1" x14ac:dyDescent="0.3">
      <c r="A300" s="1144">
        <v>641</v>
      </c>
      <c r="B300" s="1144">
        <v>641</v>
      </c>
      <c r="C300" s="1196"/>
      <c r="D300" s="1146"/>
      <c r="E300" s="1191"/>
      <c r="F300" s="1192">
        <v>0</v>
      </c>
      <c r="G300" s="1192">
        <v>0</v>
      </c>
      <c r="H300" s="1192">
        <v>0</v>
      </c>
      <c r="I300" s="1192">
        <v>0</v>
      </c>
      <c r="J300" s="1192">
        <v>0</v>
      </c>
      <c r="K300" s="1192">
        <v>0</v>
      </c>
      <c r="L300" s="1193">
        <v>0</v>
      </c>
      <c r="M300" s="1193">
        <v>0</v>
      </c>
      <c r="N300" s="1193">
        <v>0</v>
      </c>
      <c r="O300" s="1193">
        <v>0</v>
      </c>
      <c r="P300" s="1193">
        <v>0</v>
      </c>
      <c r="Q300" s="1193">
        <v>0</v>
      </c>
      <c r="R300" s="1193">
        <v>0</v>
      </c>
      <c r="S300" s="1193">
        <v>198844</v>
      </c>
      <c r="T300" s="1193">
        <v>0</v>
      </c>
      <c r="U300" s="1193">
        <v>0</v>
      </c>
      <c r="V300" s="1193">
        <v>0</v>
      </c>
      <c r="W300" s="1193">
        <v>0</v>
      </c>
      <c r="X300" s="1193">
        <v>12880</v>
      </c>
      <c r="Y300" s="1193">
        <v>0</v>
      </c>
      <c r="Z300" s="1193">
        <v>0</v>
      </c>
      <c r="AA300" s="1193">
        <v>0</v>
      </c>
      <c r="AB300" s="1193">
        <v>0</v>
      </c>
      <c r="AC300" s="1193">
        <v>0</v>
      </c>
      <c r="AD300" s="1193">
        <v>0</v>
      </c>
      <c r="AE300" s="1193">
        <v>0</v>
      </c>
      <c r="AF300" s="1193">
        <v>0</v>
      </c>
      <c r="AG300" s="1193">
        <v>0</v>
      </c>
      <c r="AH300" s="1193">
        <v>0</v>
      </c>
      <c r="AI300" s="1193">
        <v>0</v>
      </c>
      <c r="AJ300" s="1193">
        <v>0</v>
      </c>
      <c r="AK300" s="1193">
        <v>106498</v>
      </c>
      <c r="AL300" s="1193">
        <v>0</v>
      </c>
      <c r="AM300" s="1193">
        <v>0</v>
      </c>
      <c r="AN300" s="1193">
        <v>0</v>
      </c>
      <c r="AO300" s="1193">
        <v>31310</v>
      </c>
      <c r="AP300" s="1193">
        <v>0</v>
      </c>
      <c r="AQ300" s="1193">
        <v>0</v>
      </c>
      <c r="AR300" s="1193">
        <v>0</v>
      </c>
      <c r="AS300" s="1193">
        <v>0</v>
      </c>
      <c r="AT300" s="1193">
        <v>0</v>
      </c>
      <c r="AU300" s="1193">
        <v>0</v>
      </c>
      <c r="AV300" s="1193">
        <v>0</v>
      </c>
      <c r="AW300" s="1193">
        <v>0</v>
      </c>
      <c r="AX300" s="1193">
        <v>0</v>
      </c>
      <c r="AY300" s="1193">
        <v>0</v>
      </c>
      <c r="AZ300" s="1193">
        <v>0</v>
      </c>
      <c r="BA300" s="1193">
        <v>0</v>
      </c>
      <c r="BB300" s="1193">
        <v>0</v>
      </c>
      <c r="BC300" s="1193">
        <v>0</v>
      </c>
      <c r="BD300" s="1193">
        <v>0</v>
      </c>
      <c r="BE300" s="1193">
        <v>0</v>
      </c>
      <c r="BF300" s="1193">
        <v>0</v>
      </c>
      <c r="BG300" s="1193">
        <v>0</v>
      </c>
      <c r="BH300" s="1193">
        <v>0</v>
      </c>
      <c r="BI300" s="1193">
        <v>0</v>
      </c>
      <c r="BJ300" s="1193">
        <v>0</v>
      </c>
      <c r="BK300" s="1193">
        <v>0</v>
      </c>
      <c r="BL300" s="1193">
        <v>0</v>
      </c>
      <c r="BM300" s="1193">
        <v>0</v>
      </c>
      <c r="BN300" s="1193">
        <v>0</v>
      </c>
      <c r="BO300" s="1193">
        <v>0</v>
      </c>
      <c r="BP300" s="1193">
        <v>0</v>
      </c>
      <c r="BQ300" s="1193">
        <v>0</v>
      </c>
      <c r="BR300" s="1193">
        <v>0</v>
      </c>
      <c r="BS300" s="1193">
        <v>0</v>
      </c>
      <c r="BT300" s="1193">
        <v>15351</v>
      </c>
      <c r="BU300" s="1193">
        <v>1929</v>
      </c>
      <c r="BV300" s="1193">
        <v>0</v>
      </c>
      <c r="BW300" s="1193">
        <v>0</v>
      </c>
      <c r="BX300" s="1193">
        <v>0</v>
      </c>
      <c r="BY300" s="1193">
        <v>0</v>
      </c>
      <c r="BZ300" s="1193">
        <v>0</v>
      </c>
      <c r="CA300" s="1193">
        <v>0</v>
      </c>
      <c r="CB300" s="1193">
        <v>0</v>
      </c>
      <c r="CC300" s="1148">
        <v>0</v>
      </c>
      <c r="CD300" s="1148">
        <v>0</v>
      </c>
      <c r="CE300" s="1148">
        <v>0</v>
      </c>
      <c r="CF300" s="1148">
        <v>0</v>
      </c>
    </row>
    <row r="301" spans="1:84" s="1148" customFormat="1" x14ac:dyDescent="0.3">
      <c r="A301" s="1144">
        <v>642</v>
      </c>
      <c r="B301" s="1144">
        <v>642</v>
      </c>
      <c r="C301" s="1196"/>
      <c r="D301" s="1146"/>
      <c r="E301" s="1191"/>
      <c r="F301" s="1192">
        <v>0</v>
      </c>
      <c r="G301" s="1192">
        <v>0</v>
      </c>
      <c r="H301" s="1192">
        <v>0</v>
      </c>
      <c r="I301" s="1192">
        <v>0</v>
      </c>
      <c r="J301" s="1192">
        <v>0</v>
      </c>
      <c r="K301" s="1192">
        <v>0</v>
      </c>
      <c r="L301" s="1193">
        <v>0</v>
      </c>
      <c r="M301" s="1193">
        <v>0</v>
      </c>
      <c r="N301" s="1193">
        <v>0</v>
      </c>
      <c r="O301" s="1193">
        <v>0</v>
      </c>
      <c r="P301" s="1193">
        <v>0</v>
      </c>
      <c r="Q301" s="1193">
        <v>0</v>
      </c>
      <c r="R301" s="1193">
        <v>0</v>
      </c>
      <c r="S301" s="1193">
        <v>0</v>
      </c>
      <c r="T301" s="1193">
        <v>0</v>
      </c>
      <c r="U301" s="1193">
        <v>0</v>
      </c>
      <c r="V301" s="1193">
        <v>0</v>
      </c>
      <c r="W301" s="1193">
        <v>0</v>
      </c>
      <c r="X301" s="1193">
        <v>0</v>
      </c>
      <c r="Y301" s="1193">
        <v>0</v>
      </c>
      <c r="Z301" s="1193">
        <v>0</v>
      </c>
      <c r="AA301" s="1193">
        <v>0</v>
      </c>
      <c r="AB301" s="1193">
        <v>0</v>
      </c>
      <c r="AC301" s="1193">
        <v>0</v>
      </c>
      <c r="AD301" s="1193">
        <v>0</v>
      </c>
      <c r="AE301" s="1193">
        <v>0</v>
      </c>
      <c r="AF301" s="1193">
        <v>0</v>
      </c>
      <c r="AG301" s="1193">
        <v>0</v>
      </c>
      <c r="AH301" s="1193">
        <v>0</v>
      </c>
      <c r="AI301" s="1193">
        <v>0</v>
      </c>
      <c r="AJ301" s="1193">
        <v>0</v>
      </c>
      <c r="AK301" s="1193">
        <v>0</v>
      </c>
      <c r="AL301" s="1193">
        <v>0</v>
      </c>
      <c r="AM301" s="1193">
        <v>0</v>
      </c>
      <c r="AN301" s="1193">
        <v>0</v>
      </c>
      <c r="AO301" s="1193">
        <v>0</v>
      </c>
      <c r="AP301" s="1193">
        <v>0</v>
      </c>
      <c r="AQ301" s="1193">
        <v>0</v>
      </c>
      <c r="AR301" s="1193">
        <v>0</v>
      </c>
      <c r="AS301" s="1193">
        <v>0</v>
      </c>
      <c r="AT301" s="1193">
        <v>0</v>
      </c>
      <c r="AU301" s="1193">
        <v>0</v>
      </c>
      <c r="AV301" s="1193">
        <v>0</v>
      </c>
      <c r="AW301" s="1193">
        <v>0</v>
      </c>
      <c r="AX301" s="1193">
        <v>0</v>
      </c>
      <c r="AY301" s="1193">
        <v>0</v>
      </c>
      <c r="AZ301" s="1193">
        <v>0</v>
      </c>
      <c r="BA301" s="1193">
        <v>0</v>
      </c>
      <c r="BB301" s="1193">
        <v>0</v>
      </c>
      <c r="BC301" s="1193">
        <v>0</v>
      </c>
      <c r="BD301" s="1193">
        <v>0</v>
      </c>
      <c r="BE301" s="1193">
        <v>0</v>
      </c>
      <c r="BF301" s="1193">
        <v>0</v>
      </c>
      <c r="BG301" s="1193">
        <v>0</v>
      </c>
      <c r="BH301" s="1193">
        <v>0</v>
      </c>
      <c r="BI301" s="1193">
        <v>0</v>
      </c>
      <c r="BJ301" s="1193">
        <v>0</v>
      </c>
      <c r="BK301" s="1193">
        <v>0</v>
      </c>
      <c r="BL301" s="1193">
        <v>0</v>
      </c>
      <c r="BM301" s="1193">
        <v>0</v>
      </c>
      <c r="BN301" s="1193">
        <v>0</v>
      </c>
      <c r="BO301" s="1193">
        <v>0</v>
      </c>
      <c r="BP301" s="1193">
        <v>0</v>
      </c>
      <c r="BQ301" s="1193">
        <v>0</v>
      </c>
      <c r="BR301" s="1193">
        <v>0</v>
      </c>
      <c r="BS301" s="1193">
        <v>0</v>
      </c>
      <c r="BT301" s="1193">
        <v>0</v>
      </c>
      <c r="BU301" s="1193">
        <v>0</v>
      </c>
      <c r="BV301" s="1193">
        <v>0</v>
      </c>
      <c r="BW301" s="1193">
        <v>0</v>
      </c>
      <c r="BX301" s="1193">
        <v>0</v>
      </c>
      <c r="BY301" s="1193">
        <v>0</v>
      </c>
      <c r="BZ301" s="1193">
        <v>0</v>
      </c>
      <c r="CA301" s="1193">
        <v>0</v>
      </c>
      <c r="CB301" s="1193">
        <v>0</v>
      </c>
      <c r="CC301" s="1148">
        <v>0</v>
      </c>
      <c r="CD301" s="1148">
        <v>0</v>
      </c>
      <c r="CE301" s="1148">
        <v>0</v>
      </c>
      <c r="CF301" s="1148">
        <v>0</v>
      </c>
    </row>
    <row r="302" spans="1:84" s="1148" customFormat="1" x14ac:dyDescent="0.3">
      <c r="A302" s="1144">
        <v>643</v>
      </c>
      <c r="B302" s="1144">
        <v>643</v>
      </c>
      <c r="C302" s="1196"/>
      <c r="D302" s="1146"/>
      <c r="E302" s="1191"/>
      <c r="F302" s="1192">
        <v>0</v>
      </c>
      <c r="G302" s="1192">
        <v>0</v>
      </c>
      <c r="H302" s="1192">
        <v>0</v>
      </c>
      <c r="I302" s="1192">
        <v>0</v>
      </c>
      <c r="J302" s="1192">
        <v>0</v>
      </c>
      <c r="K302" s="1192">
        <v>0</v>
      </c>
      <c r="L302" s="1193">
        <v>0</v>
      </c>
      <c r="M302" s="1193">
        <v>0</v>
      </c>
      <c r="N302" s="1193">
        <v>0</v>
      </c>
      <c r="O302" s="1193">
        <v>0</v>
      </c>
      <c r="P302" s="1193">
        <v>0</v>
      </c>
      <c r="Q302" s="1193">
        <v>0</v>
      </c>
      <c r="R302" s="1193">
        <v>0</v>
      </c>
      <c r="S302" s="1193">
        <v>0</v>
      </c>
      <c r="T302" s="1193">
        <v>0</v>
      </c>
      <c r="U302" s="1193">
        <v>0</v>
      </c>
      <c r="V302" s="1193">
        <v>0</v>
      </c>
      <c r="W302" s="1193">
        <v>0</v>
      </c>
      <c r="X302" s="1193">
        <v>0</v>
      </c>
      <c r="Y302" s="1193">
        <v>0</v>
      </c>
      <c r="Z302" s="1193">
        <v>0</v>
      </c>
      <c r="AA302" s="1193">
        <v>0</v>
      </c>
      <c r="AB302" s="1193">
        <v>0</v>
      </c>
      <c r="AC302" s="1193">
        <v>0</v>
      </c>
      <c r="AD302" s="1193">
        <v>0</v>
      </c>
      <c r="AE302" s="1193">
        <v>0</v>
      </c>
      <c r="AF302" s="1193">
        <v>0</v>
      </c>
      <c r="AG302" s="1193">
        <v>0</v>
      </c>
      <c r="AH302" s="1193">
        <v>0</v>
      </c>
      <c r="AI302" s="1193">
        <v>0</v>
      </c>
      <c r="AJ302" s="1193">
        <v>0</v>
      </c>
      <c r="AK302" s="1193">
        <v>0</v>
      </c>
      <c r="AL302" s="1193">
        <v>0</v>
      </c>
      <c r="AM302" s="1193">
        <v>0</v>
      </c>
      <c r="AN302" s="1193">
        <v>0</v>
      </c>
      <c r="AO302" s="1193">
        <v>379324</v>
      </c>
      <c r="AP302" s="1193">
        <v>0</v>
      </c>
      <c r="AQ302" s="1193">
        <v>0</v>
      </c>
      <c r="AR302" s="1193">
        <v>0</v>
      </c>
      <c r="AS302" s="1193">
        <v>0</v>
      </c>
      <c r="AT302" s="1193">
        <v>0</v>
      </c>
      <c r="AU302" s="1193">
        <v>0</v>
      </c>
      <c r="AV302" s="1193">
        <v>0</v>
      </c>
      <c r="AW302" s="1193">
        <v>0</v>
      </c>
      <c r="AX302" s="1193">
        <v>0</v>
      </c>
      <c r="AY302" s="1193">
        <v>0</v>
      </c>
      <c r="AZ302" s="1193">
        <v>0</v>
      </c>
      <c r="BA302" s="1193">
        <v>0</v>
      </c>
      <c r="BB302" s="1193">
        <v>0</v>
      </c>
      <c r="BC302" s="1193">
        <v>0</v>
      </c>
      <c r="BD302" s="1193">
        <v>0</v>
      </c>
      <c r="BE302" s="1193">
        <v>0</v>
      </c>
      <c r="BF302" s="1193">
        <v>0</v>
      </c>
      <c r="BG302" s="1193">
        <v>0</v>
      </c>
      <c r="BH302" s="1193">
        <v>0</v>
      </c>
      <c r="BI302" s="1193">
        <v>0</v>
      </c>
      <c r="BJ302" s="1193">
        <v>0</v>
      </c>
      <c r="BK302" s="1193">
        <v>0</v>
      </c>
      <c r="BL302" s="1193">
        <v>0</v>
      </c>
      <c r="BM302" s="1193">
        <v>0</v>
      </c>
      <c r="BN302" s="1193">
        <v>0</v>
      </c>
      <c r="BO302" s="1193">
        <v>0</v>
      </c>
      <c r="BP302" s="1193">
        <v>0</v>
      </c>
      <c r="BQ302" s="1193">
        <v>0</v>
      </c>
      <c r="BR302" s="1193">
        <v>0</v>
      </c>
      <c r="BS302" s="1193">
        <v>0</v>
      </c>
      <c r="BT302" s="1193">
        <v>83873</v>
      </c>
      <c r="BU302" s="1193">
        <v>242675</v>
      </c>
      <c r="BV302" s="1193">
        <v>0</v>
      </c>
      <c r="BW302" s="1193">
        <v>0</v>
      </c>
      <c r="BX302" s="1193">
        <v>0</v>
      </c>
      <c r="BY302" s="1193">
        <v>0</v>
      </c>
      <c r="BZ302" s="1193">
        <v>0</v>
      </c>
      <c r="CA302" s="1193">
        <v>0</v>
      </c>
      <c r="CB302" s="1193">
        <v>0</v>
      </c>
      <c r="CC302" s="1148">
        <v>0</v>
      </c>
      <c r="CD302" s="1148">
        <v>0</v>
      </c>
      <c r="CE302" s="1148">
        <v>0</v>
      </c>
      <c r="CF302" s="1148">
        <v>0</v>
      </c>
    </row>
    <row r="303" spans="1:84" s="1148" customFormat="1" x14ac:dyDescent="0.3">
      <c r="A303" s="1144">
        <v>644</v>
      </c>
      <c r="B303" s="1144">
        <v>644</v>
      </c>
      <c r="C303" s="1196"/>
      <c r="D303" s="1146"/>
      <c r="E303" s="1191"/>
      <c r="F303" s="1192">
        <v>0</v>
      </c>
      <c r="G303" s="1192">
        <v>0</v>
      </c>
      <c r="H303" s="1192">
        <v>0</v>
      </c>
      <c r="I303" s="1192">
        <v>0</v>
      </c>
      <c r="J303" s="1192">
        <v>0</v>
      </c>
      <c r="K303" s="1192">
        <v>0</v>
      </c>
      <c r="L303" s="1193">
        <v>0</v>
      </c>
      <c r="M303" s="1193">
        <v>0</v>
      </c>
      <c r="N303" s="1193">
        <v>0</v>
      </c>
      <c r="O303" s="1193">
        <v>0</v>
      </c>
      <c r="P303" s="1193">
        <v>0</v>
      </c>
      <c r="Q303" s="1193">
        <v>0</v>
      </c>
      <c r="R303" s="1193">
        <v>0</v>
      </c>
      <c r="S303" s="1193">
        <v>0</v>
      </c>
      <c r="T303" s="1193">
        <v>0</v>
      </c>
      <c r="U303" s="1193">
        <v>0</v>
      </c>
      <c r="V303" s="1193">
        <v>0</v>
      </c>
      <c r="W303" s="1193">
        <v>0</v>
      </c>
      <c r="X303" s="1193">
        <v>0</v>
      </c>
      <c r="Y303" s="1193">
        <v>0</v>
      </c>
      <c r="Z303" s="1193">
        <v>0</v>
      </c>
      <c r="AA303" s="1193">
        <v>0</v>
      </c>
      <c r="AB303" s="1193">
        <v>0</v>
      </c>
      <c r="AC303" s="1193">
        <v>0</v>
      </c>
      <c r="AD303" s="1193">
        <v>0</v>
      </c>
      <c r="AE303" s="1193">
        <v>0</v>
      </c>
      <c r="AF303" s="1193">
        <v>0</v>
      </c>
      <c r="AG303" s="1193">
        <v>0</v>
      </c>
      <c r="AH303" s="1193">
        <v>0</v>
      </c>
      <c r="AI303" s="1193">
        <v>0</v>
      </c>
      <c r="AJ303" s="1193">
        <v>0</v>
      </c>
      <c r="AK303" s="1193">
        <v>0</v>
      </c>
      <c r="AL303" s="1193">
        <v>0</v>
      </c>
      <c r="AM303" s="1193">
        <v>0</v>
      </c>
      <c r="AN303" s="1193">
        <v>0</v>
      </c>
      <c r="AO303" s="1193">
        <v>0</v>
      </c>
      <c r="AP303" s="1193">
        <v>0</v>
      </c>
      <c r="AQ303" s="1193">
        <v>0</v>
      </c>
      <c r="AR303" s="1193">
        <v>0</v>
      </c>
      <c r="AS303" s="1193">
        <v>0</v>
      </c>
      <c r="AT303" s="1193">
        <v>0</v>
      </c>
      <c r="AU303" s="1193">
        <v>0</v>
      </c>
      <c r="AV303" s="1193">
        <v>0</v>
      </c>
      <c r="AW303" s="1193">
        <v>0</v>
      </c>
      <c r="AX303" s="1193">
        <v>0</v>
      </c>
      <c r="AY303" s="1193">
        <v>0</v>
      </c>
      <c r="AZ303" s="1193">
        <v>0</v>
      </c>
      <c r="BA303" s="1193">
        <v>0</v>
      </c>
      <c r="BB303" s="1193">
        <v>0</v>
      </c>
      <c r="BC303" s="1193">
        <v>0</v>
      </c>
      <c r="BD303" s="1193">
        <v>0</v>
      </c>
      <c r="BE303" s="1193">
        <v>0</v>
      </c>
      <c r="BF303" s="1193">
        <v>0</v>
      </c>
      <c r="BG303" s="1193">
        <v>0</v>
      </c>
      <c r="BH303" s="1193">
        <v>0</v>
      </c>
      <c r="BI303" s="1193">
        <v>0</v>
      </c>
      <c r="BJ303" s="1193">
        <v>0</v>
      </c>
      <c r="BK303" s="1193">
        <v>0</v>
      </c>
      <c r="BL303" s="1193">
        <v>0</v>
      </c>
      <c r="BM303" s="1193">
        <v>0</v>
      </c>
      <c r="BN303" s="1193">
        <v>0</v>
      </c>
      <c r="BO303" s="1193">
        <v>0</v>
      </c>
      <c r="BP303" s="1193">
        <v>0</v>
      </c>
      <c r="BQ303" s="1193">
        <v>0</v>
      </c>
      <c r="BR303" s="1193">
        <v>0</v>
      </c>
      <c r="BS303" s="1193">
        <v>0</v>
      </c>
      <c r="BT303" s="1193">
        <v>0</v>
      </c>
      <c r="BU303" s="1193">
        <v>0</v>
      </c>
      <c r="BV303" s="1193">
        <v>0</v>
      </c>
      <c r="BW303" s="1193">
        <v>0</v>
      </c>
      <c r="BX303" s="1193">
        <v>0</v>
      </c>
      <c r="BY303" s="1193">
        <v>0</v>
      </c>
      <c r="BZ303" s="1193">
        <v>0</v>
      </c>
      <c r="CA303" s="1193">
        <v>0</v>
      </c>
      <c r="CB303" s="1193">
        <v>0</v>
      </c>
      <c r="CC303" s="1148">
        <v>0</v>
      </c>
      <c r="CD303" s="1148">
        <v>0</v>
      </c>
      <c r="CE303" s="1148">
        <v>0</v>
      </c>
      <c r="CF303" s="1148">
        <v>0</v>
      </c>
    </row>
    <row r="304" spans="1:84" s="1148" customFormat="1" x14ac:dyDescent="0.3">
      <c r="A304" s="1144">
        <v>645</v>
      </c>
      <c r="B304" s="1144">
        <v>645</v>
      </c>
      <c r="C304" s="1196"/>
      <c r="D304" s="1146"/>
      <c r="E304" s="1191"/>
      <c r="F304" s="1192">
        <v>0</v>
      </c>
      <c r="G304" s="1192">
        <v>0</v>
      </c>
      <c r="H304" s="1192">
        <v>275610</v>
      </c>
      <c r="I304" s="1192">
        <v>0</v>
      </c>
      <c r="J304" s="1192">
        <v>1292825</v>
      </c>
      <c r="K304" s="1192">
        <v>40869</v>
      </c>
      <c r="L304" s="1193">
        <v>0</v>
      </c>
      <c r="M304" s="1193">
        <v>0</v>
      </c>
      <c r="N304" s="1193">
        <v>0</v>
      </c>
      <c r="O304" s="1193">
        <v>489537</v>
      </c>
      <c r="P304" s="1193">
        <v>12725</v>
      </c>
      <c r="Q304" s="1193">
        <v>250000</v>
      </c>
      <c r="R304" s="1193">
        <v>0</v>
      </c>
      <c r="S304" s="1193">
        <v>16727560</v>
      </c>
      <c r="T304" s="1193">
        <v>0</v>
      </c>
      <c r="U304" s="1193">
        <v>0</v>
      </c>
      <c r="V304" s="1193">
        <v>0</v>
      </c>
      <c r="W304" s="1193">
        <v>915277</v>
      </c>
      <c r="X304" s="1193">
        <v>0</v>
      </c>
      <c r="Y304" s="1193">
        <v>1369687</v>
      </c>
      <c r="Z304" s="1193">
        <v>0</v>
      </c>
      <c r="AA304" s="1193">
        <v>1220244</v>
      </c>
      <c r="AB304" s="1193">
        <v>448112</v>
      </c>
      <c r="AC304" s="1193">
        <v>2202846</v>
      </c>
      <c r="AD304" s="1193">
        <v>0</v>
      </c>
      <c r="AE304" s="1193">
        <v>29402</v>
      </c>
      <c r="AF304" s="1193">
        <v>0</v>
      </c>
      <c r="AG304" s="1193">
        <v>360215</v>
      </c>
      <c r="AH304" s="1193">
        <v>0</v>
      </c>
      <c r="AI304" s="1193">
        <v>73537</v>
      </c>
      <c r="AJ304" s="1193">
        <v>0</v>
      </c>
      <c r="AK304" s="1193">
        <v>0</v>
      </c>
      <c r="AL304" s="1193">
        <v>255660</v>
      </c>
      <c r="AM304" s="1193">
        <v>0</v>
      </c>
      <c r="AN304" s="1193">
        <v>0</v>
      </c>
      <c r="AO304" s="1193">
        <v>828380</v>
      </c>
      <c r="AP304" s="1193">
        <v>0</v>
      </c>
      <c r="AQ304" s="1193">
        <v>0</v>
      </c>
      <c r="AR304" s="1193">
        <v>39091</v>
      </c>
      <c r="AS304" s="1193">
        <v>0</v>
      </c>
      <c r="AT304" s="1193">
        <v>0</v>
      </c>
      <c r="AU304" s="1193">
        <v>0</v>
      </c>
      <c r="AV304" s="1193">
        <v>249440</v>
      </c>
      <c r="AW304" s="1193">
        <v>0</v>
      </c>
      <c r="AX304" s="1193">
        <v>0</v>
      </c>
      <c r="AY304" s="1193">
        <v>907045</v>
      </c>
      <c r="AZ304" s="1193">
        <v>0</v>
      </c>
      <c r="BA304" s="1193">
        <v>0</v>
      </c>
      <c r="BB304" s="1193">
        <v>0</v>
      </c>
      <c r="BC304" s="1193">
        <v>239190</v>
      </c>
      <c r="BD304" s="1193">
        <v>0</v>
      </c>
      <c r="BE304" s="1193">
        <v>0</v>
      </c>
      <c r="BF304" s="1193">
        <v>467380</v>
      </c>
      <c r="BG304" s="1193">
        <v>0</v>
      </c>
      <c r="BH304" s="1193">
        <v>0</v>
      </c>
      <c r="BI304" s="1193">
        <v>0</v>
      </c>
      <c r="BJ304" s="1193">
        <v>2249</v>
      </c>
      <c r="BK304" s="1193">
        <v>148551</v>
      </c>
      <c r="BL304" s="1193">
        <v>29846</v>
      </c>
      <c r="BM304" s="1193">
        <v>150000</v>
      </c>
      <c r="BN304" s="1193">
        <v>0</v>
      </c>
      <c r="BO304" s="1193">
        <v>20000</v>
      </c>
      <c r="BP304" s="1193">
        <v>223000</v>
      </c>
      <c r="BQ304" s="1193">
        <v>0</v>
      </c>
      <c r="BR304" s="1193">
        <v>328167</v>
      </c>
      <c r="BS304" s="1193">
        <v>1603467</v>
      </c>
      <c r="BT304" s="1193">
        <v>0</v>
      </c>
      <c r="BU304" s="1193">
        <v>1063150</v>
      </c>
      <c r="BV304" s="1193">
        <v>37649</v>
      </c>
      <c r="BW304" s="1193">
        <v>14425</v>
      </c>
      <c r="BX304" s="1193">
        <v>0</v>
      </c>
      <c r="BY304" s="1193">
        <v>0</v>
      </c>
      <c r="BZ304" s="1193">
        <v>75000</v>
      </c>
      <c r="CA304" s="1193">
        <v>0</v>
      </c>
      <c r="CB304" s="1193">
        <v>26914</v>
      </c>
      <c r="CC304" s="1148">
        <v>0</v>
      </c>
      <c r="CD304" s="1148">
        <v>0</v>
      </c>
      <c r="CE304" s="1148">
        <v>0</v>
      </c>
      <c r="CF304" s="1148">
        <v>0</v>
      </c>
    </row>
    <row r="305" spans="1:84" s="1148" customFormat="1" x14ac:dyDescent="0.3">
      <c r="A305" s="1144">
        <v>646</v>
      </c>
      <c r="B305" s="1144">
        <v>646</v>
      </c>
      <c r="C305" s="1196"/>
      <c r="D305" s="1146"/>
      <c r="E305" s="1191"/>
      <c r="F305" s="1192">
        <v>0</v>
      </c>
      <c r="G305" s="1192">
        <v>123418</v>
      </c>
      <c r="H305" s="1192">
        <v>497636</v>
      </c>
      <c r="I305" s="1192">
        <v>1581366</v>
      </c>
      <c r="J305" s="1192">
        <v>3929012</v>
      </c>
      <c r="K305" s="1192">
        <v>4138323</v>
      </c>
      <c r="L305" s="1193">
        <v>109307</v>
      </c>
      <c r="M305" s="1193">
        <v>910773</v>
      </c>
      <c r="N305" s="1193">
        <v>997589</v>
      </c>
      <c r="O305" s="1193">
        <v>6931179</v>
      </c>
      <c r="P305" s="1193">
        <v>537861</v>
      </c>
      <c r="Q305" s="1193">
        <v>4608967</v>
      </c>
      <c r="R305" s="1193">
        <v>294051</v>
      </c>
      <c r="S305" s="1193">
        <v>7876849</v>
      </c>
      <c r="T305" s="1193">
        <v>0</v>
      </c>
      <c r="U305" s="1193">
        <v>195356</v>
      </c>
      <c r="V305" s="1193">
        <v>41199937</v>
      </c>
      <c r="W305" s="1193">
        <v>3733125</v>
      </c>
      <c r="X305" s="1193">
        <v>15849228</v>
      </c>
      <c r="Y305" s="1193">
        <v>12176024</v>
      </c>
      <c r="Z305" s="1193">
        <v>122427</v>
      </c>
      <c r="AA305" s="1193">
        <v>8259317</v>
      </c>
      <c r="AB305" s="1193">
        <v>909778</v>
      </c>
      <c r="AC305" s="1193">
        <v>8403035</v>
      </c>
      <c r="AD305" s="1193">
        <v>892461</v>
      </c>
      <c r="AE305" s="1193">
        <v>1750564</v>
      </c>
      <c r="AF305" s="1193">
        <v>1189033</v>
      </c>
      <c r="AG305" s="1193">
        <v>2829208</v>
      </c>
      <c r="AH305" s="1193">
        <v>8634215</v>
      </c>
      <c r="AI305" s="1193">
        <v>4746583</v>
      </c>
      <c r="AJ305" s="1193">
        <v>611487</v>
      </c>
      <c r="AK305" s="1193">
        <v>7331940</v>
      </c>
      <c r="AL305" s="1193">
        <v>2320063</v>
      </c>
      <c r="AM305" s="1193">
        <v>710648</v>
      </c>
      <c r="AN305" s="1193">
        <v>0</v>
      </c>
      <c r="AO305" s="1193">
        <v>7037129</v>
      </c>
      <c r="AP305" s="1193">
        <v>0</v>
      </c>
      <c r="AQ305" s="1193">
        <v>241434</v>
      </c>
      <c r="AR305" s="1193">
        <v>49523</v>
      </c>
      <c r="AS305" s="1193">
        <v>3442878</v>
      </c>
      <c r="AT305" s="1193">
        <v>4381440</v>
      </c>
      <c r="AU305" s="1193">
        <v>484866</v>
      </c>
      <c r="AV305" s="1193">
        <v>705886</v>
      </c>
      <c r="AW305" s="1193">
        <v>0</v>
      </c>
      <c r="AX305" s="1193">
        <v>15755572</v>
      </c>
      <c r="AY305" s="1193">
        <v>967258</v>
      </c>
      <c r="AZ305" s="1193">
        <v>753011</v>
      </c>
      <c r="BA305" s="1193">
        <v>5699239</v>
      </c>
      <c r="BB305" s="1193">
        <v>2021379</v>
      </c>
      <c r="BC305" s="1193">
        <v>923133</v>
      </c>
      <c r="BD305" s="1193">
        <v>108917</v>
      </c>
      <c r="BE305" s="1193">
        <v>302885</v>
      </c>
      <c r="BF305" s="1193">
        <v>4865980</v>
      </c>
      <c r="BG305" s="1193">
        <v>495411</v>
      </c>
      <c r="BH305" s="1193">
        <v>672921</v>
      </c>
      <c r="BI305" s="1193">
        <v>0</v>
      </c>
      <c r="BJ305" s="1193">
        <v>305610</v>
      </c>
      <c r="BK305" s="1193">
        <v>299483</v>
      </c>
      <c r="BL305" s="1193">
        <v>235275</v>
      </c>
      <c r="BM305" s="1193">
        <v>1615474</v>
      </c>
      <c r="BN305" s="1193">
        <v>0</v>
      </c>
      <c r="BO305" s="1193">
        <v>-59794</v>
      </c>
      <c r="BP305" s="1193">
        <v>975186</v>
      </c>
      <c r="BQ305" s="1193">
        <v>866708</v>
      </c>
      <c r="BR305" s="1193">
        <v>1542802</v>
      </c>
      <c r="BS305" s="1193">
        <v>7305222</v>
      </c>
      <c r="BT305" s="1193">
        <v>302568</v>
      </c>
      <c r="BU305" s="1193">
        <v>17127697</v>
      </c>
      <c r="BV305" s="1193">
        <v>625499</v>
      </c>
      <c r="BW305" s="1193">
        <v>1834984</v>
      </c>
      <c r="BX305" s="1193">
        <v>940298</v>
      </c>
      <c r="BY305" s="1193">
        <v>0</v>
      </c>
      <c r="BZ305" s="1193">
        <v>1604289</v>
      </c>
      <c r="CA305" s="1193">
        <v>185856</v>
      </c>
      <c r="CB305" s="1193">
        <v>427632</v>
      </c>
      <c r="CC305" s="1148">
        <v>164604</v>
      </c>
      <c r="CD305" s="1148">
        <v>309980</v>
      </c>
      <c r="CE305" s="1148">
        <v>0</v>
      </c>
      <c r="CF305" s="1148">
        <v>352776</v>
      </c>
    </row>
    <row r="306" spans="1:84" s="1148" customFormat="1" x14ac:dyDescent="0.3">
      <c r="A306" s="1144">
        <v>647</v>
      </c>
      <c r="B306" s="1144">
        <v>647</v>
      </c>
      <c r="C306" s="1196"/>
      <c r="D306" s="1146"/>
      <c r="E306" s="1191"/>
      <c r="F306" s="1192">
        <v>0</v>
      </c>
      <c r="G306" s="1192">
        <v>0</v>
      </c>
      <c r="H306" s="1192">
        <v>0</v>
      </c>
      <c r="I306" s="1192">
        <v>0</v>
      </c>
      <c r="J306" s="1192">
        <v>0</v>
      </c>
      <c r="K306" s="1192">
        <v>0</v>
      </c>
      <c r="L306" s="1193">
        <v>0</v>
      </c>
      <c r="M306" s="1193">
        <v>0</v>
      </c>
      <c r="N306" s="1193">
        <v>0</v>
      </c>
      <c r="O306" s="1193">
        <v>0</v>
      </c>
      <c r="P306" s="1193">
        <v>0</v>
      </c>
      <c r="Q306" s="1193">
        <v>0</v>
      </c>
      <c r="R306" s="1193">
        <v>0</v>
      </c>
      <c r="S306" s="1193">
        <v>0</v>
      </c>
      <c r="T306" s="1193">
        <v>0</v>
      </c>
      <c r="U306" s="1193">
        <v>0</v>
      </c>
      <c r="V306" s="1193">
        <v>0</v>
      </c>
      <c r="W306" s="1193">
        <v>0</v>
      </c>
      <c r="X306" s="1193">
        <v>0</v>
      </c>
      <c r="Y306" s="1193">
        <v>0</v>
      </c>
      <c r="Z306" s="1193">
        <v>0</v>
      </c>
      <c r="AA306" s="1193">
        <v>0</v>
      </c>
      <c r="AB306" s="1193">
        <v>0</v>
      </c>
      <c r="AC306" s="1193">
        <v>0</v>
      </c>
      <c r="AD306" s="1193">
        <v>0</v>
      </c>
      <c r="AE306" s="1193">
        <v>0</v>
      </c>
      <c r="AF306" s="1193">
        <v>0</v>
      </c>
      <c r="AG306" s="1193">
        <v>0</v>
      </c>
      <c r="AH306" s="1193">
        <v>0</v>
      </c>
      <c r="AI306" s="1193">
        <v>0</v>
      </c>
      <c r="AJ306" s="1193">
        <v>0</v>
      </c>
      <c r="AK306" s="1193">
        <v>0</v>
      </c>
      <c r="AL306" s="1193">
        <v>0</v>
      </c>
      <c r="AM306" s="1193">
        <v>0</v>
      </c>
      <c r="AN306" s="1193">
        <v>0</v>
      </c>
      <c r="AO306" s="1193">
        <v>0</v>
      </c>
      <c r="AP306" s="1193">
        <v>0</v>
      </c>
      <c r="AQ306" s="1193">
        <v>0</v>
      </c>
      <c r="AR306" s="1193">
        <v>0</v>
      </c>
      <c r="AS306" s="1193">
        <v>0</v>
      </c>
      <c r="AT306" s="1193">
        <v>0</v>
      </c>
      <c r="AU306" s="1193">
        <v>0</v>
      </c>
      <c r="AV306" s="1193">
        <v>0</v>
      </c>
      <c r="AW306" s="1193">
        <v>0</v>
      </c>
      <c r="AX306" s="1193">
        <v>0</v>
      </c>
      <c r="AY306" s="1193">
        <v>0</v>
      </c>
      <c r="AZ306" s="1193">
        <v>0</v>
      </c>
      <c r="BA306" s="1193">
        <v>0</v>
      </c>
      <c r="BB306" s="1193">
        <v>0</v>
      </c>
      <c r="BC306" s="1193">
        <v>0</v>
      </c>
      <c r="BD306" s="1193">
        <v>0</v>
      </c>
      <c r="BE306" s="1193">
        <v>0</v>
      </c>
      <c r="BF306" s="1193">
        <v>0</v>
      </c>
      <c r="BG306" s="1193">
        <v>0</v>
      </c>
      <c r="BH306" s="1193">
        <v>0</v>
      </c>
      <c r="BI306" s="1193">
        <v>0</v>
      </c>
      <c r="BJ306" s="1193">
        <v>0</v>
      </c>
      <c r="BK306" s="1193">
        <v>0</v>
      </c>
      <c r="BL306" s="1193">
        <v>0</v>
      </c>
      <c r="BM306" s="1193">
        <v>0</v>
      </c>
      <c r="BN306" s="1193">
        <v>0</v>
      </c>
      <c r="BO306" s="1193">
        <v>0</v>
      </c>
      <c r="BP306" s="1193">
        <v>0</v>
      </c>
      <c r="BQ306" s="1193">
        <v>0</v>
      </c>
      <c r="BR306" s="1193">
        <v>0</v>
      </c>
      <c r="BS306" s="1193">
        <v>0</v>
      </c>
      <c r="BT306" s="1193">
        <v>0</v>
      </c>
      <c r="BU306" s="1193">
        <v>0</v>
      </c>
      <c r="BV306" s="1193">
        <v>0</v>
      </c>
      <c r="BW306" s="1193">
        <v>0</v>
      </c>
      <c r="BX306" s="1193">
        <v>0</v>
      </c>
      <c r="BY306" s="1193">
        <v>0</v>
      </c>
      <c r="BZ306" s="1193">
        <v>0</v>
      </c>
      <c r="CA306" s="1193">
        <v>0</v>
      </c>
      <c r="CB306" s="1193">
        <v>0</v>
      </c>
      <c r="CC306" s="1148">
        <v>0</v>
      </c>
      <c r="CD306" s="1148">
        <v>0</v>
      </c>
      <c r="CE306" s="1148">
        <v>0</v>
      </c>
      <c r="CF306" s="1148">
        <v>0</v>
      </c>
    </row>
    <row r="307" spans="1:84" s="1148" customFormat="1" x14ac:dyDescent="0.3">
      <c r="A307" s="1144">
        <v>654</v>
      </c>
      <c r="B307" s="1144">
        <v>654</v>
      </c>
      <c r="C307" s="1196"/>
      <c r="D307" s="1146"/>
      <c r="E307" s="1191"/>
      <c r="F307" s="1192">
        <v>0</v>
      </c>
      <c r="G307" s="1192">
        <v>0</v>
      </c>
      <c r="H307" s="1192">
        <v>754705</v>
      </c>
      <c r="I307" s="1192">
        <v>0</v>
      </c>
      <c r="J307" s="1192">
        <v>0</v>
      </c>
      <c r="K307" s="1192">
        <v>0</v>
      </c>
      <c r="L307" s="1193">
        <v>61473</v>
      </c>
      <c r="M307" s="1193">
        <v>0</v>
      </c>
      <c r="N307" s="1193">
        <v>0</v>
      </c>
      <c r="O307" s="1193">
        <v>0</v>
      </c>
      <c r="P307" s="1193">
        <v>0</v>
      </c>
      <c r="Q307" s="1193">
        <v>1156870</v>
      </c>
      <c r="R307" s="1193">
        <v>0</v>
      </c>
      <c r="S307" s="1193">
        <v>49238002</v>
      </c>
      <c r="T307" s="1193">
        <v>0</v>
      </c>
      <c r="U307" s="1193">
        <v>0</v>
      </c>
      <c r="V307" s="1193">
        <v>63270446</v>
      </c>
      <c r="W307" s="1193">
        <v>9097372</v>
      </c>
      <c r="X307" s="1193">
        <v>17211309</v>
      </c>
      <c r="Y307" s="1193">
        <v>0</v>
      </c>
      <c r="Z307" s="1193">
        <v>330702</v>
      </c>
      <c r="AA307" s="1193">
        <v>5702388</v>
      </c>
      <c r="AB307" s="1193">
        <v>2179856</v>
      </c>
      <c r="AC307" s="1193">
        <v>16630857</v>
      </c>
      <c r="AD307" s="1193">
        <v>1476191</v>
      </c>
      <c r="AE307" s="1193">
        <v>1066228</v>
      </c>
      <c r="AF307" s="1193">
        <v>960341</v>
      </c>
      <c r="AG307" s="1193">
        <v>2666332</v>
      </c>
      <c r="AH307" s="1193">
        <v>4116692</v>
      </c>
      <c r="AI307" s="1193">
        <v>2402428</v>
      </c>
      <c r="AJ307" s="1193">
        <v>212747</v>
      </c>
      <c r="AK307" s="1193">
        <v>21285892</v>
      </c>
      <c r="AL307" s="1193">
        <v>859197</v>
      </c>
      <c r="AM307" s="1193">
        <v>419188</v>
      </c>
      <c r="AN307" s="1193">
        <v>0</v>
      </c>
      <c r="AO307" s="1193">
        <v>3919742</v>
      </c>
      <c r="AP307" s="1193">
        <v>0</v>
      </c>
      <c r="AQ307" s="1193">
        <v>225717</v>
      </c>
      <c r="AR307" s="1193">
        <v>0</v>
      </c>
      <c r="AS307" s="1193">
        <v>0</v>
      </c>
      <c r="AT307" s="1193">
        <v>4678321</v>
      </c>
      <c r="AU307" s="1193">
        <v>0</v>
      </c>
      <c r="AV307" s="1193">
        <v>884453</v>
      </c>
      <c r="AW307" s="1193">
        <v>0</v>
      </c>
      <c r="AX307" s="1193">
        <v>34343394</v>
      </c>
      <c r="AY307" s="1193">
        <v>0</v>
      </c>
      <c r="AZ307" s="1193">
        <v>2085453</v>
      </c>
      <c r="BA307" s="1193">
        <v>5693974</v>
      </c>
      <c r="BB307" s="1193">
        <v>995773</v>
      </c>
      <c r="BC307" s="1193">
        <v>241496</v>
      </c>
      <c r="BD307" s="1193">
        <v>0</v>
      </c>
      <c r="BE307" s="1193">
        <v>206202</v>
      </c>
      <c r="BF307" s="1193">
        <v>14629569</v>
      </c>
      <c r="BG307" s="1193">
        <v>0</v>
      </c>
      <c r="BH307" s="1193">
        <v>125653</v>
      </c>
      <c r="BI307" s="1193">
        <v>109643</v>
      </c>
      <c r="BJ307" s="1193">
        <v>0</v>
      </c>
      <c r="BK307" s="1193">
        <v>290155</v>
      </c>
      <c r="BL307" s="1193">
        <v>0</v>
      </c>
      <c r="BM307" s="1193">
        <v>3088701</v>
      </c>
      <c r="BN307" s="1193">
        <v>0</v>
      </c>
      <c r="BO307" s="1193">
        <v>720329</v>
      </c>
      <c r="BP307" s="1193">
        <v>1076856</v>
      </c>
      <c r="BQ307" s="1193">
        <v>808310</v>
      </c>
      <c r="BR307" s="1193">
        <v>1053646</v>
      </c>
      <c r="BS307" s="1193">
        <v>0</v>
      </c>
      <c r="BT307" s="1193">
        <v>413448</v>
      </c>
      <c r="BU307" s="1193">
        <v>0</v>
      </c>
      <c r="BV307" s="1193">
        <v>730280</v>
      </c>
      <c r="BW307" s="1193">
        <v>4964124</v>
      </c>
      <c r="BX307" s="1193">
        <v>0</v>
      </c>
      <c r="BY307" s="1193">
        <v>0</v>
      </c>
      <c r="BZ307" s="1193">
        <v>1271973</v>
      </c>
      <c r="CA307" s="1193">
        <v>16292</v>
      </c>
      <c r="CB307" s="1193">
        <v>304044</v>
      </c>
      <c r="CC307" s="1148">
        <v>41206</v>
      </c>
      <c r="CD307" s="1148">
        <v>509360</v>
      </c>
      <c r="CE307" s="1148">
        <v>0</v>
      </c>
      <c r="CF307" s="1148">
        <v>14151</v>
      </c>
    </row>
    <row r="308" spans="1:84" s="1148" customFormat="1" x14ac:dyDescent="0.3">
      <c r="A308" s="1144">
        <v>655</v>
      </c>
      <c r="B308" s="1144">
        <v>655</v>
      </c>
      <c r="C308" s="1196"/>
      <c r="D308" s="1146"/>
      <c r="E308" s="1191"/>
      <c r="F308" s="1192">
        <v>0</v>
      </c>
      <c r="G308" s="1192">
        <v>0</v>
      </c>
      <c r="H308" s="1192">
        <v>65902</v>
      </c>
      <c r="I308" s="1192">
        <v>0</v>
      </c>
      <c r="J308" s="1192">
        <v>0</v>
      </c>
      <c r="K308" s="1192">
        <v>0</v>
      </c>
      <c r="L308" s="1193">
        <v>2751</v>
      </c>
      <c r="M308" s="1193">
        <v>0</v>
      </c>
      <c r="N308" s="1193">
        <v>0</v>
      </c>
      <c r="O308" s="1193">
        <v>0</v>
      </c>
      <c r="P308" s="1193">
        <v>0</v>
      </c>
      <c r="Q308" s="1193">
        <v>119530</v>
      </c>
      <c r="R308" s="1193">
        <v>0</v>
      </c>
      <c r="S308" s="1193">
        <v>1162146</v>
      </c>
      <c r="T308" s="1193">
        <v>0</v>
      </c>
      <c r="U308" s="1193">
        <v>0</v>
      </c>
      <c r="V308" s="1193">
        <v>17842148</v>
      </c>
      <c r="W308" s="1193">
        <v>127119</v>
      </c>
      <c r="X308" s="1193">
        <v>226255</v>
      </c>
      <c r="Y308" s="1193">
        <v>0</v>
      </c>
      <c r="Z308" s="1193">
        <v>0</v>
      </c>
      <c r="AA308" s="1193">
        <v>49390</v>
      </c>
      <c r="AB308" s="1193">
        <v>515244</v>
      </c>
      <c r="AC308" s="1193">
        <v>2049711</v>
      </c>
      <c r="AD308" s="1193">
        <v>190392</v>
      </c>
      <c r="AE308" s="1193">
        <v>105050</v>
      </c>
      <c r="AF308" s="1193">
        <v>125740</v>
      </c>
      <c r="AG308" s="1193">
        <v>113018</v>
      </c>
      <c r="AH308" s="1193">
        <v>472431</v>
      </c>
      <c r="AI308" s="1193">
        <v>166001</v>
      </c>
      <c r="AJ308" s="1193">
        <v>0</v>
      </c>
      <c r="AK308" s="1193">
        <v>0</v>
      </c>
      <c r="AL308" s="1193">
        <v>13502</v>
      </c>
      <c r="AM308" s="1193">
        <v>13200</v>
      </c>
      <c r="AN308" s="1193">
        <v>0</v>
      </c>
      <c r="AO308" s="1193">
        <v>158793</v>
      </c>
      <c r="AP308" s="1193">
        <v>0</v>
      </c>
      <c r="AQ308" s="1193">
        <v>89243</v>
      </c>
      <c r="AR308" s="1193">
        <v>0</v>
      </c>
      <c r="AS308" s="1193">
        <v>0</v>
      </c>
      <c r="AT308" s="1193">
        <v>74701</v>
      </c>
      <c r="AU308" s="1193">
        <v>0</v>
      </c>
      <c r="AV308" s="1193">
        <v>0</v>
      </c>
      <c r="AW308" s="1193">
        <v>0</v>
      </c>
      <c r="AX308" s="1193">
        <v>0</v>
      </c>
      <c r="AY308" s="1193">
        <v>0</v>
      </c>
      <c r="AZ308" s="1193">
        <v>23468</v>
      </c>
      <c r="BA308" s="1193">
        <v>0</v>
      </c>
      <c r="BB308" s="1193">
        <v>31710</v>
      </c>
      <c r="BC308" s="1193">
        <v>24857</v>
      </c>
      <c r="BD308" s="1193">
        <v>0</v>
      </c>
      <c r="BE308" s="1193">
        <v>9135</v>
      </c>
      <c r="BF308" s="1193">
        <v>0</v>
      </c>
      <c r="BG308" s="1193">
        <v>0</v>
      </c>
      <c r="BH308" s="1193">
        <v>0</v>
      </c>
      <c r="BI308" s="1193">
        <v>5856</v>
      </c>
      <c r="BJ308" s="1193">
        <v>0</v>
      </c>
      <c r="BK308" s="1193">
        <v>20790</v>
      </c>
      <c r="BL308" s="1193">
        <v>0</v>
      </c>
      <c r="BM308" s="1193">
        <v>0</v>
      </c>
      <c r="BN308" s="1193">
        <v>0</v>
      </c>
      <c r="BO308" s="1193">
        <v>39807</v>
      </c>
      <c r="BP308" s="1193">
        <v>3858</v>
      </c>
      <c r="BQ308" s="1193">
        <v>110165</v>
      </c>
      <c r="BR308" s="1193">
        <v>80037</v>
      </c>
      <c r="BS308" s="1193">
        <v>0</v>
      </c>
      <c r="BT308" s="1193">
        <v>48685</v>
      </c>
      <c r="BU308" s="1193">
        <v>0</v>
      </c>
      <c r="BV308" s="1193">
        <v>64042</v>
      </c>
      <c r="BW308" s="1193">
        <v>175724</v>
      </c>
      <c r="BX308" s="1193">
        <v>0</v>
      </c>
      <c r="BY308" s="1193">
        <v>0</v>
      </c>
      <c r="BZ308" s="1193">
        <v>37161</v>
      </c>
      <c r="CA308" s="1193">
        <v>0</v>
      </c>
      <c r="CB308" s="1193">
        <v>42294</v>
      </c>
      <c r="CC308" s="1148">
        <v>11087</v>
      </c>
      <c r="CD308" s="1148">
        <v>101429</v>
      </c>
      <c r="CE308" s="1148">
        <v>0</v>
      </c>
      <c r="CF308" s="1148">
        <v>0</v>
      </c>
    </row>
    <row r="309" spans="1:84" s="1148" customFormat="1" x14ac:dyDescent="0.3">
      <c r="A309" s="1144">
        <v>656</v>
      </c>
      <c r="B309" s="1144">
        <v>656</v>
      </c>
      <c r="C309" s="1196"/>
      <c r="D309" s="1146"/>
      <c r="E309" s="1191"/>
      <c r="F309" s="1192">
        <v>0</v>
      </c>
      <c r="G309" s="1192">
        <v>2</v>
      </c>
      <c r="H309" s="1192">
        <v>0</v>
      </c>
      <c r="I309" s="1192">
        <v>2</v>
      </c>
      <c r="J309" s="1192">
        <v>0</v>
      </c>
      <c r="K309" s="1192">
        <v>0</v>
      </c>
      <c r="L309" s="1193">
        <v>0</v>
      </c>
      <c r="M309" s="1193">
        <v>0</v>
      </c>
      <c r="N309" s="1193">
        <v>2</v>
      </c>
      <c r="O309" s="1193">
        <v>2</v>
      </c>
      <c r="P309" s="1193">
        <v>2</v>
      </c>
      <c r="Q309" s="1193">
        <v>2</v>
      </c>
      <c r="R309" s="1193">
        <v>2</v>
      </c>
      <c r="S309" s="1193">
        <v>2</v>
      </c>
      <c r="T309" s="1193">
        <v>0</v>
      </c>
      <c r="U309" s="1193">
        <v>2</v>
      </c>
      <c r="V309" s="1193">
        <v>2</v>
      </c>
      <c r="W309" s="1193">
        <v>2</v>
      </c>
      <c r="X309" s="1193">
        <v>0</v>
      </c>
      <c r="Y309" s="1193">
        <v>2</v>
      </c>
      <c r="Z309" s="1193">
        <v>0</v>
      </c>
      <c r="AA309" s="1193">
        <v>2</v>
      </c>
      <c r="AB309" s="1193">
        <v>2</v>
      </c>
      <c r="AC309" s="1193">
        <v>2</v>
      </c>
      <c r="AD309" s="1193">
        <v>2</v>
      </c>
      <c r="AE309" s="1193">
        <v>1</v>
      </c>
      <c r="AF309" s="1193">
        <v>0</v>
      </c>
      <c r="AG309" s="1193">
        <v>2</v>
      </c>
      <c r="AH309" s="1193">
        <v>2</v>
      </c>
      <c r="AI309" s="1193">
        <v>0</v>
      </c>
      <c r="AJ309" s="1193">
        <v>0</v>
      </c>
      <c r="AK309" s="1193">
        <v>0</v>
      </c>
      <c r="AL309" s="1193">
        <v>2</v>
      </c>
      <c r="AM309" s="1193">
        <v>2</v>
      </c>
      <c r="AN309" s="1193">
        <v>0</v>
      </c>
      <c r="AO309" s="1193">
        <v>2</v>
      </c>
      <c r="AP309" s="1193">
        <v>0</v>
      </c>
      <c r="AQ309" s="1193">
        <v>0</v>
      </c>
      <c r="AR309" s="1193">
        <v>2</v>
      </c>
      <c r="AS309" s="1193">
        <v>0</v>
      </c>
      <c r="AT309" s="1193">
        <v>0</v>
      </c>
      <c r="AU309" s="1193">
        <v>2</v>
      </c>
      <c r="AV309" s="1193">
        <v>0</v>
      </c>
      <c r="AW309" s="1193">
        <v>0</v>
      </c>
      <c r="AX309" s="1193">
        <v>2</v>
      </c>
      <c r="AY309" s="1193">
        <v>2</v>
      </c>
      <c r="AZ309" s="1193">
        <v>2</v>
      </c>
      <c r="BA309" s="1193">
        <v>2</v>
      </c>
      <c r="BB309" s="1193">
        <v>2</v>
      </c>
      <c r="BC309" s="1193">
        <v>2</v>
      </c>
      <c r="BD309" s="1193">
        <v>0</v>
      </c>
      <c r="BE309" s="1193">
        <v>0</v>
      </c>
      <c r="BF309" s="1193">
        <v>0</v>
      </c>
      <c r="BG309" s="1193">
        <v>2</v>
      </c>
      <c r="BH309" s="1193">
        <v>2</v>
      </c>
      <c r="BI309" s="1193">
        <v>2</v>
      </c>
      <c r="BJ309" s="1193">
        <v>2</v>
      </c>
      <c r="BK309" s="1193">
        <v>2</v>
      </c>
      <c r="BL309" s="1193">
        <v>2</v>
      </c>
      <c r="BM309" s="1193">
        <v>2</v>
      </c>
      <c r="BN309" s="1193">
        <v>0</v>
      </c>
      <c r="BO309" s="1193">
        <v>2</v>
      </c>
      <c r="BP309" s="1193">
        <v>0</v>
      </c>
      <c r="BQ309" s="1193">
        <v>2</v>
      </c>
      <c r="BR309" s="1193">
        <v>0</v>
      </c>
      <c r="BS309" s="1193">
        <v>2</v>
      </c>
      <c r="BT309" s="1193">
        <v>2</v>
      </c>
      <c r="BU309" s="1193">
        <v>2</v>
      </c>
      <c r="BV309" s="1193">
        <v>2</v>
      </c>
      <c r="BW309" s="1193">
        <v>2</v>
      </c>
      <c r="BX309" s="1193">
        <v>2</v>
      </c>
      <c r="BY309" s="1193">
        <v>0</v>
      </c>
      <c r="BZ309" s="1193">
        <v>0</v>
      </c>
      <c r="CA309" s="1193">
        <v>2</v>
      </c>
      <c r="CB309" s="1193">
        <v>2</v>
      </c>
      <c r="CC309" s="1148">
        <v>2</v>
      </c>
      <c r="CD309" s="1148">
        <v>2</v>
      </c>
      <c r="CE309" s="1148">
        <v>0</v>
      </c>
      <c r="CF309" s="1148">
        <v>2</v>
      </c>
    </row>
    <row r="310" spans="1:84" s="1148" customFormat="1" x14ac:dyDescent="0.3">
      <c r="A310" s="1144">
        <v>657</v>
      </c>
      <c r="B310" s="1144">
        <v>657</v>
      </c>
      <c r="C310" s="1196"/>
      <c r="D310" s="1146"/>
      <c r="E310" s="1191"/>
      <c r="F310" s="1192">
        <v>0</v>
      </c>
      <c r="G310" s="1192">
        <v>0</v>
      </c>
      <c r="H310" s="1192">
        <v>0</v>
      </c>
      <c r="I310" s="1192">
        <v>0</v>
      </c>
      <c r="J310" s="1192">
        <v>0</v>
      </c>
      <c r="K310" s="1192">
        <v>0</v>
      </c>
      <c r="L310" s="1193">
        <v>0</v>
      </c>
      <c r="M310" s="1193">
        <v>0</v>
      </c>
      <c r="N310" s="1193">
        <v>0</v>
      </c>
      <c r="O310" s="1193">
        <v>0</v>
      </c>
      <c r="P310" s="1193">
        <v>0</v>
      </c>
      <c r="Q310" s="1193">
        <v>0</v>
      </c>
      <c r="R310" s="1193">
        <v>0</v>
      </c>
      <c r="S310" s="1193">
        <v>79003689</v>
      </c>
      <c r="T310" s="1193">
        <v>0</v>
      </c>
      <c r="U310" s="1193">
        <v>0</v>
      </c>
      <c r="V310" s="1193">
        <v>0</v>
      </c>
      <c r="W310" s="1193">
        <v>0</v>
      </c>
      <c r="X310" s="1193">
        <v>20281449</v>
      </c>
      <c r="Y310" s="1193">
        <v>0</v>
      </c>
      <c r="Z310" s="1193">
        <v>0</v>
      </c>
      <c r="AA310" s="1193">
        <v>0</v>
      </c>
      <c r="AB310" s="1193">
        <v>0</v>
      </c>
      <c r="AC310" s="1193">
        <v>0</v>
      </c>
      <c r="AD310" s="1193">
        <v>0</v>
      </c>
      <c r="AE310" s="1193">
        <v>0</v>
      </c>
      <c r="AF310" s="1193">
        <v>0</v>
      </c>
      <c r="AG310" s="1193">
        <v>0</v>
      </c>
      <c r="AH310" s="1193">
        <v>0</v>
      </c>
      <c r="AI310" s="1193">
        <v>0</v>
      </c>
      <c r="AJ310" s="1193">
        <v>0</v>
      </c>
      <c r="AK310" s="1193">
        <v>28714349</v>
      </c>
      <c r="AL310" s="1193">
        <v>0</v>
      </c>
      <c r="AM310" s="1193">
        <v>0</v>
      </c>
      <c r="AN310" s="1193">
        <v>0</v>
      </c>
      <c r="AO310" s="1193">
        <v>11207353</v>
      </c>
      <c r="AP310" s="1193">
        <v>0</v>
      </c>
      <c r="AQ310" s="1193">
        <v>0</v>
      </c>
      <c r="AR310" s="1193">
        <v>0</v>
      </c>
      <c r="AS310" s="1193">
        <v>0</v>
      </c>
      <c r="AT310" s="1193">
        <v>0</v>
      </c>
      <c r="AU310" s="1193">
        <v>0</v>
      </c>
      <c r="AV310" s="1193">
        <v>0</v>
      </c>
      <c r="AW310" s="1193">
        <v>0</v>
      </c>
      <c r="AX310" s="1193">
        <v>0</v>
      </c>
      <c r="AY310" s="1193">
        <v>0</v>
      </c>
      <c r="AZ310" s="1193">
        <v>0</v>
      </c>
      <c r="BA310" s="1193">
        <v>0</v>
      </c>
      <c r="BB310" s="1193">
        <v>0</v>
      </c>
      <c r="BC310" s="1193">
        <v>0</v>
      </c>
      <c r="BD310" s="1193">
        <v>0</v>
      </c>
      <c r="BE310" s="1193">
        <v>0</v>
      </c>
      <c r="BF310" s="1193">
        <v>0</v>
      </c>
      <c r="BG310" s="1193">
        <v>0</v>
      </c>
      <c r="BH310" s="1193">
        <v>0</v>
      </c>
      <c r="BI310" s="1193">
        <v>0</v>
      </c>
      <c r="BJ310" s="1193">
        <v>0</v>
      </c>
      <c r="BK310" s="1193">
        <v>0</v>
      </c>
      <c r="BL310" s="1193">
        <v>0</v>
      </c>
      <c r="BM310" s="1193">
        <v>0</v>
      </c>
      <c r="BN310" s="1193">
        <v>0</v>
      </c>
      <c r="BO310" s="1193">
        <v>0</v>
      </c>
      <c r="BP310" s="1193">
        <v>0</v>
      </c>
      <c r="BQ310" s="1193">
        <v>0</v>
      </c>
      <c r="BR310" s="1193">
        <v>0</v>
      </c>
      <c r="BS310" s="1193">
        <v>0</v>
      </c>
      <c r="BT310" s="1193">
        <v>1204002</v>
      </c>
      <c r="BU310" s="1193">
        <v>6441886</v>
      </c>
      <c r="BV310" s="1193">
        <v>0</v>
      </c>
      <c r="BW310" s="1193">
        <v>0</v>
      </c>
      <c r="BX310" s="1193">
        <v>0</v>
      </c>
      <c r="BY310" s="1193">
        <v>0</v>
      </c>
      <c r="BZ310" s="1193">
        <v>0</v>
      </c>
      <c r="CA310" s="1193">
        <v>0</v>
      </c>
      <c r="CB310" s="1193">
        <v>0</v>
      </c>
      <c r="CC310" s="1148">
        <v>0</v>
      </c>
      <c r="CD310" s="1148">
        <v>0</v>
      </c>
      <c r="CE310" s="1148">
        <v>0</v>
      </c>
      <c r="CF310" s="1148">
        <v>0</v>
      </c>
    </row>
    <row r="311" spans="1:84" s="1148" customFormat="1" x14ac:dyDescent="0.3">
      <c r="A311" s="1144">
        <v>658</v>
      </c>
      <c r="B311" s="1144">
        <v>658</v>
      </c>
      <c r="C311" s="1196"/>
      <c r="D311" s="1146"/>
      <c r="E311" s="1191"/>
      <c r="F311" s="1192">
        <v>0</v>
      </c>
      <c r="G311" s="1192">
        <v>0</v>
      </c>
      <c r="H311" s="1192">
        <v>0</v>
      </c>
      <c r="I311" s="1192">
        <v>0</v>
      </c>
      <c r="J311" s="1192">
        <v>0</v>
      </c>
      <c r="K311" s="1192">
        <v>0</v>
      </c>
      <c r="L311" s="1193">
        <v>0</v>
      </c>
      <c r="M311" s="1193">
        <v>0</v>
      </c>
      <c r="N311" s="1193">
        <v>0</v>
      </c>
      <c r="O311" s="1193">
        <v>0</v>
      </c>
      <c r="P311" s="1193">
        <v>0</v>
      </c>
      <c r="Q311" s="1193">
        <v>0</v>
      </c>
      <c r="R311" s="1193">
        <v>0</v>
      </c>
      <c r="S311" s="1193">
        <v>0</v>
      </c>
      <c r="T311" s="1193">
        <v>0</v>
      </c>
      <c r="U311" s="1193">
        <v>0</v>
      </c>
      <c r="V311" s="1193">
        <v>0</v>
      </c>
      <c r="W311" s="1193">
        <v>0</v>
      </c>
      <c r="X311" s="1193">
        <v>609447</v>
      </c>
      <c r="Y311" s="1193">
        <v>0</v>
      </c>
      <c r="Z311" s="1193">
        <v>0</v>
      </c>
      <c r="AA311" s="1193">
        <v>0</v>
      </c>
      <c r="AB311" s="1193">
        <v>0</v>
      </c>
      <c r="AC311" s="1193">
        <v>0</v>
      </c>
      <c r="AD311" s="1193">
        <v>0</v>
      </c>
      <c r="AE311" s="1193">
        <v>0</v>
      </c>
      <c r="AF311" s="1193">
        <v>0</v>
      </c>
      <c r="AG311" s="1193">
        <v>0</v>
      </c>
      <c r="AH311" s="1193">
        <v>0</v>
      </c>
      <c r="AI311" s="1193">
        <v>0</v>
      </c>
      <c r="AJ311" s="1193">
        <v>0</v>
      </c>
      <c r="AK311" s="1193">
        <v>2523132</v>
      </c>
      <c r="AL311" s="1193">
        <v>0</v>
      </c>
      <c r="AM311" s="1193">
        <v>0</v>
      </c>
      <c r="AN311" s="1193">
        <v>0</v>
      </c>
      <c r="AO311" s="1193">
        <v>384638</v>
      </c>
      <c r="AP311" s="1193">
        <v>0</v>
      </c>
      <c r="AQ311" s="1193">
        <v>0</v>
      </c>
      <c r="AR311" s="1193">
        <v>0</v>
      </c>
      <c r="AS311" s="1193">
        <v>0</v>
      </c>
      <c r="AT311" s="1193">
        <v>0</v>
      </c>
      <c r="AU311" s="1193">
        <v>0</v>
      </c>
      <c r="AV311" s="1193">
        <v>0</v>
      </c>
      <c r="AW311" s="1193">
        <v>0</v>
      </c>
      <c r="AX311" s="1193">
        <v>0</v>
      </c>
      <c r="AY311" s="1193">
        <v>0</v>
      </c>
      <c r="AZ311" s="1193">
        <v>0</v>
      </c>
      <c r="BA311" s="1193">
        <v>0</v>
      </c>
      <c r="BB311" s="1193">
        <v>0</v>
      </c>
      <c r="BC311" s="1193">
        <v>0</v>
      </c>
      <c r="BD311" s="1193">
        <v>0</v>
      </c>
      <c r="BE311" s="1193">
        <v>0</v>
      </c>
      <c r="BF311" s="1193">
        <v>0</v>
      </c>
      <c r="BG311" s="1193">
        <v>0</v>
      </c>
      <c r="BH311" s="1193">
        <v>0</v>
      </c>
      <c r="BI311" s="1193">
        <v>0</v>
      </c>
      <c r="BJ311" s="1193">
        <v>0</v>
      </c>
      <c r="BK311" s="1193">
        <v>0</v>
      </c>
      <c r="BL311" s="1193">
        <v>0</v>
      </c>
      <c r="BM311" s="1193">
        <v>0</v>
      </c>
      <c r="BN311" s="1193">
        <v>0</v>
      </c>
      <c r="BO311" s="1193">
        <v>0</v>
      </c>
      <c r="BP311" s="1193">
        <v>0</v>
      </c>
      <c r="BQ311" s="1193">
        <v>0</v>
      </c>
      <c r="BR311" s="1193">
        <v>0</v>
      </c>
      <c r="BS311" s="1193">
        <v>0</v>
      </c>
      <c r="BT311" s="1193">
        <v>83873</v>
      </c>
      <c r="BU311" s="1193">
        <v>242675</v>
      </c>
      <c r="BV311" s="1193">
        <v>0</v>
      </c>
      <c r="BW311" s="1193">
        <v>0</v>
      </c>
      <c r="BX311" s="1193">
        <v>0</v>
      </c>
      <c r="BY311" s="1193">
        <v>0</v>
      </c>
      <c r="BZ311" s="1193">
        <v>0</v>
      </c>
      <c r="CA311" s="1193">
        <v>0</v>
      </c>
      <c r="CB311" s="1193">
        <v>0</v>
      </c>
      <c r="CC311" s="1148">
        <v>0</v>
      </c>
      <c r="CD311" s="1148">
        <v>0</v>
      </c>
      <c r="CE311" s="1148">
        <v>0</v>
      </c>
      <c r="CF311" s="1148">
        <v>0</v>
      </c>
    </row>
    <row r="312" spans="1:84" s="1148" customFormat="1" x14ac:dyDescent="0.3">
      <c r="A312" s="1144">
        <v>659</v>
      </c>
      <c r="B312" s="1144">
        <v>659</v>
      </c>
      <c r="C312" s="1196"/>
      <c r="D312" s="1146"/>
      <c r="E312" s="1191"/>
      <c r="F312" s="1192">
        <v>0</v>
      </c>
      <c r="G312" s="1192">
        <v>0</v>
      </c>
      <c r="H312" s="1192">
        <v>0</v>
      </c>
      <c r="I312" s="1192">
        <v>0</v>
      </c>
      <c r="J312" s="1192">
        <v>0</v>
      </c>
      <c r="K312" s="1192">
        <v>0</v>
      </c>
      <c r="L312" s="1193">
        <v>0</v>
      </c>
      <c r="M312" s="1193">
        <v>0</v>
      </c>
      <c r="N312" s="1193">
        <v>0</v>
      </c>
      <c r="O312" s="1193">
        <v>0</v>
      </c>
      <c r="P312" s="1193">
        <v>0</v>
      </c>
      <c r="Q312" s="1193">
        <v>95524</v>
      </c>
      <c r="R312" s="1193">
        <v>0</v>
      </c>
      <c r="S312" s="1193">
        <v>39351686</v>
      </c>
      <c r="T312" s="1193">
        <v>0</v>
      </c>
      <c r="U312" s="1193">
        <v>0</v>
      </c>
      <c r="V312" s="1193">
        <v>52201440</v>
      </c>
      <c r="W312" s="1193">
        <v>3381262</v>
      </c>
      <c r="X312" s="1193">
        <v>18804069</v>
      </c>
      <c r="Y312" s="1193">
        <v>5564164</v>
      </c>
      <c r="Z312" s="1193">
        <v>0</v>
      </c>
      <c r="AA312" s="1193">
        <v>0</v>
      </c>
      <c r="AB312" s="1193">
        <v>0</v>
      </c>
      <c r="AC312" s="1193">
        <v>4653797</v>
      </c>
      <c r="AD312" s="1193">
        <v>0</v>
      </c>
      <c r="AE312" s="1193">
        <v>6918</v>
      </c>
      <c r="AF312" s="1193">
        <v>0</v>
      </c>
      <c r="AG312" s="1193">
        <v>0</v>
      </c>
      <c r="AH312" s="1193">
        <v>4258859</v>
      </c>
      <c r="AI312" s="1193">
        <v>752576</v>
      </c>
      <c r="AJ312" s="1193">
        <v>0</v>
      </c>
      <c r="AK312" s="1193">
        <v>35387577</v>
      </c>
      <c r="AL312" s="1193">
        <v>0</v>
      </c>
      <c r="AM312" s="1193">
        <v>0</v>
      </c>
      <c r="AN312" s="1193">
        <v>0</v>
      </c>
      <c r="AO312" s="1193">
        <v>1178864</v>
      </c>
      <c r="AP312" s="1193">
        <v>0</v>
      </c>
      <c r="AQ312" s="1193">
        <v>0</v>
      </c>
      <c r="AR312" s="1193">
        <v>0</v>
      </c>
      <c r="AS312" s="1193">
        <v>0</v>
      </c>
      <c r="AT312" s="1193">
        <v>1586365</v>
      </c>
      <c r="AU312" s="1193">
        <v>0</v>
      </c>
      <c r="AV312" s="1193">
        <v>241594</v>
      </c>
      <c r="AW312" s="1193">
        <v>0</v>
      </c>
      <c r="AX312" s="1193">
        <v>4014582</v>
      </c>
      <c r="AY312" s="1193">
        <v>0</v>
      </c>
      <c r="AZ312" s="1193">
        <v>0</v>
      </c>
      <c r="BA312" s="1193">
        <v>0</v>
      </c>
      <c r="BB312" s="1193">
        <v>0</v>
      </c>
      <c r="BC312" s="1193">
        <v>0</v>
      </c>
      <c r="BD312" s="1193">
        <v>0</v>
      </c>
      <c r="BE312" s="1193">
        <v>0</v>
      </c>
      <c r="BF312" s="1193">
        <v>5965835</v>
      </c>
      <c r="BG312" s="1193">
        <v>0</v>
      </c>
      <c r="BH312" s="1193">
        <v>0</v>
      </c>
      <c r="BI312" s="1193">
        <v>0</v>
      </c>
      <c r="BJ312" s="1193">
        <v>0</v>
      </c>
      <c r="BK312" s="1193">
        <v>0</v>
      </c>
      <c r="BL312" s="1193">
        <v>0</v>
      </c>
      <c r="BM312" s="1193">
        <v>2010163</v>
      </c>
      <c r="BN312" s="1193">
        <v>0</v>
      </c>
      <c r="BO312" s="1193">
        <v>0</v>
      </c>
      <c r="BP312" s="1193">
        <v>0</v>
      </c>
      <c r="BQ312" s="1193">
        <v>0</v>
      </c>
      <c r="BR312" s="1193">
        <v>0</v>
      </c>
      <c r="BS312" s="1193">
        <v>0</v>
      </c>
      <c r="BT312" s="1193">
        <v>34611</v>
      </c>
      <c r="BU312" s="1193">
        <v>5191717</v>
      </c>
      <c r="BV312" s="1193">
        <v>74828</v>
      </c>
      <c r="BW312" s="1193">
        <v>1268111</v>
      </c>
      <c r="BX312" s="1193">
        <v>0</v>
      </c>
      <c r="BY312" s="1193">
        <v>0</v>
      </c>
      <c r="BZ312" s="1193">
        <v>564047</v>
      </c>
      <c r="CA312" s="1193">
        <v>0</v>
      </c>
      <c r="CB312" s="1193">
        <v>0</v>
      </c>
      <c r="CC312" s="1148">
        <v>0</v>
      </c>
      <c r="CD312" s="1148">
        <v>0</v>
      </c>
      <c r="CE312" s="1148">
        <v>0</v>
      </c>
      <c r="CF312" s="1148">
        <v>0</v>
      </c>
    </row>
    <row r="313" spans="1:84" s="1148" customFormat="1" x14ac:dyDescent="0.3">
      <c r="A313" s="1144">
        <v>660</v>
      </c>
      <c r="B313" s="1144">
        <v>660</v>
      </c>
      <c r="C313" s="1196"/>
      <c r="D313" s="1146"/>
      <c r="E313" s="1191"/>
      <c r="F313" s="1192">
        <v>0</v>
      </c>
      <c r="G313" s="1192">
        <v>0</v>
      </c>
      <c r="H313" s="1192">
        <v>0</v>
      </c>
      <c r="I313" s="1192">
        <v>0</v>
      </c>
      <c r="J313" s="1192">
        <v>0</v>
      </c>
      <c r="K313" s="1192">
        <v>0</v>
      </c>
      <c r="L313" s="1193">
        <v>0</v>
      </c>
      <c r="M313" s="1193">
        <v>0</v>
      </c>
      <c r="N313" s="1193">
        <v>0</v>
      </c>
      <c r="O313" s="1193">
        <v>0</v>
      </c>
      <c r="P313" s="1193">
        <v>0</v>
      </c>
      <c r="Q313" s="1193">
        <v>0</v>
      </c>
      <c r="R313" s="1193">
        <v>0</v>
      </c>
      <c r="S313" s="1193">
        <v>0</v>
      </c>
      <c r="T313" s="1193">
        <v>0</v>
      </c>
      <c r="U313" s="1193">
        <v>0</v>
      </c>
      <c r="V313" s="1193">
        <v>0</v>
      </c>
      <c r="W313" s="1193">
        <v>0</v>
      </c>
      <c r="X313" s="1193">
        <v>0</v>
      </c>
      <c r="Y313" s="1193">
        <v>0</v>
      </c>
      <c r="Z313" s="1193">
        <v>0</v>
      </c>
      <c r="AA313" s="1193">
        <v>0</v>
      </c>
      <c r="AB313" s="1193">
        <v>0</v>
      </c>
      <c r="AC313" s="1193">
        <v>0</v>
      </c>
      <c r="AD313" s="1193">
        <v>0</v>
      </c>
      <c r="AE313" s="1193">
        <v>0</v>
      </c>
      <c r="AF313" s="1193">
        <v>0</v>
      </c>
      <c r="AG313" s="1193">
        <v>0</v>
      </c>
      <c r="AH313" s="1193">
        <v>0</v>
      </c>
      <c r="AI313" s="1193">
        <v>0</v>
      </c>
      <c r="AJ313" s="1193">
        <v>0</v>
      </c>
      <c r="AK313" s="1193">
        <v>0</v>
      </c>
      <c r="AL313" s="1193">
        <v>0</v>
      </c>
      <c r="AM313" s="1193">
        <v>0</v>
      </c>
      <c r="AN313" s="1193">
        <v>0</v>
      </c>
      <c r="AO313" s="1193">
        <v>0</v>
      </c>
      <c r="AP313" s="1193">
        <v>0</v>
      </c>
      <c r="AQ313" s="1193">
        <v>0</v>
      </c>
      <c r="AR313" s="1193">
        <v>0</v>
      </c>
      <c r="AS313" s="1193">
        <v>0</v>
      </c>
      <c r="AT313" s="1193">
        <v>0</v>
      </c>
      <c r="AU313" s="1193">
        <v>0</v>
      </c>
      <c r="AV313" s="1193">
        <v>0</v>
      </c>
      <c r="AW313" s="1193">
        <v>0</v>
      </c>
      <c r="AX313" s="1193">
        <v>0</v>
      </c>
      <c r="AY313" s="1193">
        <v>0</v>
      </c>
      <c r="AZ313" s="1193">
        <v>0</v>
      </c>
      <c r="BA313" s="1193">
        <v>0</v>
      </c>
      <c r="BB313" s="1193">
        <v>0</v>
      </c>
      <c r="BC313" s="1193">
        <v>0</v>
      </c>
      <c r="BD313" s="1193">
        <v>0</v>
      </c>
      <c r="BE313" s="1193">
        <v>0</v>
      </c>
      <c r="BF313" s="1193">
        <v>0</v>
      </c>
      <c r="BG313" s="1193">
        <v>0</v>
      </c>
      <c r="BH313" s="1193">
        <v>0</v>
      </c>
      <c r="BI313" s="1193">
        <v>0</v>
      </c>
      <c r="BJ313" s="1193">
        <v>0</v>
      </c>
      <c r="BK313" s="1193">
        <v>0</v>
      </c>
      <c r="BL313" s="1193">
        <v>0</v>
      </c>
      <c r="BM313" s="1193">
        <v>0</v>
      </c>
      <c r="BN313" s="1193">
        <v>0</v>
      </c>
      <c r="BO313" s="1193">
        <v>0</v>
      </c>
      <c r="BP313" s="1193">
        <v>0</v>
      </c>
      <c r="BQ313" s="1193">
        <v>0</v>
      </c>
      <c r="BR313" s="1193">
        <v>0</v>
      </c>
      <c r="BS313" s="1193">
        <v>0</v>
      </c>
      <c r="BT313" s="1193">
        <v>0</v>
      </c>
      <c r="BU313" s="1193">
        <v>0</v>
      </c>
      <c r="BV313" s="1193">
        <v>0</v>
      </c>
      <c r="BW313" s="1193">
        <v>0</v>
      </c>
      <c r="BX313" s="1193">
        <v>0</v>
      </c>
      <c r="BY313" s="1193">
        <v>0</v>
      </c>
      <c r="BZ313" s="1193">
        <v>0</v>
      </c>
      <c r="CA313" s="1193">
        <v>0</v>
      </c>
      <c r="CB313" s="1193">
        <v>0</v>
      </c>
      <c r="CC313" s="1148">
        <v>0</v>
      </c>
      <c r="CD313" s="1148">
        <v>0</v>
      </c>
      <c r="CE313" s="1148">
        <v>0</v>
      </c>
      <c r="CF313" s="1148">
        <v>0</v>
      </c>
    </row>
    <row r="314" spans="1:84" s="1148" customFormat="1" x14ac:dyDescent="0.3">
      <c r="A314" s="1144">
        <v>661</v>
      </c>
      <c r="B314" s="1144">
        <v>661</v>
      </c>
      <c r="C314" s="1196"/>
      <c r="D314" s="1146"/>
      <c r="E314" s="1191"/>
      <c r="F314" s="1192">
        <v>0</v>
      </c>
      <c r="G314" s="1192">
        <v>0</v>
      </c>
      <c r="H314" s="1192">
        <v>0</v>
      </c>
      <c r="I314" s="1192">
        <v>0</v>
      </c>
      <c r="J314" s="1192">
        <v>0</v>
      </c>
      <c r="K314" s="1192">
        <v>0</v>
      </c>
      <c r="L314" s="1193">
        <v>0</v>
      </c>
      <c r="M314" s="1193">
        <v>0</v>
      </c>
      <c r="N314" s="1193">
        <v>0</v>
      </c>
      <c r="O314" s="1193">
        <v>0</v>
      </c>
      <c r="P314" s="1193">
        <v>0</v>
      </c>
      <c r="Q314" s="1193">
        <v>0</v>
      </c>
      <c r="R314" s="1193">
        <v>0</v>
      </c>
      <c r="S314" s="1193">
        <v>0</v>
      </c>
      <c r="T314" s="1193">
        <v>0</v>
      </c>
      <c r="U314" s="1193">
        <v>0</v>
      </c>
      <c r="V314" s="1193">
        <v>0</v>
      </c>
      <c r="W314" s="1193">
        <v>0</v>
      </c>
      <c r="X314" s="1193">
        <v>0</v>
      </c>
      <c r="Y314" s="1193">
        <v>0</v>
      </c>
      <c r="Z314" s="1193">
        <v>0</v>
      </c>
      <c r="AA314" s="1193">
        <v>0</v>
      </c>
      <c r="AB314" s="1193">
        <v>0</v>
      </c>
      <c r="AC314" s="1193">
        <v>0</v>
      </c>
      <c r="AD314" s="1193">
        <v>0</v>
      </c>
      <c r="AE314" s="1193">
        <v>0</v>
      </c>
      <c r="AF314" s="1193">
        <v>0</v>
      </c>
      <c r="AG314" s="1193">
        <v>0</v>
      </c>
      <c r="AH314" s="1193">
        <v>0</v>
      </c>
      <c r="AI314" s="1193">
        <v>0</v>
      </c>
      <c r="AJ314" s="1193">
        <v>0</v>
      </c>
      <c r="AK314" s="1193">
        <v>0</v>
      </c>
      <c r="AL314" s="1193">
        <v>0</v>
      </c>
      <c r="AM314" s="1193">
        <v>0</v>
      </c>
      <c r="AN314" s="1193">
        <v>0</v>
      </c>
      <c r="AO314" s="1193">
        <v>0</v>
      </c>
      <c r="AP314" s="1193">
        <v>0</v>
      </c>
      <c r="AQ314" s="1193">
        <v>0</v>
      </c>
      <c r="AR314" s="1193">
        <v>0</v>
      </c>
      <c r="AS314" s="1193">
        <v>0</v>
      </c>
      <c r="AT314" s="1193">
        <v>0</v>
      </c>
      <c r="AU314" s="1193">
        <v>0</v>
      </c>
      <c r="AV314" s="1193">
        <v>0</v>
      </c>
      <c r="AW314" s="1193">
        <v>0</v>
      </c>
      <c r="AX314" s="1193">
        <v>0</v>
      </c>
      <c r="AY314" s="1193">
        <v>0</v>
      </c>
      <c r="AZ314" s="1193">
        <v>0</v>
      </c>
      <c r="BA314" s="1193">
        <v>0</v>
      </c>
      <c r="BB314" s="1193">
        <v>0</v>
      </c>
      <c r="BC314" s="1193">
        <v>0</v>
      </c>
      <c r="BD314" s="1193">
        <v>0</v>
      </c>
      <c r="BE314" s="1193">
        <v>0</v>
      </c>
      <c r="BF314" s="1193">
        <v>0</v>
      </c>
      <c r="BG314" s="1193">
        <v>0</v>
      </c>
      <c r="BH314" s="1193">
        <v>0</v>
      </c>
      <c r="BI314" s="1193">
        <v>0</v>
      </c>
      <c r="BJ314" s="1193">
        <v>0</v>
      </c>
      <c r="BK314" s="1193">
        <v>0</v>
      </c>
      <c r="BL314" s="1193">
        <v>0</v>
      </c>
      <c r="BM314" s="1193">
        <v>0</v>
      </c>
      <c r="BN314" s="1193">
        <v>0</v>
      </c>
      <c r="BO314" s="1193">
        <v>0</v>
      </c>
      <c r="BP314" s="1193">
        <v>0</v>
      </c>
      <c r="BQ314" s="1193">
        <v>0</v>
      </c>
      <c r="BR314" s="1193">
        <v>0</v>
      </c>
      <c r="BS314" s="1193">
        <v>0</v>
      </c>
      <c r="BT314" s="1193">
        <v>0</v>
      </c>
      <c r="BU314" s="1193">
        <v>0</v>
      </c>
      <c r="BV314" s="1193">
        <v>0</v>
      </c>
      <c r="BW314" s="1193">
        <v>0</v>
      </c>
      <c r="BX314" s="1193">
        <v>0</v>
      </c>
      <c r="BY314" s="1193">
        <v>0</v>
      </c>
      <c r="BZ314" s="1193">
        <v>0</v>
      </c>
      <c r="CA314" s="1193">
        <v>0</v>
      </c>
      <c r="CB314" s="1193">
        <v>0</v>
      </c>
      <c r="CC314" s="1148">
        <v>0</v>
      </c>
      <c r="CD314" s="1148">
        <v>0</v>
      </c>
      <c r="CE314" s="1148">
        <v>0</v>
      </c>
      <c r="CF314" s="1148">
        <v>0</v>
      </c>
    </row>
    <row r="315" spans="1:84" s="1148" customFormat="1" x14ac:dyDescent="0.3">
      <c r="A315" s="1144">
        <v>662</v>
      </c>
      <c r="B315" s="1144">
        <v>662</v>
      </c>
      <c r="C315" s="1196"/>
      <c r="D315" s="1145"/>
      <c r="E315" s="1191"/>
      <c r="F315" s="1192">
        <v>0</v>
      </c>
      <c r="G315" s="1192">
        <v>0</v>
      </c>
      <c r="H315" s="1192">
        <v>0</v>
      </c>
      <c r="I315" s="1192">
        <v>0</v>
      </c>
      <c r="J315" s="1192">
        <v>0</v>
      </c>
      <c r="K315" s="1192">
        <v>0</v>
      </c>
      <c r="L315" s="1193">
        <v>0</v>
      </c>
      <c r="M315" s="1193">
        <v>0</v>
      </c>
      <c r="N315" s="1193">
        <v>0</v>
      </c>
      <c r="O315" s="1193">
        <v>54072</v>
      </c>
      <c r="P315" s="1193">
        <v>0</v>
      </c>
      <c r="Q315" s="1193">
        <v>0</v>
      </c>
      <c r="R315" s="1193">
        <v>0</v>
      </c>
      <c r="S315" s="1193">
        <v>888729</v>
      </c>
      <c r="T315" s="1193">
        <v>0</v>
      </c>
      <c r="U315" s="1193">
        <v>0</v>
      </c>
      <c r="V315" s="1193">
        <v>139646</v>
      </c>
      <c r="W315" s="1193">
        <v>0</v>
      </c>
      <c r="X315" s="1193">
        <v>0</v>
      </c>
      <c r="Y315" s="1193">
        <v>0</v>
      </c>
      <c r="Z315" s="1193">
        <v>0</v>
      </c>
      <c r="AA315" s="1193">
        <v>0</v>
      </c>
      <c r="AB315" s="1193">
        <v>0</v>
      </c>
      <c r="AC315" s="1193">
        <v>0</v>
      </c>
      <c r="AD315" s="1193">
        <v>0</v>
      </c>
      <c r="AE315" s="1193">
        <v>0</v>
      </c>
      <c r="AF315" s="1193">
        <v>0</v>
      </c>
      <c r="AG315" s="1193">
        <v>37432</v>
      </c>
      <c r="AH315" s="1193">
        <v>76958</v>
      </c>
      <c r="AI315" s="1193">
        <v>0</v>
      </c>
      <c r="AJ315" s="1193">
        <v>0</v>
      </c>
      <c r="AK315" s="1193">
        <v>0</v>
      </c>
      <c r="AL315" s="1193">
        <v>0</v>
      </c>
      <c r="AM315" s="1193">
        <v>0</v>
      </c>
      <c r="AN315" s="1193">
        <v>0</v>
      </c>
      <c r="AO315" s="1193">
        <v>0</v>
      </c>
      <c r="AP315" s="1193">
        <v>0</v>
      </c>
      <c r="AQ315" s="1193">
        <v>0</v>
      </c>
      <c r="AR315" s="1193">
        <v>0</v>
      </c>
      <c r="AS315" s="1193">
        <v>0</v>
      </c>
      <c r="AT315" s="1193">
        <v>0</v>
      </c>
      <c r="AU315" s="1193">
        <v>0</v>
      </c>
      <c r="AV315" s="1193">
        <v>0</v>
      </c>
      <c r="AW315" s="1193">
        <v>0</v>
      </c>
      <c r="AX315" s="1193">
        <v>0</v>
      </c>
      <c r="AY315" s="1193">
        <v>0</v>
      </c>
      <c r="AZ315" s="1193">
        <v>0</v>
      </c>
      <c r="BA315" s="1193">
        <v>0</v>
      </c>
      <c r="BB315" s="1193">
        <v>0</v>
      </c>
      <c r="BC315" s="1193">
        <v>0</v>
      </c>
      <c r="BD315" s="1193">
        <v>0</v>
      </c>
      <c r="BE315" s="1193">
        <v>0</v>
      </c>
      <c r="BF315" s="1193">
        <v>0</v>
      </c>
      <c r="BG315" s="1193">
        <v>0</v>
      </c>
      <c r="BH315" s="1193">
        <v>0</v>
      </c>
      <c r="BI315" s="1193">
        <v>0</v>
      </c>
      <c r="BJ315" s="1193">
        <v>0</v>
      </c>
      <c r="BK315" s="1193">
        <v>0</v>
      </c>
      <c r="BL315" s="1193">
        <v>0</v>
      </c>
      <c r="BM315" s="1193">
        <v>0</v>
      </c>
      <c r="BN315" s="1193">
        <v>0</v>
      </c>
      <c r="BO315" s="1193">
        <v>0</v>
      </c>
      <c r="BP315" s="1193">
        <v>0</v>
      </c>
      <c r="BQ315" s="1193">
        <v>0</v>
      </c>
      <c r="BR315" s="1193">
        <v>0</v>
      </c>
      <c r="BS315" s="1193">
        <v>17793</v>
      </c>
      <c r="BT315" s="1193">
        <v>0</v>
      </c>
      <c r="BU315" s="1193">
        <v>0</v>
      </c>
      <c r="BV315" s="1193">
        <v>0</v>
      </c>
      <c r="BW315" s="1193">
        <v>0</v>
      </c>
      <c r="BX315" s="1193">
        <v>0</v>
      </c>
      <c r="BY315" s="1193">
        <v>0</v>
      </c>
      <c r="BZ315" s="1193">
        <v>0</v>
      </c>
      <c r="CA315" s="1193">
        <v>0</v>
      </c>
      <c r="CB315" s="1193">
        <v>0</v>
      </c>
      <c r="CC315" s="1148">
        <v>0</v>
      </c>
      <c r="CD315" s="1148">
        <v>0</v>
      </c>
      <c r="CE315" s="1148">
        <v>0</v>
      </c>
      <c r="CF315" s="1148">
        <v>0</v>
      </c>
    </row>
    <row r="316" spans="1:84" s="1148" customFormat="1" x14ac:dyDescent="0.3">
      <c r="A316" s="1144">
        <v>663</v>
      </c>
      <c r="B316" s="1144">
        <v>663</v>
      </c>
      <c r="C316" s="1196"/>
      <c r="D316" s="1145"/>
      <c r="E316" s="1191"/>
      <c r="F316" s="1192">
        <v>0</v>
      </c>
      <c r="G316" s="1192">
        <v>0</v>
      </c>
      <c r="H316" s="1192">
        <v>0</v>
      </c>
      <c r="I316" s="1192">
        <v>0</v>
      </c>
      <c r="J316" s="1192">
        <v>0</v>
      </c>
      <c r="K316" s="1192">
        <v>0</v>
      </c>
      <c r="L316" s="1193">
        <v>0</v>
      </c>
      <c r="M316" s="1193">
        <v>0</v>
      </c>
      <c r="N316" s="1193">
        <v>0</v>
      </c>
      <c r="O316" s="1193">
        <v>0</v>
      </c>
      <c r="P316" s="1193">
        <v>0</v>
      </c>
      <c r="Q316" s="1193">
        <v>0</v>
      </c>
      <c r="R316" s="1193">
        <v>0</v>
      </c>
      <c r="S316" s="1193">
        <v>69000</v>
      </c>
      <c r="T316" s="1193">
        <v>0</v>
      </c>
      <c r="U316" s="1193">
        <v>0</v>
      </c>
      <c r="V316" s="1193">
        <v>0</v>
      </c>
      <c r="W316" s="1193">
        <v>0</v>
      </c>
      <c r="X316" s="1193">
        <v>0</v>
      </c>
      <c r="Y316" s="1193">
        <v>0</v>
      </c>
      <c r="Z316" s="1193">
        <v>0</v>
      </c>
      <c r="AA316" s="1193">
        <v>0</v>
      </c>
      <c r="AB316" s="1193">
        <v>0</v>
      </c>
      <c r="AC316" s="1193">
        <v>0</v>
      </c>
      <c r="AD316" s="1193">
        <v>0</v>
      </c>
      <c r="AE316" s="1193">
        <v>0</v>
      </c>
      <c r="AF316" s="1193">
        <v>0</v>
      </c>
      <c r="AG316" s="1193">
        <v>2237</v>
      </c>
      <c r="AH316" s="1193">
        <v>0</v>
      </c>
      <c r="AI316" s="1193">
        <v>0</v>
      </c>
      <c r="AJ316" s="1193">
        <v>0</v>
      </c>
      <c r="AK316" s="1193">
        <v>0</v>
      </c>
      <c r="AL316" s="1193">
        <v>0</v>
      </c>
      <c r="AM316" s="1193">
        <v>0</v>
      </c>
      <c r="AN316" s="1193">
        <v>0</v>
      </c>
      <c r="AO316" s="1193">
        <v>0</v>
      </c>
      <c r="AP316" s="1193">
        <v>0</v>
      </c>
      <c r="AQ316" s="1193">
        <v>0</v>
      </c>
      <c r="AR316" s="1193">
        <v>0</v>
      </c>
      <c r="AS316" s="1193">
        <v>0</v>
      </c>
      <c r="AT316" s="1193">
        <v>0</v>
      </c>
      <c r="AU316" s="1193">
        <v>0</v>
      </c>
      <c r="AV316" s="1193">
        <v>0</v>
      </c>
      <c r="AW316" s="1193">
        <v>0</v>
      </c>
      <c r="AX316" s="1193">
        <v>0</v>
      </c>
      <c r="AY316" s="1193">
        <v>0</v>
      </c>
      <c r="AZ316" s="1193">
        <v>0</v>
      </c>
      <c r="BA316" s="1193">
        <v>0</v>
      </c>
      <c r="BB316" s="1193">
        <v>0</v>
      </c>
      <c r="BC316" s="1193">
        <v>0</v>
      </c>
      <c r="BD316" s="1193">
        <v>0</v>
      </c>
      <c r="BE316" s="1193">
        <v>0</v>
      </c>
      <c r="BF316" s="1193">
        <v>0</v>
      </c>
      <c r="BG316" s="1193">
        <v>0</v>
      </c>
      <c r="BH316" s="1193">
        <v>0</v>
      </c>
      <c r="BI316" s="1193">
        <v>0</v>
      </c>
      <c r="BJ316" s="1193">
        <v>0</v>
      </c>
      <c r="BK316" s="1193">
        <v>0</v>
      </c>
      <c r="BL316" s="1193">
        <v>0</v>
      </c>
      <c r="BM316" s="1193">
        <v>0</v>
      </c>
      <c r="BN316" s="1193">
        <v>0</v>
      </c>
      <c r="BO316" s="1193">
        <v>0</v>
      </c>
      <c r="BP316" s="1193">
        <v>2699</v>
      </c>
      <c r="BQ316" s="1193">
        <v>0</v>
      </c>
      <c r="BR316" s="1193">
        <v>0</v>
      </c>
      <c r="BS316" s="1193">
        <v>0</v>
      </c>
      <c r="BT316" s="1193">
        <v>0</v>
      </c>
      <c r="BU316" s="1193">
        <v>0</v>
      </c>
      <c r="BV316" s="1193">
        <v>0</v>
      </c>
      <c r="BW316" s="1193">
        <v>0</v>
      </c>
      <c r="BX316" s="1193">
        <v>0</v>
      </c>
      <c r="BY316" s="1193">
        <v>0</v>
      </c>
      <c r="BZ316" s="1193">
        <v>0</v>
      </c>
      <c r="CA316" s="1193">
        <v>0</v>
      </c>
      <c r="CB316" s="1193">
        <v>0</v>
      </c>
      <c r="CC316" s="1148">
        <v>0</v>
      </c>
      <c r="CD316" s="1148">
        <v>0</v>
      </c>
      <c r="CE316" s="1148">
        <v>0</v>
      </c>
      <c r="CF316" s="1148">
        <v>0</v>
      </c>
    </row>
    <row r="317" spans="1:84" s="1148" customFormat="1" x14ac:dyDescent="0.3">
      <c r="A317" s="1144">
        <v>906</v>
      </c>
      <c r="B317" s="1144">
        <v>906</v>
      </c>
      <c r="C317" s="1196"/>
      <c r="D317" s="1145"/>
      <c r="E317" s="1191"/>
      <c r="F317" s="1192">
        <v>0</v>
      </c>
      <c r="G317" s="1192">
        <v>1</v>
      </c>
      <c r="H317" s="1192">
        <v>1</v>
      </c>
      <c r="I317" s="1192">
        <v>1</v>
      </c>
      <c r="J317" s="1192">
        <v>1</v>
      </c>
      <c r="K317" s="1192">
        <v>1</v>
      </c>
      <c r="L317" s="1193">
        <v>1</v>
      </c>
      <c r="M317" s="1193">
        <v>1</v>
      </c>
      <c r="N317" s="1193">
        <v>1</v>
      </c>
      <c r="O317" s="1193">
        <v>1</v>
      </c>
      <c r="P317" s="1193">
        <v>1</v>
      </c>
      <c r="Q317" s="1193">
        <v>1</v>
      </c>
      <c r="R317" s="1193">
        <v>1</v>
      </c>
      <c r="S317" s="1193">
        <v>1</v>
      </c>
      <c r="T317" s="1193">
        <v>0</v>
      </c>
      <c r="U317" s="1193">
        <v>1</v>
      </c>
      <c r="V317" s="1193">
        <v>1</v>
      </c>
      <c r="W317" s="1193">
        <v>1</v>
      </c>
      <c r="X317" s="1193">
        <v>1</v>
      </c>
      <c r="Y317" s="1193">
        <v>1</v>
      </c>
      <c r="Z317" s="1193">
        <v>1</v>
      </c>
      <c r="AA317" s="1193">
        <v>1</v>
      </c>
      <c r="AB317" s="1193">
        <v>1</v>
      </c>
      <c r="AC317" s="1193">
        <v>1</v>
      </c>
      <c r="AD317" s="1193">
        <v>1</v>
      </c>
      <c r="AE317" s="1193">
        <v>1</v>
      </c>
      <c r="AF317" s="1193">
        <v>1</v>
      </c>
      <c r="AG317" s="1193">
        <v>1</v>
      </c>
      <c r="AH317" s="1193">
        <v>1</v>
      </c>
      <c r="AI317" s="1193">
        <v>1</v>
      </c>
      <c r="AJ317" s="1193">
        <v>1</v>
      </c>
      <c r="AK317" s="1193">
        <v>1</v>
      </c>
      <c r="AL317" s="1193">
        <v>1</v>
      </c>
      <c r="AM317" s="1193">
        <v>1</v>
      </c>
      <c r="AN317" s="1193">
        <v>0</v>
      </c>
      <c r="AO317" s="1193">
        <v>1</v>
      </c>
      <c r="AP317" s="1193">
        <v>0</v>
      </c>
      <c r="AQ317" s="1193">
        <v>1</v>
      </c>
      <c r="AR317" s="1193">
        <v>1</v>
      </c>
      <c r="AS317" s="1193">
        <v>1</v>
      </c>
      <c r="AT317" s="1193">
        <v>1</v>
      </c>
      <c r="AU317" s="1193">
        <v>1</v>
      </c>
      <c r="AV317" s="1193">
        <v>1</v>
      </c>
      <c r="AW317" s="1193">
        <v>0</v>
      </c>
      <c r="AX317" s="1193">
        <v>1</v>
      </c>
      <c r="AY317" s="1193">
        <v>1</v>
      </c>
      <c r="AZ317" s="1193">
        <v>1</v>
      </c>
      <c r="BA317" s="1193">
        <v>1</v>
      </c>
      <c r="BB317" s="1193">
        <v>1</v>
      </c>
      <c r="BC317" s="1193">
        <v>1</v>
      </c>
      <c r="BD317" s="1193">
        <v>1</v>
      </c>
      <c r="BE317" s="1193">
        <v>1</v>
      </c>
      <c r="BF317" s="1193">
        <v>1</v>
      </c>
      <c r="BG317" s="1193">
        <v>1</v>
      </c>
      <c r="BH317" s="1193">
        <v>1</v>
      </c>
      <c r="BI317" s="1193">
        <v>1</v>
      </c>
      <c r="BJ317" s="1193">
        <v>1</v>
      </c>
      <c r="BK317" s="1193">
        <v>1</v>
      </c>
      <c r="BL317" s="1193">
        <v>1</v>
      </c>
      <c r="BM317" s="1193">
        <v>1</v>
      </c>
      <c r="BN317" s="1193">
        <v>0</v>
      </c>
      <c r="BO317" s="1193">
        <v>1</v>
      </c>
      <c r="BP317" s="1193">
        <v>1</v>
      </c>
      <c r="BQ317" s="1193">
        <v>1</v>
      </c>
      <c r="BR317" s="1193">
        <v>1</v>
      </c>
      <c r="BS317" s="1193">
        <v>1</v>
      </c>
      <c r="BT317" s="1193">
        <v>1</v>
      </c>
      <c r="BU317" s="1193">
        <v>1</v>
      </c>
      <c r="BV317" s="1193">
        <v>1</v>
      </c>
      <c r="BW317" s="1193">
        <v>1</v>
      </c>
      <c r="BX317" s="1193">
        <v>1</v>
      </c>
      <c r="BY317" s="1193">
        <v>0</v>
      </c>
      <c r="BZ317" s="1193">
        <v>1</v>
      </c>
      <c r="CA317" s="1193">
        <v>1</v>
      </c>
      <c r="CB317" s="1193">
        <v>1</v>
      </c>
      <c r="CC317" s="1148">
        <v>1</v>
      </c>
      <c r="CD317" s="1148">
        <v>1</v>
      </c>
      <c r="CE317" s="1148">
        <v>0</v>
      </c>
      <c r="CF317" s="1148">
        <v>1</v>
      </c>
    </row>
    <row r="318" spans="1:84" s="1148" customFormat="1" x14ac:dyDescent="0.3">
      <c r="A318" s="1144">
        <v>907</v>
      </c>
      <c r="B318" s="1144">
        <v>907</v>
      </c>
      <c r="C318" s="1196"/>
      <c r="D318" s="1145"/>
      <c r="E318" s="1191"/>
      <c r="F318" s="1192">
        <v>0</v>
      </c>
      <c r="G318" s="1192">
        <v>2</v>
      </c>
      <c r="H318" s="1192">
        <v>2</v>
      </c>
      <c r="I318" s="1192">
        <v>1</v>
      </c>
      <c r="J318" s="1192">
        <v>2</v>
      </c>
      <c r="K318" s="1192">
        <v>2</v>
      </c>
      <c r="L318" s="1193">
        <v>1</v>
      </c>
      <c r="M318" s="1193">
        <v>2</v>
      </c>
      <c r="N318" s="1193">
        <v>2</v>
      </c>
      <c r="O318" s="1193">
        <v>2</v>
      </c>
      <c r="P318" s="1193">
        <v>2</v>
      </c>
      <c r="Q318" s="1193">
        <v>2</v>
      </c>
      <c r="R318" s="1193">
        <v>1</v>
      </c>
      <c r="S318" s="1193">
        <v>2</v>
      </c>
      <c r="T318" s="1193">
        <v>0</v>
      </c>
      <c r="U318" s="1193">
        <v>1</v>
      </c>
      <c r="V318" s="1193">
        <v>2</v>
      </c>
      <c r="W318" s="1193">
        <v>2</v>
      </c>
      <c r="X318" s="1193">
        <v>2</v>
      </c>
      <c r="Y318" s="1193">
        <v>2</v>
      </c>
      <c r="Z318" s="1193">
        <v>2</v>
      </c>
      <c r="AA318" s="1193">
        <v>2</v>
      </c>
      <c r="AB318" s="1193">
        <v>1</v>
      </c>
      <c r="AC318" s="1193">
        <v>2</v>
      </c>
      <c r="AD318" s="1193">
        <v>2</v>
      </c>
      <c r="AE318" s="1193">
        <v>2</v>
      </c>
      <c r="AF318" s="1193">
        <v>2</v>
      </c>
      <c r="AG318" s="1193">
        <v>2</v>
      </c>
      <c r="AH318" s="1193">
        <v>2</v>
      </c>
      <c r="AI318" s="1193">
        <v>2</v>
      </c>
      <c r="AJ318" s="1193">
        <v>2</v>
      </c>
      <c r="AK318" s="1193">
        <v>2</v>
      </c>
      <c r="AL318" s="1193">
        <v>2</v>
      </c>
      <c r="AM318" s="1193">
        <v>1</v>
      </c>
      <c r="AN318" s="1193">
        <v>0</v>
      </c>
      <c r="AO318" s="1193">
        <v>2</v>
      </c>
      <c r="AP318" s="1193">
        <v>0</v>
      </c>
      <c r="AQ318" s="1193">
        <v>2</v>
      </c>
      <c r="AR318" s="1193">
        <v>2</v>
      </c>
      <c r="AS318" s="1193">
        <v>2</v>
      </c>
      <c r="AT318" s="1193">
        <v>2</v>
      </c>
      <c r="AU318" s="1193">
        <v>1</v>
      </c>
      <c r="AV318" s="1193">
        <v>1</v>
      </c>
      <c r="AW318" s="1193">
        <v>0</v>
      </c>
      <c r="AX318" s="1193">
        <v>2</v>
      </c>
      <c r="AY318" s="1193">
        <v>2</v>
      </c>
      <c r="AZ318" s="1193">
        <v>2</v>
      </c>
      <c r="BA318" s="1193">
        <v>2</v>
      </c>
      <c r="BB318" s="1193">
        <v>1</v>
      </c>
      <c r="BC318" s="1193">
        <v>2</v>
      </c>
      <c r="BD318" s="1193">
        <v>1</v>
      </c>
      <c r="BE318" s="1193">
        <v>2</v>
      </c>
      <c r="BF318" s="1193">
        <v>2</v>
      </c>
      <c r="BG318" s="1193">
        <v>2</v>
      </c>
      <c r="BH318" s="1193">
        <v>2</v>
      </c>
      <c r="BI318" s="1193">
        <v>2</v>
      </c>
      <c r="BJ318" s="1193">
        <v>1</v>
      </c>
      <c r="BK318" s="1193">
        <v>1</v>
      </c>
      <c r="BL318" s="1193">
        <v>1</v>
      </c>
      <c r="BM318" s="1193">
        <v>2</v>
      </c>
      <c r="BN318" s="1193">
        <v>0</v>
      </c>
      <c r="BO318" s="1193">
        <v>2</v>
      </c>
      <c r="BP318" s="1193">
        <v>1</v>
      </c>
      <c r="BQ318" s="1193">
        <v>1</v>
      </c>
      <c r="BR318" s="1193">
        <v>2</v>
      </c>
      <c r="BS318" s="1193">
        <v>2</v>
      </c>
      <c r="BT318" s="1193">
        <v>2</v>
      </c>
      <c r="BU318" s="1193">
        <v>2</v>
      </c>
      <c r="BV318" s="1193">
        <v>1</v>
      </c>
      <c r="BW318" s="1193">
        <v>2</v>
      </c>
      <c r="BX318" s="1193">
        <v>2</v>
      </c>
      <c r="BY318" s="1193">
        <v>0</v>
      </c>
      <c r="BZ318" s="1193">
        <v>1</v>
      </c>
      <c r="CA318" s="1193">
        <v>1</v>
      </c>
      <c r="CB318" s="1193">
        <v>2</v>
      </c>
      <c r="CC318" s="1148">
        <v>1</v>
      </c>
      <c r="CD318" s="1148">
        <v>1</v>
      </c>
      <c r="CE318" s="1148">
        <v>0</v>
      </c>
      <c r="CF318" s="1148">
        <v>2</v>
      </c>
    </row>
    <row r="319" spans="1:84" s="1148" customFormat="1" x14ac:dyDescent="0.3">
      <c r="A319" s="1144">
        <v>951</v>
      </c>
      <c r="B319" s="1144">
        <v>951</v>
      </c>
      <c r="C319" s="1196"/>
      <c r="D319" s="1145"/>
      <c r="E319" s="1191"/>
      <c r="F319" s="1192">
        <v>0</v>
      </c>
      <c r="G319" s="1192">
        <v>2</v>
      </c>
      <c r="H319" s="1192">
        <v>2</v>
      </c>
      <c r="I319" s="1192">
        <v>2</v>
      </c>
      <c r="J319" s="1192">
        <v>1</v>
      </c>
      <c r="K319" s="1192">
        <v>2</v>
      </c>
      <c r="L319" s="1193">
        <v>1</v>
      </c>
      <c r="M319" s="1193">
        <v>2</v>
      </c>
      <c r="N319" s="1193">
        <v>2</v>
      </c>
      <c r="O319" s="1193">
        <v>2</v>
      </c>
      <c r="P319" s="1193">
        <v>2</v>
      </c>
      <c r="Q319" s="1193">
        <v>2</v>
      </c>
      <c r="R319" s="1193">
        <v>2</v>
      </c>
      <c r="S319" s="1193">
        <v>2</v>
      </c>
      <c r="T319" s="1193">
        <v>0</v>
      </c>
      <c r="U319" s="1193">
        <v>2</v>
      </c>
      <c r="V319" s="1193">
        <v>2</v>
      </c>
      <c r="W319" s="1193">
        <v>2</v>
      </c>
      <c r="X319" s="1193">
        <v>2</v>
      </c>
      <c r="Y319" s="1193">
        <v>2</v>
      </c>
      <c r="Z319" s="1193">
        <v>2</v>
      </c>
      <c r="AA319" s="1193">
        <v>2</v>
      </c>
      <c r="AB319" s="1193">
        <v>2</v>
      </c>
      <c r="AC319" s="1193">
        <v>2</v>
      </c>
      <c r="AD319" s="1193">
        <v>2</v>
      </c>
      <c r="AE319" s="1193">
        <v>2</v>
      </c>
      <c r="AF319" s="1193">
        <v>2</v>
      </c>
      <c r="AG319" s="1193">
        <v>2</v>
      </c>
      <c r="AH319" s="1193">
        <v>2</v>
      </c>
      <c r="AI319" s="1193">
        <v>2</v>
      </c>
      <c r="AJ319" s="1193">
        <v>2</v>
      </c>
      <c r="AK319" s="1193">
        <v>2</v>
      </c>
      <c r="AL319" s="1193">
        <v>2</v>
      </c>
      <c r="AM319" s="1193">
        <v>1</v>
      </c>
      <c r="AN319" s="1193">
        <v>0</v>
      </c>
      <c r="AO319" s="1193">
        <v>2</v>
      </c>
      <c r="AP319" s="1193">
        <v>0</v>
      </c>
      <c r="AQ319" s="1193">
        <v>2</v>
      </c>
      <c r="AR319" s="1193">
        <v>2</v>
      </c>
      <c r="AS319" s="1193">
        <v>2</v>
      </c>
      <c r="AT319" s="1193">
        <v>2</v>
      </c>
      <c r="AU319" s="1193">
        <v>2</v>
      </c>
      <c r="AV319" s="1193">
        <v>2</v>
      </c>
      <c r="AW319" s="1193">
        <v>0</v>
      </c>
      <c r="AX319" s="1193">
        <v>2</v>
      </c>
      <c r="AY319" s="1193">
        <v>2</v>
      </c>
      <c r="AZ319" s="1193">
        <v>2</v>
      </c>
      <c r="BA319" s="1193">
        <v>2</v>
      </c>
      <c r="BB319" s="1193">
        <v>1</v>
      </c>
      <c r="BC319" s="1193">
        <v>2</v>
      </c>
      <c r="BD319" s="1193">
        <v>2</v>
      </c>
      <c r="BE319" s="1193">
        <v>2</v>
      </c>
      <c r="BF319" s="1193">
        <v>2</v>
      </c>
      <c r="BG319" s="1193">
        <v>2</v>
      </c>
      <c r="BH319" s="1193">
        <v>2</v>
      </c>
      <c r="BI319" s="1193">
        <v>2</v>
      </c>
      <c r="BJ319" s="1193">
        <v>2</v>
      </c>
      <c r="BK319" s="1193">
        <v>1</v>
      </c>
      <c r="BL319" s="1193">
        <v>2</v>
      </c>
      <c r="BM319" s="1193">
        <v>2</v>
      </c>
      <c r="BN319" s="1193">
        <v>0</v>
      </c>
      <c r="BO319" s="1193">
        <v>2</v>
      </c>
      <c r="BP319" s="1193">
        <v>2</v>
      </c>
      <c r="BQ319" s="1193">
        <v>2</v>
      </c>
      <c r="BR319" s="1193">
        <v>2</v>
      </c>
      <c r="BS319" s="1193">
        <v>2</v>
      </c>
      <c r="BT319" s="1193">
        <v>2</v>
      </c>
      <c r="BU319" s="1193">
        <v>2</v>
      </c>
      <c r="BV319" s="1193">
        <v>2</v>
      </c>
      <c r="BW319" s="1193">
        <v>2</v>
      </c>
      <c r="BX319" s="1193">
        <v>2</v>
      </c>
      <c r="BY319" s="1193">
        <v>0</v>
      </c>
      <c r="BZ319" s="1193">
        <v>2</v>
      </c>
      <c r="CA319" s="1193">
        <v>1</v>
      </c>
      <c r="CB319" s="1193">
        <v>2</v>
      </c>
      <c r="CC319" s="1148">
        <v>1</v>
      </c>
      <c r="CD319" s="1148">
        <v>2</v>
      </c>
      <c r="CE319" s="1148">
        <v>0</v>
      </c>
      <c r="CF319" s="1148">
        <v>2</v>
      </c>
    </row>
    <row r="320" spans="1:84" s="1148" customFormat="1" x14ac:dyDescent="0.3">
      <c r="A320" s="1144">
        <v>953</v>
      </c>
      <c r="B320" s="1144">
        <v>953</v>
      </c>
      <c r="C320" s="1196"/>
      <c r="D320" s="1145"/>
      <c r="E320" s="1191"/>
      <c r="F320" s="1192">
        <v>0</v>
      </c>
      <c r="G320" s="1192">
        <v>2</v>
      </c>
      <c r="H320" s="1192">
        <v>2</v>
      </c>
      <c r="I320" s="1192">
        <v>2</v>
      </c>
      <c r="J320" s="1192">
        <v>2</v>
      </c>
      <c r="K320" s="1192">
        <v>2</v>
      </c>
      <c r="L320" s="1193">
        <v>2</v>
      </c>
      <c r="M320" s="1193">
        <v>2</v>
      </c>
      <c r="N320" s="1193">
        <v>2</v>
      </c>
      <c r="O320" s="1193">
        <v>2</v>
      </c>
      <c r="P320" s="1193">
        <v>2</v>
      </c>
      <c r="Q320" s="1193">
        <v>2</v>
      </c>
      <c r="R320" s="1193">
        <v>2</v>
      </c>
      <c r="S320" s="1193">
        <v>2</v>
      </c>
      <c r="T320" s="1193">
        <v>0</v>
      </c>
      <c r="U320" s="1193">
        <v>2</v>
      </c>
      <c r="V320" s="1193">
        <v>2</v>
      </c>
      <c r="W320" s="1193">
        <v>2</v>
      </c>
      <c r="X320" s="1193">
        <v>2</v>
      </c>
      <c r="Y320" s="1193">
        <v>2</v>
      </c>
      <c r="Z320" s="1193">
        <v>2</v>
      </c>
      <c r="AA320" s="1193">
        <v>2</v>
      </c>
      <c r="AB320" s="1193">
        <v>2</v>
      </c>
      <c r="AC320" s="1193">
        <v>2</v>
      </c>
      <c r="AD320" s="1193">
        <v>2</v>
      </c>
      <c r="AE320" s="1193">
        <v>2</v>
      </c>
      <c r="AF320" s="1193">
        <v>2</v>
      </c>
      <c r="AG320" s="1193">
        <v>2</v>
      </c>
      <c r="AH320" s="1193">
        <v>2</v>
      </c>
      <c r="AI320" s="1193">
        <v>2</v>
      </c>
      <c r="AJ320" s="1193">
        <v>2</v>
      </c>
      <c r="AK320" s="1193">
        <v>2</v>
      </c>
      <c r="AL320" s="1193">
        <v>2</v>
      </c>
      <c r="AM320" s="1193">
        <v>2</v>
      </c>
      <c r="AN320" s="1193">
        <v>0</v>
      </c>
      <c r="AO320" s="1193">
        <v>2</v>
      </c>
      <c r="AP320" s="1193">
        <v>0</v>
      </c>
      <c r="AQ320" s="1193">
        <v>2</v>
      </c>
      <c r="AR320" s="1193">
        <v>2</v>
      </c>
      <c r="AS320" s="1193">
        <v>2</v>
      </c>
      <c r="AT320" s="1193">
        <v>2</v>
      </c>
      <c r="AU320" s="1193">
        <v>2</v>
      </c>
      <c r="AV320" s="1193">
        <v>2</v>
      </c>
      <c r="AW320" s="1193">
        <v>0</v>
      </c>
      <c r="AX320" s="1193">
        <v>2</v>
      </c>
      <c r="AY320" s="1193">
        <v>2</v>
      </c>
      <c r="AZ320" s="1193">
        <v>2</v>
      </c>
      <c r="BA320" s="1193">
        <v>2</v>
      </c>
      <c r="BB320" s="1193">
        <v>2</v>
      </c>
      <c r="BC320" s="1193">
        <v>2</v>
      </c>
      <c r="BD320" s="1193">
        <v>2</v>
      </c>
      <c r="BE320" s="1193">
        <v>2</v>
      </c>
      <c r="BF320" s="1193">
        <v>2</v>
      </c>
      <c r="BG320" s="1193">
        <v>2</v>
      </c>
      <c r="BH320" s="1193">
        <v>2</v>
      </c>
      <c r="BI320" s="1193">
        <v>2</v>
      </c>
      <c r="BJ320" s="1193">
        <v>2</v>
      </c>
      <c r="BK320" s="1193">
        <v>2</v>
      </c>
      <c r="BL320" s="1193">
        <v>2</v>
      </c>
      <c r="BM320" s="1193">
        <v>2</v>
      </c>
      <c r="BN320" s="1193">
        <v>0</v>
      </c>
      <c r="BO320" s="1193">
        <v>2</v>
      </c>
      <c r="BP320" s="1193">
        <v>2</v>
      </c>
      <c r="BQ320" s="1193">
        <v>2</v>
      </c>
      <c r="BR320" s="1193">
        <v>2</v>
      </c>
      <c r="BS320" s="1193">
        <v>2</v>
      </c>
      <c r="BT320" s="1193">
        <v>2</v>
      </c>
      <c r="BU320" s="1193">
        <v>2</v>
      </c>
      <c r="BV320" s="1193">
        <v>2</v>
      </c>
      <c r="BW320" s="1193">
        <v>2</v>
      </c>
      <c r="BX320" s="1193">
        <v>2</v>
      </c>
      <c r="BY320" s="1193">
        <v>0</v>
      </c>
      <c r="BZ320" s="1193">
        <v>2</v>
      </c>
      <c r="CA320" s="1193">
        <v>2</v>
      </c>
      <c r="CB320" s="1193">
        <v>2</v>
      </c>
      <c r="CC320" s="1148">
        <v>2</v>
      </c>
      <c r="CD320" s="1148">
        <v>2</v>
      </c>
      <c r="CE320" s="1148">
        <v>0</v>
      </c>
      <c r="CF320" s="1148">
        <v>2</v>
      </c>
    </row>
    <row r="321" spans="1:84" s="1148" customFormat="1" x14ac:dyDescent="0.3">
      <c r="A321" s="1144">
        <v>955</v>
      </c>
      <c r="B321" s="1144">
        <v>955</v>
      </c>
      <c r="C321" s="1196"/>
      <c r="D321" s="1145"/>
      <c r="E321" s="1191"/>
      <c r="F321" s="1192">
        <v>0</v>
      </c>
      <c r="G321" s="1192">
        <v>0</v>
      </c>
      <c r="H321" s="1192">
        <v>1</v>
      </c>
      <c r="I321" s="1192">
        <v>0</v>
      </c>
      <c r="J321" s="1192">
        <v>0</v>
      </c>
      <c r="K321" s="1192">
        <v>0</v>
      </c>
      <c r="L321" s="1193">
        <v>0</v>
      </c>
      <c r="M321" s="1193">
        <v>0</v>
      </c>
      <c r="N321" s="1193">
        <v>0</v>
      </c>
      <c r="O321" s="1193">
        <v>0</v>
      </c>
      <c r="P321" s="1193">
        <v>0</v>
      </c>
      <c r="Q321" s="1193">
        <v>0</v>
      </c>
      <c r="R321" s="1193">
        <v>0</v>
      </c>
      <c r="S321" s="1193">
        <v>0</v>
      </c>
      <c r="T321" s="1193">
        <v>0</v>
      </c>
      <c r="U321" s="1193">
        <v>0</v>
      </c>
      <c r="V321" s="1193">
        <v>0</v>
      </c>
      <c r="W321" s="1193">
        <v>1</v>
      </c>
      <c r="X321" s="1193">
        <v>0</v>
      </c>
      <c r="Y321" s="1193">
        <v>0</v>
      </c>
      <c r="Z321" s="1193">
        <v>1</v>
      </c>
      <c r="AA321" s="1193">
        <v>0</v>
      </c>
      <c r="AB321" s="1193">
        <v>0</v>
      </c>
      <c r="AC321" s="1193">
        <v>0</v>
      </c>
      <c r="AD321" s="1193">
        <v>0</v>
      </c>
      <c r="AE321" s="1193">
        <v>0</v>
      </c>
      <c r="AF321" s="1193">
        <v>0</v>
      </c>
      <c r="AG321" s="1193">
        <v>0</v>
      </c>
      <c r="AH321" s="1193">
        <v>0</v>
      </c>
      <c r="AI321" s="1193">
        <v>0</v>
      </c>
      <c r="AJ321" s="1193">
        <v>2</v>
      </c>
      <c r="AK321" s="1193">
        <v>0</v>
      </c>
      <c r="AL321" s="1193">
        <v>0</v>
      </c>
      <c r="AM321" s="1193">
        <v>0</v>
      </c>
      <c r="AN321" s="1193">
        <v>0</v>
      </c>
      <c r="AO321" s="1193">
        <v>0</v>
      </c>
      <c r="AP321" s="1193">
        <v>0</v>
      </c>
      <c r="AQ321" s="1193">
        <v>0</v>
      </c>
      <c r="AR321" s="1193">
        <v>0</v>
      </c>
      <c r="AS321" s="1193">
        <v>0</v>
      </c>
      <c r="AT321" s="1193">
        <v>0</v>
      </c>
      <c r="AU321" s="1193">
        <v>2</v>
      </c>
      <c r="AV321" s="1193">
        <v>2</v>
      </c>
      <c r="AW321" s="1193">
        <v>0</v>
      </c>
      <c r="AX321" s="1193">
        <v>0</v>
      </c>
      <c r="AY321" s="1193">
        <v>0</v>
      </c>
      <c r="AZ321" s="1193">
        <v>0</v>
      </c>
      <c r="BA321" s="1193">
        <v>0</v>
      </c>
      <c r="BB321" s="1193">
        <v>0</v>
      </c>
      <c r="BC321" s="1193">
        <v>0</v>
      </c>
      <c r="BD321" s="1193">
        <v>0</v>
      </c>
      <c r="BE321" s="1193">
        <v>0</v>
      </c>
      <c r="BF321" s="1193">
        <v>0</v>
      </c>
      <c r="BG321" s="1193">
        <v>0</v>
      </c>
      <c r="BH321" s="1193">
        <v>0</v>
      </c>
      <c r="BI321" s="1193">
        <v>0</v>
      </c>
      <c r="BJ321" s="1193">
        <v>0</v>
      </c>
      <c r="BK321" s="1193">
        <v>0</v>
      </c>
      <c r="BL321" s="1193">
        <v>0</v>
      </c>
      <c r="BM321" s="1193">
        <v>0</v>
      </c>
      <c r="BN321" s="1193">
        <v>0</v>
      </c>
      <c r="BO321" s="1193">
        <v>0</v>
      </c>
      <c r="BP321" s="1193">
        <v>0</v>
      </c>
      <c r="BQ321" s="1193">
        <v>2</v>
      </c>
      <c r="BR321" s="1193">
        <v>0</v>
      </c>
      <c r="BS321" s="1193">
        <v>0</v>
      </c>
      <c r="BT321" s="1193">
        <v>1</v>
      </c>
      <c r="BU321" s="1193">
        <v>0</v>
      </c>
      <c r="BV321" s="1193">
        <v>0</v>
      </c>
      <c r="BW321" s="1193">
        <v>0</v>
      </c>
      <c r="BX321" s="1193">
        <v>0</v>
      </c>
      <c r="BY321" s="1193">
        <v>0</v>
      </c>
      <c r="BZ321" s="1193">
        <v>0</v>
      </c>
      <c r="CA321" s="1193">
        <v>0</v>
      </c>
      <c r="CB321" s="1193">
        <v>1</v>
      </c>
      <c r="CC321" s="1148">
        <v>0</v>
      </c>
      <c r="CD321" s="1148">
        <v>2</v>
      </c>
      <c r="CE321" s="1148">
        <v>0</v>
      </c>
      <c r="CF321" s="1148">
        <v>0</v>
      </c>
    </row>
    <row r="322" spans="1:84" s="1148" customFormat="1" x14ac:dyDescent="0.3">
      <c r="A322" s="1144">
        <v>957</v>
      </c>
      <c r="B322" s="1144">
        <v>957</v>
      </c>
      <c r="C322" s="1196"/>
      <c r="D322" s="1145"/>
      <c r="E322" s="1191"/>
      <c r="F322" s="1192">
        <v>0</v>
      </c>
      <c r="G322" s="1192">
        <v>0</v>
      </c>
      <c r="H322" s="1192">
        <v>0</v>
      </c>
      <c r="I322" s="1192">
        <v>0</v>
      </c>
      <c r="J322" s="1192">
        <v>0</v>
      </c>
      <c r="K322" s="1192">
        <v>0</v>
      </c>
      <c r="L322" s="1193">
        <v>0</v>
      </c>
      <c r="M322" s="1193">
        <v>0</v>
      </c>
      <c r="N322" s="1193">
        <v>0</v>
      </c>
      <c r="O322" s="1193">
        <v>0</v>
      </c>
      <c r="P322" s="1193">
        <v>0</v>
      </c>
      <c r="Q322" s="1193">
        <v>0</v>
      </c>
      <c r="R322" s="1193">
        <v>0</v>
      </c>
      <c r="S322" s="1193">
        <v>0</v>
      </c>
      <c r="T322" s="1193">
        <v>0</v>
      </c>
      <c r="U322" s="1193">
        <v>0</v>
      </c>
      <c r="V322" s="1193">
        <v>0</v>
      </c>
      <c r="W322" s="1193">
        <v>0</v>
      </c>
      <c r="X322" s="1193">
        <v>0</v>
      </c>
      <c r="Y322" s="1193">
        <v>0</v>
      </c>
      <c r="Z322" s="1193">
        <v>0</v>
      </c>
      <c r="AA322" s="1193">
        <v>0</v>
      </c>
      <c r="AB322" s="1193">
        <v>0</v>
      </c>
      <c r="AC322" s="1193">
        <v>4</v>
      </c>
      <c r="AD322" s="1193">
        <v>3</v>
      </c>
      <c r="AE322" s="1193">
        <v>0</v>
      </c>
      <c r="AF322" s="1193">
        <v>0</v>
      </c>
      <c r="AG322" s="1193">
        <v>0</v>
      </c>
      <c r="AH322" s="1193">
        <v>0</v>
      </c>
      <c r="AI322" s="1193">
        <v>0</v>
      </c>
      <c r="AJ322" s="1193">
        <v>0</v>
      </c>
      <c r="AK322" s="1193">
        <v>0</v>
      </c>
      <c r="AL322" s="1193">
        <v>0</v>
      </c>
      <c r="AM322" s="1193">
        <v>0</v>
      </c>
      <c r="AN322" s="1193">
        <v>0</v>
      </c>
      <c r="AO322" s="1193">
        <v>1</v>
      </c>
      <c r="AP322" s="1193">
        <v>0</v>
      </c>
      <c r="AQ322" s="1193">
        <v>0</v>
      </c>
      <c r="AR322" s="1193">
        <v>0</v>
      </c>
      <c r="AS322" s="1193">
        <v>0</v>
      </c>
      <c r="AT322" s="1193">
        <v>0</v>
      </c>
      <c r="AU322" s="1193">
        <v>1</v>
      </c>
      <c r="AV322" s="1193">
        <v>1</v>
      </c>
      <c r="AW322" s="1193">
        <v>0</v>
      </c>
      <c r="AX322" s="1193">
        <v>0</v>
      </c>
      <c r="AY322" s="1193">
        <v>0</v>
      </c>
      <c r="AZ322" s="1193">
        <v>0</v>
      </c>
      <c r="BA322" s="1193">
        <v>0</v>
      </c>
      <c r="BB322" s="1193">
        <v>0</v>
      </c>
      <c r="BC322" s="1193">
        <v>0</v>
      </c>
      <c r="BD322" s="1193">
        <v>0</v>
      </c>
      <c r="BE322" s="1193">
        <v>0</v>
      </c>
      <c r="BF322" s="1193">
        <v>0</v>
      </c>
      <c r="BG322" s="1193">
        <v>0</v>
      </c>
      <c r="BH322" s="1193">
        <v>0</v>
      </c>
      <c r="BI322" s="1193">
        <v>0</v>
      </c>
      <c r="BJ322" s="1193">
        <v>0</v>
      </c>
      <c r="BK322" s="1193">
        <v>0</v>
      </c>
      <c r="BL322" s="1193">
        <v>0</v>
      </c>
      <c r="BM322" s="1193">
        <v>0</v>
      </c>
      <c r="BN322" s="1193">
        <v>0</v>
      </c>
      <c r="BO322" s="1193">
        <v>0</v>
      </c>
      <c r="BP322" s="1193">
        <v>0</v>
      </c>
      <c r="BQ322" s="1193">
        <v>0</v>
      </c>
      <c r="BR322" s="1193">
        <v>0</v>
      </c>
      <c r="BS322" s="1193">
        <v>0</v>
      </c>
      <c r="BT322" s="1193">
        <v>0</v>
      </c>
      <c r="BU322" s="1193">
        <v>0</v>
      </c>
      <c r="BV322" s="1193">
        <v>0</v>
      </c>
      <c r="BW322" s="1193">
        <v>0</v>
      </c>
      <c r="BX322" s="1193">
        <v>0</v>
      </c>
      <c r="BY322" s="1193">
        <v>0</v>
      </c>
      <c r="BZ322" s="1193">
        <v>0</v>
      </c>
      <c r="CA322" s="1193">
        <v>0</v>
      </c>
      <c r="CB322" s="1193">
        <v>4</v>
      </c>
      <c r="CC322" s="1148">
        <v>0</v>
      </c>
      <c r="CD322" s="1148">
        <v>2</v>
      </c>
      <c r="CE322" s="1148">
        <v>0</v>
      </c>
      <c r="CF322" s="1148">
        <v>0</v>
      </c>
    </row>
    <row r="323" spans="1:84" s="1148" customFormat="1" x14ac:dyDescent="0.3">
      <c r="A323" s="1144">
        <v>959</v>
      </c>
      <c r="B323" s="1144">
        <v>959</v>
      </c>
      <c r="C323" s="1196"/>
      <c r="D323" s="1145"/>
      <c r="E323" s="1191"/>
      <c r="F323" s="1192">
        <v>0</v>
      </c>
      <c r="G323" s="1192">
        <v>2</v>
      </c>
      <c r="H323" s="1192">
        <v>2</v>
      </c>
      <c r="I323" s="1192">
        <v>2</v>
      </c>
      <c r="J323" s="1192">
        <v>2</v>
      </c>
      <c r="K323" s="1192">
        <v>2</v>
      </c>
      <c r="L323" s="1193">
        <v>2</v>
      </c>
      <c r="M323" s="1193">
        <v>3</v>
      </c>
      <c r="N323" s="1193">
        <v>3</v>
      </c>
      <c r="O323" s="1193">
        <v>3</v>
      </c>
      <c r="P323" s="1193">
        <v>2</v>
      </c>
      <c r="Q323" s="1193">
        <v>2</v>
      </c>
      <c r="R323" s="1193">
        <v>3</v>
      </c>
      <c r="S323" s="1193">
        <v>2</v>
      </c>
      <c r="T323" s="1193">
        <v>0</v>
      </c>
      <c r="U323" s="1193">
        <v>3</v>
      </c>
      <c r="V323" s="1193">
        <v>2</v>
      </c>
      <c r="W323" s="1193">
        <v>2</v>
      </c>
      <c r="X323" s="1193">
        <v>2</v>
      </c>
      <c r="Y323" s="1193">
        <v>2</v>
      </c>
      <c r="Z323" s="1193">
        <v>3</v>
      </c>
      <c r="AA323" s="1193">
        <v>2</v>
      </c>
      <c r="AB323" s="1193">
        <v>2</v>
      </c>
      <c r="AC323" s="1193">
        <v>2</v>
      </c>
      <c r="AD323" s="1193">
        <v>3</v>
      </c>
      <c r="AE323" s="1193">
        <v>2</v>
      </c>
      <c r="AF323" s="1193">
        <v>2</v>
      </c>
      <c r="AG323" s="1193">
        <v>2</v>
      </c>
      <c r="AH323" s="1193">
        <v>2</v>
      </c>
      <c r="AI323" s="1193">
        <v>2</v>
      </c>
      <c r="AJ323" s="1193">
        <v>2</v>
      </c>
      <c r="AK323" s="1193">
        <v>2</v>
      </c>
      <c r="AL323" s="1193">
        <v>2</v>
      </c>
      <c r="AM323" s="1193">
        <v>2</v>
      </c>
      <c r="AN323" s="1193">
        <v>0</v>
      </c>
      <c r="AO323" s="1193">
        <v>2</v>
      </c>
      <c r="AP323" s="1193">
        <v>0</v>
      </c>
      <c r="AQ323" s="1193">
        <v>2</v>
      </c>
      <c r="AR323" s="1193">
        <v>2</v>
      </c>
      <c r="AS323" s="1193">
        <v>2</v>
      </c>
      <c r="AT323" s="1193">
        <v>2</v>
      </c>
      <c r="AU323" s="1193">
        <v>2</v>
      </c>
      <c r="AV323" s="1193">
        <v>2</v>
      </c>
      <c r="AW323" s="1193">
        <v>0</v>
      </c>
      <c r="AX323" s="1193">
        <v>2</v>
      </c>
      <c r="AY323" s="1193">
        <v>2</v>
      </c>
      <c r="AZ323" s="1193">
        <v>2</v>
      </c>
      <c r="BA323" s="1193">
        <v>2</v>
      </c>
      <c r="BB323" s="1193">
        <v>3</v>
      </c>
      <c r="BC323" s="1193">
        <v>2</v>
      </c>
      <c r="BD323" s="1193">
        <v>3</v>
      </c>
      <c r="BE323" s="1193">
        <v>2</v>
      </c>
      <c r="BF323" s="1193">
        <v>2</v>
      </c>
      <c r="BG323" s="1193">
        <v>2</v>
      </c>
      <c r="BH323" s="1193">
        <v>2</v>
      </c>
      <c r="BI323" s="1193">
        <v>2</v>
      </c>
      <c r="BJ323" s="1193">
        <v>3</v>
      </c>
      <c r="BK323" s="1193">
        <v>2</v>
      </c>
      <c r="BL323" s="1193">
        <v>2</v>
      </c>
      <c r="BM323" s="1193">
        <v>2</v>
      </c>
      <c r="BN323" s="1193">
        <v>0</v>
      </c>
      <c r="BO323" s="1193">
        <v>2</v>
      </c>
      <c r="BP323" s="1193">
        <v>2</v>
      </c>
      <c r="BQ323" s="1193">
        <v>2</v>
      </c>
      <c r="BR323" s="1193">
        <v>2</v>
      </c>
      <c r="BS323" s="1193">
        <v>2</v>
      </c>
      <c r="BT323" s="1193">
        <v>2</v>
      </c>
      <c r="BU323" s="1193">
        <v>2</v>
      </c>
      <c r="BV323" s="1193">
        <v>2</v>
      </c>
      <c r="BW323" s="1193">
        <v>2</v>
      </c>
      <c r="BX323" s="1193">
        <v>3</v>
      </c>
      <c r="BY323" s="1193">
        <v>0</v>
      </c>
      <c r="BZ323" s="1193">
        <v>2</v>
      </c>
      <c r="CA323" s="1193">
        <v>3</v>
      </c>
      <c r="CB323" s="1193">
        <v>2</v>
      </c>
      <c r="CC323" s="1148">
        <v>2</v>
      </c>
      <c r="CD323" s="1148">
        <v>2</v>
      </c>
      <c r="CE323" s="1148">
        <v>0</v>
      </c>
      <c r="CF323" s="1148">
        <v>3</v>
      </c>
    </row>
    <row r="324" spans="1:84" s="1148" customFormat="1" x14ac:dyDescent="0.3">
      <c r="A324" s="1144">
        <v>961</v>
      </c>
      <c r="B324" s="1144">
        <v>961</v>
      </c>
      <c r="C324" s="1196"/>
      <c r="D324" s="1145"/>
      <c r="E324" s="1191"/>
      <c r="F324" s="1192">
        <v>0</v>
      </c>
      <c r="G324" s="1192">
        <v>2</v>
      </c>
      <c r="H324" s="1192">
        <v>2</v>
      </c>
      <c r="I324" s="1192">
        <v>2</v>
      </c>
      <c r="J324" s="1192">
        <v>2</v>
      </c>
      <c r="K324" s="1192">
        <v>2</v>
      </c>
      <c r="L324" s="1193">
        <v>2</v>
      </c>
      <c r="M324" s="1193">
        <v>3</v>
      </c>
      <c r="N324" s="1193">
        <v>3</v>
      </c>
      <c r="O324" s="1193">
        <v>2</v>
      </c>
      <c r="P324" s="1193">
        <v>2</v>
      </c>
      <c r="Q324" s="1193">
        <v>2</v>
      </c>
      <c r="R324" s="1193">
        <v>3</v>
      </c>
      <c r="S324" s="1193">
        <v>2</v>
      </c>
      <c r="T324" s="1193">
        <v>0</v>
      </c>
      <c r="U324" s="1193">
        <v>3</v>
      </c>
      <c r="V324" s="1193">
        <v>2</v>
      </c>
      <c r="W324" s="1193">
        <v>2</v>
      </c>
      <c r="X324" s="1193">
        <v>2</v>
      </c>
      <c r="Y324" s="1193">
        <v>2</v>
      </c>
      <c r="Z324" s="1193">
        <v>3</v>
      </c>
      <c r="AA324" s="1193">
        <v>2</v>
      </c>
      <c r="AB324" s="1193">
        <v>2</v>
      </c>
      <c r="AC324" s="1193">
        <v>2</v>
      </c>
      <c r="AD324" s="1193">
        <v>2</v>
      </c>
      <c r="AE324" s="1193">
        <v>2</v>
      </c>
      <c r="AF324" s="1193">
        <v>2</v>
      </c>
      <c r="AG324" s="1193">
        <v>2</v>
      </c>
      <c r="AH324" s="1193">
        <v>2</v>
      </c>
      <c r="AI324" s="1193">
        <v>2</v>
      </c>
      <c r="AJ324" s="1193">
        <v>2</v>
      </c>
      <c r="AK324" s="1193">
        <v>2</v>
      </c>
      <c r="AL324" s="1193">
        <v>3</v>
      </c>
      <c r="AM324" s="1193">
        <v>2</v>
      </c>
      <c r="AN324" s="1193">
        <v>0</v>
      </c>
      <c r="AO324" s="1193">
        <v>2</v>
      </c>
      <c r="AP324" s="1193">
        <v>0</v>
      </c>
      <c r="AQ324" s="1193">
        <v>2</v>
      </c>
      <c r="AR324" s="1193">
        <v>3</v>
      </c>
      <c r="AS324" s="1193">
        <v>2</v>
      </c>
      <c r="AT324" s="1193">
        <v>2</v>
      </c>
      <c r="AU324" s="1193">
        <v>2</v>
      </c>
      <c r="AV324" s="1193">
        <v>2</v>
      </c>
      <c r="AW324" s="1193">
        <v>0</v>
      </c>
      <c r="AX324" s="1193">
        <v>2</v>
      </c>
      <c r="AY324" s="1193">
        <v>2</v>
      </c>
      <c r="AZ324" s="1193">
        <v>2</v>
      </c>
      <c r="BA324" s="1193">
        <v>2</v>
      </c>
      <c r="BB324" s="1193">
        <v>3</v>
      </c>
      <c r="BC324" s="1193">
        <v>2</v>
      </c>
      <c r="BD324" s="1193">
        <v>3</v>
      </c>
      <c r="BE324" s="1193">
        <v>2</v>
      </c>
      <c r="BF324" s="1193">
        <v>2</v>
      </c>
      <c r="BG324" s="1193">
        <v>2</v>
      </c>
      <c r="BH324" s="1193">
        <v>2</v>
      </c>
      <c r="BI324" s="1193">
        <v>2</v>
      </c>
      <c r="BJ324" s="1193">
        <v>3</v>
      </c>
      <c r="BK324" s="1193">
        <v>2</v>
      </c>
      <c r="BL324" s="1193">
        <v>2</v>
      </c>
      <c r="BM324" s="1193">
        <v>2</v>
      </c>
      <c r="BN324" s="1193">
        <v>0</v>
      </c>
      <c r="BO324" s="1193">
        <v>2</v>
      </c>
      <c r="BP324" s="1193">
        <v>2</v>
      </c>
      <c r="BQ324" s="1193">
        <v>2</v>
      </c>
      <c r="BR324" s="1193">
        <v>2</v>
      </c>
      <c r="BS324" s="1193">
        <v>2</v>
      </c>
      <c r="BT324" s="1193">
        <v>2</v>
      </c>
      <c r="BU324" s="1193">
        <v>2</v>
      </c>
      <c r="BV324" s="1193">
        <v>2</v>
      </c>
      <c r="BW324" s="1193">
        <v>2</v>
      </c>
      <c r="BX324" s="1193">
        <v>3</v>
      </c>
      <c r="BY324" s="1193">
        <v>0</v>
      </c>
      <c r="BZ324" s="1193">
        <v>2</v>
      </c>
      <c r="CA324" s="1193">
        <v>3</v>
      </c>
      <c r="CB324" s="1193">
        <v>2</v>
      </c>
      <c r="CC324" s="1148">
        <v>2</v>
      </c>
      <c r="CD324" s="1148">
        <v>2</v>
      </c>
      <c r="CE324" s="1148">
        <v>0</v>
      </c>
      <c r="CF324" s="1148">
        <v>3</v>
      </c>
    </row>
    <row r="325" spans="1:84" s="1148" customFormat="1" x14ac:dyDescent="0.3">
      <c r="A325" s="1144">
        <v>963</v>
      </c>
      <c r="B325" s="1144">
        <v>963</v>
      </c>
      <c r="C325" s="1196"/>
      <c r="D325" s="1145"/>
      <c r="E325" s="1191"/>
      <c r="F325" s="1192">
        <v>0</v>
      </c>
      <c r="G325" s="1192">
        <v>3</v>
      </c>
      <c r="H325" s="1192">
        <v>1</v>
      </c>
      <c r="I325" s="1192">
        <v>3</v>
      </c>
      <c r="J325" s="1192">
        <v>3</v>
      </c>
      <c r="K325" s="1192">
        <v>3</v>
      </c>
      <c r="L325" s="1193">
        <v>3</v>
      </c>
      <c r="M325" s="1193">
        <v>3</v>
      </c>
      <c r="N325" s="1193">
        <v>3</v>
      </c>
      <c r="O325" s="1193">
        <v>3</v>
      </c>
      <c r="P325" s="1193">
        <v>3</v>
      </c>
      <c r="Q325" s="1193">
        <v>3</v>
      </c>
      <c r="R325" s="1193">
        <v>3</v>
      </c>
      <c r="S325" s="1193">
        <v>1</v>
      </c>
      <c r="T325" s="1193">
        <v>0</v>
      </c>
      <c r="U325" s="1193">
        <v>3</v>
      </c>
      <c r="V325" s="1193">
        <v>1</v>
      </c>
      <c r="W325" s="1193">
        <v>1</v>
      </c>
      <c r="X325" s="1193">
        <v>1</v>
      </c>
      <c r="Y325" s="1193">
        <v>3</v>
      </c>
      <c r="Z325" s="1193">
        <v>3</v>
      </c>
      <c r="AA325" s="1193">
        <v>3</v>
      </c>
      <c r="AB325" s="1193">
        <v>1</v>
      </c>
      <c r="AC325" s="1193">
        <v>1</v>
      </c>
      <c r="AD325" s="1193">
        <v>1</v>
      </c>
      <c r="AE325" s="1193">
        <v>3</v>
      </c>
      <c r="AF325" s="1193">
        <v>1</v>
      </c>
      <c r="AG325" s="1193">
        <v>3</v>
      </c>
      <c r="AH325" s="1193">
        <v>1</v>
      </c>
      <c r="AI325" s="1193">
        <v>3</v>
      </c>
      <c r="AJ325" s="1193">
        <v>3</v>
      </c>
      <c r="AK325" s="1193">
        <v>1</v>
      </c>
      <c r="AL325" s="1193">
        <v>3</v>
      </c>
      <c r="AM325" s="1193">
        <v>3</v>
      </c>
      <c r="AN325" s="1193">
        <v>0</v>
      </c>
      <c r="AO325" s="1193">
        <v>3</v>
      </c>
      <c r="AP325" s="1193">
        <v>0</v>
      </c>
      <c r="AQ325" s="1193">
        <v>2</v>
      </c>
      <c r="AR325" s="1193">
        <v>3</v>
      </c>
      <c r="AS325" s="1193">
        <v>1</v>
      </c>
      <c r="AT325" s="1193">
        <v>1</v>
      </c>
      <c r="AU325" s="1193">
        <v>3</v>
      </c>
      <c r="AV325" s="1193">
        <v>1</v>
      </c>
      <c r="AW325" s="1193">
        <v>0</v>
      </c>
      <c r="AX325" s="1193">
        <v>1</v>
      </c>
      <c r="AY325" s="1193">
        <v>3</v>
      </c>
      <c r="AZ325" s="1193">
        <v>3</v>
      </c>
      <c r="BA325" s="1193">
        <v>1</v>
      </c>
      <c r="BB325" s="1193">
        <v>3</v>
      </c>
      <c r="BC325" s="1193">
        <v>3</v>
      </c>
      <c r="BD325" s="1193">
        <v>3</v>
      </c>
      <c r="BE325" s="1193">
        <v>3</v>
      </c>
      <c r="BF325" s="1193">
        <v>1</v>
      </c>
      <c r="BG325" s="1193">
        <v>3</v>
      </c>
      <c r="BH325" s="1193">
        <v>3</v>
      </c>
      <c r="BI325" s="1193">
        <v>3</v>
      </c>
      <c r="BJ325" s="1193">
        <v>3</v>
      </c>
      <c r="BK325" s="1193">
        <v>3</v>
      </c>
      <c r="BL325" s="1193">
        <v>3</v>
      </c>
      <c r="BM325" s="1193">
        <v>3</v>
      </c>
      <c r="BN325" s="1193">
        <v>0</v>
      </c>
      <c r="BO325" s="1193">
        <v>3</v>
      </c>
      <c r="BP325" s="1193">
        <v>3</v>
      </c>
      <c r="BQ325" s="1193">
        <v>3</v>
      </c>
      <c r="BR325" s="1193">
        <v>3</v>
      </c>
      <c r="BS325" s="1193">
        <v>3</v>
      </c>
      <c r="BT325" s="1193">
        <v>3</v>
      </c>
      <c r="BU325" s="1193">
        <v>3</v>
      </c>
      <c r="BV325" s="1193">
        <v>1</v>
      </c>
      <c r="BW325" s="1193">
        <v>3</v>
      </c>
      <c r="BX325" s="1193">
        <v>3</v>
      </c>
      <c r="BY325" s="1193">
        <v>0</v>
      </c>
      <c r="BZ325" s="1193">
        <v>3</v>
      </c>
      <c r="CA325" s="1193">
        <v>3</v>
      </c>
      <c r="CB325" s="1193">
        <v>1</v>
      </c>
      <c r="CC325" s="1148">
        <v>1</v>
      </c>
      <c r="CD325" s="1148">
        <v>3</v>
      </c>
      <c r="CE325" s="1148">
        <v>0</v>
      </c>
      <c r="CF325" s="1148">
        <v>3</v>
      </c>
    </row>
    <row r="326" spans="1:84" s="1148" customFormat="1" x14ac:dyDescent="0.3">
      <c r="A326" s="1144">
        <v>965</v>
      </c>
      <c r="B326" s="1144">
        <v>965</v>
      </c>
      <c r="C326" s="1196"/>
      <c r="D326" s="1145"/>
      <c r="E326" s="1191"/>
      <c r="F326" s="1192">
        <v>0</v>
      </c>
      <c r="G326" s="1192">
        <v>1</v>
      </c>
      <c r="H326" s="1192">
        <v>1</v>
      </c>
      <c r="I326" s="1192">
        <v>1</v>
      </c>
      <c r="J326" s="1192">
        <v>1</v>
      </c>
      <c r="K326" s="1192">
        <v>1</v>
      </c>
      <c r="L326" s="1193">
        <v>1</v>
      </c>
      <c r="M326" s="1193">
        <v>1</v>
      </c>
      <c r="N326" s="1193">
        <v>1</v>
      </c>
      <c r="O326" s="1193">
        <v>1</v>
      </c>
      <c r="P326" s="1193">
        <v>1</v>
      </c>
      <c r="Q326" s="1193">
        <v>1</v>
      </c>
      <c r="R326" s="1193">
        <v>1</v>
      </c>
      <c r="S326" s="1193">
        <v>1</v>
      </c>
      <c r="T326" s="1193">
        <v>0</v>
      </c>
      <c r="U326" s="1193">
        <v>1</v>
      </c>
      <c r="V326" s="1193">
        <v>1</v>
      </c>
      <c r="W326" s="1193">
        <v>1</v>
      </c>
      <c r="X326" s="1193">
        <v>1</v>
      </c>
      <c r="Y326" s="1193">
        <v>1</v>
      </c>
      <c r="Z326" s="1193">
        <v>1</v>
      </c>
      <c r="AA326" s="1193">
        <v>1</v>
      </c>
      <c r="AB326" s="1193">
        <v>1</v>
      </c>
      <c r="AC326" s="1193">
        <v>1</v>
      </c>
      <c r="AD326" s="1193">
        <v>1</v>
      </c>
      <c r="AE326" s="1193">
        <v>1</v>
      </c>
      <c r="AF326" s="1193">
        <v>1</v>
      </c>
      <c r="AG326" s="1193">
        <v>1</v>
      </c>
      <c r="AH326" s="1193">
        <v>1</v>
      </c>
      <c r="AI326" s="1193">
        <v>1</v>
      </c>
      <c r="AJ326" s="1193">
        <v>1</v>
      </c>
      <c r="AK326" s="1193">
        <v>1</v>
      </c>
      <c r="AL326" s="1193">
        <v>1</v>
      </c>
      <c r="AM326" s="1193">
        <v>1</v>
      </c>
      <c r="AN326" s="1193">
        <v>0</v>
      </c>
      <c r="AO326" s="1193">
        <v>1</v>
      </c>
      <c r="AP326" s="1193">
        <v>0</v>
      </c>
      <c r="AQ326" s="1193">
        <v>1</v>
      </c>
      <c r="AR326" s="1193">
        <v>2</v>
      </c>
      <c r="AS326" s="1193">
        <v>1</v>
      </c>
      <c r="AT326" s="1193">
        <v>1</v>
      </c>
      <c r="AU326" s="1193">
        <v>1</v>
      </c>
      <c r="AV326" s="1193">
        <v>1</v>
      </c>
      <c r="AW326" s="1193">
        <v>0</v>
      </c>
      <c r="AX326" s="1193">
        <v>1</v>
      </c>
      <c r="AY326" s="1193">
        <v>1</v>
      </c>
      <c r="AZ326" s="1193">
        <v>1</v>
      </c>
      <c r="BA326" s="1193">
        <v>1</v>
      </c>
      <c r="BB326" s="1193">
        <v>1</v>
      </c>
      <c r="BC326" s="1193">
        <v>1</v>
      </c>
      <c r="BD326" s="1193">
        <v>1</v>
      </c>
      <c r="BE326" s="1193">
        <v>1</v>
      </c>
      <c r="BF326" s="1193">
        <v>1</v>
      </c>
      <c r="BG326" s="1193">
        <v>1</v>
      </c>
      <c r="BH326" s="1193">
        <v>1</v>
      </c>
      <c r="BI326" s="1193">
        <v>1</v>
      </c>
      <c r="BJ326" s="1193">
        <v>1</v>
      </c>
      <c r="BK326" s="1193">
        <v>1</v>
      </c>
      <c r="BL326" s="1193">
        <v>1</v>
      </c>
      <c r="BM326" s="1193">
        <v>1</v>
      </c>
      <c r="BN326" s="1193">
        <v>0</v>
      </c>
      <c r="BO326" s="1193">
        <v>1</v>
      </c>
      <c r="BP326" s="1193">
        <v>1</v>
      </c>
      <c r="BQ326" s="1193">
        <v>1</v>
      </c>
      <c r="BR326" s="1193">
        <v>1</v>
      </c>
      <c r="BS326" s="1193">
        <v>1</v>
      </c>
      <c r="BT326" s="1193">
        <v>1</v>
      </c>
      <c r="BU326" s="1193">
        <v>1</v>
      </c>
      <c r="BV326" s="1193">
        <v>1</v>
      </c>
      <c r="BW326" s="1193">
        <v>1</v>
      </c>
      <c r="BX326" s="1193">
        <v>1</v>
      </c>
      <c r="BY326" s="1193">
        <v>0</v>
      </c>
      <c r="BZ326" s="1193">
        <v>1</v>
      </c>
      <c r="CA326" s="1193">
        <v>1</v>
      </c>
      <c r="CB326" s="1193">
        <v>1</v>
      </c>
      <c r="CC326" s="1148">
        <v>1</v>
      </c>
      <c r="CD326" s="1148">
        <v>1</v>
      </c>
      <c r="CE326" s="1148">
        <v>0</v>
      </c>
      <c r="CF326" s="1148">
        <v>1</v>
      </c>
    </row>
    <row r="327" spans="1:84" s="1148" customFormat="1" x14ac:dyDescent="0.3">
      <c r="A327" s="1144">
        <v>603</v>
      </c>
      <c r="B327" s="1144">
        <v>603</v>
      </c>
      <c r="C327" s="1196"/>
      <c r="D327" s="1145"/>
      <c r="E327" s="1191"/>
      <c r="F327" s="1192">
        <v>0</v>
      </c>
      <c r="G327" s="1192">
        <v>0</v>
      </c>
      <c r="H327" s="1192">
        <v>2</v>
      </c>
      <c r="I327" s="1192">
        <v>0</v>
      </c>
      <c r="J327" s="1192">
        <v>0</v>
      </c>
      <c r="K327" s="1192">
        <v>0</v>
      </c>
      <c r="L327" s="1193">
        <v>2</v>
      </c>
      <c r="M327" s="1193">
        <v>0</v>
      </c>
      <c r="N327" s="1193">
        <v>1</v>
      </c>
      <c r="O327" s="1193">
        <v>2</v>
      </c>
      <c r="P327" s="1193">
        <v>0</v>
      </c>
      <c r="Q327" s="1193">
        <v>0</v>
      </c>
      <c r="R327" s="1193">
        <v>0</v>
      </c>
      <c r="S327" s="1193">
        <v>0</v>
      </c>
      <c r="T327" s="1193">
        <v>0</v>
      </c>
      <c r="U327" s="1193">
        <v>0</v>
      </c>
      <c r="V327" s="1193">
        <v>0</v>
      </c>
      <c r="W327" s="1193">
        <v>0</v>
      </c>
      <c r="X327" s="1193">
        <v>0</v>
      </c>
      <c r="Y327" s="1193">
        <v>0</v>
      </c>
      <c r="Z327" s="1193">
        <v>2</v>
      </c>
      <c r="AA327" s="1193">
        <v>0</v>
      </c>
      <c r="AB327" s="1193">
        <v>0</v>
      </c>
      <c r="AC327" s="1193">
        <v>4</v>
      </c>
      <c r="AD327" s="1193">
        <v>4</v>
      </c>
      <c r="AE327" s="1193">
        <v>0</v>
      </c>
      <c r="AF327" s="1193">
        <v>6</v>
      </c>
      <c r="AG327" s="1193">
        <v>0</v>
      </c>
      <c r="AH327" s="1193">
        <v>0</v>
      </c>
      <c r="AI327" s="1193">
        <v>6</v>
      </c>
      <c r="AJ327" s="1193">
        <v>4</v>
      </c>
      <c r="AK327" s="1193">
        <v>0</v>
      </c>
      <c r="AL327" s="1193">
        <v>0</v>
      </c>
      <c r="AM327" s="1193">
        <v>0</v>
      </c>
      <c r="AN327" s="1193">
        <v>0</v>
      </c>
      <c r="AO327" s="1193">
        <v>2</v>
      </c>
      <c r="AP327" s="1193">
        <v>0</v>
      </c>
      <c r="AQ327" s="1193">
        <v>4</v>
      </c>
      <c r="AR327" s="1193">
        <v>1</v>
      </c>
      <c r="AS327" s="1193">
        <v>1</v>
      </c>
      <c r="AT327" s="1193">
        <v>1</v>
      </c>
      <c r="AU327" s="1193">
        <v>2</v>
      </c>
      <c r="AV327" s="1193">
        <v>4</v>
      </c>
      <c r="AW327" s="1193">
        <v>0</v>
      </c>
      <c r="AX327" s="1193">
        <v>0</v>
      </c>
      <c r="AY327" s="1193">
        <v>0</v>
      </c>
      <c r="AZ327" s="1193">
        <v>0</v>
      </c>
      <c r="BA327" s="1193">
        <v>0</v>
      </c>
      <c r="BB327" s="1193">
        <v>0</v>
      </c>
      <c r="BC327" s="1193">
        <v>1</v>
      </c>
      <c r="BD327" s="1193">
        <v>0</v>
      </c>
      <c r="BE327" s="1193">
        <v>1</v>
      </c>
      <c r="BF327" s="1193">
        <v>0</v>
      </c>
      <c r="BG327" s="1193">
        <v>0</v>
      </c>
      <c r="BH327" s="1193">
        <v>0</v>
      </c>
      <c r="BI327" s="1193">
        <v>1</v>
      </c>
      <c r="BJ327" s="1193">
        <v>0</v>
      </c>
      <c r="BK327" s="1193">
        <v>0</v>
      </c>
      <c r="BL327" s="1193">
        <v>0</v>
      </c>
      <c r="BM327" s="1193">
        <v>1</v>
      </c>
      <c r="BN327" s="1193">
        <v>0</v>
      </c>
      <c r="BO327" s="1193">
        <v>4</v>
      </c>
      <c r="BP327" s="1193">
        <v>0</v>
      </c>
      <c r="BQ327" s="1193">
        <v>2</v>
      </c>
      <c r="BR327" s="1193">
        <v>0</v>
      </c>
      <c r="BS327" s="1193">
        <v>0</v>
      </c>
      <c r="BT327" s="1193">
        <v>1</v>
      </c>
      <c r="BU327" s="1193">
        <v>0</v>
      </c>
      <c r="BV327" s="1193">
        <v>1</v>
      </c>
      <c r="BW327" s="1193">
        <v>1</v>
      </c>
      <c r="BX327" s="1193">
        <v>0</v>
      </c>
      <c r="BY327" s="1193">
        <v>0</v>
      </c>
      <c r="BZ327" s="1193">
        <v>0</v>
      </c>
      <c r="CA327" s="1193">
        <v>2</v>
      </c>
      <c r="CB327" s="1193">
        <v>4</v>
      </c>
      <c r="CC327" s="1148">
        <v>0</v>
      </c>
      <c r="CD327" s="1148">
        <v>2</v>
      </c>
      <c r="CE327" s="1148">
        <v>0</v>
      </c>
      <c r="CF327" s="1148">
        <v>2</v>
      </c>
    </row>
    <row r="328" spans="1:84" s="1148" customFormat="1" x14ac:dyDescent="0.3">
      <c r="A328" s="1144">
        <v>929</v>
      </c>
      <c r="B328" s="1144">
        <v>929</v>
      </c>
      <c r="C328" s="1196"/>
      <c r="D328" s="1145"/>
      <c r="E328" s="1191"/>
      <c r="F328" s="1192">
        <v>0</v>
      </c>
      <c r="G328" s="1192">
        <v>0</v>
      </c>
      <c r="H328" s="1192">
        <v>1</v>
      </c>
      <c r="I328" s="1192">
        <v>0</v>
      </c>
      <c r="J328" s="1192">
        <v>0</v>
      </c>
      <c r="K328" s="1192">
        <v>0</v>
      </c>
      <c r="L328" s="1193">
        <v>2</v>
      </c>
      <c r="M328" s="1193">
        <v>0</v>
      </c>
      <c r="N328" s="1193">
        <v>2</v>
      </c>
      <c r="O328" s="1193">
        <v>2</v>
      </c>
      <c r="P328" s="1193">
        <v>0</v>
      </c>
      <c r="Q328" s="1193">
        <v>0</v>
      </c>
      <c r="R328" s="1193">
        <v>0</v>
      </c>
      <c r="S328" s="1193">
        <v>0</v>
      </c>
      <c r="T328" s="1193">
        <v>0</v>
      </c>
      <c r="U328" s="1193">
        <v>0</v>
      </c>
      <c r="V328" s="1193">
        <v>0</v>
      </c>
      <c r="W328" s="1193">
        <v>0</v>
      </c>
      <c r="X328" s="1193">
        <v>0</v>
      </c>
      <c r="Y328" s="1193">
        <v>0</v>
      </c>
      <c r="Z328" s="1193">
        <v>1</v>
      </c>
      <c r="AA328" s="1193">
        <v>0</v>
      </c>
      <c r="AB328" s="1193">
        <v>0</v>
      </c>
      <c r="AC328" s="1193">
        <v>2</v>
      </c>
      <c r="AD328" s="1193">
        <v>2</v>
      </c>
      <c r="AE328" s="1193">
        <v>0</v>
      </c>
      <c r="AF328" s="1193">
        <v>2</v>
      </c>
      <c r="AG328" s="1193">
        <v>0</v>
      </c>
      <c r="AH328" s="1193">
        <v>0</v>
      </c>
      <c r="AI328" s="1193">
        <v>2</v>
      </c>
      <c r="AJ328" s="1193">
        <v>1</v>
      </c>
      <c r="AK328" s="1193">
        <v>0</v>
      </c>
      <c r="AL328" s="1193">
        <v>0</v>
      </c>
      <c r="AM328" s="1193">
        <v>0</v>
      </c>
      <c r="AN328" s="1193">
        <v>0</v>
      </c>
      <c r="AO328" s="1193">
        <v>2</v>
      </c>
      <c r="AP328" s="1193">
        <v>0</v>
      </c>
      <c r="AQ328" s="1193">
        <v>2</v>
      </c>
      <c r="AR328" s="1193">
        <v>0</v>
      </c>
      <c r="AS328" s="1193">
        <v>2</v>
      </c>
      <c r="AT328" s="1193">
        <v>2</v>
      </c>
      <c r="AU328" s="1193">
        <v>2</v>
      </c>
      <c r="AV328" s="1193">
        <v>1</v>
      </c>
      <c r="AW328" s="1193">
        <v>0</v>
      </c>
      <c r="AX328" s="1193">
        <v>0</v>
      </c>
      <c r="AY328" s="1193">
        <v>0</v>
      </c>
      <c r="AZ328" s="1193">
        <v>0</v>
      </c>
      <c r="BA328" s="1193">
        <v>0</v>
      </c>
      <c r="BB328" s="1193">
        <v>0</v>
      </c>
      <c r="BC328" s="1193">
        <v>2</v>
      </c>
      <c r="BD328" s="1193">
        <v>0</v>
      </c>
      <c r="BE328" s="1193">
        <v>2</v>
      </c>
      <c r="BF328" s="1193">
        <v>0</v>
      </c>
      <c r="BG328" s="1193">
        <v>0</v>
      </c>
      <c r="BH328" s="1193">
        <v>0</v>
      </c>
      <c r="BI328" s="1193">
        <v>0</v>
      </c>
      <c r="BJ328" s="1193">
        <v>0</v>
      </c>
      <c r="BK328" s="1193">
        <v>0</v>
      </c>
      <c r="BL328" s="1193">
        <v>0</v>
      </c>
      <c r="BM328" s="1193">
        <v>2</v>
      </c>
      <c r="BN328" s="1193">
        <v>0</v>
      </c>
      <c r="BO328" s="1193">
        <v>2</v>
      </c>
      <c r="BP328" s="1193">
        <v>0</v>
      </c>
      <c r="BQ328" s="1193">
        <v>2</v>
      </c>
      <c r="BR328" s="1193">
        <v>0</v>
      </c>
      <c r="BS328" s="1193">
        <v>0</v>
      </c>
      <c r="BT328" s="1193">
        <v>2</v>
      </c>
      <c r="BU328" s="1193">
        <v>0</v>
      </c>
      <c r="BV328" s="1193">
        <v>2</v>
      </c>
      <c r="BW328" s="1193">
        <v>2</v>
      </c>
      <c r="BX328" s="1193">
        <v>0</v>
      </c>
      <c r="BY328" s="1193">
        <v>0</v>
      </c>
      <c r="BZ328" s="1193">
        <v>0</v>
      </c>
      <c r="CA328" s="1193">
        <v>2</v>
      </c>
      <c r="CB328" s="1193">
        <v>2</v>
      </c>
      <c r="CC328" s="1148">
        <v>0</v>
      </c>
      <c r="CD328" s="1148">
        <v>2</v>
      </c>
      <c r="CE328" s="1148">
        <v>0</v>
      </c>
      <c r="CF328" s="1148">
        <v>2</v>
      </c>
    </row>
    <row r="329" spans="1:84" s="1148" customFormat="1" x14ac:dyDescent="0.3">
      <c r="A329" s="1144">
        <v>930</v>
      </c>
      <c r="B329" s="1144">
        <v>930</v>
      </c>
      <c r="C329" s="1196"/>
      <c r="D329" s="1145"/>
      <c r="E329" s="1191"/>
      <c r="F329" s="1192">
        <v>0</v>
      </c>
      <c r="G329" s="1192">
        <v>0</v>
      </c>
      <c r="H329" s="1192">
        <v>2</v>
      </c>
      <c r="I329" s="1192">
        <v>0</v>
      </c>
      <c r="J329" s="1192">
        <v>0</v>
      </c>
      <c r="K329" s="1192">
        <v>0</v>
      </c>
      <c r="L329" s="1193">
        <v>1</v>
      </c>
      <c r="M329" s="1193">
        <v>0</v>
      </c>
      <c r="N329" s="1193">
        <v>2</v>
      </c>
      <c r="O329" s="1193">
        <v>2</v>
      </c>
      <c r="P329" s="1193">
        <v>0</v>
      </c>
      <c r="Q329" s="1193">
        <v>0</v>
      </c>
      <c r="R329" s="1193">
        <v>0</v>
      </c>
      <c r="S329" s="1193">
        <v>0</v>
      </c>
      <c r="T329" s="1193">
        <v>0</v>
      </c>
      <c r="U329" s="1193">
        <v>0</v>
      </c>
      <c r="V329" s="1193">
        <v>0</v>
      </c>
      <c r="W329" s="1193">
        <v>0</v>
      </c>
      <c r="X329" s="1193">
        <v>0</v>
      </c>
      <c r="Y329" s="1193">
        <v>0</v>
      </c>
      <c r="Z329" s="1193">
        <v>2</v>
      </c>
      <c r="AA329" s="1193">
        <v>0</v>
      </c>
      <c r="AB329" s="1193">
        <v>0</v>
      </c>
      <c r="AC329" s="1193">
        <v>1</v>
      </c>
      <c r="AD329" s="1193">
        <v>1</v>
      </c>
      <c r="AE329" s="1193">
        <v>0</v>
      </c>
      <c r="AF329" s="1193">
        <v>2</v>
      </c>
      <c r="AG329" s="1193">
        <v>0</v>
      </c>
      <c r="AH329" s="1193">
        <v>0</v>
      </c>
      <c r="AI329" s="1193">
        <v>2</v>
      </c>
      <c r="AJ329" s="1193">
        <v>1</v>
      </c>
      <c r="AK329" s="1193">
        <v>0</v>
      </c>
      <c r="AL329" s="1193">
        <v>0</v>
      </c>
      <c r="AM329" s="1193">
        <v>0</v>
      </c>
      <c r="AN329" s="1193">
        <v>0</v>
      </c>
      <c r="AO329" s="1193">
        <v>2</v>
      </c>
      <c r="AP329" s="1193">
        <v>0</v>
      </c>
      <c r="AQ329" s="1193">
        <v>1</v>
      </c>
      <c r="AR329" s="1193">
        <v>1</v>
      </c>
      <c r="AS329" s="1193">
        <v>2</v>
      </c>
      <c r="AT329" s="1193">
        <v>2</v>
      </c>
      <c r="AU329" s="1193">
        <v>2</v>
      </c>
      <c r="AV329" s="1193">
        <v>2</v>
      </c>
      <c r="AW329" s="1193">
        <v>0</v>
      </c>
      <c r="AX329" s="1193">
        <v>0</v>
      </c>
      <c r="AY329" s="1193">
        <v>0</v>
      </c>
      <c r="AZ329" s="1193">
        <v>0</v>
      </c>
      <c r="BA329" s="1193">
        <v>0</v>
      </c>
      <c r="BB329" s="1193">
        <v>0</v>
      </c>
      <c r="BC329" s="1193">
        <v>2</v>
      </c>
      <c r="BD329" s="1193">
        <v>0</v>
      </c>
      <c r="BE329" s="1193">
        <v>1</v>
      </c>
      <c r="BF329" s="1193">
        <v>0</v>
      </c>
      <c r="BG329" s="1193">
        <v>0</v>
      </c>
      <c r="BH329" s="1193">
        <v>0</v>
      </c>
      <c r="BI329" s="1193">
        <v>0</v>
      </c>
      <c r="BJ329" s="1193">
        <v>0</v>
      </c>
      <c r="BK329" s="1193">
        <v>0</v>
      </c>
      <c r="BL329" s="1193">
        <v>0</v>
      </c>
      <c r="BM329" s="1193">
        <v>2</v>
      </c>
      <c r="BN329" s="1193">
        <v>0</v>
      </c>
      <c r="BO329" s="1193">
        <v>1</v>
      </c>
      <c r="BP329" s="1193">
        <v>0</v>
      </c>
      <c r="BQ329" s="1193">
        <v>2</v>
      </c>
      <c r="BR329" s="1193">
        <v>0</v>
      </c>
      <c r="BS329" s="1193">
        <v>0</v>
      </c>
      <c r="BT329" s="1193">
        <v>2</v>
      </c>
      <c r="BU329" s="1193">
        <v>0</v>
      </c>
      <c r="BV329" s="1193">
        <v>2</v>
      </c>
      <c r="BW329" s="1193">
        <v>2</v>
      </c>
      <c r="BX329" s="1193">
        <v>0</v>
      </c>
      <c r="BY329" s="1193">
        <v>0</v>
      </c>
      <c r="BZ329" s="1193">
        <v>0</v>
      </c>
      <c r="CA329" s="1193">
        <v>1</v>
      </c>
      <c r="CB329" s="1193">
        <v>1</v>
      </c>
      <c r="CC329" s="1148">
        <v>0</v>
      </c>
      <c r="CD329" s="1148">
        <v>2</v>
      </c>
      <c r="CE329" s="1148">
        <v>0</v>
      </c>
      <c r="CF329" s="1148">
        <v>2</v>
      </c>
    </row>
    <row r="330" spans="1:84" s="1148" customFormat="1" x14ac:dyDescent="0.3">
      <c r="A330" s="1144">
        <v>931</v>
      </c>
      <c r="B330" s="1144">
        <v>931</v>
      </c>
      <c r="C330" s="1196"/>
      <c r="D330" s="1145"/>
      <c r="E330" s="1191"/>
      <c r="F330" s="1192">
        <v>0</v>
      </c>
      <c r="G330" s="1192">
        <v>0</v>
      </c>
      <c r="H330" s="1192">
        <v>2</v>
      </c>
      <c r="I330" s="1192">
        <v>0</v>
      </c>
      <c r="J330" s="1192">
        <v>0</v>
      </c>
      <c r="K330" s="1192">
        <v>0</v>
      </c>
      <c r="L330" s="1193">
        <v>2</v>
      </c>
      <c r="M330" s="1193">
        <v>0</v>
      </c>
      <c r="N330" s="1193">
        <v>2</v>
      </c>
      <c r="O330" s="1193">
        <v>2</v>
      </c>
      <c r="P330" s="1193">
        <v>0</v>
      </c>
      <c r="Q330" s="1193">
        <v>0</v>
      </c>
      <c r="R330" s="1193">
        <v>0</v>
      </c>
      <c r="S330" s="1193">
        <v>0</v>
      </c>
      <c r="T330" s="1193">
        <v>0</v>
      </c>
      <c r="U330" s="1193">
        <v>0</v>
      </c>
      <c r="V330" s="1193">
        <v>0</v>
      </c>
      <c r="W330" s="1193">
        <v>0</v>
      </c>
      <c r="X330" s="1193">
        <v>0</v>
      </c>
      <c r="Y330" s="1193">
        <v>0</v>
      </c>
      <c r="Z330" s="1193">
        <v>2</v>
      </c>
      <c r="AA330" s="1193">
        <v>0</v>
      </c>
      <c r="AB330" s="1193">
        <v>0</v>
      </c>
      <c r="AC330" s="1193">
        <v>2</v>
      </c>
      <c r="AD330" s="1193">
        <v>2</v>
      </c>
      <c r="AE330" s="1193">
        <v>0</v>
      </c>
      <c r="AF330" s="1193">
        <v>2</v>
      </c>
      <c r="AG330" s="1193">
        <v>0</v>
      </c>
      <c r="AH330" s="1193">
        <v>0</v>
      </c>
      <c r="AI330" s="1193">
        <v>2</v>
      </c>
      <c r="AJ330" s="1193">
        <v>2</v>
      </c>
      <c r="AK330" s="1193">
        <v>0</v>
      </c>
      <c r="AL330" s="1193">
        <v>0</v>
      </c>
      <c r="AM330" s="1193">
        <v>0</v>
      </c>
      <c r="AN330" s="1193">
        <v>0</v>
      </c>
      <c r="AO330" s="1193">
        <v>2</v>
      </c>
      <c r="AP330" s="1193">
        <v>0</v>
      </c>
      <c r="AQ330" s="1193">
        <v>2</v>
      </c>
      <c r="AR330" s="1193">
        <v>0</v>
      </c>
      <c r="AS330" s="1193">
        <v>2</v>
      </c>
      <c r="AT330" s="1193">
        <v>2</v>
      </c>
      <c r="AU330" s="1193">
        <v>2</v>
      </c>
      <c r="AV330" s="1193">
        <v>2</v>
      </c>
      <c r="AW330" s="1193">
        <v>0</v>
      </c>
      <c r="AX330" s="1193">
        <v>0</v>
      </c>
      <c r="AY330" s="1193">
        <v>0</v>
      </c>
      <c r="AZ330" s="1193">
        <v>0</v>
      </c>
      <c r="BA330" s="1193">
        <v>0</v>
      </c>
      <c r="BB330" s="1193">
        <v>0</v>
      </c>
      <c r="BC330" s="1193">
        <v>2</v>
      </c>
      <c r="BD330" s="1193">
        <v>0</v>
      </c>
      <c r="BE330" s="1193">
        <v>2</v>
      </c>
      <c r="BF330" s="1193">
        <v>0</v>
      </c>
      <c r="BG330" s="1193">
        <v>0</v>
      </c>
      <c r="BH330" s="1193">
        <v>0</v>
      </c>
      <c r="BI330" s="1193">
        <v>0</v>
      </c>
      <c r="BJ330" s="1193">
        <v>0</v>
      </c>
      <c r="BK330" s="1193">
        <v>0</v>
      </c>
      <c r="BL330" s="1193">
        <v>0</v>
      </c>
      <c r="BM330" s="1193">
        <v>2</v>
      </c>
      <c r="BN330" s="1193">
        <v>0</v>
      </c>
      <c r="BO330" s="1193">
        <v>2</v>
      </c>
      <c r="BP330" s="1193">
        <v>0</v>
      </c>
      <c r="BQ330" s="1193">
        <v>2</v>
      </c>
      <c r="BR330" s="1193">
        <v>0</v>
      </c>
      <c r="BS330" s="1193">
        <v>0</v>
      </c>
      <c r="BT330" s="1193">
        <v>2</v>
      </c>
      <c r="BU330" s="1193">
        <v>0</v>
      </c>
      <c r="BV330" s="1193">
        <v>2</v>
      </c>
      <c r="BW330" s="1193">
        <v>2</v>
      </c>
      <c r="BX330" s="1193">
        <v>0</v>
      </c>
      <c r="BY330" s="1193">
        <v>0</v>
      </c>
      <c r="BZ330" s="1193">
        <v>0</v>
      </c>
      <c r="CA330" s="1193">
        <v>2</v>
      </c>
      <c r="CB330" s="1193">
        <v>2</v>
      </c>
      <c r="CC330" s="1148">
        <v>0</v>
      </c>
      <c r="CD330" s="1148">
        <v>2</v>
      </c>
      <c r="CE330" s="1148">
        <v>0</v>
      </c>
      <c r="CF330" s="1148">
        <v>2</v>
      </c>
    </row>
    <row r="331" spans="1:84" s="1148" customFormat="1" x14ac:dyDescent="0.3">
      <c r="A331" s="1144">
        <v>932</v>
      </c>
      <c r="B331" s="1144">
        <v>932</v>
      </c>
      <c r="C331" s="1196"/>
      <c r="D331" s="1145"/>
      <c r="E331" s="1191"/>
      <c r="F331" s="1192">
        <v>0</v>
      </c>
      <c r="G331" s="1192">
        <v>0</v>
      </c>
      <c r="H331" s="1192">
        <v>2</v>
      </c>
      <c r="I331" s="1192">
        <v>0</v>
      </c>
      <c r="J331" s="1192">
        <v>0</v>
      </c>
      <c r="K331" s="1192">
        <v>0</v>
      </c>
      <c r="L331" s="1193">
        <v>2</v>
      </c>
      <c r="M331" s="1193">
        <v>0</v>
      </c>
      <c r="N331" s="1193">
        <v>2</v>
      </c>
      <c r="O331" s="1193">
        <v>2</v>
      </c>
      <c r="P331" s="1193">
        <v>0</v>
      </c>
      <c r="Q331" s="1193">
        <v>0</v>
      </c>
      <c r="R331" s="1193">
        <v>0</v>
      </c>
      <c r="S331" s="1193">
        <v>0</v>
      </c>
      <c r="T331" s="1193">
        <v>0</v>
      </c>
      <c r="U331" s="1193">
        <v>0</v>
      </c>
      <c r="V331" s="1193">
        <v>0</v>
      </c>
      <c r="W331" s="1193">
        <v>0</v>
      </c>
      <c r="X331" s="1193">
        <v>0</v>
      </c>
      <c r="Y331" s="1193">
        <v>0</v>
      </c>
      <c r="Z331" s="1193">
        <v>2</v>
      </c>
      <c r="AA331" s="1193">
        <v>0</v>
      </c>
      <c r="AB331" s="1193">
        <v>0</v>
      </c>
      <c r="AC331" s="1193">
        <v>2</v>
      </c>
      <c r="AD331" s="1193">
        <v>2</v>
      </c>
      <c r="AE331" s="1193">
        <v>0</v>
      </c>
      <c r="AF331" s="1193">
        <v>2</v>
      </c>
      <c r="AG331" s="1193">
        <v>0</v>
      </c>
      <c r="AH331" s="1193">
        <v>0</v>
      </c>
      <c r="AI331" s="1193">
        <v>2</v>
      </c>
      <c r="AJ331" s="1193">
        <v>2</v>
      </c>
      <c r="AK331" s="1193">
        <v>0</v>
      </c>
      <c r="AL331" s="1193">
        <v>0</v>
      </c>
      <c r="AM331" s="1193">
        <v>0</v>
      </c>
      <c r="AN331" s="1193">
        <v>0</v>
      </c>
      <c r="AO331" s="1193">
        <v>2</v>
      </c>
      <c r="AP331" s="1193">
        <v>0</v>
      </c>
      <c r="AQ331" s="1193">
        <v>2</v>
      </c>
      <c r="AR331" s="1193">
        <v>0</v>
      </c>
      <c r="AS331" s="1193">
        <v>2</v>
      </c>
      <c r="AT331" s="1193">
        <v>2</v>
      </c>
      <c r="AU331" s="1193">
        <v>2</v>
      </c>
      <c r="AV331" s="1193">
        <v>2</v>
      </c>
      <c r="AW331" s="1193">
        <v>0</v>
      </c>
      <c r="AX331" s="1193">
        <v>0</v>
      </c>
      <c r="AY331" s="1193">
        <v>0</v>
      </c>
      <c r="AZ331" s="1193">
        <v>0</v>
      </c>
      <c r="BA331" s="1193">
        <v>0</v>
      </c>
      <c r="BB331" s="1193">
        <v>0</v>
      </c>
      <c r="BC331" s="1193">
        <v>2</v>
      </c>
      <c r="BD331" s="1193">
        <v>0</v>
      </c>
      <c r="BE331" s="1193">
        <v>2</v>
      </c>
      <c r="BF331" s="1193">
        <v>0</v>
      </c>
      <c r="BG331" s="1193">
        <v>0</v>
      </c>
      <c r="BH331" s="1193">
        <v>0</v>
      </c>
      <c r="BI331" s="1193">
        <v>0</v>
      </c>
      <c r="BJ331" s="1193">
        <v>0</v>
      </c>
      <c r="BK331" s="1193">
        <v>0</v>
      </c>
      <c r="BL331" s="1193">
        <v>0</v>
      </c>
      <c r="BM331" s="1193">
        <v>2</v>
      </c>
      <c r="BN331" s="1193">
        <v>0</v>
      </c>
      <c r="BO331" s="1193">
        <v>2</v>
      </c>
      <c r="BP331" s="1193">
        <v>0</v>
      </c>
      <c r="BQ331" s="1193">
        <v>2</v>
      </c>
      <c r="BR331" s="1193">
        <v>0</v>
      </c>
      <c r="BS331" s="1193">
        <v>0</v>
      </c>
      <c r="BT331" s="1193">
        <v>2</v>
      </c>
      <c r="BU331" s="1193">
        <v>0</v>
      </c>
      <c r="BV331" s="1193">
        <v>2</v>
      </c>
      <c r="BW331" s="1193">
        <v>2</v>
      </c>
      <c r="BX331" s="1193">
        <v>0</v>
      </c>
      <c r="BY331" s="1193">
        <v>0</v>
      </c>
      <c r="BZ331" s="1193">
        <v>0</v>
      </c>
      <c r="CA331" s="1193">
        <v>2</v>
      </c>
      <c r="CB331" s="1193">
        <v>2</v>
      </c>
      <c r="CC331" s="1148">
        <v>0</v>
      </c>
      <c r="CD331" s="1148">
        <v>2</v>
      </c>
      <c r="CE331" s="1148">
        <v>0</v>
      </c>
      <c r="CF331" s="1148">
        <v>2</v>
      </c>
    </row>
    <row r="332" spans="1:84" s="1148" customFormat="1" x14ac:dyDescent="0.3">
      <c r="A332" s="1144" t="s">
        <v>1771</v>
      </c>
      <c r="B332" s="1144"/>
      <c r="C332" s="1196"/>
      <c r="D332" s="1145"/>
      <c r="E332" s="1191"/>
      <c r="F332" s="1192"/>
      <c r="G332" s="1192"/>
      <c r="H332" s="1192"/>
      <c r="I332" s="1192"/>
      <c r="J332" s="1192"/>
      <c r="K332" s="1192"/>
      <c r="L332" s="1193"/>
      <c r="M332" s="1193"/>
      <c r="N332" s="1193"/>
      <c r="O332" s="1193"/>
      <c r="P332" s="1193"/>
      <c r="Q332" s="1193"/>
      <c r="R332" s="1193"/>
      <c r="S332" s="1193"/>
      <c r="T332" s="1193"/>
      <c r="U332" s="1193"/>
      <c r="V332" s="1193"/>
      <c r="W332" s="1193"/>
      <c r="X332" s="1193"/>
      <c r="Y332" s="1193"/>
      <c r="Z332" s="1193"/>
      <c r="AA332" s="1193"/>
      <c r="AB332" s="1193"/>
      <c r="AC332" s="1193"/>
      <c r="AD332" s="1193"/>
      <c r="AE332" s="1193"/>
      <c r="AF332" s="1193"/>
      <c r="AG332" s="1193"/>
      <c r="AH332" s="1193"/>
      <c r="AI332" s="1193"/>
      <c r="AJ332" s="1193"/>
      <c r="AK332" s="1193"/>
      <c r="AL332" s="1193"/>
      <c r="AM332" s="1193"/>
      <c r="AN332" s="1193"/>
      <c r="AO332" s="1193"/>
      <c r="AP332" s="1193"/>
      <c r="AQ332" s="1193"/>
      <c r="AR332" s="1193"/>
      <c r="AS332" s="1193"/>
      <c r="AT332" s="1193"/>
      <c r="AU332" s="1193"/>
      <c r="AV332" s="1193"/>
      <c r="AW332" s="1193"/>
      <c r="AX332" s="1193"/>
      <c r="AY332" s="1193"/>
      <c r="AZ332" s="1193"/>
      <c r="BA332" s="1193"/>
      <c r="BB332" s="1193"/>
      <c r="BC332" s="1193"/>
      <c r="BD332" s="1193"/>
      <c r="BE332" s="1193"/>
      <c r="BF332" s="1193"/>
      <c r="BG332" s="1193"/>
      <c r="BH332" s="1193"/>
      <c r="BI332" s="1193"/>
      <c r="BJ332" s="1193"/>
      <c r="BK332" s="1193"/>
      <c r="BL332" s="1193"/>
      <c r="BM332" s="1193"/>
      <c r="BN332" s="1193"/>
      <c r="BO332" s="1193"/>
      <c r="BP332" s="1193"/>
      <c r="BQ332" s="1193"/>
      <c r="BR332" s="1193"/>
      <c r="BS332" s="1193"/>
      <c r="BT332" s="1193"/>
      <c r="BU332" s="1193"/>
      <c r="BV332" s="1193"/>
      <c r="BW332" s="1193"/>
      <c r="BX332" s="1193"/>
      <c r="BY332" s="1193"/>
      <c r="BZ332" s="1193"/>
      <c r="CA332" s="1193"/>
      <c r="CB332" s="1193"/>
    </row>
    <row r="333" spans="1:84" s="1148" customFormat="1" x14ac:dyDescent="0.3">
      <c r="A333" s="1146" t="s">
        <v>1771</v>
      </c>
      <c r="B333" s="1146"/>
      <c r="C333" s="1146"/>
      <c r="D333" s="1146"/>
      <c r="E333" s="1146"/>
      <c r="F333" s="1146"/>
      <c r="G333" s="1146"/>
      <c r="H333" s="1146"/>
      <c r="I333" s="1146"/>
      <c r="J333" s="1146"/>
      <c r="K333" s="1146"/>
      <c r="L333" s="1146"/>
      <c r="M333" s="1146"/>
      <c r="N333" s="1146"/>
      <c r="O333" s="1146"/>
      <c r="P333" s="1146"/>
      <c r="Q333" s="1146"/>
      <c r="R333" s="1146"/>
      <c r="S333" s="1146"/>
      <c r="T333" s="1146"/>
      <c r="U333" s="1146"/>
      <c r="V333" s="1146"/>
      <c r="W333" s="1146"/>
      <c r="X333" s="1146"/>
      <c r="Y333" s="1146"/>
      <c r="Z333" s="1146"/>
      <c r="AA333" s="1146"/>
      <c r="AB333" s="1146"/>
      <c r="AC333" s="1146"/>
      <c r="AD333" s="1146"/>
      <c r="AE333" s="1146"/>
      <c r="AF333" s="1146"/>
      <c r="AG333" s="1146"/>
      <c r="AH333" s="1146"/>
      <c r="AI333" s="1146"/>
      <c r="AJ333" s="1146"/>
      <c r="AK333" s="1146"/>
      <c r="AL333" s="1146"/>
      <c r="AM333" s="1146"/>
      <c r="AN333" s="1146"/>
      <c r="AO333" s="1146"/>
      <c r="AP333" s="1146"/>
      <c r="AQ333" s="1146"/>
      <c r="AR333" s="1146"/>
      <c r="AS333" s="1146"/>
      <c r="AT333" s="1146"/>
      <c r="AU333" s="1146"/>
      <c r="AV333" s="1146"/>
      <c r="AW333" s="1146"/>
      <c r="AX333" s="1146"/>
      <c r="AY333" s="1146"/>
      <c r="AZ333" s="1146"/>
      <c r="BA333" s="1146"/>
      <c r="BB333" s="1146"/>
      <c r="BC333" s="1146"/>
      <c r="BD333" s="1146"/>
      <c r="BE333" s="1146"/>
      <c r="BF333" s="1146"/>
      <c r="BG333" s="1146"/>
      <c r="BH333" s="1146"/>
      <c r="BI333" s="1146"/>
      <c r="BJ333" s="1146"/>
      <c r="BK333" s="1146"/>
      <c r="BL333" s="1146"/>
      <c r="BM333" s="1146"/>
      <c r="BN333" s="1146"/>
      <c r="BO333" s="1146"/>
      <c r="BP333" s="1146"/>
      <c r="BQ333" s="1146"/>
      <c r="BR333" s="1146"/>
      <c r="BS333" s="1146"/>
      <c r="BT333" s="1146"/>
      <c r="BU333" s="1146"/>
      <c r="BV333" s="1146"/>
      <c r="BW333" s="1146"/>
      <c r="BX333" s="1146"/>
      <c r="BY333" s="1146"/>
      <c r="BZ333" s="1146"/>
      <c r="CA333" s="1146"/>
      <c r="CB333" s="1146"/>
    </row>
    <row r="334" spans="1:84" s="1148" customFormat="1" x14ac:dyDescent="0.3">
      <c r="A334" s="1197" t="s">
        <v>1772</v>
      </c>
      <c r="B334" s="1198"/>
      <c r="C334" s="1199"/>
      <c r="D334" s="1146" t="s">
        <v>1773</v>
      </c>
      <c r="E334" s="1200"/>
      <c r="F334" s="1200">
        <v>0</v>
      </c>
      <c r="G334" s="1200">
        <v>0</v>
      </c>
      <c r="H334" s="1200">
        <v>862329</v>
      </c>
      <c r="I334" s="1200">
        <v>1749450</v>
      </c>
      <c r="J334" s="1200">
        <v>1493802</v>
      </c>
      <c r="K334" s="1200">
        <v>4639365</v>
      </c>
      <c r="L334" s="1200">
        <v>69358</v>
      </c>
      <c r="M334" s="1200">
        <v>279337</v>
      </c>
      <c r="N334" s="1200">
        <v>216176</v>
      </c>
      <c r="O334" s="1200">
        <v>13490198</v>
      </c>
      <c r="P334" s="1200">
        <v>492573</v>
      </c>
      <c r="Q334" s="1200">
        <v>5305224</v>
      </c>
      <c r="R334" s="1200">
        <v>66577</v>
      </c>
      <c r="S334" s="1200">
        <v>40611835</v>
      </c>
      <c r="T334" s="1200">
        <v>0</v>
      </c>
      <c r="U334" s="1200">
        <v>37029</v>
      </c>
      <c r="V334" s="1200">
        <v>133185098</v>
      </c>
      <c r="W334" s="1200">
        <v>18239345</v>
      </c>
      <c r="X334" s="1200">
        <v>20951738</v>
      </c>
      <c r="Y334" s="1200">
        <v>40239519</v>
      </c>
      <c r="Z334" s="1200">
        <v>294602</v>
      </c>
      <c r="AA334" s="1200">
        <v>13652619</v>
      </c>
      <c r="AB334" s="1200">
        <v>1151039</v>
      </c>
      <c r="AC334" s="1200">
        <v>13527291</v>
      </c>
      <c r="AD334" s="1200">
        <v>3840133</v>
      </c>
      <c r="AE334" s="1200">
        <v>1863506</v>
      </c>
      <c r="AF334" s="1200">
        <v>1918569</v>
      </c>
      <c r="AG334" s="1200">
        <v>2258681</v>
      </c>
      <c r="AH334" s="1200">
        <v>34938997</v>
      </c>
      <c r="AI334" s="1200">
        <v>5964165</v>
      </c>
      <c r="AJ334" s="1200">
        <v>1440682</v>
      </c>
      <c r="AK334" s="1200">
        <v>34610992</v>
      </c>
      <c r="AL334" s="1200">
        <v>1349717</v>
      </c>
      <c r="AM334" s="1200">
        <v>866396</v>
      </c>
      <c r="AN334" s="1200">
        <v>0</v>
      </c>
      <c r="AO334" s="1200">
        <v>14925661</v>
      </c>
      <c r="AP334" s="1200">
        <v>0</v>
      </c>
      <c r="AQ334" s="1200">
        <v>857243</v>
      </c>
      <c r="AR334" s="1200">
        <v>45217</v>
      </c>
      <c r="AS334" s="1200">
        <v>4831244</v>
      </c>
      <c r="AT334" s="1200">
        <v>5652476</v>
      </c>
      <c r="AU334" s="1200">
        <v>505533</v>
      </c>
      <c r="AV334" s="1200">
        <v>2291601</v>
      </c>
      <c r="AW334" s="1200">
        <v>0</v>
      </c>
      <c r="AX334" s="1200">
        <v>13734102</v>
      </c>
      <c r="AY334" s="1200">
        <v>1650718</v>
      </c>
      <c r="AZ334" s="1200">
        <v>1673320</v>
      </c>
      <c r="BA334" s="1200">
        <v>5175142</v>
      </c>
      <c r="BB334" s="1200">
        <v>967974</v>
      </c>
      <c r="BC334" s="1200">
        <v>1259226</v>
      </c>
      <c r="BD334" s="1200">
        <v>23619</v>
      </c>
      <c r="BE334" s="1200">
        <v>218080</v>
      </c>
      <c r="BF334" s="1200">
        <v>9565643</v>
      </c>
      <c r="BG334" s="1200">
        <v>116376</v>
      </c>
      <c r="BH334" s="1200">
        <v>356205</v>
      </c>
      <c r="BI334" s="1200">
        <v>143361</v>
      </c>
      <c r="BJ334" s="1200">
        <v>77678</v>
      </c>
      <c r="BK334" s="1200">
        <v>264009</v>
      </c>
      <c r="BL334" s="1200">
        <v>100700</v>
      </c>
      <c r="BM334" s="1200">
        <v>3301898</v>
      </c>
      <c r="BN334" s="1200">
        <v>0</v>
      </c>
      <c r="BO334" s="1200">
        <v>1968690</v>
      </c>
      <c r="BP334" s="1200">
        <v>4690962</v>
      </c>
      <c r="BQ334" s="1200">
        <v>1093996</v>
      </c>
      <c r="BR334" s="1200">
        <v>1324742</v>
      </c>
      <c r="BS334" s="1200">
        <v>17590227</v>
      </c>
      <c r="BT334" s="1200">
        <v>1226181</v>
      </c>
      <c r="BU334" s="1200">
        <v>13648309</v>
      </c>
      <c r="BV334" s="1200">
        <v>598349</v>
      </c>
      <c r="BW334" s="1200">
        <v>5012721</v>
      </c>
      <c r="BX334" s="1200">
        <v>614580</v>
      </c>
      <c r="BY334" s="1200">
        <v>0</v>
      </c>
      <c r="BZ334" s="1200">
        <v>1030131</v>
      </c>
      <c r="CA334" s="1200">
        <v>112274</v>
      </c>
      <c r="CB334" s="1200">
        <v>314870</v>
      </c>
      <c r="CC334" s="1148">
        <v>113841</v>
      </c>
      <c r="CD334" s="1148">
        <v>1070969</v>
      </c>
      <c r="CE334" s="1148">
        <v>0</v>
      </c>
      <c r="CF334" s="1148">
        <v>46994</v>
      </c>
    </row>
    <row r="335" spans="1:84" s="1148" customFormat="1" ht="28.8" x14ac:dyDescent="0.3">
      <c r="A335" s="1201"/>
      <c r="B335" s="1201"/>
      <c r="C335" s="1201"/>
      <c r="D335" s="1146"/>
      <c r="E335" s="1202"/>
      <c r="F335" s="1202" t="b">
        <v>0</v>
      </c>
      <c r="G335" s="1202" t="b">
        <v>0</v>
      </c>
      <c r="H335" s="1202" t="s">
        <v>1791</v>
      </c>
      <c r="I335" s="1202" t="s">
        <v>1792</v>
      </c>
      <c r="J335" s="1202" t="s">
        <v>1792</v>
      </c>
      <c r="K335" s="1202" t="s">
        <v>1792</v>
      </c>
      <c r="L335" s="1202" t="s">
        <v>1793</v>
      </c>
      <c r="M335" s="1202" t="s">
        <v>1791</v>
      </c>
      <c r="N335" s="1202" t="s">
        <v>1791</v>
      </c>
      <c r="O335" s="1202" t="s">
        <v>1794</v>
      </c>
      <c r="P335" s="1202" t="s">
        <v>1791</v>
      </c>
      <c r="Q335" s="1202" t="s">
        <v>1792</v>
      </c>
      <c r="R335" s="1202" t="s">
        <v>1793</v>
      </c>
      <c r="S335" s="1202" t="s">
        <v>1794</v>
      </c>
      <c r="T335" s="1202" t="b">
        <v>0</v>
      </c>
      <c r="U335" s="1202" t="s">
        <v>1793</v>
      </c>
      <c r="V335" s="1202" t="s">
        <v>1794</v>
      </c>
      <c r="W335" s="1202" t="s">
        <v>1794</v>
      </c>
      <c r="X335" s="1202" t="s">
        <v>1794</v>
      </c>
      <c r="Y335" s="1202" t="s">
        <v>1794</v>
      </c>
      <c r="Z335" s="1202" t="s">
        <v>1791</v>
      </c>
      <c r="AA335" s="1202" t="s">
        <v>1794</v>
      </c>
      <c r="AB335" s="1202" t="s">
        <v>1792</v>
      </c>
      <c r="AC335" s="1202" t="s">
        <v>1794</v>
      </c>
      <c r="AD335" s="1202" t="s">
        <v>1792</v>
      </c>
      <c r="AE335" s="1202" t="s">
        <v>1792</v>
      </c>
      <c r="AF335" s="1202" t="s">
        <v>1792</v>
      </c>
      <c r="AG335" s="1202" t="s">
        <v>1792</v>
      </c>
      <c r="AH335" s="1202" t="s">
        <v>1794</v>
      </c>
      <c r="AI335" s="1202" t="s">
        <v>1792</v>
      </c>
      <c r="AJ335" s="1202" t="s">
        <v>1792</v>
      </c>
      <c r="AK335" s="1202" t="s">
        <v>1794</v>
      </c>
      <c r="AL335" s="1202" t="s">
        <v>1792</v>
      </c>
      <c r="AM335" s="1202" t="s">
        <v>1791</v>
      </c>
      <c r="AN335" s="1202" t="b">
        <v>0</v>
      </c>
      <c r="AO335" s="1202" t="s">
        <v>1794</v>
      </c>
      <c r="AP335" s="1202" t="b">
        <v>0</v>
      </c>
      <c r="AQ335" s="1202" t="s">
        <v>1791</v>
      </c>
      <c r="AR335" s="1202" t="s">
        <v>1793</v>
      </c>
      <c r="AS335" s="1202" t="s">
        <v>1792</v>
      </c>
      <c r="AT335" s="1202" t="s">
        <v>1792</v>
      </c>
      <c r="AU335" s="1202" t="s">
        <v>1791</v>
      </c>
      <c r="AV335" s="1202" t="s">
        <v>1792</v>
      </c>
      <c r="AW335" s="1202" t="b">
        <v>0</v>
      </c>
      <c r="AX335" s="1202" t="s">
        <v>1794</v>
      </c>
      <c r="AY335" s="1202" t="s">
        <v>1792</v>
      </c>
      <c r="AZ335" s="1202" t="s">
        <v>1792</v>
      </c>
      <c r="BA335" s="1202" t="s">
        <v>1792</v>
      </c>
      <c r="BB335" s="1202" t="s">
        <v>1791</v>
      </c>
      <c r="BC335" s="1202" t="s">
        <v>1792</v>
      </c>
      <c r="BD335" s="1202" t="s">
        <v>1793</v>
      </c>
      <c r="BE335" s="1202" t="s">
        <v>1791</v>
      </c>
      <c r="BF335" s="1202" t="s">
        <v>1792</v>
      </c>
      <c r="BG335" s="1202" t="s">
        <v>1791</v>
      </c>
      <c r="BH335" s="1202" t="s">
        <v>1791</v>
      </c>
      <c r="BI335" s="1202" t="s">
        <v>1791</v>
      </c>
      <c r="BJ335" s="1202" t="s">
        <v>1793</v>
      </c>
      <c r="BK335" s="1202" t="s">
        <v>1791</v>
      </c>
      <c r="BL335" s="1202" t="s">
        <v>1791</v>
      </c>
      <c r="BM335" s="1202" t="s">
        <v>1792</v>
      </c>
      <c r="BN335" s="1202" t="b">
        <v>0</v>
      </c>
      <c r="BO335" s="1202" t="s">
        <v>1792</v>
      </c>
      <c r="BP335" s="1202" t="s">
        <v>1792</v>
      </c>
      <c r="BQ335" s="1202" t="s">
        <v>1792</v>
      </c>
      <c r="BR335" s="1202" t="s">
        <v>1792</v>
      </c>
      <c r="BS335" s="1202" t="s">
        <v>1794</v>
      </c>
      <c r="BT335" s="1202" t="s">
        <v>1792</v>
      </c>
      <c r="BU335" s="1202" t="s">
        <v>1794</v>
      </c>
      <c r="BV335" s="1202" t="s">
        <v>1791</v>
      </c>
      <c r="BW335" s="1202" t="s">
        <v>1792</v>
      </c>
      <c r="BX335" s="1202" t="s">
        <v>1791</v>
      </c>
      <c r="BY335" s="1202" t="b">
        <v>0</v>
      </c>
      <c r="BZ335" s="1202" t="s">
        <v>1792</v>
      </c>
      <c r="CA335" s="1202" t="s">
        <v>1791</v>
      </c>
      <c r="CB335" s="1202" t="s">
        <v>1791</v>
      </c>
      <c r="CC335" s="1148" t="s">
        <v>1791</v>
      </c>
      <c r="CD335" s="1148" t="s">
        <v>1792</v>
      </c>
      <c r="CE335" s="1148" t="b">
        <v>0</v>
      </c>
      <c r="CF335" s="1148" t="s">
        <v>1793</v>
      </c>
    </row>
    <row r="336" spans="1:84" s="1177" customFormat="1" x14ac:dyDescent="0.3">
      <c r="A336" s="1201"/>
      <c r="B336" s="1201"/>
      <c r="C336" s="1201"/>
      <c r="D336" s="1146"/>
      <c r="E336" s="1202"/>
      <c r="F336" s="1202" t="b">
        <v>0</v>
      </c>
      <c r="G336" s="1202" t="b">
        <v>0</v>
      </c>
      <c r="H336" s="1202" t="s">
        <v>1795</v>
      </c>
      <c r="I336" s="1202" t="s">
        <v>1796</v>
      </c>
      <c r="J336" s="1202" t="s">
        <v>1796</v>
      </c>
      <c r="K336" s="1202" t="s">
        <v>1796</v>
      </c>
      <c r="L336" s="1202" t="s">
        <v>1797</v>
      </c>
      <c r="M336" s="1202" t="s">
        <v>1795</v>
      </c>
      <c r="N336" s="1202" t="s">
        <v>1795</v>
      </c>
      <c r="O336" s="1202" t="s">
        <v>1798</v>
      </c>
      <c r="P336" s="1202" t="s">
        <v>1795</v>
      </c>
      <c r="Q336" s="1202" t="s">
        <v>1796</v>
      </c>
      <c r="R336" s="1202" t="s">
        <v>1797</v>
      </c>
      <c r="S336" s="1202" t="s">
        <v>1798</v>
      </c>
      <c r="T336" s="1202" t="b">
        <v>0</v>
      </c>
      <c r="U336" s="1202" t="s">
        <v>1797</v>
      </c>
      <c r="V336" s="1202" t="s">
        <v>1798</v>
      </c>
      <c r="W336" s="1202" t="s">
        <v>1798</v>
      </c>
      <c r="X336" s="1202" t="s">
        <v>1798</v>
      </c>
      <c r="Y336" s="1202" t="s">
        <v>1798</v>
      </c>
      <c r="Z336" s="1202" t="s">
        <v>1795</v>
      </c>
      <c r="AA336" s="1202" t="s">
        <v>1798</v>
      </c>
      <c r="AB336" s="1202" t="s">
        <v>1796</v>
      </c>
      <c r="AC336" s="1202" t="s">
        <v>1798</v>
      </c>
      <c r="AD336" s="1202" t="s">
        <v>1796</v>
      </c>
      <c r="AE336" s="1202" t="s">
        <v>1796</v>
      </c>
      <c r="AF336" s="1202" t="s">
        <v>1796</v>
      </c>
      <c r="AG336" s="1202" t="s">
        <v>1796</v>
      </c>
      <c r="AH336" s="1202" t="s">
        <v>1798</v>
      </c>
      <c r="AI336" s="1202" t="s">
        <v>1796</v>
      </c>
      <c r="AJ336" s="1202" t="s">
        <v>1796</v>
      </c>
      <c r="AK336" s="1202" t="s">
        <v>1798</v>
      </c>
      <c r="AL336" s="1202" t="s">
        <v>1796</v>
      </c>
      <c r="AM336" s="1202" t="s">
        <v>1795</v>
      </c>
      <c r="AN336" s="1202" t="b">
        <v>0</v>
      </c>
      <c r="AO336" s="1202" t="s">
        <v>1798</v>
      </c>
      <c r="AP336" s="1202" t="b">
        <v>0</v>
      </c>
      <c r="AQ336" s="1202" t="s">
        <v>1795</v>
      </c>
      <c r="AR336" s="1202" t="s">
        <v>1797</v>
      </c>
      <c r="AS336" s="1202" t="s">
        <v>1796</v>
      </c>
      <c r="AT336" s="1202" t="s">
        <v>1796</v>
      </c>
      <c r="AU336" s="1202" t="s">
        <v>1795</v>
      </c>
      <c r="AV336" s="1202" t="s">
        <v>1796</v>
      </c>
      <c r="AW336" s="1202" t="b">
        <v>0</v>
      </c>
      <c r="AX336" s="1202" t="s">
        <v>1798</v>
      </c>
      <c r="AY336" s="1202" t="s">
        <v>1796</v>
      </c>
      <c r="AZ336" s="1202" t="s">
        <v>1796</v>
      </c>
      <c r="BA336" s="1202" t="s">
        <v>1796</v>
      </c>
      <c r="BB336" s="1202" t="s">
        <v>1795</v>
      </c>
      <c r="BC336" s="1202" t="s">
        <v>1796</v>
      </c>
      <c r="BD336" s="1202" t="s">
        <v>1797</v>
      </c>
      <c r="BE336" s="1202" t="s">
        <v>1795</v>
      </c>
      <c r="BF336" s="1202" t="s">
        <v>1796</v>
      </c>
      <c r="BG336" s="1202" t="s">
        <v>1795</v>
      </c>
      <c r="BH336" s="1202" t="s">
        <v>1795</v>
      </c>
      <c r="BI336" s="1202" t="s">
        <v>1795</v>
      </c>
      <c r="BJ336" s="1202" t="s">
        <v>1797</v>
      </c>
      <c r="BK336" s="1202" t="s">
        <v>1795</v>
      </c>
      <c r="BL336" s="1202" t="s">
        <v>1795</v>
      </c>
      <c r="BM336" s="1202" t="s">
        <v>1796</v>
      </c>
      <c r="BN336" s="1202" t="b">
        <v>0</v>
      </c>
      <c r="BO336" s="1202" t="s">
        <v>1796</v>
      </c>
      <c r="BP336" s="1202" t="s">
        <v>1796</v>
      </c>
      <c r="BQ336" s="1202" t="s">
        <v>1796</v>
      </c>
      <c r="BR336" s="1202" t="s">
        <v>1796</v>
      </c>
      <c r="BS336" s="1202" t="s">
        <v>1798</v>
      </c>
      <c r="BT336" s="1202" t="s">
        <v>1796</v>
      </c>
      <c r="BU336" s="1202" t="s">
        <v>1798</v>
      </c>
      <c r="BV336" s="1202" t="s">
        <v>1795</v>
      </c>
      <c r="BW336" s="1202" t="s">
        <v>1796</v>
      </c>
      <c r="BX336" s="1202" t="s">
        <v>1795</v>
      </c>
      <c r="BY336" s="1202" t="b">
        <v>0</v>
      </c>
      <c r="BZ336" s="1202" t="s">
        <v>1796</v>
      </c>
      <c r="CA336" s="1202" t="s">
        <v>1795</v>
      </c>
      <c r="CB336" s="1202" t="s">
        <v>1795</v>
      </c>
      <c r="CC336" s="1177" t="s">
        <v>1795</v>
      </c>
      <c r="CD336" s="1177" t="s">
        <v>1796</v>
      </c>
      <c r="CE336" s="1177" t="b">
        <v>0</v>
      </c>
      <c r="CF336" s="1177" t="s">
        <v>1797</v>
      </c>
    </row>
    <row r="337" spans="1:84" s="1148" customFormat="1" x14ac:dyDescent="0.3">
      <c r="A337" s="1203" t="s">
        <v>1774</v>
      </c>
      <c r="B337" s="1203"/>
      <c r="C337" s="1203"/>
      <c r="D337" s="1146" t="s">
        <v>885</v>
      </c>
      <c r="E337" s="1200"/>
      <c r="F337" s="1200">
        <v>0</v>
      </c>
      <c r="G337" s="1200">
        <v>0</v>
      </c>
      <c r="H337" s="1200">
        <v>775515</v>
      </c>
      <c r="I337" s="1200">
        <v>3923279</v>
      </c>
      <c r="J337" s="1200">
        <v>5221837</v>
      </c>
      <c r="K337" s="1200">
        <v>4199384</v>
      </c>
      <c r="L337" s="1200">
        <v>109307</v>
      </c>
      <c r="M337" s="1200">
        <v>910763</v>
      </c>
      <c r="N337" s="1200">
        <v>997589</v>
      </c>
      <c r="O337" s="1200">
        <v>7783571</v>
      </c>
      <c r="P337" s="1200">
        <v>550586</v>
      </c>
      <c r="Q337" s="1200">
        <v>5458967</v>
      </c>
      <c r="R337" s="1200">
        <v>294051</v>
      </c>
      <c r="S337" s="1200">
        <v>25716109</v>
      </c>
      <c r="T337" s="1200">
        <v>0</v>
      </c>
      <c r="U337" s="1200">
        <v>195356</v>
      </c>
      <c r="V337" s="1200">
        <v>49761107</v>
      </c>
      <c r="W337" s="1200">
        <v>5227639</v>
      </c>
      <c r="X337" s="1200">
        <v>19486237</v>
      </c>
      <c r="Y337" s="1200">
        <v>18994791</v>
      </c>
      <c r="Z337" s="1200">
        <v>122427</v>
      </c>
      <c r="AA337" s="1200">
        <v>10435357</v>
      </c>
      <c r="AB337" s="1200">
        <v>1386208</v>
      </c>
      <c r="AC337" s="1200">
        <v>11857077</v>
      </c>
      <c r="AD337" s="1200">
        <v>892461</v>
      </c>
      <c r="AE337" s="1200">
        <v>1779966</v>
      </c>
      <c r="AF337" s="1200">
        <v>1206703</v>
      </c>
      <c r="AG337" s="1200">
        <v>3345217</v>
      </c>
      <c r="AH337" s="1200">
        <v>16411471</v>
      </c>
      <c r="AI337" s="1200">
        <v>4820120</v>
      </c>
      <c r="AJ337" s="1200">
        <v>611487</v>
      </c>
      <c r="AK337" s="1200">
        <v>8271296</v>
      </c>
      <c r="AL337" s="1200">
        <v>2575723</v>
      </c>
      <c r="AM337" s="1200">
        <v>710646</v>
      </c>
      <c r="AN337" s="1200">
        <v>0</v>
      </c>
      <c r="AO337" s="1200">
        <v>8182231</v>
      </c>
      <c r="AP337" s="1200">
        <v>0</v>
      </c>
      <c r="AQ337" s="1200">
        <v>249434</v>
      </c>
      <c r="AR337" s="1200">
        <v>88614</v>
      </c>
      <c r="AS337" s="1200">
        <v>3442878</v>
      </c>
      <c r="AT337" s="1200">
        <v>4498327</v>
      </c>
      <c r="AU337" s="1200">
        <v>484866</v>
      </c>
      <c r="AV337" s="1200">
        <v>955603</v>
      </c>
      <c r="AW337" s="1200">
        <v>0</v>
      </c>
      <c r="AX337" s="1200">
        <v>15826415</v>
      </c>
      <c r="AY337" s="1200">
        <v>3562427</v>
      </c>
      <c r="AZ337" s="1200">
        <v>753011</v>
      </c>
      <c r="BA337" s="1200">
        <v>19491040</v>
      </c>
      <c r="BB337" s="1200">
        <v>2021447</v>
      </c>
      <c r="BC337" s="1200">
        <v>689783</v>
      </c>
      <c r="BD337" s="1200">
        <v>108917</v>
      </c>
      <c r="BE337" s="1200">
        <v>302693</v>
      </c>
      <c r="BF337" s="1200">
        <v>5420762</v>
      </c>
      <c r="BG337" s="1200">
        <v>495411</v>
      </c>
      <c r="BH337" s="1200">
        <v>672921</v>
      </c>
      <c r="BI337" s="1200">
        <v>239380</v>
      </c>
      <c r="BJ337" s="1200">
        <v>307859</v>
      </c>
      <c r="BK337" s="1200">
        <v>448034</v>
      </c>
      <c r="BL337" s="1200">
        <v>265121</v>
      </c>
      <c r="BM337" s="1200">
        <v>1760996</v>
      </c>
      <c r="BN337" s="1200">
        <v>0</v>
      </c>
      <c r="BO337" s="1200">
        <v>-39794</v>
      </c>
      <c r="BP337" s="1200">
        <v>2128814</v>
      </c>
      <c r="BQ337" s="1200">
        <v>898016</v>
      </c>
      <c r="BR337" s="1200">
        <v>1941134</v>
      </c>
      <c r="BS337" s="1200">
        <v>8908689</v>
      </c>
      <c r="BT337" s="1200">
        <v>294119</v>
      </c>
      <c r="BU337" s="1200">
        <v>20081115</v>
      </c>
      <c r="BV337" s="1200">
        <v>756847</v>
      </c>
      <c r="BW337" s="1200">
        <v>3614371</v>
      </c>
      <c r="BX337" s="1200">
        <v>940298</v>
      </c>
      <c r="BY337" s="1200">
        <v>0</v>
      </c>
      <c r="BZ337" s="1200">
        <v>1679289</v>
      </c>
      <c r="CA337" s="1200">
        <v>128480</v>
      </c>
      <c r="CB337" s="1200">
        <v>454545</v>
      </c>
      <c r="CC337" s="1148">
        <v>164604</v>
      </c>
      <c r="CD337" s="1148">
        <v>309980</v>
      </c>
      <c r="CE337" s="1148">
        <v>0</v>
      </c>
      <c r="CF337" s="1148">
        <v>355406</v>
      </c>
    </row>
    <row r="338" spans="1:84" s="1148" customFormat="1" x14ac:dyDescent="0.3">
      <c r="A338" s="1203" t="s">
        <v>791</v>
      </c>
      <c r="B338" s="1203"/>
      <c r="C338" s="1203"/>
      <c r="D338" s="1146" t="s">
        <v>798</v>
      </c>
      <c r="E338" s="1200"/>
      <c r="F338" s="1200">
        <v>0</v>
      </c>
      <c r="G338" s="1200">
        <v>0</v>
      </c>
      <c r="H338" s="1200">
        <v>862329</v>
      </c>
      <c r="I338" s="1200">
        <v>1749450</v>
      </c>
      <c r="J338" s="1200">
        <v>1493802</v>
      </c>
      <c r="K338" s="1200">
        <v>4639365</v>
      </c>
      <c r="L338" s="1200">
        <v>69358</v>
      </c>
      <c r="M338" s="1200">
        <v>279337</v>
      </c>
      <c r="N338" s="1200">
        <v>216176</v>
      </c>
      <c r="O338" s="1200">
        <v>13490198</v>
      </c>
      <c r="P338" s="1200">
        <v>492573</v>
      </c>
      <c r="Q338" s="1200">
        <v>5305224</v>
      </c>
      <c r="R338" s="1200">
        <v>66577</v>
      </c>
      <c r="S338" s="1200">
        <v>40611835</v>
      </c>
      <c r="T338" s="1200">
        <v>0</v>
      </c>
      <c r="U338" s="1200">
        <v>37029</v>
      </c>
      <c r="V338" s="1200">
        <v>133185098</v>
      </c>
      <c r="W338" s="1200">
        <v>18239345</v>
      </c>
      <c r="X338" s="1200">
        <v>20951738</v>
      </c>
      <c r="Y338" s="1200">
        <v>40239519</v>
      </c>
      <c r="Z338" s="1200">
        <v>294602</v>
      </c>
      <c r="AA338" s="1200">
        <v>13652619</v>
      </c>
      <c r="AB338" s="1200">
        <v>1151039</v>
      </c>
      <c r="AC338" s="1200">
        <v>13527291</v>
      </c>
      <c r="AD338" s="1200">
        <v>3840133</v>
      </c>
      <c r="AE338" s="1200">
        <v>1863506</v>
      </c>
      <c r="AF338" s="1200">
        <v>1918569</v>
      </c>
      <c r="AG338" s="1200">
        <v>2258681</v>
      </c>
      <c r="AH338" s="1200">
        <v>34938997</v>
      </c>
      <c r="AI338" s="1200">
        <v>5964165</v>
      </c>
      <c r="AJ338" s="1200">
        <v>1440682</v>
      </c>
      <c r="AK338" s="1200">
        <v>34610992</v>
      </c>
      <c r="AL338" s="1200">
        <v>1349717</v>
      </c>
      <c r="AM338" s="1200">
        <v>866396</v>
      </c>
      <c r="AN338" s="1200">
        <v>0</v>
      </c>
      <c r="AO338" s="1200">
        <v>14925661</v>
      </c>
      <c r="AP338" s="1200">
        <v>0</v>
      </c>
      <c r="AQ338" s="1200">
        <v>857243</v>
      </c>
      <c r="AR338" s="1200">
        <v>45217</v>
      </c>
      <c r="AS338" s="1200">
        <v>4831244</v>
      </c>
      <c r="AT338" s="1200">
        <v>5652476</v>
      </c>
      <c r="AU338" s="1200">
        <v>505533</v>
      </c>
      <c r="AV338" s="1200">
        <v>2291601</v>
      </c>
      <c r="AW338" s="1200">
        <v>0</v>
      </c>
      <c r="AX338" s="1200">
        <v>13734102</v>
      </c>
      <c r="AY338" s="1200">
        <v>1650718</v>
      </c>
      <c r="AZ338" s="1200">
        <v>1673320</v>
      </c>
      <c r="BA338" s="1200">
        <v>5175142</v>
      </c>
      <c r="BB338" s="1200">
        <v>967974</v>
      </c>
      <c r="BC338" s="1200">
        <v>1259226</v>
      </c>
      <c r="BD338" s="1200">
        <v>23619</v>
      </c>
      <c r="BE338" s="1200">
        <v>218080</v>
      </c>
      <c r="BF338" s="1200">
        <v>9565643</v>
      </c>
      <c r="BG338" s="1200">
        <v>116376</v>
      </c>
      <c r="BH338" s="1200">
        <v>356205</v>
      </c>
      <c r="BI338" s="1200">
        <v>143361</v>
      </c>
      <c r="BJ338" s="1200">
        <v>77678</v>
      </c>
      <c r="BK338" s="1200">
        <v>264009</v>
      </c>
      <c r="BL338" s="1200">
        <v>100700</v>
      </c>
      <c r="BM338" s="1200">
        <v>3301898</v>
      </c>
      <c r="BN338" s="1200">
        <v>0</v>
      </c>
      <c r="BO338" s="1200">
        <v>1968690</v>
      </c>
      <c r="BP338" s="1200">
        <v>4690962</v>
      </c>
      <c r="BQ338" s="1200">
        <v>1093996</v>
      </c>
      <c r="BR338" s="1200">
        <v>1324742</v>
      </c>
      <c r="BS338" s="1200">
        <v>17590227</v>
      </c>
      <c r="BT338" s="1200">
        <v>1226181</v>
      </c>
      <c r="BU338" s="1200">
        <v>13648309</v>
      </c>
      <c r="BV338" s="1200">
        <v>598349</v>
      </c>
      <c r="BW338" s="1200">
        <v>5012721</v>
      </c>
      <c r="BX338" s="1200">
        <v>614580</v>
      </c>
      <c r="BY338" s="1200">
        <v>0</v>
      </c>
      <c r="BZ338" s="1200">
        <v>1030131</v>
      </c>
      <c r="CA338" s="1200">
        <v>112274</v>
      </c>
      <c r="CB338" s="1200">
        <v>314870</v>
      </c>
      <c r="CC338" s="1148">
        <v>113841</v>
      </c>
      <c r="CD338" s="1148">
        <v>1070969</v>
      </c>
      <c r="CE338" s="1148">
        <v>0</v>
      </c>
      <c r="CF338" s="1148">
        <v>46994</v>
      </c>
    </row>
    <row r="339" spans="1:84" s="1177" customFormat="1" x14ac:dyDescent="0.3">
      <c r="A339" s="1203" t="s">
        <v>1775</v>
      </c>
      <c r="B339" s="1203"/>
      <c r="C339" s="1204"/>
      <c r="D339" s="1146" t="s">
        <v>884</v>
      </c>
      <c r="E339" s="1205"/>
      <c r="F339" s="1205" t="e">
        <v>#DIV/0!</v>
      </c>
      <c r="G339" s="1205" t="e">
        <v>#DIV/0!</v>
      </c>
      <c r="H339" s="1205">
        <v>0.89932612726697114</v>
      </c>
      <c r="I339" s="1205">
        <v>2.2425785246791849</v>
      </c>
      <c r="J339" s="1205">
        <v>3.4956687700244076</v>
      </c>
      <c r="K339" s="1205">
        <v>0.9051635299227373</v>
      </c>
      <c r="L339" s="1205">
        <v>1.5759825831194672</v>
      </c>
      <c r="M339" s="1205">
        <v>3.2604452686181924</v>
      </c>
      <c r="N339" s="1205">
        <v>4.6147074605876695</v>
      </c>
      <c r="O339" s="1205">
        <v>0.57697974484881542</v>
      </c>
      <c r="P339" s="1205">
        <v>1.1177754363312646</v>
      </c>
      <c r="Q339" s="1205">
        <v>1.0289795492141331</v>
      </c>
      <c r="R339" s="1205">
        <v>4.4167054688556107</v>
      </c>
      <c r="S339" s="1205">
        <v>0.63321711515867229</v>
      </c>
      <c r="T339" s="1205" t="e">
        <v>#DIV/0!</v>
      </c>
      <c r="U339" s="1205">
        <v>5.2757568392341136</v>
      </c>
      <c r="V339" s="1205">
        <v>0.37362368423530384</v>
      </c>
      <c r="W339" s="1205">
        <v>0.28661330765989679</v>
      </c>
      <c r="X339" s="1205">
        <v>0.93005348768679719</v>
      </c>
      <c r="Y339" s="1205">
        <v>0.47204319216638746</v>
      </c>
      <c r="Z339" s="1205">
        <v>0.41556744353398822</v>
      </c>
      <c r="AA339" s="1205">
        <v>0.76434836422227848</v>
      </c>
      <c r="AB339" s="1205">
        <v>1.2043101927910349</v>
      </c>
      <c r="AC339" s="1205">
        <v>0.87653004581626881</v>
      </c>
      <c r="AD339" s="1205">
        <v>0.23240366935207712</v>
      </c>
      <c r="AE339" s="1205">
        <v>0.95517052265997537</v>
      </c>
      <c r="AF339" s="1205">
        <v>0.62895991752186131</v>
      </c>
      <c r="AG339" s="1205">
        <v>1.4810488953508707</v>
      </c>
      <c r="AH339" s="1205">
        <v>0.46971786282245021</v>
      </c>
      <c r="AI339" s="1205">
        <v>0.80818018951521298</v>
      </c>
      <c r="AJ339" s="1205">
        <v>0.42444272920741705</v>
      </c>
      <c r="AK339" s="1205">
        <v>0.23897887699953818</v>
      </c>
      <c r="AL339" s="1205">
        <v>1.9083430082009785</v>
      </c>
      <c r="AM339" s="1205">
        <v>0.82023231870876601</v>
      </c>
      <c r="AN339" s="1205" t="e">
        <v>#DIV/0!</v>
      </c>
      <c r="AO339" s="1205">
        <v>0.54819890388774073</v>
      </c>
      <c r="AP339" s="1205" t="e">
        <v>#DIV/0!</v>
      </c>
      <c r="AQ339" s="1205">
        <v>0.29097233806516937</v>
      </c>
      <c r="AR339" s="1205">
        <v>1.959749651679678</v>
      </c>
      <c r="AS339" s="1205">
        <v>0.71262763793341843</v>
      </c>
      <c r="AT339" s="1205">
        <v>0.79581532057809712</v>
      </c>
      <c r="AU339" s="1205">
        <v>0.95911839583172609</v>
      </c>
      <c r="AV339" s="1205">
        <v>0.41700234901276445</v>
      </c>
      <c r="AW339" s="1205" t="e">
        <v>#DIV/0!</v>
      </c>
      <c r="AX339" s="1205">
        <v>1.1523443615024849</v>
      </c>
      <c r="AY339" s="1205">
        <v>2.1581075628908146</v>
      </c>
      <c r="AZ339" s="1205">
        <v>0.45001015944350153</v>
      </c>
      <c r="BA339" s="1205">
        <v>3.7662811957623576</v>
      </c>
      <c r="BB339" s="1205">
        <v>2.0883277856636644</v>
      </c>
      <c r="BC339" s="1205">
        <v>0.54778332086535697</v>
      </c>
      <c r="BD339" s="1205">
        <v>4.6114145391422161</v>
      </c>
      <c r="BE339" s="1205">
        <v>1.3879906456346296</v>
      </c>
      <c r="BF339" s="1205">
        <v>0.56669081210745587</v>
      </c>
      <c r="BG339" s="1205">
        <v>4.2569859764899975</v>
      </c>
      <c r="BH339" s="1205">
        <v>1.8891396808017855</v>
      </c>
      <c r="BI339" s="1205">
        <v>1.6697707186752324</v>
      </c>
      <c r="BJ339" s="1205">
        <v>3.9632714539509255</v>
      </c>
      <c r="BK339" s="1205">
        <v>1.6970406311906034</v>
      </c>
      <c r="BL339" s="1205">
        <v>2.6327805362462762</v>
      </c>
      <c r="BM339" s="1205">
        <v>0.53332840687386462</v>
      </c>
      <c r="BN339" s="1205" t="e">
        <v>#DIV/0!</v>
      </c>
      <c r="BO339" s="1205">
        <v>-2.0213441425516461E-2</v>
      </c>
      <c r="BP339" s="1205">
        <v>0.45381181940932369</v>
      </c>
      <c r="BQ339" s="1205">
        <v>0.82085857717944122</v>
      </c>
      <c r="BR339" s="1205">
        <v>1.4652921097089093</v>
      </c>
      <c r="BS339" s="1205">
        <v>0.5064567387333887</v>
      </c>
      <c r="BT339" s="1205">
        <v>0.23986589255582985</v>
      </c>
      <c r="BU339" s="1205">
        <v>1.4713262280330845</v>
      </c>
      <c r="BV339" s="1205">
        <v>1.2648922284486144</v>
      </c>
      <c r="BW339" s="1205">
        <v>0.72103973071710958</v>
      </c>
      <c r="BX339" s="1205">
        <v>1.5299847050017898</v>
      </c>
      <c r="BY339" s="1205" t="e">
        <v>#DIV/0!</v>
      </c>
      <c r="BZ339" s="1205">
        <v>1.6301703375590095</v>
      </c>
      <c r="CA339" s="1205">
        <v>1.1443433029908974</v>
      </c>
      <c r="CB339" s="1205">
        <v>1.4435957696827262</v>
      </c>
      <c r="CC339" s="1177">
        <v>1.4459114027459352</v>
      </c>
      <c r="CD339" s="1177">
        <v>0.28943881662307686</v>
      </c>
      <c r="CE339" s="1177" t="e">
        <v>#DIV/0!</v>
      </c>
      <c r="CF339" s="1177">
        <v>7.5627952504575049</v>
      </c>
    </row>
    <row r="340" spans="1:84" s="1148" customFormat="1" x14ac:dyDescent="0.3">
      <c r="A340" s="1203" t="s">
        <v>794</v>
      </c>
      <c r="B340" s="1203"/>
      <c r="C340" s="1206"/>
      <c r="D340" s="1146" t="s">
        <v>1776</v>
      </c>
      <c r="E340" s="1191"/>
      <c r="F340" s="1191">
        <v>0</v>
      </c>
      <c r="G340" s="1191">
        <v>0</v>
      </c>
      <c r="H340" s="1191">
        <v>66540</v>
      </c>
      <c r="I340" s="1191">
        <v>0</v>
      </c>
      <c r="J340" s="1191">
        <v>0</v>
      </c>
      <c r="K340" s="1191">
        <v>0</v>
      </c>
      <c r="L340" s="1191">
        <v>20329</v>
      </c>
      <c r="M340" s="1191">
        <v>0</v>
      </c>
      <c r="N340" s="1191">
        <v>0</v>
      </c>
      <c r="O340" s="1191">
        <v>0</v>
      </c>
      <c r="P340" s="1191">
        <v>0</v>
      </c>
      <c r="Q340" s="1191">
        <v>0</v>
      </c>
      <c r="R340" s="1191">
        <v>0</v>
      </c>
      <c r="S340" s="1191">
        <v>2032038</v>
      </c>
      <c r="T340" s="1191">
        <v>0</v>
      </c>
      <c r="U340" s="1191">
        <v>0</v>
      </c>
      <c r="V340" s="1191">
        <v>5723918</v>
      </c>
      <c r="W340" s="1191">
        <v>1566288</v>
      </c>
      <c r="X340" s="1191">
        <v>2250753</v>
      </c>
      <c r="Y340" s="1191">
        <v>0</v>
      </c>
      <c r="Z340" s="1191">
        <v>0</v>
      </c>
      <c r="AA340" s="1191">
        <v>1406658</v>
      </c>
      <c r="AB340" s="1191">
        <v>66763</v>
      </c>
      <c r="AC340" s="1191">
        <v>402726</v>
      </c>
      <c r="AD340" s="1191">
        <v>639021</v>
      </c>
      <c r="AE340" s="1191">
        <v>174870</v>
      </c>
      <c r="AF340" s="1191">
        <v>302214</v>
      </c>
      <c r="AG340" s="1191">
        <v>32920</v>
      </c>
      <c r="AH340" s="1191">
        <v>43659</v>
      </c>
      <c r="AI340" s="1191">
        <v>45392</v>
      </c>
      <c r="AJ340" s="1191">
        <v>44393</v>
      </c>
      <c r="AK340" s="1191">
        <v>5309161</v>
      </c>
      <c r="AL340" s="1191">
        <v>0</v>
      </c>
      <c r="AM340" s="1191">
        <v>54085</v>
      </c>
      <c r="AN340" s="1191">
        <v>0</v>
      </c>
      <c r="AO340" s="1191">
        <v>1450352</v>
      </c>
      <c r="AP340" s="1191">
        <v>0</v>
      </c>
      <c r="AQ340" s="1191">
        <v>80872</v>
      </c>
      <c r="AR340" s="1191">
        <v>0</v>
      </c>
      <c r="AS340" s="1191">
        <v>0</v>
      </c>
      <c r="AT340" s="1191">
        <v>569807</v>
      </c>
      <c r="AU340" s="1191">
        <v>0</v>
      </c>
      <c r="AV340" s="1191">
        <v>194453</v>
      </c>
      <c r="AW340" s="1191">
        <v>0</v>
      </c>
      <c r="AX340" s="1191">
        <v>7220450</v>
      </c>
      <c r="AY340" s="1191">
        <v>0</v>
      </c>
      <c r="AZ340" s="1191">
        <v>70371</v>
      </c>
      <c r="BA340" s="1191">
        <v>0</v>
      </c>
      <c r="BB340" s="1191">
        <v>64908</v>
      </c>
      <c r="BC340" s="1191">
        <v>0</v>
      </c>
      <c r="BD340" s="1191">
        <v>0</v>
      </c>
      <c r="BE340" s="1191">
        <v>0</v>
      </c>
      <c r="BF340" s="1191">
        <v>957197</v>
      </c>
      <c r="BG340" s="1191">
        <v>0</v>
      </c>
      <c r="BH340" s="1191">
        <v>29081</v>
      </c>
      <c r="BI340" s="1191">
        <v>0</v>
      </c>
      <c r="BJ340" s="1191">
        <v>0</v>
      </c>
      <c r="BK340" s="1191">
        <v>5558</v>
      </c>
      <c r="BL340" s="1191">
        <v>0</v>
      </c>
      <c r="BM340" s="1191">
        <v>152909</v>
      </c>
      <c r="BN340" s="1191">
        <v>0</v>
      </c>
      <c r="BO340" s="1191">
        <v>132187</v>
      </c>
      <c r="BP340" s="1191">
        <v>252642</v>
      </c>
      <c r="BQ340" s="1191">
        <v>58538</v>
      </c>
      <c r="BR340" s="1191">
        <v>0</v>
      </c>
      <c r="BS340" s="1191">
        <v>0</v>
      </c>
      <c r="BT340" s="1191">
        <v>39276</v>
      </c>
      <c r="BU340" s="1191">
        <v>0</v>
      </c>
      <c r="BV340" s="1191">
        <v>46079</v>
      </c>
      <c r="BW340" s="1191">
        <v>157101</v>
      </c>
      <c r="BX340" s="1191">
        <v>0</v>
      </c>
      <c r="BY340" s="1191">
        <v>0</v>
      </c>
      <c r="BZ340" s="1191">
        <v>0</v>
      </c>
      <c r="CA340" s="1191">
        <v>0</v>
      </c>
      <c r="CB340" s="1191">
        <v>63801</v>
      </c>
      <c r="CC340" s="1148">
        <v>16524</v>
      </c>
      <c r="CD340" s="1148">
        <v>122343</v>
      </c>
      <c r="CE340" s="1148">
        <v>0</v>
      </c>
      <c r="CF340" s="1148">
        <v>0</v>
      </c>
    </row>
    <row r="341" spans="1:84" s="1148" customFormat="1" x14ac:dyDescent="0.3">
      <c r="A341" s="1203" t="s">
        <v>1777</v>
      </c>
      <c r="B341" s="1203"/>
      <c r="C341" s="1203"/>
      <c r="D341" s="1146" t="s">
        <v>1778</v>
      </c>
      <c r="E341" s="1191"/>
      <c r="F341" s="1191"/>
      <c r="G341" s="1191"/>
      <c r="H341" s="1191"/>
      <c r="I341" s="1191"/>
      <c r="J341" s="1191"/>
      <c r="K341" s="1191"/>
      <c r="L341" s="1191"/>
      <c r="M341" s="1191"/>
      <c r="N341" s="1191"/>
      <c r="O341" s="1191"/>
      <c r="P341" s="1191"/>
      <c r="Q341" s="1191"/>
      <c r="R341" s="1191"/>
      <c r="S341" s="1191"/>
      <c r="T341" s="1191"/>
      <c r="U341" s="1191"/>
      <c r="V341" s="1191"/>
      <c r="W341" s="1191"/>
      <c r="X341" s="1191"/>
      <c r="Y341" s="1191"/>
      <c r="Z341" s="1191"/>
      <c r="AA341" s="1191"/>
      <c r="AB341" s="1191"/>
      <c r="AC341" s="1191"/>
      <c r="AD341" s="1191"/>
      <c r="AE341" s="1191"/>
      <c r="AF341" s="1191"/>
      <c r="AG341" s="1191"/>
      <c r="AH341" s="1191"/>
      <c r="AI341" s="1191"/>
      <c r="AJ341" s="1191"/>
      <c r="AK341" s="1191"/>
      <c r="AL341" s="1191"/>
      <c r="AM341" s="1191"/>
      <c r="AN341" s="1191"/>
      <c r="AO341" s="1191"/>
      <c r="AP341" s="1191"/>
      <c r="AQ341" s="1191"/>
      <c r="AR341" s="1191"/>
      <c r="AS341" s="1191"/>
      <c r="AT341" s="1191"/>
      <c r="AU341" s="1191"/>
      <c r="AV341" s="1191"/>
      <c r="AW341" s="1191"/>
      <c r="AX341" s="1191"/>
      <c r="AY341" s="1191"/>
      <c r="AZ341" s="1191"/>
      <c r="BA341" s="1191"/>
      <c r="BB341" s="1191"/>
      <c r="BC341" s="1191"/>
      <c r="BD341" s="1191"/>
      <c r="BE341" s="1191"/>
      <c r="BF341" s="1191"/>
      <c r="BG341" s="1191"/>
      <c r="BH341" s="1191"/>
      <c r="BI341" s="1191"/>
      <c r="BJ341" s="1191"/>
      <c r="BK341" s="1191"/>
      <c r="BL341" s="1191"/>
      <c r="BM341" s="1191"/>
      <c r="BN341" s="1191"/>
      <c r="BO341" s="1191"/>
      <c r="BP341" s="1191"/>
      <c r="BQ341" s="1191"/>
      <c r="BR341" s="1191"/>
      <c r="BS341" s="1191"/>
      <c r="BT341" s="1191"/>
      <c r="BU341" s="1191"/>
      <c r="BV341" s="1191"/>
      <c r="BW341" s="1191"/>
      <c r="BX341" s="1191"/>
      <c r="BY341" s="1191"/>
      <c r="BZ341" s="1191"/>
      <c r="CA341" s="1191"/>
      <c r="CB341" s="1191"/>
    </row>
    <row r="342" spans="1:84" s="1148" customFormat="1" x14ac:dyDescent="0.3">
      <c r="A342" s="1203" t="s">
        <v>796</v>
      </c>
      <c r="B342" s="1146"/>
      <c r="C342" s="1203"/>
      <c r="D342" s="1146" t="s">
        <v>795</v>
      </c>
      <c r="E342" s="1191"/>
      <c r="F342" s="1191"/>
      <c r="G342" s="1191"/>
      <c r="H342" s="1191"/>
      <c r="I342" s="1191"/>
      <c r="J342" s="1191"/>
      <c r="K342" s="1191"/>
      <c r="L342" s="1191"/>
      <c r="M342" s="1191"/>
      <c r="N342" s="1191"/>
      <c r="O342" s="1191"/>
      <c r="P342" s="1191"/>
      <c r="Q342" s="1191"/>
      <c r="R342" s="1191"/>
      <c r="S342" s="1191"/>
      <c r="T342" s="1191"/>
      <c r="U342" s="1191"/>
      <c r="V342" s="1191"/>
      <c r="W342" s="1191"/>
      <c r="X342" s="1191"/>
      <c r="Y342" s="1191"/>
      <c r="Z342" s="1191"/>
      <c r="AA342" s="1191"/>
      <c r="AB342" s="1191"/>
      <c r="AC342" s="1191"/>
      <c r="AD342" s="1191"/>
      <c r="AE342" s="1191"/>
      <c r="AF342" s="1191"/>
      <c r="AG342" s="1191"/>
      <c r="AH342" s="1191"/>
      <c r="AI342" s="1191"/>
      <c r="AJ342" s="1191"/>
      <c r="AK342" s="1191"/>
      <c r="AL342" s="1191"/>
      <c r="AM342" s="1191"/>
      <c r="AN342" s="1191"/>
      <c r="AO342" s="1191"/>
      <c r="AP342" s="1191"/>
      <c r="AQ342" s="1191"/>
      <c r="AR342" s="1191"/>
      <c r="AS342" s="1191"/>
      <c r="AT342" s="1191"/>
      <c r="AU342" s="1191"/>
      <c r="AV342" s="1191"/>
      <c r="AW342" s="1191"/>
      <c r="AX342" s="1191"/>
      <c r="AY342" s="1191"/>
      <c r="AZ342" s="1191"/>
      <c r="BA342" s="1191"/>
      <c r="BB342" s="1191"/>
      <c r="BC342" s="1191"/>
      <c r="BD342" s="1191"/>
      <c r="BE342" s="1191"/>
      <c r="BF342" s="1191"/>
      <c r="BG342" s="1191"/>
      <c r="BH342" s="1191"/>
      <c r="BI342" s="1191"/>
      <c r="BJ342" s="1191"/>
      <c r="BK342" s="1191"/>
      <c r="BL342" s="1191"/>
      <c r="BM342" s="1191"/>
      <c r="BN342" s="1191"/>
      <c r="BO342" s="1191"/>
      <c r="BP342" s="1191"/>
      <c r="BQ342" s="1191"/>
      <c r="BR342" s="1191"/>
      <c r="BS342" s="1191"/>
      <c r="BT342" s="1191"/>
      <c r="BU342" s="1191"/>
      <c r="BV342" s="1191"/>
      <c r="BW342" s="1191"/>
      <c r="BX342" s="1191"/>
      <c r="BY342" s="1191"/>
      <c r="BZ342" s="1191"/>
      <c r="CA342" s="1191"/>
      <c r="CB342" s="1191"/>
    </row>
    <row r="343" spans="1:84" s="1148" customFormat="1" x14ac:dyDescent="0.3">
      <c r="A343" s="1203" t="s">
        <v>799</v>
      </c>
      <c r="B343" s="1146"/>
      <c r="C343" s="1203"/>
      <c r="D343" s="1146" t="s">
        <v>801</v>
      </c>
      <c r="E343" s="1191"/>
      <c r="F343" s="1191"/>
      <c r="G343" s="1191"/>
      <c r="H343" s="1191"/>
      <c r="I343" s="1191"/>
      <c r="J343" s="1191"/>
      <c r="K343" s="1191"/>
      <c r="L343" s="1191"/>
      <c r="M343" s="1191"/>
      <c r="N343" s="1191"/>
      <c r="O343" s="1191"/>
      <c r="P343" s="1191"/>
      <c r="Q343" s="1191"/>
      <c r="R343" s="1191"/>
      <c r="S343" s="1191"/>
      <c r="T343" s="1191"/>
      <c r="U343" s="1191"/>
      <c r="V343" s="1191"/>
      <c r="W343" s="1191"/>
      <c r="X343" s="1191"/>
      <c r="Y343" s="1191"/>
      <c r="Z343" s="1191"/>
      <c r="AA343" s="1191"/>
      <c r="AB343" s="1191"/>
      <c r="AC343" s="1191"/>
      <c r="AD343" s="1191"/>
      <c r="AE343" s="1191"/>
      <c r="AF343" s="1191"/>
      <c r="AG343" s="1191"/>
      <c r="AH343" s="1191"/>
      <c r="AI343" s="1191"/>
      <c r="AJ343" s="1191"/>
      <c r="AK343" s="1191"/>
      <c r="AL343" s="1191"/>
      <c r="AM343" s="1191"/>
      <c r="AN343" s="1191"/>
      <c r="AO343" s="1191"/>
      <c r="AP343" s="1191"/>
      <c r="AQ343" s="1191"/>
      <c r="AR343" s="1191"/>
      <c r="AS343" s="1191"/>
      <c r="AT343" s="1191"/>
      <c r="AU343" s="1191"/>
      <c r="AV343" s="1191"/>
      <c r="AW343" s="1191"/>
      <c r="AX343" s="1191"/>
      <c r="AY343" s="1191"/>
      <c r="AZ343" s="1191"/>
      <c r="BA343" s="1191"/>
      <c r="BB343" s="1191"/>
      <c r="BC343" s="1191"/>
      <c r="BD343" s="1191"/>
      <c r="BE343" s="1191"/>
      <c r="BF343" s="1191"/>
      <c r="BG343" s="1191"/>
      <c r="BH343" s="1191"/>
      <c r="BI343" s="1191"/>
      <c r="BJ343" s="1191"/>
      <c r="BK343" s="1191"/>
      <c r="BL343" s="1191"/>
      <c r="BM343" s="1191"/>
      <c r="BN343" s="1191"/>
      <c r="BO343" s="1191"/>
      <c r="BP343" s="1191"/>
      <c r="BQ343" s="1191"/>
      <c r="BR343" s="1191"/>
      <c r="BS343" s="1191"/>
      <c r="BT343" s="1191"/>
      <c r="BU343" s="1191"/>
      <c r="BV343" s="1191"/>
      <c r="BW343" s="1191"/>
      <c r="BX343" s="1191"/>
      <c r="BY343" s="1191"/>
      <c r="BZ343" s="1191"/>
      <c r="CA343" s="1191"/>
      <c r="CB343" s="1191"/>
    </row>
    <row r="344" spans="1:84" s="1148" customFormat="1" x14ac:dyDescent="0.3">
      <c r="A344" s="1203" t="s">
        <v>800</v>
      </c>
      <c r="B344" s="1146"/>
      <c r="C344" s="1203"/>
      <c r="D344" s="1146" t="s">
        <v>802</v>
      </c>
      <c r="E344" s="1191"/>
      <c r="F344" s="1191"/>
      <c r="G344" s="1191"/>
      <c r="H344" s="1191"/>
      <c r="I344" s="1191"/>
      <c r="J344" s="1191"/>
      <c r="K344" s="1191"/>
      <c r="L344" s="1191"/>
      <c r="M344" s="1191"/>
      <c r="N344" s="1191"/>
      <c r="O344" s="1191"/>
      <c r="P344" s="1191"/>
      <c r="Q344" s="1191"/>
      <c r="R344" s="1191"/>
      <c r="S344" s="1191"/>
      <c r="T344" s="1191"/>
      <c r="U344" s="1191"/>
      <c r="V344" s="1191"/>
      <c r="W344" s="1191"/>
      <c r="X344" s="1191"/>
      <c r="Y344" s="1191"/>
      <c r="Z344" s="1191"/>
      <c r="AA344" s="1191"/>
      <c r="AB344" s="1191"/>
      <c r="AC344" s="1191"/>
      <c r="AD344" s="1191"/>
      <c r="AE344" s="1191"/>
      <c r="AF344" s="1191"/>
      <c r="AG344" s="1191"/>
      <c r="AH344" s="1191"/>
      <c r="AI344" s="1191"/>
      <c r="AJ344" s="1191"/>
      <c r="AK344" s="1191"/>
      <c r="AL344" s="1191"/>
      <c r="AM344" s="1191"/>
      <c r="AN344" s="1191"/>
      <c r="AO344" s="1191"/>
      <c r="AP344" s="1191"/>
      <c r="AQ344" s="1191"/>
      <c r="AR344" s="1191"/>
      <c r="AS344" s="1191"/>
      <c r="AT344" s="1191"/>
      <c r="AU344" s="1191"/>
      <c r="AV344" s="1191"/>
      <c r="AW344" s="1191"/>
      <c r="AX344" s="1191"/>
      <c r="AY344" s="1191"/>
      <c r="AZ344" s="1191"/>
      <c r="BA344" s="1191"/>
      <c r="BB344" s="1191"/>
      <c r="BC344" s="1191"/>
      <c r="BD344" s="1191"/>
      <c r="BE344" s="1191"/>
      <c r="BF344" s="1191"/>
      <c r="BG344" s="1191"/>
      <c r="BH344" s="1191"/>
      <c r="BI344" s="1191"/>
      <c r="BJ344" s="1191"/>
      <c r="BK344" s="1191"/>
      <c r="BL344" s="1191"/>
      <c r="BM344" s="1191"/>
      <c r="BN344" s="1191"/>
      <c r="BO344" s="1191"/>
      <c r="BP344" s="1191"/>
      <c r="BQ344" s="1191"/>
      <c r="BR344" s="1191"/>
      <c r="BS344" s="1191"/>
      <c r="BT344" s="1191"/>
      <c r="BU344" s="1191"/>
      <c r="BV344" s="1191"/>
      <c r="BW344" s="1191"/>
      <c r="BX344" s="1191"/>
      <c r="BY344" s="1191"/>
      <c r="BZ344" s="1191"/>
      <c r="CA344" s="1191"/>
      <c r="CB344" s="1191"/>
    </row>
    <row r="345" spans="1:84" s="1148" customFormat="1" x14ac:dyDescent="0.3">
      <c r="A345" s="1203" t="s">
        <v>882</v>
      </c>
      <c r="B345" s="1146"/>
      <c r="C345" s="1203"/>
      <c r="D345" s="1146" t="s">
        <v>885</v>
      </c>
      <c r="E345" s="1191"/>
      <c r="F345" s="1191"/>
      <c r="G345" s="1191"/>
      <c r="H345" s="1191"/>
      <c r="I345" s="1191"/>
      <c r="J345" s="1191"/>
      <c r="K345" s="1191"/>
      <c r="L345" s="1191"/>
      <c r="M345" s="1191"/>
      <c r="N345" s="1191"/>
      <c r="O345" s="1191"/>
      <c r="P345" s="1191"/>
      <c r="Q345" s="1191"/>
      <c r="R345" s="1191"/>
      <c r="S345" s="1191"/>
      <c r="T345" s="1191"/>
      <c r="U345" s="1191"/>
      <c r="V345" s="1191"/>
      <c r="W345" s="1191"/>
      <c r="X345" s="1191"/>
      <c r="Y345" s="1191"/>
      <c r="Z345" s="1191"/>
      <c r="AA345" s="1191"/>
      <c r="AB345" s="1191"/>
      <c r="AC345" s="1191"/>
      <c r="AD345" s="1191"/>
      <c r="AE345" s="1191"/>
      <c r="AF345" s="1191"/>
      <c r="AG345" s="1191"/>
      <c r="AH345" s="1191"/>
      <c r="AI345" s="1191"/>
      <c r="AJ345" s="1191"/>
      <c r="AK345" s="1191"/>
      <c r="AL345" s="1191"/>
      <c r="AM345" s="1191"/>
      <c r="AN345" s="1191"/>
      <c r="AO345" s="1191"/>
      <c r="AP345" s="1191"/>
      <c r="AQ345" s="1191"/>
      <c r="AR345" s="1191"/>
      <c r="AS345" s="1191"/>
      <c r="AT345" s="1191"/>
      <c r="AU345" s="1191"/>
      <c r="AV345" s="1191"/>
      <c r="AW345" s="1191"/>
      <c r="AX345" s="1191"/>
      <c r="AY345" s="1191"/>
      <c r="AZ345" s="1191"/>
      <c r="BA345" s="1191"/>
      <c r="BB345" s="1191"/>
      <c r="BC345" s="1191"/>
      <c r="BD345" s="1191"/>
      <c r="BE345" s="1191"/>
      <c r="BF345" s="1191"/>
      <c r="BG345" s="1191"/>
      <c r="BH345" s="1191"/>
      <c r="BI345" s="1191"/>
      <c r="BJ345" s="1191"/>
      <c r="BK345" s="1191"/>
      <c r="BL345" s="1191"/>
      <c r="BM345" s="1191"/>
      <c r="BN345" s="1191"/>
      <c r="BO345" s="1191"/>
      <c r="BP345" s="1191"/>
      <c r="BQ345" s="1191"/>
      <c r="BR345" s="1191"/>
      <c r="BS345" s="1191"/>
      <c r="BT345" s="1191"/>
      <c r="BU345" s="1191"/>
      <c r="BV345" s="1191"/>
      <c r="BW345" s="1191"/>
      <c r="BX345" s="1191"/>
      <c r="BY345" s="1191"/>
      <c r="BZ345" s="1191"/>
      <c r="CA345" s="1191"/>
      <c r="CB345" s="1191"/>
    </row>
    <row r="346" spans="1:84" s="1148" customFormat="1" x14ac:dyDescent="0.3">
      <c r="A346" s="1203" t="s">
        <v>883</v>
      </c>
      <c r="B346" s="1146"/>
      <c r="C346" s="1146"/>
      <c r="D346" s="1146" t="s">
        <v>884</v>
      </c>
      <c r="E346" s="1191"/>
      <c r="F346" s="1191"/>
      <c r="G346" s="1191"/>
      <c r="H346" s="1191"/>
      <c r="I346" s="1191"/>
      <c r="J346" s="1191"/>
      <c r="K346" s="1191"/>
      <c r="L346" s="1191"/>
      <c r="M346" s="1191"/>
      <c r="N346" s="1191"/>
      <c r="O346" s="1191"/>
      <c r="P346" s="1191"/>
      <c r="Q346" s="1191"/>
      <c r="R346" s="1191"/>
      <c r="S346" s="1191"/>
      <c r="T346" s="1191"/>
      <c r="U346" s="1191"/>
      <c r="V346" s="1191"/>
      <c r="W346" s="1191"/>
      <c r="X346" s="1191"/>
      <c r="Y346" s="1191"/>
      <c r="Z346" s="1191"/>
      <c r="AA346" s="1191"/>
      <c r="AB346" s="1191"/>
      <c r="AC346" s="1191"/>
      <c r="AD346" s="1191"/>
      <c r="AE346" s="1191"/>
      <c r="AF346" s="1191"/>
      <c r="AG346" s="1191"/>
      <c r="AH346" s="1191"/>
      <c r="AI346" s="1191"/>
      <c r="AJ346" s="1191"/>
      <c r="AK346" s="1191"/>
      <c r="AL346" s="1191"/>
      <c r="AM346" s="1191"/>
      <c r="AN346" s="1191"/>
      <c r="AO346" s="1191"/>
      <c r="AP346" s="1191"/>
      <c r="AQ346" s="1191"/>
      <c r="AR346" s="1191"/>
      <c r="AS346" s="1191"/>
      <c r="AT346" s="1191"/>
      <c r="AU346" s="1191"/>
      <c r="AV346" s="1191"/>
      <c r="AW346" s="1191"/>
      <c r="AX346" s="1191"/>
      <c r="AY346" s="1191"/>
      <c r="AZ346" s="1191"/>
      <c r="BA346" s="1191"/>
      <c r="BB346" s="1191"/>
      <c r="BC346" s="1191"/>
      <c r="BD346" s="1191"/>
      <c r="BE346" s="1191"/>
      <c r="BF346" s="1191"/>
      <c r="BG346" s="1191"/>
      <c r="BH346" s="1191"/>
      <c r="BI346" s="1191"/>
      <c r="BJ346" s="1191"/>
      <c r="BK346" s="1191"/>
      <c r="BL346" s="1191"/>
      <c r="BM346" s="1191"/>
      <c r="BN346" s="1191"/>
      <c r="BO346" s="1191"/>
      <c r="BP346" s="1191"/>
      <c r="BQ346" s="1191"/>
      <c r="BR346" s="1191"/>
      <c r="BS346" s="1191"/>
      <c r="BT346" s="1191"/>
      <c r="BU346" s="1191"/>
      <c r="BV346" s="1191"/>
      <c r="BW346" s="1191"/>
      <c r="BX346" s="1191"/>
      <c r="BY346" s="1191"/>
      <c r="BZ346" s="1191"/>
      <c r="CA346" s="1191"/>
      <c r="CB346" s="1191"/>
    </row>
    <row r="347" spans="1:84" s="1148" customFormat="1" x14ac:dyDescent="0.3">
      <c r="A347" s="1207" t="s">
        <v>1099</v>
      </c>
      <c r="B347" s="1198"/>
      <c r="C347" s="1208"/>
      <c r="D347" s="1146" t="s">
        <v>1779</v>
      </c>
      <c r="E347" s="1191"/>
      <c r="F347" s="1191" t="e">
        <v>#DIV/0!</v>
      </c>
      <c r="G347" s="1191" t="e">
        <v>#DIV/0!</v>
      </c>
      <c r="H347" s="1191">
        <v>35.294271367083418</v>
      </c>
      <c r="I347" s="1191" t="e">
        <v>#DIV/0!</v>
      </c>
      <c r="J347" s="1191" t="e">
        <v>#DIV/0!</v>
      </c>
      <c r="K347" s="1191" t="e">
        <v>#DIV/0!</v>
      </c>
      <c r="L347" s="1191">
        <v>2.9857291511818045</v>
      </c>
      <c r="M347" s="1191" t="e">
        <v>#DIV/0!</v>
      </c>
      <c r="N347" s="1191" t="e">
        <v>#DIV/0!</v>
      </c>
      <c r="O347" s="1191" t="e">
        <v>#DIV/0!</v>
      </c>
      <c r="P347" s="1191" t="e">
        <v>#DIV/0!</v>
      </c>
      <c r="Q347" s="1191">
        <v>5.3927342129650055</v>
      </c>
      <c r="R347" s="1191" t="e">
        <v>#DIV/0!</v>
      </c>
      <c r="S347" s="1191">
        <v>12.739055874567189</v>
      </c>
      <c r="T347" s="1191" t="e">
        <v>#DIV/0!</v>
      </c>
      <c r="U347" s="1191" t="e">
        <v>#DIV/0!</v>
      </c>
      <c r="V347" s="1191">
        <v>7.2520476708419741</v>
      </c>
      <c r="W347" s="1191">
        <v>3.3137128406864402</v>
      </c>
      <c r="X347" s="1191">
        <v>6.7823638920282097</v>
      </c>
      <c r="Y347" s="1191" t="e">
        <v>#DIV/0!</v>
      </c>
      <c r="Z347" s="1191">
        <v>14.698582039162728</v>
      </c>
      <c r="AA347" s="1191">
        <v>2.3244711234068323</v>
      </c>
      <c r="AB347" s="1191">
        <v>7.1883262472961178</v>
      </c>
      <c r="AC347" s="1191">
        <v>28.148540980332466</v>
      </c>
      <c r="AD347" s="1191">
        <v>3.1682099525926217</v>
      </c>
      <c r="AE347" s="1191">
        <v>4.9342799646810001</v>
      </c>
      <c r="AF347" s="1191">
        <v>2.6216048122379103</v>
      </c>
      <c r="AG347" s="1191">
        <v>4.7445081592531615</v>
      </c>
      <c r="AH347" s="1191">
        <v>22.008742095892934</v>
      </c>
      <c r="AI347" s="1191">
        <v>5.9351059906215422</v>
      </c>
      <c r="AJ347" s="1191">
        <v>1.8580524017467248</v>
      </c>
      <c r="AK347" s="1191">
        <v>4.2002076238318695</v>
      </c>
      <c r="AL347" s="1191">
        <v>28.239723511537047</v>
      </c>
      <c r="AM347" s="1191">
        <v>23.402716763005781</v>
      </c>
      <c r="AN347" s="1191" t="e">
        <v>#DIV/0!</v>
      </c>
      <c r="AO347" s="1191">
        <v>2.1409636691089529</v>
      </c>
      <c r="AP347" s="1191" t="e">
        <v>#DIV/0!</v>
      </c>
      <c r="AQ347" s="1191">
        <v>0.85207846858883907</v>
      </c>
      <c r="AR347" s="1191" t="e">
        <v>#DIV/0!</v>
      </c>
      <c r="AS347" s="1191" t="e">
        <v>#DIV/0!</v>
      </c>
      <c r="AT347" s="1191">
        <v>4.610207870837538</v>
      </c>
      <c r="AU347" s="1191" t="e">
        <v>#DIV/0!</v>
      </c>
      <c r="AV347" s="1191">
        <v>1.2776354529117118</v>
      </c>
      <c r="AW347" s="1191" t="e">
        <v>#DIV/0!</v>
      </c>
      <c r="AX347" s="1191">
        <v>24.474311296465981</v>
      </c>
      <c r="AY347" s="1191" t="e">
        <v>#DIV/0!</v>
      </c>
      <c r="AZ347" s="1191">
        <v>12.993720979655974</v>
      </c>
      <c r="BA347" s="1191">
        <v>25.217331254176877</v>
      </c>
      <c r="BB347" s="1191">
        <v>23.680474562638246</v>
      </c>
      <c r="BC347" s="1191">
        <v>3.5627898562641844</v>
      </c>
      <c r="BD347" s="1191" t="e">
        <v>#DIV/0!</v>
      </c>
      <c r="BE347" s="1191">
        <v>10.453186509203107</v>
      </c>
      <c r="BF347" s="1191">
        <v>2.0435578917988817</v>
      </c>
      <c r="BG347" s="1191" t="e">
        <v>#DIV/0!</v>
      </c>
      <c r="BH347" s="1191">
        <v>1</v>
      </c>
      <c r="BI347" s="1191">
        <v>17.723189890710383</v>
      </c>
      <c r="BJ347" s="1191" t="e">
        <v>#DIV/0!</v>
      </c>
      <c r="BK347" s="1191">
        <v>27.927941938828408</v>
      </c>
      <c r="BL347" s="1191" t="e">
        <v>#DIV/0!</v>
      </c>
      <c r="BM347" s="1191">
        <v>13.058722374646244</v>
      </c>
      <c r="BN347" s="1191" t="e">
        <v>#DIV/0!</v>
      </c>
      <c r="BO347" s="1191">
        <v>1.0994426224211189</v>
      </c>
      <c r="BP347" s="1191">
        <v>7.0118672643864439</v>
      </c>
      <c r="BQ347" s="1191">
        <v>12.393399843783286</v>
      </c>
      <c r="BR347" s="1191">
        <v>10.957402030296892</v>
      </c>
      <c r="BS347" s="1191" t="e">
        <v>#DIV/0!</v>
      </c>
      <c r="BT347" s="1191">
        <v>58.304515866558177</v>
      </c>
      <c r="BU347" s="1191" t="e">
        <v>#DIV/0!</v>
      </c>
      <c r="BV347" s="1191">
        <v>9.2657165746089305</v>
      </c>
      <c r="BW347" s="1191">
        <v>19.493964622305452</v>
      </c>
      <c r="BX347" s="1191" t="e">
        <v>#DIV/0!</v>
      </c>
      <c r="BY347" s="1191" t="e">
        <v>#DIV/0!</v>
      </c>
      <c r="BZ347" s="1191">
        <v>28.299896781458198</v>
      </c>
      <c r="CA347" s="1191">
        <v>0.27103832656712312</v>
      </c>
      <c r="CB347" s="1191">
        <v>2.5871271275228813</v>
      </c>
      <c r="CC347" s="1148">
        <v>2.7166050329214397</v>
      </c>
      <c r="CD347" s="1148">
        <v>12.713536029387647</v>
      </c>
      <c r="CE347" s="1148" t="e">
        <v>#DIV/0!</v>
      </c>
      <c r="CF347" s="1148" t="e">
        <v>#DIV/0!</v>
      </c>
    </row>
    <row r="348" spans="1:84" s="1148" customFormat="1" ht="15" customHeight="1" x14ac:dyDescent="0.3">
      <c r="A348" s="1227" t="s">
        <v>1105</v>
      </c>
      <c r="B348" s="1228"/>
      <c r="C348" s="1209"/>
      <c r="D348" s="1146" t="s">
        <v>1262</v>
      </c>
      <c r="E348" s="1210"/>
      <c r="F348" s="1210">
        <v>0</v>
      </c>
      <c r="G348" s="1210">
        <v>0</v>
      </c>
      <c r="H348" s="1210">
        <v>-88623</v>
      </c>
      <c r="I348" s="1210">
        <v>0</v>
      </c>
      <c r="J348" s="1210">
        <v>0</v>
      </c>
      <c r="K348" s="1210">
        <v>0</v>
      </c>
      <c r="L348" s="1210">
        <v>-4138</v>
      </c>
      <c r="M348" s="1210">
        <v>0</v>
      </c>
      <c r="N348" s="1210">
        <v>0</v>
      </c>
      <c r="O348" s="1210">
        <v>0</v>
      </c>
      <c r="P348" s="1210">
        <v>0</v>
      </c>
      <c r="Q348" s="1210">
        <v>338687</v>
      </c>
      <c r="R348" s="1210">
        <v>0</v>
      </c>
      <c r="S348" s="1210">
        <v>8200646</v>
      </c>
      <c r="T348" s="1210">
        <v>0</v>
      </c>
      <c r="U348" s="1210">
        <v>0</v>
      </c>
      <c r="V348" s="1210">
        <v>9779960</v>
      </c>
      <c r="W348" s="1210">
        <v>1370259</v>
      </c>
      <c r="X348" s="1210">
        <v>2983570</v>
      </c>
      <c r="Y348" s="1210">
        <v>0</v>
      </c>
      <c r="Z348" s="1210">
        <v>675</v>
      </c>
      <c r="AA348" s="1210">
        <v>858930</v>
      </c>
      <c r="AB348" s="1210">
        <v>42240</v>
      </c>
      <c r="AC348" s="1210">
        <v>2014327</v>
      </c>
      <c r="AD348" s="1210">
        <v>608296</v>
      </c>
      <c r="AE348" s="1210">
        <v>130684</v>
      </c>
      <c r="AF348" s="1210">
        <v>148468</v>
      </c>
      <c r="AG348" s="1210">
        <v>144371</v>
      </c>
      <c r="AH348" s="1210">
        <v>491512</v>
      </c>
      <c r="AI348" s="1210">
        <v>983432</v>
      </c>
      <c r="AJ348" s="1210">
        <v>-219421</v>
      </c>
      <c r="AK348" s="1210">
        <v>3194405</v>
      </c>
      <c r="AL348" s="1210">
        <v>47869</v>
      </c>
      <c r="AM348" s="1210">
        <v>93513</v>
      </c>
      <c r="AN348" s="1210">
        <v>0</v>
      </c>
      <c r="AO348" s="1210">
        <v>614533</v>
      </c>
      <c r="AP348" s="1210">
        <v>0</v>
      </c>
      <c r="AQ348" s="1210">
        <v>-46046</v>
      </c>
      <c r="AR348" s="1210">
        <v>0</v>
      </c>
      <c r="AS348" s="1210">
        <v>0</v>
      </c>
      <c r="AT348" s="1210">
        <v>416695</v>
      </c>
      <c r="AU348" s="1210">
        <v>0</v>
      </c>
      <c r="AV348" s="1210">
        <v>240272</v>
      </c>
      <c r="AW348" s="1210">
        <v>0</v>
      </c>
      <c r="AX348" s="1210">
        <v>5361556</v>
      </c>
      <c r="AY348" s="1210">
        <v>0</v>
      </c>
      <c r="AZ348" s="1210">
        <v>-86726</v>
      </c>
      <c r="BA348" s="1210">
        <v>405494</v>
      </c>
      <c r="BB348" s="1210">
        <v>140081</v>
      </c>
      <c r="BC348" s="1210">
        <v>7074</v>
      </c>
      <c r="BD348" s="1210">
        <v>0</v>
      </c>
      <c r="BE348" s="1210">
        <v>1591</v>
      </c>
      <c r="BF348" s="1210">
        <v>2567952</v>
      </c>
      <c r="BG348" s="1210">
        <v>0</v>
      </c>
      <c r="BH348" s="1210">
        <v>-20560</v>
      </c>
      <c r="BI348" s="1210">
        <v>-8436</v>
      </c>
      <c r="BJ348" s="1210">
        <v>0</v>
      </c>
      <c r="BK348" s="1210">
        <v>53498</v>
      </c>
      <c r="BL348" s="1210">
        <v>0</v>
      </c>
      <c r="BM348" s="1210">
        <v>136444</v>
      </c>
      <c r="BN348" s="1210">
        <v>0</v>
      </c>
      <c r="BO348" s="1210">
        <v>80677</v>
      </c>
      <c r="BP348" s="1210">
        <v>175754</v>
      </c>
      <c r="BQ348" s="1210">
        <v>94143</v>
      </c>
      <c r="BR348" s="1210">
        <v>148234</v>
      </c>
      <c r="BS348" s="1210">
        <v>0</v>
      </c>
      <c r="BT348" s="1210">
        <v>176526</v>
      </c>
      <c r="BU348" s="1210">
        <v>0</v>
      </c>
      <c r="BV348" s="1210">
        <v>90343</v>
      </c>
      <c r="BW348" s="1210">
        <v>-231482</v>
      </c>
      <c r="BX348" s="1210">
        <v>0</v>
      </c>
      <c r="BY348" s="1210">
        <v>0</v>
      </c>
      <c r="BZ348" s="1210">
        <v>21011</v>
      </c>
      <c r="CA348" s="1210">
        <v>-5646</v>
      </c>
      <c r="CB348" s="1210">
        <v>-1506</v>
      </c>
      <c r="CC348" s="1148">
        <v>-165754</v>
      </c>
      <c r="CD348" s="1148">
        <v>111482</v>
      </c>
      <c r="CE348" s="1148">
        <v>0</v>
      </c>
      <c r="CF348" s="1148">
        <v>7350</v>
      </c>
    </row>
    <row r="349" spans="1:84" s="1148" customFormat="1" x14ac:dyDescent="0.3">
      <c r="A349" s="1211" t="s">
        <v>1104</v>
      </c>
      <c r="B349" s="1189"/>
      <c r="C349" s="1212"/>
      <c r="D349" s="1146" t="s">
        <v>1106</v>
      </c>
      <c r="E349" s="1191"/>
      <c r="F349" s="1191" t="e">
        <v>#DIV/0!</v>
      </c>
      <c r="G349" s="1191" t="e">
        <v>#DIV/0!</v>
      </c>
      <c r="H349" s="1191">
        <v>1.0252027653144733</v>
      </c>
      <c r="I349" s="1191" t="e">
        <v>#DIV/0!</v>
      </c>
      <c r="J349" s="1191" t="e">
        <v>#DIV/0!</v>
      </c>
      <c r="K349" s="1191" t="e">
        <v>#DIV/0!</v>
      </c>
      <c r="L349" s="1191">
        <v>0</v>
      </c>
      <c r="M349" s="1191" t="e">
        <v>#DIV/0!</v>
      </c>
      <c r="N349" s="1191" t="e">
        <v>#DIV/0!</v>
      </c>
      <c r="O349" s="1191" t="e">
        <v>#DIV/0!</v>
      </c>
      <c r="P349" s="1191" t="e">
        <v>#DIV/0!</v>
      </c>
      <c r="Q349" s="1191">
        <v>0.26627663110345728</v>
      </c>
      <c r="R349" s="1191" t="e">
        <v>#DIV/0!</v>
      </c>
      <c r="S349" s="1191">
        <v>3.9131122971134107</v>
      </c>
      <c r="T349" s="1191" t="e">
        <v>#DIV/0!</v>
      </c>
      <c r="U349" s="1191" t="e">
        <v>#DIV/0!</v>
      </c>
      <c r="V349" s="1191">
        <v>2.0428853418100852</v>
      </c>
      <c r="W349" s="1191">
        <v>1.0410772772403649</v>
      </c>
      <c r="X349" s="1191">
        <v>1.7239059054727675</v>
      </c>
      <c r="Y349" s="1191" t="e">
        <v>#DIV/0!</v>
      </c>
      <c r="Z349" s="1191">
        <v>1.7239319655386802</v>
      </c>
      <c r="AA349" s="1191">
        <v>0.71807244779749368</v>
      </c>
      <c r="AB349" s="1191">
        <v>1.2259160036927548</v>
      </c>
      <c r="AC349" s="1191">
        <v>2.0406395114800664</v>
      </c>
      <c r="AD349" s="1191">
        <v>0.21106858336168022</v>
      </c>
      <c r="AE349" s="1191">
        <v>0.75078534512039508</v>
      </c>
      <c r="AF349" s="1191">
        <v>0.48269810926831841</v>
      </c>
      <c r="AG349" s="1191">
        <v>1.1233359082313179</v>
      </c>
      <c r="AH349" s="1191">
        <v>1.0323783431117204</v>
      </c>
      <c r="AI349" s="1191">
        <v>0.35194190832016614</v>
      </c>
      <c r="AJ349" s="1191">
        <v>0.17029734067536301</v>
      </c>
      <c r="AK349" s="1191">
        <v>0.92022128738662201</v>
      </c>
      <c r="AL349" s="1191">
        <v>3.0668640203980209</v>
      </c>
      <c r="AM349" s="1191">
        <v>0.86835973224883733</v>
      </c>
      <c r="AN349" s="1191" t="e">
        <v>#DIV/0!</v>
      </c>
      <c r="AO349" s="1191">
        <v>0.35159355659050862</v>
      </c>
      <c r="AP349" s="1191" t="e">
        <v>#DIV/0!</v>
      </c>
      <c r="AQ349" s="1191">
        <v>4.0884537677084394E-2</v>
      </c>
      <c r="AR349" s="1191" t="e">
        <v>#DIV/0!</v>
      </c>
      <c r="AS349" s="1191" t="e">
        <v>#DIV/0!</v>
      </c>
      <c r="AT349" s="1191">
        <v>1.6194132030709059</v>
      </c>
      <c r="AU349" s="1191" t="e">
        <v>#DIV/0!</v>
      </c>
      <c r="AV349" s="1191">
        <v>0.3375521671901196</v>
      </c>
      <c r="AW349" s="1191" t="e">
        <v>#DIV/0!</v>
      </c>
      <c r="AX349" s="1191">
        <v>1.6119762458641338</v>
      </c>
      <c r="AY349" s="1191" t="e">
        <v>#DIV/0!</v>
      </c>
      <c r="AZ349" s="1191">
        <v>1.615636660067544</v>
      </c>
      <c r="BA349" s="1191">
        <v>1.9359883007581662</v>
      </c>
      <c r="BB349" s="1191">
        <v>2.1755630993384045</v>
      </c>
      <c r="BC349" s="1191">
        <v>0.54335054937182081</v>
      </c>
      <c r="BD349" s="1191" t="e">
        <v>#DIV/0!</v>
      </c>
      <c r="BE349" s="1191">
        <v>1.7704503191917642</v>
      </c>
      <c r="BF349" s="1191">
        <v>2.7357153181850422</v>
      </c>
      <c r="BG349" s="1191" t="e">
        <v>#DIV/0!</v>
      </c>
      <c r="BH349" s="1191">
        <v>0.52169810265151373</v>
      </c>
      <c r="BI349" s="1191">
        <v>0.77281758350925123</v>
      </c>
      <c r="BJ349" s="1191" t="e">
        <v>#DIV/0!</v>
      </c>
      <c r="BK349" s="1191">
        <v>2.0691474383396002</v>
      </c>
      <c r="BL349" s="1191" t="e">
        <v>#DIV/0!</v>
      </c>
      <c r="BM349" s="1191">
        <v>1.1646119383677926</v>
      </c>
      <c r="BN349" s="1191" t="e">
        <v>#DIV/0!</v>
      </c>
      <c r="BO349" s="1191">
        <v>0.13559159960397932</v>
      </c>
      <c r="BP349" s="1191">
        <v>1.2253458090907949</v>
      </c>
      <c r="BQ349" s="1191">
        <v>0.67259560637692162</v>
      </c>
      <c r="BR349" s="1191">
        <v>3.1723034840863256</v>
      </c>
      <c r="BS349" s="1191" t="e">
        <v>#DIV/0!</v>
      </c>
      <c r="BT349" s="1191">
        <v>0.31623033173257797</v>
      </c>
      <c r="BU349" s="1191" t="e">
        <v>#DIV/0!</v>
      </c>
      <c r="BV349" s="1191">
        <v>1.0817870778995389</v>
      </c>
      <c r="BW349" s="1191">
        <v>1.266500167780543</v>
      </c>
      <c r="BX349" s="1191" t="e">
        <v>#DIV/0!</v>
      </c>
      <c r="BY349" s="1191" t="e">
        <v>#DIV/0!</v>
      </c>
      <c r="BZ349" s="1191">
        <v>4.6352105649764122</v>
      </c>
      <c r="CA349" s="1191">
        <v>0.17896362388469458</v>
      </c>
      <c r="CB349" s="1191">
        <v>0.99538055885776811</v>
      </c>
      <c r="CC349" s="1271">
        <v>8.8511597718033685E-2</v>
      </c>
      <c r="CD349" s="1271">
        <v>0.44630956901842211</v>
      </c>
      <c r="CE349" s="1271" t="e">
        <v>#DIV/0!</v>
      </c>
      <c r="CF349" s="1271">
        <v>0.18548990276738969</v>
      </c>
    </row>
    <row r="350" spans="1:84" s="1148" customFormat="1" x14ac:dyDescent="0.3">
      <c r="A350" s="1207" t="s">
        <v>1780</v>
      </c>
      <c r="B350" s="1198"/>
      <c r="C350" s="1146"/>
      <c r="D350" s="1146" t="s">
        <v>1781</v>
      </c>
      <c r="E350" s="1191"/>
      <c r="F350" s="1191" t="e">
        <v>#DIV/0!</v>
      </c>
      <c r="G350" s="1191" t="e">
        <v>#DIV/0!</v>
      </c>
      <c r="H350" s="1191" t="e">
        <v>#DIV/0!</v>
      </c>
      <c r="I350" s="1191" t="e">
        <v>#DIV/0!</v>
      </c>
      <c r="J350" s="1191" t="e">
        <v>#DIV/0!</v>
      </c>
      <c r="K350" s="1191" t="e">
        <v>#DIV/0!</v>
      </c>
      <c r="L350" s="1191" t="e">
        <v>#DIV/0!</v>
      </c>
      <c r="M350" s="1191" t="e">
        <v>#DIV/0!</v>
      </c>
      <c r="N350" s="1191" t="e">
        <v>#DIV/0!</v>
      </c>
      <c r="O350" s="1191" t="e">
        <v>#DIV/0!</v>
      </c>
      <c r="P350" s="1191" t="e">
        <v>#DIV/0!</v>
      </c>
      <c r="Q350" s="1191" t="e">
        <v>#DIV/0!</v>
      </c>
      <c r="R350" s="1191" t="e">
        <v>#DIV/0!</v>
      </c>
      <c r="S350" s="1191">
        <v>13.042947615972441</v>
      </c>
      <c r="T350" s="1191" t="e">
        <v>#DIV/0!</v>
      </c>
      <c r="U350" s="1191" t="e">
        <v>#DIV/0!</v>
      </c>
      <c r="V350" s="1191" t="e">
        <v>#DIV/0!</v>
      </c>
      <c r="W350" s="1191" t="e">
        <v>#DIV/0!</v>
      </c>
      <c r="X350" s="1191">
        <v>7.7854670113967117</v>
      </c>
      <c r="Y350" s="1191" t="e">
        <v>#DIV/0!</v>
      </c>
      <c r="Z350" s="1191" t="e">
        <v>#DIV/0!</v>
      </c>
      <c r="AA350" s="1191" t="e">
        <v>#DIV/0!</v>
      </c>
      <c r="AB350" s="1191" t="e">
        <v>#DIV/0!</v>
      </c>
      <c r="AC350" s="1191" t="e">
        <v>#DIV/0!</v>
      </c>
      <c r="AD350" s="1191" t="e">
        <v>#DIV/0!</v>
      </c>
      <c r="AE350" s="1191" t="e">
        <v>#DIV/0!</v>
      </c>
      <c r="AF350" s="1191" t="e">
        <v>#DIV/0!</v>
      </c>
      <c r="AG350" s="1191" t="e">
        <v>#DIV/0!</v>
      </c>
      <c r="AH350" s="1191" t="e">
        <v>#DIV/0!</v>
      </c>
      <c r="AI350" s="1191" t="e">
        <v>#DIV/0!</v>
      </c>
      <c r="AJ350" s="1191" t="e">
        <v>#DIV/0!</v>
      </c>
      <c r="AK350" s="1191">
        <v>2.9699478866160511</v>
      </c>
      <c r="AL350" s="1191" t="e">
        <v>#DIV/0!</v>
      </c>
      <c r="AM350" s="1191" t="e">
        <v>#DIV/0!</v>
      </c>
      <c r="AN350" s="1191" t="e">
        <v>#DIV/0!</v>
      </c>
      <c r="AO350" s="1191">
        <v>5.2924113860250559</v>
      </c>
      <c r="AP350" s="1191" t="e">
        <v>#DIV/0!</v>
      </c>
      <c r="AQ350" s="1191" t="e">
        <v>#DIV/0!</v>
      </c>
      <c r="AR350" s="1191" t="e">
        <v>#DIV/0!</v>
      </c>
      <c r="AS350" s="1191" t="e">
        <v>#DIV/0!</v>
      </c>
      <c r="AT350" s="1191" t="e">
        <v>#DIV/0!</v>
      </c>
      <c r="AU350" s="1191" t="e">
        <v>#DIV/0!</v>
      </c>
      <c r="AV350" s="1191" t="e">
        <v>#DIV/0!</v>
      </c>
      <c r="AW350" s="1191" t="e">
        <v>#DIV/0!</v>
      </c>
      <c r="AX350" s="1191" t="e">
        <v>#DIV/0!</v>
      </c>
      <c r="AY350" s="1191" t="e">
        <v>#DIV/0!</v>
      </c>
      <c r="AZ350" s="1191" t="e">
        <v>#DIV/0!</v>
      </c>
      <c r="BA350" s="1191" t="e">
        <v>#DIV/0!</v>
      </c>
      <c r="BB350" s="1191" t="e">
        <v>#DIV/0!</v>
      </c>
      <c r="BC350" s="1191" t="e">
        <v>#DIV/0!</v>
      </c>
      <c r="BD350" s="1191" t="e">
        <v>#DIV/0!</v>
      </c>
      <c r="BE350" s="1191" t="e">
        <v>#DIV/0!</v>
      </c>
      <c r="BF350" s="1191" t="e">
        <v>#DIV/0!</v>
      </c>
      <c r="BG350" s="1191" t="e">
        <v>#DIV/0!</v>
      </c>
      <c r="BH350" s="1191" t="e">
        <v>#DIV/0!</v>
      </c>
      <c r="BI350" s="1191" t="e">
        <v>#DIV/0!</v>
      </c>
      <c r="BJ350" s="1191" t="e">
        <v>#DIV/0!</v>
      </c>
      <c r="BK350" s="1191" t="e">
        <v>#DIV/0!</v>
      </c>
      <c r="BL350" s="1191" t="e">
        <v>#DIV/0!</v>
      </c>
      <c r="BM350" s="1191" t="e">
        <v>#DIV/0!</v>
      </c>
      <c r="BN350" s="1191" t="e">
        <v>#DIV/0!</v>
      </c>
      <c r="BO350" s="1191" t="e">
        <v>#DIV/0!</v>
      </c>
      <c r="BP350" s="1191" t="e">
        <v>#DIV/0!</v>
      </c>
      <c r="BQ350" s="1191" t="e">
        <v>#DIV/0!</v>
      </c>
      <c r="BR350" s="1191" t="e">
        <v>#DIV/0!</v>
      </c>
      <c r="BS350" s="1191" t="e">
        <v>#DIV/0!</v>
      </c>
      <c r="BT350" s="1191">
        <v>23.855612390507343</v>
      </c>
      <c r="BU350" s="1191">
        <v>5.7624433046415504</v>
      </c>
      <c r="BV350" s="1191" t="e">
        <v>#DIV/0!</v>
      </c>
      <c r="BW350" s="1191" t="e">
        <v>#DIV/0!</v>
      </c>
      <c r="BX350" s="1191" t="e">
        <v>#DIV/0!</v>
      </c>
      <c r="BY350" s="1191" t="e">
        <v>#DIV/0!</v>
      </c>
      <c r="BZ350" s="1191" t="e">
        <v>#DIV/0!</v>
      </c>
      <c r="CA350" s="1191" t="e">
        <v>#DIV/0!</v>
      </c>
      <c r="CB350" s="1191" t="e">
        <v>#DIV/0!</v>
      </c>
      <c r="CC350" s="1148" t="e">
        <v>#DIV/0!</v>
      </c>
      <c r="CD350" s="1148" t="e">
        <v>#DIV/0!</v>
      </c>
      <c r="CE350" s="1148" t="e">
        <v>#DIV/0!</v>
      </c>
      <c r="CF350" s="1148" t="e">
        <v>#DIV/0!</v>
      </c>
    </row>
    <row r="351" spans="1:84" s="1148" customFormat="1" x14ac:dyDescent="0.3">
      <c r="A351" s="1213" t="s">
        <v>1782</v>
      </c>
      <c r="B351" s="1198"/>
      <c r="C351" s="1214"/>
      <c r="D351" s="1146" t="s">
        <v>1783</v>
      </c>
      <c r="E351" s="1210"/>
      <c r="F351" s="1210">
        <v>0</v>
      </c>
      <c r="G351" s="1210">
        <v>0</v>
      </c>
      <c r="H351" s="1210">
        <v>0</v>
      </c>
      <c r="I351" s="1210">
        <v>0</v>
      </c>
      <c r="J351" s="1210">
        <v>0</v>
      </c>
      <c r="K351" s="1210">
        <v>0</v>
      </c>
      <c r="L351" s="1210">
        <v>0</v>
      </c>
      <c r="M351" s="1210">
        <v>0</v>
      </c>
      <c r="N351" s="1210">
        <v>0</v>
      </c>
      <c r="O351" s="1210">
        <v>0</v>
      </c>
      <c r="P351" s="1210">
        <v>0</v>
      </c>
      <c r="Q351" s="1210">
        <v>0</v>
      </c>
      <c r="R351" s="1210">
        <v>0</v>
      </c>
      <c r="S351" s="1210">
        <v>6924207</v>
      </c>
      <c r="T351" s="1210">
        <v>0</v>
      </c>
      <c r="U351" s="1210">
        <v>0</v>
      </c>
      <c r="V351" s="1210">
        <v>0</v>
      </c>
      <c r="W351" s="1210">
        <v>0</v>
      </c>
      <c r="X351" s="1210">
        <v>7674547</v>
      </c>
      <c r="Y351" s="1210">
        <v>0</v>
      </c>
      <c r="Z351" s="1210">
        <v>0</v>
      </c>
      <c r="AA351" s="1210">
        <v>0</v>
      </c>
      <c r="AB351" s="1210">
        <v>0</v>
      </c>
      <c r="AC351" s="1210">
        <v>0</v>
      </c>
      <c r="AD351" s="1210">
        <v>0</v>
      </c>
      <c r="AE351" s="1210">
        <v>0</v>
      </c>
      <c r="AF351" s="1210">
        <v>0</v>
      </c>
      <c r="AG351" s="1210">
        <v>0</v>
      </c>
      <c r="AH351" s="1210">
        <v>0</v>
      </c>
      <c r="AI351" s="1210">
        <v>0</v>
      </c>
      <c r="AJ351" s="1210">
        <v>0</v>
      </c>
      <c r="AK351" s="1210">
        <v>3226510</v>
      </c>
      <c r="AL351" s="1210">
        <v>0</v>
      </c>
      <c r="AM351" s="1210">
        <v>0</v>
      </c>
      <c r="AN351" s="1210">
        <v>0</v>
      </c>
      <c r="AO351" s="1210">
        <v>-107648</v>
      </c>
      <c r="AP351" s="1210">
        <v>0</v>
      </c>
      <c r="AQ351" s="1210">
        <v>0</v>
      </c>
      <c r="AR351" s="1210">
        <v>0</v>
      </c>
      <c r="AS351" s="1210">
        <v>0</v>
      </c>
      <c r="AT351" s="1210">
        <v>0</v>
      </c>
      <c r="AU351" s="1210">
        <v>0</v>
      </c>
      <c r="AV351" s="1210">
        <v>0</v>
      </c>
      <c r="AW351" s="1210">
        <v>0</v>
      </c>
      <c r="AX351" s="1210">
        <v>0</v>
      </c>
      <c r="AY351" s="1210">
        <v>0</v>
      </c>
      <c r="AZ351" s="1210">
        <v>0</v>
      </c>
      <c r="BA351" s="1210">
        <v>0</v>
      </c>
      <c r="BB351" s="1210">
        <v>0</v>
      </c>
      <c r="BC351" s="1210">
        <v>0</v>
      </c>
      <c r="BD351" s="1210">
        <v>0</v>
      </c>
      <c r="BE351" s="1210">
        <v>0</v>
      </c>
      <c r="BF351" s="1210">
        <v>0</v>
      </c>
      <c r="BG351" s="1210">
        <v>0</v>
      </c>
      <c r="BH351" s="1210">
        <v>0</v>
      </c>
      <c r="BI351" s="1210">
        <v>0</v>
      </c>
      <c r="BJ351" s="1210">
        <v>0</v>
      </c>
      <c r="BK351" s="1210">
        <v>0</v>
      </c>
      <c r="BL351" s="1210">
        <v>0</v>
      </c>
      <c r="BM351" s="1210">
        <v>0</v>
      </c>
      <c r="BN351" s="1210">
        <v>0</v>
      </c>
      <c r="BO351" s="1210">
        <v>0</v>
      </c>
      <c r="BP351" s="1210">
        <v>0</v>
      </c>
      <c r="BQ351" s="1210">
        <v>0</v>
      </c>
      <c r="BR351" s="1210">
        <v>0</v>
      </c>
      <c r="BS351" s="1210">
        <v>0</v>
      </c>
      <c r="BT351" s="1210">
        <v>594544</v>
      </c>
      <c r="BU351" s="1210">
        <v>1188221</v>
      </c>
      <c r="BV351" s="1210">
        <v>0</v>
      </c>
      <c r="BW351" s="1210">
        <v>0</v>
      </c>
      <c r="BX351" s="1210">
        <v>0</v>
      </c>
      <c r="BY351" s="1210">
        <v>0</v>
      </c>
      <c r="BZ351" s="1210">
        <v>0</v>
      </c>
      <c r="CA351" s="1210">
        <v>0</v>
      </c>
      <c r="CB351" s="1210">
        <v>0</v>
      </c>
      <c r="CC351" s="1148">
        <v>0</v>
      </c>
      <c r="CD351" s="1148">
        <v>0</v>
      </c>
      <c r="CE351" s="1148">
        <v>0</v>
      </c>
      <c r="CF351" s="1148">
        <v>0</v>
      </c>
    </row>
    <row r="352" spans="1:84" s="1148" customFormat="1" x14ac:dyDescent="0.3">
      <c r="A352" s="1213" t="s">
        <v>1784</v>
      </c>
      <c r="B352" s="1198"/>
      <c r="C352" s="1214"/>
      <c r="D352" s="1146" t="s">
        <v>1108</v>
      </c>
      <c r="E352" s="1191"/>
      <c r="F352" s="1191" t="e">
        <v>#DIV/0!</v>
      </c>
      <c r="G352" s="1191" t="e">
        <v>#DIV/0!</v>
      </c>
      <c r="H352" s="1191" t="e">
        <v>#DIV/0!</v>
      </c>
      <c r="I352" s="1191" t="e">
        <v>#DIV/0!</v>
      </c>
      <c r="J352" s="1191" t="e">
        <v>#DIV/0!</v>
      </c>
      <c r="K352" s="1191" t="e">
        <v>#DIV/0!</v>
      </c>
      <c r="L352" s="1191" t="e">
        <v>#DIV/0!</v>
      </c>
      <c r="M352" s="1191" t="e">
        <v>#DIV/0!</v>
      </c>
      <c r="N352" s="1191" t="e">
        <v>#DIV/0!</v>
      </c>
      <c r="O352" s="1191" t="e">
        <v>#DIV/0!</v>
      </c>
      <c r="P352" s="1191" t="e">
        <v>#DIV/0!</v>
      </c>
      <c r="Q352" s="1191" t="e">
        <v>#DIV/0!</v>
      </c>
      <c r="R352" s="1191" t="e">
        <v>#DIV/0!</v>
      </c>
      <c r="S352" s="1191">
        <v>1.2357035336332387</v>
      </c>
      <c r="T352" s="1191" t="e">
        <v>#DIV/0!</v>
      </c>
      <c r="U352" s="1191" t="e">
        <v>#DIV/0!</v>
      </c>
      <c r="V352" s="1191" t="e">
        <v>#DIV/0!</v>
      </c>
      <c r="W352" s="1191" t="e">
        <v>#DIV/0!</v>
      </c>
      <c r="X352" s="1191">
        <v>0.59230362894297983</v>
      </c>
      <c r="Y352" s="1191" t="e">
        <v>#DIV/0!</v>
      </c>
      <c r="Z352" s="1191" t="e">
        <v>#DIV/0!</v>
      </c>
      <c r="AA352" s="1191" t="e">
        <v>#DIV/0!</v>
      </c>
      <c r="AB352" s="1191" t="e">
        <v>#DIV/0!</v>
      </c>
      <c r="AC352" s="1191" t="e">
        <v>#DIV/0!</v>
      </c>
      <c r="AD352" s="1191" t="e">
        <v>#DIV/0!</v>
      </c>
      <c r="AE352" s="1191" t="e">
        <v>#DIV/0!</v>
      </c>
      <c r="AF352" s="1191" t="e">
        <v>#DIV/0!</v>
      </c>
      <c r="AG352" s="1191" t="e">
        <v>#DIV/0!</v>
      </c>
      <c r="AH352" s="1191" t="e">
        <v>#DIV/0!</v>
      </c>
      <c r="AI352" s="1191" t="e">
        <v>#DIV/0!</v>
      </c>
      <c r="AJ352" s="1191" t="e">
        <v>#DIV/0!</v>
      </c>
      <c r="AK352" s="1191">
        <v>0.34960769511708939</v>
      </c>
      <c r="AL352" s="1191" t="e">
        <v>#DIV/0!</v>
      </c>
      <c r="AM352" s="1191" t="e">
        <v>#DIV/0!</v>
      </c>
      <c r="AN352" s="1191" t="e">
        <v>#DIV/0!</v>
      </c>
      <c r="AO352" s="1191">
        <v>0.52924732827932219</v>
      </c>
      <c r="AP352" s="1191" t="e">
        <v>#DIV/0!</v>
      </c>
      <c r="AQ352" s="1191" t="e">
        <v>#DIV/0!</v>
      </c>
      <c r="AR352" s="1191" t="e">
        <v>#DIV/0!</v>
      </c>
      <c r="AS352" s="1191" t="e">
        <v>#DIV/0!</v>
      </c>
      <c r="AT352" s="1191" t="e">
        <v>#DIV/0!</v>
      </c>
      <c r="AU352" s="1191" t="e">
        <v>#DIV/0!</v>
      </c>
      <c r="AV352" s="1191" t="e">
        <v>#DIV/0!</v>
      </c>
      <c r="AW352" s="1191" t="e">
        <v>#DIV/0!</v>
      </c>
      <c r="AX352" s="1191" t="e">
        <v>#DIV/0!</v>
      </c>
      <c r="AY352" s="1191" t="e">
        <v>#DIV/0!</v>
      </c>
      <c r="AZ352" s="1191" t="e">
        <v>#DIV/0!</v>
      </c>
      <c r="BA352" s="1191" t="e">
        <v>#DIV/0!</v>
      </c>
      <c r="BB352" s="1191" t="e">
        <v>#DIV/0!</v>
      </c>
      <c r="BC352" s="1191" t="e">
        <v>#DIV/0!</v>
      </c>
      <c r="BD352" s="1191" t="e">
        <v>#DIV/0!</v>
      </c>
      <c r="BE352" s="1191" t="e">
        <v>#DIV/0!</v>
      </c>
      <c r="BF352" s="1191" t="e">
        <v>#DIV/0!</v>
      </c>
      <c r="BG352" s="1191" t="e">
        <v>#DIV/0!</v>
      </c>
      <c r="BH352" s="1191" t="e">
        <v>#DIV/0!</v>
      </c>
      <c r="BI352" s="1191" t="e">
        <v>#DIV/0!</v>
      </c>
      <c r="BJ352" s="1191" t="e">
        <v>#DIV/0!</v>
      </c>
      <c r="BK352" s="1191" t="e">
        <v>#DIV/0!</v>
      </c>
      <c r="BL352" s="1191" t="e">
        <v>#DIV/0!</v>
      </c>
      <c r="BM352" s="1191" t="e">
        <v>#DIV/0!</v>
      </c>
      <c r="BN352" s="1191" t="e">
        <v>#DIV/0!</v>
      </c>
      <c r="BO352" s="1191" t="e">
        <v>#DIV/0!</v>
      </c>
      <c r="BP352" s="1191" t="e">
        <v>#DIV/0!</v>
      </c>
      <c r="BQ352" s="1191" t="e">
        <v>#DIV/0!</v>
      </c>
      <c r="BR352" s="1191" t="e">
        <v>#DIV/0!</v>
      </c>
      <c r="BS352" s="1191" t="e">
        <v>#DIV/0!</v>
      </c>
      <c r="BT352" s="1191">
        <v>0.33633030938180286</v>
      </c>
      <c r="BU352" s="1191">
        <v>0.38682663346818774</v>
      </c>
      <c r="BV352" s="1191" t="e">
        <v>#DIV/0!</v>
      </c>
      <c r="BW352" s="1191" t="e">
        <v>#DIV/0!</v>
      </c>
      <c r="BX352" s="1191" t="e">
        <v>#DIV/0!</v>
      </c>
      <c r="BY352" s="1191" t="e">
        <v>#DIV/0!</v>
      </c>
      <c r="BZ352" s="1191" t="e">
        <v>#DIV/0!</v>
      </c>
      <c r="CA352" s="1191" t="e">
        <v>#DIV/0!</v>
      </c>
      <c r="CB352" s="1191" t="e">
        <v>#DIV/0!</v>
      </c>
      <c r="CC352" s="1148" t="e">
        <v>#DIV/0!</v>
      </c>
      <c r="CD352" s="1148" t="e">
        <v>#DIV/0!</v>
      </c>
      <c r="CE352" s="1148" t="e">
        <v>#DIV/0!</v>
      </c>
      <c r="CF352" s="1148" t="e">
        <v>#DIV/0!</v>
      </c>
    </row>
    <row r="353" spans="1:84" s="1148" customFormat="1" x14ac:dyDescent="0.3">
      <c r="A353" s="1197" t="s">
        <v>1785</v>
      </c>
      <c r="B353" s="1198"/>
      <c r="C353" s="1208"/>
      <c r="D353" s="1146" t="s">
        <v>1786</v>
      </c>
      <c r="E353" s="1215"/>
      <c r="F353" s="1215">
        <v>0</v>
      </c>
      <c r="G353" s="1215">
        <v>0</v>
      </c>
      <c r="H353" s="1215">
        <v>0</v>
      </c>
      <c r="I353" s="1215">
        <v>0</v>
      </c>
      <c r="J353" s="1215">
        <v>0</v>
      </c>
      <c r="K353" s="1215">
        <v>0</v>
      </c>
      <c r="L353" s="1215">
        <v>0</v>
      </c>
      <c r="M353" s="1215">
        <v>0</v>
      </c>
      <c r="N353" s="1215">
        <v>0</v>
      </c>
      <c r="O353" s="1215">
        <v>0</v>
      </c>
      <c r="P353" s="1215">
        <v>0</v>
      </c>
      <c r="Q353" s="1215">
        <v>0</v>
      </c>
      <c r="R353" s="1215">
        <v>0</v>
      </c>
      <c r="S353" s="1215">
        <v>139110018</v>
      </c>
      <c r="T353" s="1215">
        <v>0</v>
      </c>
      <c r="U353" s="1215">
        <v>0</v>
      </c>
      <c r="V353" s="1215">
        <v>0</v>
      </c>
      <c r="W353" s="1215">
        <v>0</v>
      </c>
      <c r="X353" s="1215">
        <v>26481918</v>
      </c>
      <c r="Y353" s="1215">
        <v>0</v>
      </c>
      <c r="Z353" s="1215">
        <v>0</v>
      </c>
      <c r="AA353" s="1215">
        <v>0</v>
      </c>
      <c r="AB353" s="1215">
        <v>0</v>
      </c>
      <c r="AC353" s="1215">
        <v>0</v>
      </c>
      <c r="AD353" s="1215">
        <v>0</v>
      </c>
      <c r="AE353" s="1215">
        <v>0</v>
      </c>
      <c r="AF353" s="1215">
        <v>0</v>
      </c>
      <c r="AG353" s="1215">
        <v>0</v>
      </c>
      <c r="AH353" s="1215">
        <v>0</v>
      </c>
      <c r="AI353" s="1215">
        <v>0</v>
      </c>
      <c r="AJ353" s="1215">
        <v>0</v>
      </c>
      <c r="AK353" s="1215">
        <v>84766232</v>
      </c>
      <c r="AL353" s="1215">
        <v>0</v>
      </c>
      <c r="AM353" s="1215">
        <v>0</v>
      </c>
      <c r="AN353" s="1215">
        <v>0</v>
      </c>
      <c r="AO353" s="1215">
        <v>27404246</v>
      </c>
      <c r="AP353" s="1215">
        <v>0</v>
      </c>
      <c r="AQ353" s="1215">
        <v>0</v>
      </c>
      <c r="AR353" s="1215">
        <v>0</v>
      </c>
      <c r="AS353" s="1215">
        <v>0</v>
      </c>
      <c r="AT353" s="1215">
        <v>0</v>
      </c>
      <c r="AU353" s="1215">
        <v>0</v>
      </c>
      <c r="AV353" s="1215">
        <v>0</v>
      </c>
      <c r="AW353" s="1215">
        <v>0</v>
      </c>
      <c r="AX353" s="1215">
        <v>0</v>
      </c>
      <c r="AY353" s="1215">
        <v>0</v>
      </c>
      <c r="AZ353" s="1215">
        <v>0</v>
      </c>
      <c r="BA353" s="1215">
        <v>0</v>
      </c>
      <c r="BB353" s="1215">
        <v>0</v>
      </c>
      <c r="BC353" s="1215">
        <v>0</v>
      </c>
      <c r="BD353" s="1215">
        <v>0</v>
      </c>
      <c r="BE353" s="1215">
        <v>0</v>
      </c>
      <c r="BF353" s="1215">
        <v>0</v>
      </c>
      <c r="BG353" s="1215">
        <v>0</v>
      </c>
      <c r="BH353" s="1215">
        <v>0</v>
      </c>
      <c r="BI353" s="1215">
        <v>0</v>
      </c>
      <c r="BJ353" s="1215">
        <v>0</v>
      </c>
      <c r="BK353" s="1215">
        <v>0</v>
      </c>
      <c r="BL353" s="1215">
        <v>0</v>
      </c>
      <c r="BM353" s="1215">
        <v>0</v>
      </c>
      <c r="BN353" s="1215">
        <v>0</v>
      </c>
      <c r="BO353" s="1215">
        <v>0</v>
      </c>
      <c r="BP353" s="1215">
        <v>0</v>
      </c>
      <c r="BQ353" s="1215">
        <v>0</v>
      </c>
      <c r="BR353" s="1215">
        <v>0</v>
      </c>
      <c r="BS353" s="1215">
        <v>0</v>
      </c>
      <c r="BT353" s="1215">
        <v>1466313</v>
      </c>
      <c r="BU353" s="1215">
        <v>24347160</v>
      </c>
      <c r="BV353" s="1215">
        <v>0</v>
      </c>
      <c r="BW353" s="1215">
        <v>0</v>
      </c>
      <c r="BX353" s="1215">
        <v>0</v>
      </c>
      <c r="BY353" s="1215">
        <v>0</v>
      </c>
      <c r="BZ353" s="1215">
        <v>0</v>
      </c>
      <c r="CA353" s="1215">
        <v>0</v>
      </c>
      <c r="CB353" s="1215">
        <v>0</v>
      </c>
      <c r="CC353" s="1148">
        <v>0</v>
      </c>
      <c r="CD353" s="1148">
        <v>0</v>
      </c>
      <c r="CE353" s="1148">
        <v>0</v>
      </c>
      <c r="CF353" s="1148">
        <v>0</v>
      </c>
    </row>
    <row r="354" spans="1:84" s="1148" customFormat="1" x14ac:dyDescent="0.3">
      <c r="A354" s="1207" t="s">
        <v>1787</v>
      </c>
      <c r="B354" s="1198"/>
      <c r="C354" s="1208"/>
      <c r="D354" s="1146"/>
      <c r="E354" s="1215"/>
      <c r="F354" s="1215"/>
      <c r="G354" s="1215"/>
      <c r="H354" s="1215"/>
      <c r="I354" s="1215"/>
      <c r="J354" s="1215"/>
      <c r="K354" s="1215"/>
      <c r="L354" s="1215"/>
      <c r="M354" s="1215"/>
      <c r="N354" s="1215"/>
      <c r="O354" s="1215"/>
      <c r="P354" s="1215"/>
      <c r="Q354" s="1215"/>
      <c r="R354" s="1215"/>
      <c r="S354" s="1215"/>
      <c r="T354" s="1215"/>
      <c r="U354" s="1215"/>
      <c r="V354" s="1215"/>
      <c r="W354" s="1215"/>
      <c r="X354" s="1215"/>
      <c r="Y354" s="1215"/>
      <c r="Z354" s="1215"/>
      <c r="AA354" s="1215"/>
      <c r="AB354" s="1215"/>
      <c r="AC354" s="1215"/>
      <c r="AD354" s="1215"/>
      <c r="AE354" s="1215"/>
      <c r="AF354" s="1215"/>
      <c r="AG354" s="1215"/>
      <c r="AH354" s="1215"/>
      <c r="AI354" s="1215"/>
      <c r="AJ354" s="1215"/>
      <c r="AK354" s="1215"/>
      <c r="AL354" s="1215"/>
      <c r="AM354" s="1215"/>
      <c r="AN354" s="1215"/>
      <c r="AO354" s="1215"/>
      <c r="AP354" s="1215"/>
      <c r="AQ354" s="1215"/>
      <c r="AR354" s="1215"/>
      <c r="AS354" s="1215"/>
      <c r="AT354" s="1215"/>
      <c r="AU354" s="1215"/>
      <c r="AV354" s="1215"/>
      <c r="AW354" s="1215"/>
      <c r="AX354" s="1215"/>
      <c r="AY354" s="1215"/>
      <c r="AZ354" s="1215"/>
      <c r="BA354" s="1215"/>
      <c r="BB354" s="1215"/>
      <c r="BC354" s="1215"/>
      <c r="BD354" s="1215"/>
      <c r="BE354" s="1215"/>
      <c r="BF354" s="1215"/>
      <c r="BG354" s="1215"/>
      <c r="BH354" s="1215"/>
      <c r="BI354" s="1215"/>
      <c r="BJ354" s="1215"/>
      <c r="BK354" s="1215"/>
      <c r="BL354" s="1215"/>
      <c r="BM354" s="1215"/>
      <c r="BN354" s="1215"/>
      <c r="BO354" s="1215"/>
      <c r="BP354" s="1215"/>
      <c r="BQ354" s="1215"/>
      <c r="BR354" s="1215"/>
      <c r="BS354" s="1215"/>
      <c r="BT354" s="1215"/>
      <c r="BU354" s="1215"/>
      <c r="BV354" s="1215"/>
      <c r="BW354" s="1215"/>
      <c r="BX354" s="1215"/>
      <c r="BY354" s="1215"/>
      <c r="BZ354" s="1215"/>
      <c r="CA354" s="1215"/>
      <c r="CB354" s="1215"/>
    </row>
    <row r="355" spans="1:84" s="1148" customFormat="1" x14ac:dyDescent="0.3">
      <c r="A355" s="1146" t="s">
        <v>1788</v>
      </c>
      <c r="B355" s="1146"/>
      <c r="C355" s="1146"/>
      <c r="D355" s="1146"/>
      <c r="E355" s="1215"/>
      <c r="F355" s="1215"/>
      <c r="G355" s="1215"/>
      <c r="H355" s="1215"/>
      <c r="I355" s="1215"/>
      <c r="J355" s="1215"/>
      <c r="K355" s="1215"/>
      <c r="L355" s="1215"/>
      <c r="M355" s="1215"/>
      <c r="N355" s="1215"/>
      <c r="O355" s="1215"/>
      <c r="P355" s="1215"/>
      <c r="Q355" s="1215"/>
      <c r="R355" s="1215"/>
      <c r="S355" s="1215"/>
      <c r="T355" s="1215"/>
      <c r="U355" s="1215"/>
      <c r="V355" s="1215"/>
      <c r="W355" s="1215"/>
      <c r="X355" s="1215"/>
      <c r="Y355" s="1215"/>
      <c r="Z355" s="1215"/>
      <c r="AA355" s="1215"/>
      <c r="AB355" s="1215"/>
      <c r="AC355" s="1215"/>
      <c r="AD355" s="1215"/>
      <c r="AE355" s="1215"/>
      <c r="AF355" s="1215"/>
      <c r="AG355" s="1215"/>
      <c r="AH355" s="1215"/>
      <c r="AI355" s="1215"/>
      <c r="AJ355" s="1215"/>
      <c r="AK355" s="1215"/>
      <c r="AL355" s="1215"/>
      <c r="AM355" s="1215"/>
      <c r="AN355" s="1215"/>
      <c r="AO355" s="1215"/>
      <c r="AP355" s="1215"/>
      <c r="AQ355" s="1215"/>
      <c r="AR355" s="1215"/>
      <c r="AS355" s="1215"/>
      <c r="AT355" s="1215"/>
      <c r="AU355" s="1215"/>
      <c r="AV355" s="1215"/>
      <c r="AW355" s="1215"/>
      <c r="AX355" s="1215"/>
      <c r="AY355" s="1215"/>
      <c r="AZ355" s="1215"/>
      <c r="BA355" s="1215"/>
      <c r="BB355" s="1215"/>
      <c r="BC355" s="1215"/>
      <c r="BD355" s="1215"/>
      <c r="BE355" s="1215"/>
      <c r="BF355" s="1215"/>
      <c r="BG355" s="1215"/>
      <c r="BH355" s="1215"/>
      <c r="BI355" s="1215"/>
      <c r="BJ355" s="1215"/>
      <c r="BK355" s="1215"/>
      <c r="BL355" s="1215"/>
      <c r="BM355" s="1215"/>
      <c r="BN355" s="1215"/>
      <c r="BO355" s="1215"/>
      <c r="BP355" s="1215"/>
      <c r="BQ355" s="1215"/>
      <c r="BR355" s="1215"/>
      <c r="BS355" s="1215"/>
      <c r="BT355" s="1215"/>
      <c r="BU355" s="1215"/>
      <c r="BV355" s="1215"/>
      <c r="BW355" s="1215"/>
      <c r="BX355" s="1215"/>
      <c r="BY355" s="1215"/>
      <c r="BZ355" s="1215"/>
      <c r="CA355" s="1215"/>
      <c r="CB355" s="1215"/>
    </row>
    <row r="356" spans="1:84" s="1148" customFormat="1" x14ac:dyDescent="0.3">
      <c r="A356" s="1146" t="s">
        <v>1788</v>
      </c>
      <c r="B356" s="1146"/>
      <c r="C356" s="1146"/>
      <c r="D356" s="1146"/>
      <c r="E356" s="1215"/>
      <c r="F356" s="1215"/>
      <c r="G356" s="1215"/>
      <c r="H356" s="1215"/>
      <c r="I356" s="1215"/>
      <c r="J356" s="1215"/>
      <c r="K356" s="1215"/>
      <c r="L356" s="1215"/>
      <c r="M356" s="1215"/>
      <c r="N356" s="1215"/>
      <c r="O356" s="1215"/>
      <c r="P356" s="1215"/>
      <c r="Q356" s="1215"/>
      <c r="R356" s="1215"/>
      <c r="S356" s="1215"/>
      <c r="T356" s="1215"/>
      <c r="U356" s="1215"/>
      <c r="V356" s="1215"/>
      <c r="W356" s="1215"/>
      <c r="X356" s="1215"/>
      <c r="Y356" s="1215"/>
      <c r="Z356" s="1215"/>
      <c r="AA356" s="1215"/>
      <c r="AB356" s="1215"/>
      <c r="AC356" s="1215"/>
      <c r="AD356" s="1215"/>
      <c r="AE356" s="1215"/>
      <c r="AF356" s="1215"/>
      <c r="AG356" s="1215"/>
      <c r="AH356" s="1215"/>
      <c r="AI356" s="1215"/>
      <c r="AJ356" s="1215"/>
      <c r="AK356" s="1215"/>
      <c r="AL356" s="1215"/>
      <c r="AM356" s="1215"/>
      <c r="AN356" s="1215"/>
      <c r="AO356" s="1215"/>
      <c r="AP356" s="1215"/>
      <c r="AQ356" s="1215"/>
      <c r="AR356" s="1215"/>
      <c r="AS356" s="1215"/>
      <c r="AT356" s="1215"/>
      <c r="AU356" s="1215"/>
      <c r="AV356" s="1215"/>
      <c r="AW356" s="1215"/>
      <c r="AX356" s="1215"/>
      <c r="AY356" s="1215"/>
      <c r="AZ356" s="1215"/>
      <c r="BA356" s="1215"/>
      <c r="BB356" s="1215"/>
      <c r="BC356" s="1215"/>
      <c r="BD356" s="1215"/>
      <c r="BE356" s="1215"/>
      <c r="BF356" s="1215"/>
      <c r="BG356" s="1215"/>
      <c r="BH356" s="1215"/>
      <c r="BI356" s="1215"/>
      <c r="BJ356" s="1215"/>
      <c r="BK356" s="1215"/>
      <c r="BL356" s="1215"/>
      <c r="BM356" s="1215"/>
      <c r="BN356" s="1215"/>
      <c r="BO356" s="1215"/>
      <c r="BP356" s="1215"/>
      <c r="BQ356" s="1215"/>
      <c r="BR356" s="1215"/>
      <c r="BS356" s="1215"/>
      <c r="BT356" s="1215"/>
      <c r="BU356" s="1215"/>
      <c r="BV356" s="1215"/>
      <c r="BW356" s="1215"/>
      <c r="BX356" s="1215"/>
      <c r="BY356" s="1215"/>
      <c r="BZ356" s="1215"/>
      <c r="CA356" s="1215"/>
      <c r="CB356" s="1215"/>
    </row>
    <row r="357" spans="1:84" x14ac:dyDescent="0.3">
      <c r="B357" s="1146"/>
      <c r="E357" s="1215"/>
      <c r="F357" s="1215"/>
      <c r="G357" s="1215"/>
      <c r="H357" s="1215"/>
      <c r="I357" s="1215"/>
      <c r="J357" s="1215"/>
      <c r="K357" s="1215"/>
      <c r="L357" s="1215"/>
      <c r="M357" s="1215"/>
      <c r="N357" s="1215"/>
      <c r="O357" s="1215"/>
      <c r="P357" s="1215"/>
      <c r="Q357" s="1215"/>
      <c r="R357" s="1215"/>
      <c r="S357" s="1215"/>
      <c r="T357" s="1215"/>
      <c r="U357" s="1215"/>
      <c r="V357" s="1215"/>
      <c r="W357" s="1215"/>
      <c r="X357" s="1215"/>
      <c r="Y357" s="1215"/>
      <c r="Z357" s="1215"/>
      <c r="AA357" s="1215"/>
      <c r="AB357" s="1215"/>
      <c r="AC357" s="1215"/>
      <c r="AD357" s="1215"/>
      <c r="AE357" s="1215"/>
      <c r="AF357" s="1215"/>
      <c r="AG357" s="1215"/>
      <c r="AH357" s="1215"/>
      <c r="AI357" s="1215"/>
      <c r="AJ357" s="1215"/>
      <c r="AK357" s="1215"/>
      <c r="AL357" s="1215"/>
      <c r="AM357" s="1215"/>
      <c r="AN357" s="1215"/>
      <c r="AO357" s="1215"/>
      <c r="AP357" s="1215"/>
      <c r="AQ357" s="1215"/>
      <c r="AR357" s="1215"/>
      <c r="AS357" s="1215"/>
      <c r="AT357" s="1215"/>
      <c r="AU357" s="1215"/>
      <c r="AV357" s="1215"/>
      <c r="AW357" s="1215"/>
      <c r="AX357" s="1215"/>
      <c r="AY357" s="1215"/>
      <c r="AZ357" s="1215"/>
      <c r="BA357" s="1215"/>
      <c r="BB357" s="1215"/>
      <c r="BC357" s="1215"/>
      <c r="BD357" s="1215"/>
      <c r="BE357" s="1215"/>
      <c r="BF357" s="1215"/>
      <c r="BG357" s="1215"/>
      <c r="BH357" s="1215"/>
      <c r="BI357" s="1215"/>
      <c r="BJ357" s="1215"/>
      <c r="BK357" s="1215"/>
      <c r="BL357" s="1215"/>
      <c r="BM357" s="1215"/>
      <c r="BN357" s="1215"/>
      <c r="BO357" s="1215"/>
      <c r="BP357" s="1215"/>
      <c r="BQ357" s="1215"/>
      <c r="BR357" s="1215"/>
      <c r="BS357" s="1215"/>
      <c r="BT357" s="1215"/>
      <c r="BU357" s="1215"/>
      <c r="BV357" s="1215"/>
      <c r="BW357" s="1215"/>
      <c r="BX357" s="1215"/>
      <c r="BY357" s="1215"/>
      <c r="BZ357" s="1215"/>
      <c r="CA357" s="1215"/>
      <c r="CB357" s="1215"/>
    </row>
    <row r="358" spans="1:84" x14ac:dyDescent="0.3">
      <c r="B358" s="1146"/>
      <c r="E358" s="1215"/>
      <c r="F358" s="1272"/>
      <c r="G358" s="1272"/>
      <c r="H358" s="1272">
        <f>H44/(H49-H36+H97+H115)</f>
        <v>1.0252027653144733</v>
      </c>
      <c r="I358" s="1272" t="e">
        <f t="shared" ref="I358:BT358" si="0">I44/(I49-I36+I97+I115)</f>
        <v>#DIV/0!</v>
      </c>
      <c r="J358" s="1272" t="e">
        <f t="shared" si="0"/>
        <v>#DIV/0!</v>
      </c>
      <c r="K358" s="1272" t="e">
        <f t="shared" si="0"/>
        <v>#DIV/0!</v>
      </c>
      <c r="L358" s="1272">
        <f t="shared" si="0"/>
        <v>0</v>
      </c>
      <c r="M358" s="1272" t="e">
        <f t="shared" si="0"/>
        <v>#DIV/0!</v>
      </c>
      <c r="N358" s="1272" t="e">
        <f t="shared" si="0"/>
        <v>#DIV/0!</v>
      </c>
      <c r="O358" s="1272" t="e">
        <f t="shared" si="0"/>
        <v>#DIV/0!</v>
      </c>
      <c r="P358" s="1272" t="e">
        <f t="shared" si="0"/>
        <v>#DIV/0!</v>
      </c>
      <c r="Q358" s="1272">
        <f t="shared" si="0"/>
        <v>0.26627663110345728</v>
      </c>
      <c r="R358" s="1272" t="e">
        <f t="shared" si="0"/>
        <v>#DIV/0!</v>
      </c>
      <c r="S358" s="1272">
        <f t="shared" si="0"/>
        <v>3.9131122971134107</v>
      </c>
      <c r="T358" s="1272" t="e">
        <f t="shared" si="0"/>
        <v>#DIV/0!</v>
      </c>
      <c r="U358" s="1272" t="e">
        <f t="shared" si="0"/>
        <v>#DIV/0!</v>
      </c>
      <c r="V358" s="1272">
        <f t="shared" si="0"/>
        <v>2.0428853418100852</v>
      </c>
      <c r="W358" s="1272">
        <f t="shared" si="0"/>
        <v>1.0410772772403649</v>
      </c>
      <c r="X358" s="1272">
        <f t="shared" si="0"/>
        <v>1.7239059054727675</v>
      </c>
      <c r="Y358" s="1272" t="e">
        <f t="shared" si="0"/>
        <v>#DIV/0!</v>
      </c>
      <c r="Z358" s="1272">
        <f t="shared" si="0"/>
        <v>1.7239319655386802</v>
      </c>
      <c r="AA358" s="1272">
        <f t="shared" si="0"/>
        <v>0.71807244779749368</v>
      </c>
      <c r="AB358" s="1272">
        <f t="shared" si="0"/>
        <v>1.2259160036927548</v>
      </c>
      <c r="AC358" s="1272">
        <f t="shared" si="0"/>
        <v>2.0406395114800664</v>
      </c>
      <c r="AD358" s="1272">
        <f t="shared" si="0"/>
        <v>0.21106858336168022</v>
      </c>
      <c r="AE358" s="1272">
        <f t="shared" si="0"/>
        <v>0.75078534512039508</v>
      </c>
      <c r="AF358" s="1272">
        <f t="shared" si="0"/>
        <v>0.48269810926831841</v>
      </c>
      <c r="AG358" s="1272">
        <f t="shared" si="0"/>
        <v>1.1233359082313179</v>
      </c>
      <c r="AH358" s="1272">
        <f t="shared" si="0"/>
        <v>1.0323783431117204</v>
      </c>
      <c r="AI358" s="1272">
        <f t="shared" si="0"/>
        <v>0.35194190832016614</v>
      </c>
      <c r="AJ358" s="1272">
        <f t="shared" si="0"/>
        <v>0.17029734067536301</v>
      </c>
      <c r="AK358" s="1272">
        <f t="shared" si="0"/>
        <v>0.92022128738662201</v>
      </c>
      <c r="AL358" s="1272">
        <f t="shared" si="0"/>
        <v>3.0668640203980209</v>
      </c>
      <c r="AM358" s="1272">
        <f t="shared" si="0"/>
        <v>0.86835973224883733</v>
      </c>
      <c r="AN358" s="1272" t="e">
        <f t="shared" si="0"/>
        <v>#DIV/0!</v>
      </c>
      <c r="AO358" s="1272">
        <f t="shared" si="0"/>
        <v>0.35159355659050862</v>
      </c>
      <c r="AP358" s="1272" t="e">
        <f t="shared" si="0"/>
        <v>#DIV/0!</v>
      </c>
      <c r="AQ358" s="1272">
        <f t="shared" si="0"/>
        <v>4.0884537677084394E-2</v>
      </c>
      <c r="AR358" s="1272" t="e">
        <f t="shared" si="0"/>
        <v>#DIV/0!</v>
      </c>
      <c r="AS358" s="1272" t="e">
        <f t="shared" si="0"/>
        <v>#DIV/0!</v>
      </c>
      <c r="AT358" s="1272">
        <f t="shared" si="0"/>
        <v>1.6194132030709059</v>
      </c>
      <c r="AU358" s="1272" t="e">
        <f t="shared" si="0"/>
        <v>#DIV/0!</v>
      </c>
      <c r="AV358" s="1272">
        <f t="shared" si="0"/>
        <v>0.3375521671901196</v>
      </c>
      <c r="AW358" s="1272" t="e">
        <f t="shared" si="0"/>
        <v>#DIV/0!</v>
      </c>
      <c r="AX358" s="1272">
        <f t="shared" si="0"/>
        <v>1.6119762458641338</v>
      </c>
      <c r="AY358" s="1272" t="e">
        <f t="shared" si="0"/>
        <v>#DIV/0!</v>
      </c>
      <c r="AZ358" s="1272">
        <f t="shared" si="0"/>
        <v>1.615636660067544</v>
      </c>
      <c r="BA358" s="1272">
        <f t="shared" si="0"/>
        <v>1.9359883007581662</v>
      </c>
      <c r="BB358" s="1272">
        <f t="shared" si="0"/>
        <v>2.1755630993384045</v>
      </c>
      <c r="BC358" s="1272">
        <f t="shared" si="0"/>
        <v>0.54335054937182081</v>
      </c>
      <c r="BD358" s="1272" t="e">
        <f t="shared" si="0"/>
        <v>#DIV/0!</v>
      </c>
      <c r="BE358" s="1272">
        <f t="shared" si="0"/>
        <v>1.7704503191917642</v>
      </c>
      <c r="BF358" s="1272">
        <f t="shared" si="0"/>
        <v>2.7357153181850422</v>
      </c>
      <c r="BG358" s="1272" t="e">
        <f t="shared" si="0"/>
        <v>#DIV/0!</v>
      </c>
      <c r="BH358" s="1272">
        <f t="shared" si="0"/>
        <v>0.52169810265151373</v>
      </c>
      <c r="BI358" s="1272">
        <f t="shared" si="0"/>
        <v>0.77281758350925123</v>
      </c>
      <c r="BJ358" s="1272" t="e">
        <f t="shared" si="0"/>
        <v>#DIV/0!</v>
      </c>
      <c r="BK358" s="1272">
        <f t="shared" si="0"/>
        <v>2.0691474383396002</v>
      </c>
      <c r="BL358" s="1272" t="e">
        <f t="shared" si="0"/>
        <v>#DIV/0!</v>
      </c>
      <c r="BM358" s="1272">
        <f t="shared" si="0"/>
        <v>1.1646119383677926</v>
      </c>
      <c r="BN358" s="1272" t="e">
        <f t="shared" si="0"/>
        <v>#DIV/0!</v>
      </c>
      <c r="BO358" s="1272">
        <f t="shared" si="0"/>
        <v>0.13559159960397932</v>
      </c>
      <c r="BP358" s="1272">
        <f t="shared" si="0"/>
        <v>1.2253458090907949</v>
      </c>
      <c r="BQ358" s="1272">
        <f t="shared" si="0"/>
        <v>0.67259560637692162</v>
      </c>
      <c r="BR358" s="1272">
        <f t="shared" si="0"/>
        <v>3.1723034840863256</v>
      </c>
      <c r="BS358" s="1272" t="e">
        <f t="shared" si="0"/>
        <v>#DIV/0!</v>
      </c>
      <c r="BT358" s="1272">
        <f t="shared" si="0"/>
        <v>0.31623033173257797</v>
      </c>
      <c r="BU358" s="1272" t="e">
        <f t="shared" ref="BU358:CF358" si="1">BU44/(BU49-BU36+BU97+BU115)</f>
        <v>#DIV/0!</v>
      </c>
      <c r="BV358" s="1272">
        <f t="shared" si="1"/>
        <v>1.0817870778995389</v>
      </c>
      <c r="BW358" s="1272">
        <f t="shared" si="1"/>
        <v>1.266500167780543</v>
      </c>
      <c r="BX358" s="1272" t="e">
        <f t="shared" si="1"/>
        <v>#DIV/0!</v>
      </c>
      <c r="BY358" s="1272" t="e">
        <f t="shared" si="1"/>
        <v>#DIV/0!</v>
      </c>
      <c r="BZ358" s="1272">
        <f t="shared" si="1"/>
        <v>4.6352105649764122</v>
      </c>
      <c r="CA358" s="1272">
        <f t="shared" si="1"/>
        <v>0.17896362388469458</v>
      </c>
      <c r="CB358" s="1272">
        <f t="shared" si="1"/>
        <v>0.99538055885776811</v>
      </c>
      <c r="CC358" s="1272">
        <f t="shared" si="1"/>
        <v>8.8511597718033685E-2</v>
      </c>
      <c r="CD358" s="1272">
        <f t="shared" si="1"/>
        <v>0.44630956901842211</v>
      </c>
      <c r="CE358" s="1272" t="e">
        <f t="shared" si="1"/>
        <v>#DIV/0!</v>
      </c>
      <c r="CF358" s="1272">
        <f t="shared" si="1"/>
        <v>0.18548990276738969</v>
      </c>
    </row>
    <row r="359" spans="1:84" x14ac:dyDescent="0.3">
      <c r="B359" s="1146"/>
      <c r="E359" s="1215"/>
      <c r="F359" s="1272"/>
      <c r="G359" s="1272"/>
      <c r="H359" s="1272">
        <f>H349-H358</f>
        <v>0</v>
      </c>
      <c r="I359" s="1272" t="e">
        <f t="shared" ref="I359:BT359" si="2">I349-I358</f>
        <v>#DIV/0!</v>
      </c>
      <c r="J359" s="1272" t="e">
        <f t="shared" si="2"/>
        <v>#DIV/0!</v>
      </c>
      <c r="K359" s="1272" t="e">
        <f t="shared" si="2"/>
        <v>#DIV/0!</v>
      </c>
      <c r="L359" s="1272">
        <f t="shared" si="2"/>
        <v>0</v>
      </c>
      <c r="M359" s="1272" t="e">
        <f t="shared" si="2"/>
        <v>#DIV/0!</v>
      </c>
      <c r="N359" s="1272" t="e">
        <f t="shared" si="2"/>
        <v>#DIV/0!</v>
      </c>
      <c r="O359" s="1272" t="e">
        <f t="shared" si="2"/>
        <v>#DIV/0!</v>
      </c>
      <c r="P359" s="1272" t="e">
        <f t="shared" si="2"/>
        <v>#DIV/0!</v>
      </c>
      <c r="Q359" s="1272">
        <f t="shared" si="2"/>
        <v>0</v>
      </c>
      <c r="R359" s="1272" t="e">
        <f t="shared" si="2"/>
        <v>#DIV/0!</v>
      </c>
      <c r="S359" s="1272">
        <f t="shared" si="2"/>
        <v>0</v>
      </c>
      <c r="T359" s="1272" t="e">
        <f t="shared" si="2"/>
        <v>#DIV/0!</v>
      </c>
      <c r="U359" s="1272" t="e">
        <f t="shared" si="2"/>
        <v>#DIV/0!</v>
      </c>
      <c r="V359" s="1272">
        <f t="shared" si="2"/>
        <v>0</v>
      </c>
      <c r="W359" s="1272">
        <f t="shared" si="2"/>
        <v>0</v>
      </c>
      <c r="X359" s="1272">
        <f t="shared" si="2"/>
        <v>0</v>
      </c>
      <c r="Y359" s="1272" t="e">
        <f t="shared" si="2"/>
        <v>#DIV/0!</v>
      </c>
      <c r="Z359" s="1272">
        <f t="shared" si="2"/>
        <v>0</v>
      </c>
      <c r="AA359" s="1272">
        <f t="shared" si="2"/>
        <v>0</v>
      </c>
      <c r="AB359" s="1272">
        <f t="shared" si="2"/>
        <v>0</v>
      </c>
      <c r="AC359" s="1272">
        <f t="shared" si="2"/>
        <v>0</v>
      </c>
      <c r="AD359" s="1272">
        <f t="shared" si="2"/>
        <v>0</v>
      </c>
      <c r="AE359" s="1272">
        <f t="shared" si="2"/>
        <v>0</v>
      </c>
      <c r="AF359" s="1272">
        <f t="shared" si="2"/>
        <v>0</v>
      </c>
      <c r="AG359" s="1272">
        <f t="shared" si="2"/>
        <v>0</v>
      </c>
      <c r="AH359" s="1272">
        <f t="shared" si="2"/>
        <v>0</v>
      </c>
      <c r="AI359" s="1272">
        <f t="shared" si="2"/>
        <v>0</v>
      </c>
      <c r="AJ359" s="1272">
        <f t="shared" si="2"/>
        <v>0</v>
      </c>
      <c r="AK359" s="1272">
        <f t="shared" si="2"/>
        <v>0</v>
      </c>
      <c r="AL359" s="1272">
        <f t="shared" si="2"/>
        <v>0</v>
      </c>
      <c r="AM359" s="1272">
        <f t="shared" si="2"/>
        <v>0</v>
      </c>
      <c r="AN359" s="1272" t="e">
        <f t="shared" si="2"/>
        <v>#DIV/0!</v>
      </c>
      <c r="AO359" s="1272">
        <f t="shared" si="2"/>
        <v>0</v>
      </c>
      <c r="AP359" s="1272" t="e">
        <f t="shared" si="2"/>
        <v>#DIV/0!</v>
      </c>
      <c r="AQ359" s="1272">
        <f t="shared" si="2"/>
        <v>0</v>
      </c>
      <c r="AR359" s="1272" t="e">
        <f t="shared" si="2"/>
        <v>#DIV/0!</v>
      </c>
      <c r="AS359" s="1272" t="e">
        <f t="shared" si="2"/>
        <v>#DIV/0!</v>
      </c>
      <c r="AT359" s="1272">
        <f t="shared" si="2"/>
        <v>0</v>
      </c>
      <c r="AU359" s="1272" t="e">
        <f t="shared" si="2"/>
        <v>#DIV/0!</v>
      </c>
      <c r="AV359" s="1272">
        <f t="shared" si="2"/>
        <v>0</v>
      </c>
      <c r="AW359" s="1272" t="e">
        <f t="shared" si="2"/>
        <v>#DIV/0!</v>
      </c>
      <c r="AX359" s="1272">
        <f t="shared" si="2"/>
        <v>0</v>
      </c>
      <c r="AY359" s="1272" t="e">
        <f t="shared" si="2"/>
        <v>#DIV/0!</v>
      </c>
      <c r="AZ359" s="1272">
        <f t="shared" si="2"/>
        <v>0</v>
      </c>
      <c r="BA359" s="1272">
        <f t="shared" si="2"/>
        <v>0</v>
      </c>
      <c r="BB359" s="1272">
        <f t="shared" si="2"/>
        <v>0</v>
      </c>
      <c r="BC359" s="1272">
        <f t="shared" si="2"/>
        <v>0</v>
      </c>
      <c r="BD359" s="1272" t="e">
        <f t="shared" si="2"/>
        <v>#DIV/0!</v>
      </c>
      <c r="BE359" s="1272">
        <f t="shared" si="2"/>
        <v>0</v>
      </c>
      <c r="BF359" s="1272">
        <f t="shared" si="2"/>
        <v>0</v>
      </c>
      <c r="BG359" s="1272" t="e">
        <f t="shared" si="2"/>
        <v>#DIV/0!</v>
      </c>
      <c r="BH359" s="1272">
        <f t="shared" si="2"/>
        <v>0</v>
      </c>
      <c r="BI359" s="1272">
        <f t="shared" si="2"/>
        <v>0</v>
      </c>
      <c r="BJ359" s="1272" t="e">
        <f t="shared" si="2"/>
        <v>#DIV/0!</v>
      </c>
      <c r="BK359" s="1272">
        <f t="shared" si="2"/>
        <v>0</v>
      </c>
      <c r="BL359" s="1272" t="e">
        <f t="shared" si="2"/>
        <v>#DIV/0!</v>
      </c>
      <c r="BM359" s="1272">
        <f t="shared" si="2"/>
        <v>0</v>
      </c>
      <c r="BN359" s="1272" t="e">
        <f t="shared" si="2"/>
        <v>#DIV/0!</v>
      </c>
      <c r="BO359" s="1272">
        <f t="shared" si="2"/>
        <v>0</v>
      </c>
      <c r="BP359" s="1272">
        <f t="shared" si="2"/>
        <v>0</v>
      </c>
      <c r="BQ359" s="1272">
        <f t="shared" si="2"/>
        <v>0</v>
      </c>
      <c r="BR359" s="1272">
        <f t="shared" si="2"/>
        <v>0</v>
      </c>
      <c r="BS359" s="1272" t="e">
        <f t="shared" si="2"/>
        <v>#DIV/0!</v>
      </c>
      <c r="BT359" s="1272">
        <f t="shared" si="2"/>
        <v>0</v>
      </c>
      <c r="BU359" s="1272" t="e">
        <f t="shared" ref="BU359:CF359" si="3">BU349-BU358</f>
        <v>#DIV/0!</v>
      </c>
      <c r="BV359" s="1272">
        <f t="shared" si="3"/>
        <v>0</v>
      </c>
      <c r="BW359" s="1272">
        <f t="shared" si="3"/>
        <v>0</v>
      </c>
      <c r="BX359" s="1272" t="e">
        <f t="shared" si="3"/>
        <v>#DIV/0!</v>
      </c>
      <c r="BY359" s="1272" t="e">
        <f t="shared" si="3"/>
        <v>#DIV/0!</v>
      </c>
      <c r="BZ359" s="1272">
        <f t="shared" si="3"/>
        <v>0</v>
      </c>
      <c r="CA359" s="1272">
        <f t="shared" si="3"/>
        <v>0</v>
      </c>
      <c r="CB359" s="1272">
        <f t="shared" si="3"/>
        <v>0</v>
      </c>
      <c r="CC359" s="1272">
        <f t="shared" si="3"/>
        <v>0</v>
      </c>
      <c r="CD359" s="1272">
        <f t="shared" si="3"/>
        <v>0</v>
      </c>
      <c r="CE359" s="1272" t="e">
        <f t="shared" si="3"/>
        <v>#DIV/0!</v>
      </c>
      <c r="CF359" s="1272">
        <f t="shared" si="3"/>
        <v>0</v>
      </c>
    </row>
    <row r="360" spans="1:84" x14ac:dyDescent="0.3">
      <c r="B360" s="1146"/>
      <c r="E360" s="1215"/>
      <c r="F360" s="1215">
        <v>0.01</v>
      </c>
      <c r="G360" s="1215">
        <v>2244937.91</v>
      </c>
      <c r="H360" s="1215">
        <v>43105999.57</v>
      </c>
      <c r="I360" s="1215">
        <v>69826755.319999993</v>
      </c>
      <c r="J360" s="1215">
        <v>57596922.07</v>
      </c>
      <c r="K360" s="1215">
        <v>71535230.879999995</v>
      </c>
      <c r="L360" s="1215">
        <v>11860231.129999999</v>
      </c>
      <c r="M360" s="1215">
        <v>13432450.75</v>
      </c>
      <c r="N360" s="1215">
        <v>10129703.73</v>
      </c>
      <c r="O360" s="1215">
        <v>373532630.12</v>
      </c>
      <c r="P360" s="1215">
        <v>9863720.7800000012</v>
      </c>
      <c r="Q360" s="1215">
        <v>222893536.07999998</v>
      </c>
      <c r="R360" s="1215">
        <v>3198719.82</v>
      </c>
      <c r="S360" s="1215">
        <v>3276196053.3700004</v>
      </c>
      <c r="T360" s="1215">
        <v>0.01</v>
      </c>
      <c r="U360" s="1215">
        <v>2307538</v>
      </c>
      <c r="V360" s="1215">
        <v>3233128053.8400002</v>
      </c>
      <c r="W360" s="1215">
        <v>713308429.24000001</v>
      </c>
      <c r="X360" s="1215">
        <v>1430960359.0599999</v>
      </c>
      <c r="Y360" s="1215">
        <v>1076130118.28</v>
      </c>
      <c r="Z360" s="1215">
        <v>20734641.070000004</v>
      </c>
      <c r="AA360" s="1215">
        <v>614650936.12</v>
      </c>
      <c r="AB360" s="1215">
        <v>108993769.33</v>
      </c>
      <c r="AC360" s="1215">
        <v>595367844.06999993</v>
      </c>
      <c r="AD360" s="1215">
        <v>199915639.19999999</v>
      </c>
      <c r="AE360" s="1215">
        <v>71728678.299999997</v>
      </c>
      <c r="AF360" s="1215">
        <v>67754463.539999992</v>
      </c>
      <c r="AG360" s="1215">
        <v>155754567.44</v>
      </c>
      <c r="AH360" s="1215">
        <v>738950222.75999999</v>
      </c>
      <c r="AI360" s="1215">
        <v>180878039.18000001</v>
      </c>
      <c r="AJ360" s="1215">
        <v>48562978.119999997</v>
      </c>
      <c r="AK360" s="1215">
        <v>2187618683.1499996</v>
      </c>
      <c r="AL360" s="1215">
        <v>53642615.600000001</v>
      </c>
      <c r="AM360" s="1215">
        <v>48079844.789999999</v>
      </c>
      <c r="AN360" s="1215">
        <v>0.01</v>
      </c>
      <c r="AO360" s="1215">
        <v>771945742.11000001</v>
      </c>
      <c r="AP360" s="1215">
        <v>0.08</v>
      </c>
      <c r="AQ360" s="1215">
        <v>25150475.110000003</v>
      </c>
      <c r="AR360" s="1215">
        <v>1348972</v>
      </c>
      <c r="AS360" s="1215">
        <v>243367143.37</v>
      </c>
      <c r="AT360" s="1215">
        <v>584930431.60000002</v>
      </c>
      <c r="AU360" s="1215">
        <v>2283260.7299999995</v>
      </c>
      <c r="AV360" s="1215">
        <v>106712317.17</v>
      </c>
      <c r="AW360" s="1215">
        <v>37903991.090000004</v>
      </c>
      <c r="AX360" s="1215">
        <v>1165306937.0699999</v>
      </c>
      <c r="AY360" s="1215">
        <v>62562556.93</v>
      </c>
      <c r="AZ360" s="1215">
        <v>85225279.460000008</v>
      </c>
      <c r="BA360" s="1215">
        <v>321211729.02999997</v>
      </c>
      <c r="BB360" s="1215">
        <v>68018456.75999999</v>
      </c>
      <c r="BC360" s="1215">
        <v>32268163.690000001</v>
      </c>
      <c r="BD360" s="1215">
        <v>1155773</v>
      </c>
      <c r="BE360" s="1215">
        <v>10865835.09</v>
      </c>
      <c r="BF360" s="1215">
        <v>477450140.13</v>
      </c>
      <c r="BG360" s="1215">
        <v>5899311.6600000001</v>
      </c>
      <c r="BH360" s="1215">
        <v>24172612.530000001</v>
      </c>
      <c r="BI360" s="1215">
        <v>14415084.18</v>
      </c>
      <c r="BJ360" s="1215">
        <v>3195732.14</v>
      </c>
      <c r="BK360" s="1215">
        <v>21761665.670000002</v>
      </c>
      <c r="BL360" s="1215">
        <v>4258634.66</v>
      </c>
      <c r="BM360" s="1215">
        <v>169605805.81</v>
      </c>
      <c r="BN360" s="1215">
        <v>0.09</v>
      </c>
      <c r="BO360" s="1215">
        <v>72287472.049999997</v>
      </c>
      <c r="BP360" s="1215">
        <v>177923480.59999999</v>
      </c>
      <c r="BQ360" s="1215">
        <v>44716164.449999996</v>
      </c>
      <c r="BR360" s="1215">
        <v>54318829.299999997</v>
      </c>
      <c r="BS360" s="1215">
        <v>320382048.85000002</v>
      </c>
      <c r="BT360" s="1215">
        <v>77271532.580000013</v>
      </c>
      <c r="BU360" s="1215">
        <v>537232540.63999999</v>
      </c>
      <c r="BV360" s="1215">
        <v>55574741.129999995</v>
      </c>
      <c r="BW360" s="1215">
        <v>215090150.10999998</v>
      </c>
      <c r="BX360" s="1215">
        <v>24327610.560000002</v>
      </c>
      <c r="BY360" s="1215">
        <v>0.01</v>
      </c>
      <c r="BZ360" s="1215">
        <v>42375582.039999999</v>
      </c>
      <c r="CA360" s="1215">
        <v>6200913.2999999998</v>
      </c>
      <c r="CB360" s="1215">
        <v>33004788.16</v>
      </c>
      <c r="CC360" s="1146">
        <v>21404770.100000001</v>
      </c>
      <c r="CD360" s="1146">
        <v>42058799.07</v>
      </c>
      <c r="CE360" s="1146">
        <v>0</v>
      </c>
      <c r="CF360" s="1146">
        <v>6978150.6499999994</v>
      </c>
    </row>
    <row r="361" spans="1:84" x14ac:dyDescent="0.3">
      <c r="B361" s="1146"/>
      <c r="D361" s="1146" t="s">
        <v>1789</v>
      </c>
      <c r="E361" s="1215"/>
      <c r="F361" s="1215">
        <v>0.01</v>
      </c>
      <c r="G361" s="1215">
        <v>2244937.91</v>
      </c>
      <c r="H361" s="1215">
        <v>43105999.57</v>
      </c>
      <c r="I361" s="1215">
        <v>69826755.319999993</v>
      </c>
      <c r="J361" s="1215">
        <v>57596922.07</v>
      </c>
      <c r="K361" s="1215">
        <v>71535230.879999995</v>
      </c>
      <c r="L361" s="1215">
        <v>11860231.130000001</v>
      </c>
      <c r="M361" s="1215">
        <v>13432450.75</v>
      </c>
      <c r="N361" s="1215">
        <v>10129703.73</v>
      </c>
      <c r="O361" s="1215">
        <v>372565903.12</v>
      </c>
      <c r="P361" s="1215">
        <v>9863720.7799999993</v>
      </c>
      <c r="Q361" s="1215">
        <v>222893536.08000001</v>
      </c>
      <c r="R361" s="1215">
        <v>3198719.82</v>
      </c>
      <c r="S361" s="1215">
        <v>3276196053.3699999</v>
      </c>
      <c r="T361" s="1215">
        <v>0.01</v>
      </c>
      <c r="U361" s="1215">
        <v>2307538</v>
      </c>
      <c r="V361" s="1215">
        <v>3233128053.8400002</v>
      </c>
      <c r="W361" s="1215">
        <v>713308429.24000001</v>
      </c>
      <c r="X361" s="1215">
        <v>1430960359.0599999</v>
      </c>
      <c r="Y361" s="1215">
        <v>1076130118.28</v>
      </c>
      <c r="Z361" s="1215">
        <v>20734641.07</v>
      </c>
      <c r="AA361" s="1215">
        <v>614650936.12</v>
      </c>
      <c r="AB361" s="1215">
        <v>108993769.33</v>
      </c>
      <c r="AC361" s="1215">
        <v>595367844.07000005</v>
      </c>
      <c r="AD361" s="1215">
        <v>199915639.19999999</v>
      </c>
      <c r="AE361" s="1215">
        <v>71728678.299999997</v>
      </c>
      <c r="AF361" s="1215">
        <v>67754463.540000007</v>
      </c>
      <c r="AG361" s="1215">
        <v>155754567.44</v>
      </c>
      <c r="AH361" s="1215">
        <v>738950222.75999999</v>
      </c>
      <c r="AI361" s="1215">
        <v>180878039.18000001</v>
      </c>
      <c r="AJ361" s="1215">
        <v>48562978.119999997</v>
      </c>
      <c r="AK361" s="1215">
        <v>2187618683.1500001</v>
      </c>
      <c r="AL361" s="1215">
        <v>53642615.600000001</v>
      </c>
      <c r="AM361" s="1215">
        <v>48079844.789999999</v>
      </c>
      <c r="AN361" s="1215">
        <v>0.01</v>
      </c>
      <c r="AO361" s="1215">
        <v>771945742.11000001</v>
      </c>
      <c r="AP361" s="1215">
        <v>0.08</v>
      </c>
      <c r="AQ361" s="1215">
        <v>25150475.109999999</v>
      </c>
      <c r="AR361" s="1215">
        <v>1348972</v>
      </c>
      <c r="AS361" s="1215">
        <v>243367143.37</v>
      </c>
      <c r="AT361" s="1215">
        <v>584930431.60000002</v>
      </c>
      <c r="AU361" s="1215">
        <v>2283260.7200000002</v>
      </c>
      <c r="AV361" s="1215">
        <v>106712317.17</v>
      </c>
      <c r="AW361" s="1215">
        <v>37903991.090000004</v>
      </c>
      <c r="AX361" s="1215">
        <v>1165306937.0699999</v>
      </c>
      <c r="AY361" s="1215">
        <v>62562556.93</v>
      </c>
      <c r="AZ361" s="1215">
        <v>85225279.459999993</v>
      </c>
      <c r="BA361" s="1215">
        <v>321211729.02999997</v>
      </c>
      <c r="BB361" s="1215">
        <v>68018456.760000005</v>
      </c>
      <c r="BC361" s="1215">
        <v>32268163.690000001</v>
      </c>
      <c r="BD361" s="1215">
        <v>1155773</v>
      </c>
      <c r="BE361" s="1215">
        <v>10865835.09</v>
      </c>
      <c r="BF361" s="1215">
        <v>477450140.13</v>
      </c>
      <c r="BG361" s="1215">
        <v>5899311.6600000001</v>
      </c>
      <c r="BH361" s="1215">
        <v>24172612.530000001</v>
      </c>
      <c r="BI361" s="1215">
        <v>14415084.18</v>
      </c>
      <c r="BJ361" s="1215">
        <v>3195732.14</v>
      </c>
      <c r="BK361" s="1215">
        <v>21761665.670000002</v>
      </c>
      <c r="BL361" s="1215">
        <v>4258634.66</v>
      </c>
      <c r="BM361" s="1215">
        <v>169605805.81</v>
      </c>
      <c r="BN361" s="1215">
        <v>0.09</v>
      </c>
      <c r="BO361" s="1215">
        <v>72287472.049999997</v>
      </c>
      <c r="BP361" s="1215">
        <v>177923480.59999999</v>
      </c>
      <c r="BQ361" s="1215">
        <v>44716164.450000003</v>
      </c>
      <c r="BR361" s="1215">
        <v>54318829.299999997</v>
      </c>
      <c r="BS361" s="1215">
        <v>320382048.85000002</v>
      </c>
      <c r="BT361" s="1215">
        <v>77271532.579999998</v>
      </c>
      <c r="BU361" s="1215">
        <v>537232540.63999999</v>
      </c>
      <c r="BV361" s="1215">
        <v>55574741.130000003</v>
      </c>
      <c r="BW361" s="1215">
        <v>215090150.11000001</v>
      </c>
      <c r="BX361" s="1215">
        <v>24327610.559999999</v>
      </c>
      <c r="BY361" s="1215">
        <v>0.01</v>
      </c>
      <c r="BZ361" s="1215">
        <v>42375582.039999999</v>
      </c>
      <c r="CA361" s="1215">
        <v>6200913.2999999998</v>
      </c>
      <c r="CB361" s="1215">
        <v>0.01</v>
      </c>
      <c r="CC361" s="1146">
        <v>21404770.100000001</v>
      </c>
      <c r="CD361" s="1146">
        <v>42058799.07</v>
      </c>
      <c r="CE361" s="1146">
        <v>0</v>
      </c>
      <c r="CF361" s="1146">
        <v>6978150.6500000004</v>
      </c>
    </row>
    <row r="362" spans="1:84" x14ac:dyDescent="0.3">
      <c r="B362" s="1146"/>
      <c r="E362" s="1215"/>
      <c r="F362" s="1215">
        <v>0</v>
      </c>
      <c r="G362" s="1215">
        <f>G360-G361</f>
        <v>0</v>
      </c>
      <c r="H362" s="1215">
        <v>0</v>
      </c>
      <c r="I362" s="1215">
        <v>0</v>
      </c>
      <c r="J362" s="1215">
        <v>0</v>
      </c>
      <c r="K362" s="1215">
        <v>0</v>
      </c>
      <c r="L362" s="1215">
        <v>0</v>
      </c>
      <c r="M362" s="1215">
        <v>0</v>
      </c>
      <c r="N362" s="1215">
        <v>0</v>
      </c>
      <c r="O362" s="1215">
        <v>966727</v>
      </c>
      <c r="P362" s="1215">
        <v>0</v>
      </c>
      <c r="Q362" s="1215">
        <v>0</v>
      </c>
      <c r="R362" s="1215">
        <v>0</v>
      </c>
      <c r="S362" s="1215">
        <v>0</v>
      </c>
      <c r="T362" s="1215">
        <v>0</v>
      </c>
      <c r="U362" s="1215">
        <v>0</v>
      </c>
      <c r="V362" s="1215">
        <v>0</v>
      </c>
      <c r="W362" s="1215">
        <v>0</v>
      </c>
      <c r="X362" s="1215">
        <v>0</v>
      </c>
      <c r="Y362" s="1215">
        <v>0</v>
      </c>
      <c r="Z362" s="1215">
        <v>0</v>
      </c>
      <c r="AA362" s="1215">
        <v>0</v>
      </c>
      <c r="AB362" s="1215">
        <v>0</v>
      </c>
      <c r="AC362" s="1215">
        <v>0</v>
      </c>
      <c r="AD362" s="1215">
        <v>0</v>
      </c>
      <c r="AE362" s="1215">
        <v>0</v>
      </c>
      <c r="AF362" s="1215">
        <v>0</v>
      </c>
      <c r="AG362" s="1215">
        <v>0</v>
      </c>
      <c r="AH362" s="1215">
        <v>0</v>
      </c>
      <c r="AI362" s="1215">
        <v>0</v>
      </c>
      <c r="AJ362" s="1215">
        <v>0</v>
      </c>
      <c r="AK362" s="1215">
        <v>0</v>
      </c>
      <c r="AL362" s="1215">
        <v>0</v>
      </c>
      <c r="AM362" s="1215">
        <v>0</v>
      </c>
      <c r="AN362" s="1215">
        <v>0</v>
      </c>
      <c r="AO362" s="1215">
        <v>0</v>
      </c>
      <c r="AP362" s="1215">
        <v>0</v>
      </c>
      <c r="AQ362" s="1215">
        <v>0</v>
      </c>
      <c r="AR362" s="1215">
        <v>0</v>
      </c>
      <c r="AS362" s="1215">
        <v>0</v>
      </c>
      <c r="AT362" s="1215">
        <v>0</v>
      </c>
      <c r="AU362" s="1215">
        <v>9.9999993108212948E-3</v>
      </c>
      <c r="AV362" s="1215">
        <v>0</v>
      </c>
      <c r="AW362" s="1215">
        <v>0</v>
      </c>
      <c r="AX362" s="1215">
        <v>0</v>
      </c>
      <c r="AY362" s="1215">
        <v>0</v>
      </c>
      <c r="AZ362" s="1215">
        <v>0</v>
      </c>
      <c r="BA362" s="1215">
        <v>0</v>
      </c>
      <c r="BB362" s="1215">
        <v>0</v>
      </c>
      <c r="BC362" s="1215">
        <v>0</v>
      </c>
      <c r="BD362" s="1215">
        <v>0</v>
      </c>
      <c r="BE362" s="1215">
        <v>0</v>
      </c>
      <c r="BF362" s="1215">
        <v>0</v>
      </c>
      <c r="BG362" s="1215">
        <v>0</v>
      </c>
      <c r="BH362" s="1215">
        <v>0</v>
      </c>
      <c r="BI362" s="1215">
        <v>0</v>
      </c>
      <c r="BJ362" s="1215">
        <v>0</v>
      </c>
      <c r="BK362" s="1215">
        <v>0</v>
      </c>
      <c r="BL362" s="1215">
        <v>0</v>
      </c>
      <c r="BM362" s="1215">
        <v>0</v>
      </c>
      <c r="BN362" s="1215">
        <v>0</v>
      </c>
      <c r="BO362" s="1215">
        <v>0</v>
      </c>
      <c r="BP362" s="1215">
        <v>0</v>
      </c>
      <c r="BQ362" s="1215">
        <v>0</v>
      </c>
      <c r="BR362" s="1215">
        <v>0</v>
      </c>
      <c r="BS362" s="1215">
        <v>0</v>
      </c>
      <c r="BT362" s="1215">
        <v>0</v>
      </c>
      <c r="BU362" s="1215">
        <v>0</v>
      </c>
      <c r="BV362" s="1215">
        <v>0</v>
      </c>
      <c r="BW362" s="1215">
        <v>0</v>
      </c>
      <c r="BX362" s="1215">
        <v>0</v>
      </c>
      <c r="BY362" s="1215">
        <v>0</v>
      </c>
      <c r="BZ362" s="1215">
        <v>0</v>
      </c>
      <c r="CA362" s="1215">
        <v>0</v>
      </c>
      <c r="CB362" s="1215">
        <v>33004788.149999999</v>
      </c>
      <c r="CC362" s="1146">
        <v>0</v>
      </c>
      <c r="CD362" s="1146">
        <v>0</v>
      </c>
      <c r="CE362" s="1146">
        <v>0</v>
      </c>
      <c r="CF362" s="1146">
        <v>0</v>
      </c>
    </row>
    <row r="363" spans="1:84" x14ac:dyDescent="0.3">
      <c r="A363" s="1217"/>
      <c r="B363" s="1146"/>
      <c r="E363" s="1215"/>
      <c r="F363" s="1215"/>
      <c r="G363" s="1215"/>
      <c r="H363" s="1215"/>
      <c r="I363" s="1215"/>
      <c r="J363" s="1215"/>
      <c r="K363" s="1215"/>
      <c r="L363" s="1215"/>
      <c r="M363" s="1215"/>
      <c r="N363" s="1215"/>
      <c r="O363" s="1215"/>
      <c r="P363" s="1215"/>
      <c r="Q363" s="1215"/>
      <c r="R363" s="1215"/>
      <c r="S363" s="1215"/>
      <c r="T363" s="1215"/>
      <c r="U363" s="1215"/>
      <c r="V363" s="1215"/>
      <c r="W363" s="1215"/>
      <c r="X363" s="1215"/>
      <c r="Y363" s="1215"/>
      <c r="Z363" s="1215"/>
      <c r="AA363" s="1215"/>
      <c r="AB363" s="1215"/>
      <c r="AC363" s="1215"/>
      <c r="AD363" s="1215"/>
      <c r="AE363" s="1215"/>
      <c r="AF363" s="1215"/>
      <c r="AG363" s="1215"/>
      <c r="AH363" s="1215"/>
      <c r="AI363" s="1215"/>
      <c r="AJ363" s="1215"/>
      <c r="AK363" s="1215"/>
      <c r="AL363" s="1215"/>
      <c r="AM363" s="1215"/>
      <c r="AN363" s="1215"/>
      <c r="AO363" s="1215"/>
      <c r="AP363" s="1215"/>
      <c r="AQ363" s="1215"/>
      <c r="AR363" s="1215"/>
      <c r="AS363" s="1215"/>
      <c r="AT363" s="1215"/>
      <c r="AU363" s="1215"/>
      <c r="AV363" s="1215"/>
      <c r="AW363" s="1215"/>
      <c r="AX363" s="1215"/>
      <c r="AY363" s="1215"/>
      <c r="AZ363" s="1215"/>
      <c r="BA363" s="1215"/>
      <c r="BB363" s="1215"/>
      <c r="BC363" s="1215"/>
      <c r="BD363" s="1215"/>
      <c r="BE363" s="1215"/>
      <c r="BF363" s="1215"/>
      <c r="BG363" s="1215"/>
      <c r="BH363" s="1215"/>
      <c r="BI363" s="1215"/>
      <c r="BJ363" s="1215"/>
      <c r="BK363" s="1215"/>
      <c r="BL363" s="1215"/>
      <c r="BM363" s="1215"/>
      <c r="BN363" s="1215"/>
      <c r="BO363" s="1215"/>
      <c r="BP363" s="1215"/>
      <c r="BQ363" s="1215"/>
      <c r="BR363" s="1215"/>
      <c r="BS363" s="1215"/>
      <c r="BT363" s="1215"/>
      <c r="BU363" s="1215"/>
      <c r="BV363" s="1215"/>
      <c r="BW363" s="1215"/>
      <c r="BX363" s="1215"/>
      <c r="BY363" s="1215"/>
      <c r="BZ363" s="1215"/>
      <c r="CA363" s="1215"/>
      <c r="CB363" s="1215"/>
    </row>
    <row r="364" spans="1:84" x14ac:dyDescent="0.3">
      <c r="A364" s="1218"/>
      <c r="B364" s="1146"/>
      <c r="E364" s="1215"/>
      <c r="F364" s="1215">
        <v>0.01</v>
      </c>
      <c r="G364" s="1215">
        <v>2244937.91</v>
      </c>
      <c r="H364" s="1215">
        <v>43105999.57</v>
      </c>
      <c r="I364" s="1215">
        <v>69826755.319999993</v>
      </c>
      <c r="J364" s="1215">
        <v>57596922.07</v>
      </c>
      <c r="K364" s="1215">
        <v>71535230.879999995</v>
      </c>
      <c r="L364" s="1215">
        <v>11860231.130000001</v>
      </c>
      <c r="M364" s="1215">
        <v>13432450.75</v>
      </c>
      <c r="N364" s="1215">
        <v>10129703.73</v>
      </c>
      <c r="O364" s="1215">
        <v>373532630.12</v>
      </c>
      <c r="P364" s="1215">
        <v>9863720.7799999993</v>
      </c>
      <c r="Q364" s="1215">
        <v>222893536.08000001</v>
      </c>
      <c r="R364" s="1215">
        <v>3198719.82</v>
      </c>
      <c r="S364" s="1215">
        <v>3276196053.3699999</v>
      </c>
      <c r="T364" s="1215">
        <v>0.01</v>
      </c>
      <c r="U364" s="1215">
        <v>2307538</v>
      </c>
      <c r="V364" s="1215">
        <v>3233128053.8400002</v>
      </c>
      <c r="W364" s="1215">
        <v>713308429.24000001</v>
      </c>
      <c r="X364" s="1215">
        <v>1430960359.0599999</v>
      </c>
      <c r="Y364" s="1215">
        <v>1076130118.28</v>
      </c>
      <c r="Z364" s="1215">
        <v>20734641.07</v>
      </c>
      <c r="AA364" s="1215">
        <v>614650936.12</v>
      </c>
      <c r="AB364" s="1215">
        <v>108993769.33</v>
      </c>
      <c r="AC364" s="1215">
        <v>595367844.07000005</v>
      </c>
      <c r="AD364" s="1215">
        <v>199915639.19999999</v>
      </c>
      <c r="AE364" s="1215">
        <v>71728678.299999997</v>
      </c>
      <c r="AF364" s="1215">
        <v>67754463.540000007</v>
      </c>
      <c r="AG364" s="1215">
        <v>155754567.44</v>
      </c>
      <c r="AH364" s="1215">
        <v>738950222.75999999</v>
      </c>
      <c r="AI364" s="1215">
        <v>180878039.18000001</v>
      </c>
      <c r="AJ364" s="1215">
        <v>48562978.119999997</v>
      </c>
      <c r="AK364" s="1215">
        <v>2187618683.1500001</v>
      </c>
      <c r="AL364" s="1215">
        <v>53642615.600000001</v>
      </c>
      <c r="AM364" s="1215">
        <v>48079844.789999999</v>
      </c>
      <c r="AN364" s="1215">
        <v>0.01</v>
      </c>
      <c r="AO364" s="1215">
        <v>771945742.03999996</v>
      </c>
      <c r="AP364" s="1215">
        <v>0.08</v>
      </c>
      <c r="AQ364" s="1215">
        <v>25150475.109999999</v>
      </c>
      <c r="AR364" s="1215">
        <v>1348972</v>
      </c>
      <c r="AS364" s="1215">
        <v>243367143.37</v>
      </c>
      <c r="AT364" s="1215">
        <v>584930431.60000002</v>
      </c>
      <c r="AU364" s="1215">
        <v>2283260.73</v>
      </c>
      <c r="AV364" s="1215">
        <v>106712317.17</v>
      </c>
      <c r="AW364" s="1215">
        <v>37903991.090000004</v>
      </c>
      <c r="AX364" s="1215">
        <v>1165306937.0699999</v>
      </c>
      <c r="AY364" s="1215">
        <v>62562556.93</v>
      </c>
      <c r="AZ364" s="1215">
        <v>85225279.459999993</v>
      </c>
      <c r="BA364" s="1215">
        <v>321211729.02999997</v>
      </c>
      <c r="BB364" s="1215">
        <v>68018456.760000005</v>
      </c>
      <c r="BC364" s="1215">
        <v>32268163.690000001</v>
      </c>
      <c r="BD364" s="1215">
        <v>1155773</v>
      </c>
      <c r="BE364" s="1215">
        <v>10865835.09</v>
      </c>
      <c r="BF364" s="1215">
        <v>477450140.13</v>
      </c>
      <c r="BG364" s="1215">
        <v>5899311.6600000001</v>
      </c>
      <c r="BH364" s="1215">
        <v>24172612.530000001</v>
      </c>
      <c r="BI364" s="1215">
        <v>14415084.18</v>
      </c>
      <c r="BJ364" s="1215">
        <v>3195732.14</v>
      </c>
      <c r="BK364" s="1215">
        <v>21761665.670000002</v>
      </c>
      <c r="BL364" s="1215">
        <v>4258634.66</v>
      </c>
      <c r="BM364" s="1215">
        <v>169605805.81</v>
      </c>
      <c r="BN364" s="1215">
        <v>0.09</v>
      </c>
      <c r="BO364" s="1215">
        <v>72287472.049999997</v>
      </c>
      <c r="BP364" s="1215">
        <v>177923480.59999999</v>
      </c>
      <c r="BQ364" s="1215">
        <v>44716164.450000003</v>
      </c>
      <c r="BR364" s="1215">
        <v>54318829.299999997</v>
      </c>
      <c r="BS364" s="1215">
        <v>320382048.85000002</v>
      </c>
      <c r="BT364" s="1215">
        <v>77271532.579999998</v>
      </c>
      <c r="BU364" s="1215">
        <v>537232540.63999999</v>
      </c>
      <c r="BV364" s="1215">
        <v>55574741.130000003</v>
      </c>
      <c r="BW364" s="1215">
        <v>215090150.11000001</v>
      </c>
      <c r="BX364" s="1215">
        <v>24327610.559999999</v>
      </c>
      <c r="BY364" s="1215">
        <v>0.01</v>
      </c>
      <c r="BZ364" s="1215">
        <v>42375582.039999999</v>
      </c>
      <c r="CA364" s="1215">
        <v>6200913.2999999998</v>
      </c>
      <c r="CB364" s="1215">
        <v>33004788.16</v>
      </c>
      <c r="CC364" s="1216">
        <v>21404770.100000001</v>
      </c>
      <c r="CD364" s="1216">
        <v>42058799.07</v>
      </c>
      <c r="CE364" s="1146">
        <v>0</v>
      </c>
      <c r="CF364" s="1216">
        <v>6978150.6500000004</v>
      </c>
    </row>
    <row r="365" spans="1:84" x14ac:dyDescent="0.3">
      <c r="A365" s="1218"/>
      <c r="B365" s="1146"/>
      <c r="E365" s="1215"/>
      <c r="F365" s="1215">
        <f>F360-F364</f>
        <v>0</v>
      </c>
      <c r="G365" s="1215">
        <f t="shared" ref="G365:BR365" si="4">G360-G364</f>
        <v>0</v>
      </c>
      <c r="H365" s="1215">
        <f t="shared" si="4"/>
        <v>0</v>
      </c>
      <c r="I365" s="1215">
        <f t="shared" si="4"/>
        <v>0</v>
      </c>
      <c r="J365" s="1215">
        <f t="shared" si="4"/>
        <v>0</v>
      </c>
      <c r="K365" s="1215">
        <f t="shared" si="4"/>
        <v>0</v>
      </c>
      <c r="L365" s="1215">
        <f t="shared" si="4"/>
        <v>0</v>
      </c>
      <c r="M365" s="1215">
        <f t="shared" si="4"/>
        <v>0</v>
      </c>
      <c r="N365" s="1215">
        <f t="shared" si="4"/>
        <v>0</v>
      </c>
      <c r="O365" s="1215">
        <f t="shared" si="4"/>
        <v>0</v>
      </c>
      <c r="P365" s="1215">
        <f t="shared" si="4"/>
        <v>0</v>
      </c>
      <c r="Q365" s="1215">
        <f t="shared" si="4"/>
        <v>0</v>
      </c>
      <c r="R365" s="1215">
        <f t="shared" si="4"/>
        <v>0</v>
      </c>
      <c r="S365" s="1215">
        <f t="shared" si="4"/>
        <v>0</v>
      </c>
      <c r="T365" s="1215">
        <f t="shared" si="4"/>
        <v>0</v>
      </c>
      <c r="U365" s="1215">
        <f t="shared" si="4"/>
        <v>0</v>
      </c>
      <c r="V365" s="1215">
        <f t="shared" si="4"/>
        <v>0</v>
      </c>
      <c r="W365" s="1215">
        <f t="shared" si="4"/>
        <v>0</v>
      </c>
      <c r="X365" s="1215">
        <f t="shared" si="4"/>
        <v>0</v>
      </c>
      <c r="Y365" s="1215">
        <f t="shared" si="4"/>
        <v>0</v>
      </c>
      <c r="Z365" s="1215">
        <f t="shared" si="4"/>
        <v>0</v>
      </c>
      <c r="AA365" s="1215">
        <f t="shared" si="4"/>
        <v>0</v>
      </c>
      <c r="AB365" s="1215">
        <f t="shared" si="4"/>
        <v>0</v>
      </c>
      <c r="AC365" s="1215">
        <f t="shared" si="4"/>
        <v>0</v>
      </c>
      <c r="AD365" s="1215">
        <f t="shared" si="4"/>
        <v>0</v>
      </c>
      <c r="AE365" s="1215">
        <f t="shared" si="4"/>
        <v>0</v>
      </c>
      <c r="AF365" s="1215">
        <f t="shared" si="4"/>
        <v>0</v>
      </c>
      <c r="AG365" s="1215">
        <f t="shared" si="4"/>
        <v>0</v>
      </c>
      <c r="AH365" s="1215">
        <f t="shared" si="4"/>
        <v>0</v>
      </c>
      <c r="AI365" s="1215">
        <f t="shared" si="4"/>
        <v>0</v>
      </c>
      <c r="AJ365" s="1215">
        <f t="shared" si="4"/>
        <v>0</v>
      </c>
      <c r="AK365" s="1215">
        <f t="shared" si="4"/>
        <v>0</v>
      </c>
      <c r="AL365" s="1215">
        <f t="shared" si="4"/>
        <v>0</v>
      </c>
      <c r="AM365" s="1215">
        <f t="shared" si="4"/>
        <v>0</v>
      </c>
      <c r="AN365" s="1215">
        <f t="shared" si="4"/>
        <v>0</v>
      </c>
      <c r="AO365" s="1215">
        <f t="shared" si="4"/>
        <v>7.0000052452087402E-2</v>
      </c>
      <c r="AP365" s="1215">
        <f t="shared" si="4"/>
        <v>0</v>
      </c>
      <c r="AQ365" s="1215">
        <f t="shared" si="4"/>
        <v>0</v>
      </c>
      <c r="AR365" s="1215">
        <f t="shared" si="4"/>
        <v>0</v>
      </c>
      <c r="AS365" s="1215">
        <f t="shared" si="4"/>
        <v>0</v>
      </c>
      <c r="AT365" s="1215">
        <f t="shared" si="4"/>
        <v>0</v>
      </c>
      <c r="AU365" s="1215">
        <f t="shared" si="4"/>
        <v>0</v>
      </c>
      <c r="AV365" s="1215">
        <f t="shared" si="4"/>
        <v>0</v>
      </c>
      <c r="AW365" s="1215">
        <f t="shared" si="4"/>
        <v>0</v>
      </c>
      <c r="AX365" s="1215">
        <f t="shared" si="4"/>
        <v>0</v>
      </c>
      <c r="AY365" s="1215">
        <f t="shared" si="4"/>
        <v>0</v>
      </c>
      <c r="AZ365" s="1215">
        <f t="shared" si="4"/>
        <v>0</v>
      </c>
      <c r="BA365" s="1215">
        <f t="shared" si="4"/>
        <v>0</v>
      </c>
      <c r="BB365" s="1215">
        <f t="shared" si="4"/>
        <v>0</v>
      </c>
      <c r="BC365" s="1215">
        <f t="shared" si="4"/>
        <v>0</v>
      </c>
      <c r="BD365" s="1215">
        <f t="shared" si="4"/>
        <v>0</v>
      </c>
      <c r="BE365" s="1215">
        <f t="shared" si="4"/>
        <v>0</v>
      </c>
      <c r="BF365" s="1215">
        <f t="shared" si="4"/>
        <v>0</v>
      </c>
      <c r="BG365" s="1215">
        <f t="shared" si="4"/>
        <v>0</v>
      </c>
      <c r="BH365" s="1215">
        <f t="shared" si="4"/>
        <v>0</v>
      </c>
      <c r="BI365" s="1215">
        <f t="shared" si="4"/>
        <v>0</v>
      </c>
      <c r="BJ365" s="1215">
        <f t="shared" si="4"/>
        <v>0</v>
      </c>
      <c r="BK365" s="1215">
        <f t="shared" si="4"/>
        <v>0</v>
      </c>
      <c r="BL365" s="1215">
        <f t="shared" si="4"/>
        <v>0</v>
      </c>
      <c r="BM365" s="1215">
        <f t="shared" si="4"/>
        <v>0</v>
      </c>
      <c r="BN365" s="1215">
        <f t="shared" si="4"/>
        <v>0</v>
      </c>
      <c r="BO365" s="1215">
        <f t="shared" si="4"/>
        <v>0</v>
      </c>
      <c r="BP365" s="1215">
        <f t="shared" si="4"/>
        <v>0</v>
      </c>
      <c r="BQ365" s="1215">
        <f t="shared" si="4"/>
        <v>0</v>
      </c>
      <c r="BR365" s="1215">
        <f t="shared" si="4"/>
        <v>0</v>
      </c>
      <c r="BS365" s="1215">
        <f t="shared" ref="BS365:CF365" si="5">BS360-BS364</f>
        <v>0</v>
      </c>
      <c r="BT365" s="1215">
        <f t="shared" si="5"/>
        <v>0</v>
      </c>
      <c r="BU365" s="1215">
        <f t="shared" si="5"/>
        <v>0</v>
      </c>
      <c r="BV365" s="1215">
        <f t="shared" si="5"/>
        <v>0</v>
      </c>
      <c r="BW365" s="1215">
        <f t="shared" si="5"/>
        <v>0</v>
      </c>
      <c r="BX365" s="1215">
        <f t="shared" si="5"/>
        <v>0</v>
      </c>
      <c r="BY365" s="1215">
        <f t="shared" si="5"/>
        <v>0</v>
      </c>
      <c r="BZ365" s="1215">
        <f t="shared" si="5"/>
        <v>0</v>
      </c>
      <c r="CA365" s="1215">
        <f t="shared" si="5"/>
        <v>0</v>
      </c>
      <c r="CB365" s="1215">
        <f t="shared" si="5"/>
        <v>0</v>
      </c>
      <c r="CC365" s="1215">
        <f t="shared" si="5"/>
        <v>0</v>
      </c>
      <c r="CD365" s="1215">
        <f t="shared" si="5"/>
        <v>0</v>
      </c>
      <c r="CE365" s="1215">
        <f t="shared" si="5"/>
        <v>0</v>
      </c>
      <c r="CF365" s="1215">
        <f t="shared" si="5"/>
        <v>0</v>
      </c>
    </row>
    <row r="366" spans="1:84" x14ac:dyDescent="0.3">
      <c r="A366" s="1218"/>
      <c r="B366" s="1146"/>
      <c r="E366" s="1215"/>
      <c r="F366" s="1215"/>
      <c r="G366" s="1215"/>
      <c r="H366" s="1215"/>
      <c r="I366" s="1215"/>
      <c r="J366" s="1215"/>
      <c r="K366" s="1215"/>
      <c r="L366" s="1215"/>
      <c r="M366" s="1215"/>
      <c r="N366" s="1215"/>
      <c r="O366" s="1215"/>
      <c r="P366" s="1215"/>
      <c r="Q366" s="1215"/>
      <c r="R366" s="1215"/>
      <c r="S366" s="1215"/>
      <c r="T366" s="1215"/>
      <c r="U366" s="1215"/>
      <c r="V366" s="1215"/>
      <c r="W366" s="1215"/>
      <c r="X366" s="1215"/>
      <c r="Y366" s="1215"/>
      <c r="Z366" s="1215"/>
      <c r="AA366" s="1215"/>
      <c r="AB366" s="1215"/>
      <c r="AC366" s="1215"/>
      <c r="AD366" s="1215"/>
      <c r="AE366" s="1215"/>
      <c r="AF366" s="1215"/>
      <c r="AG366" s="1215"/>
      <c r="AH366" s="1215"/>
      <c r="AI366" s="1215"/>
      <c r="AJ366" s="1215"/>
      <c r="AK366" s="1215"/>
      <c r="AL366" s="1215"/>
      <c r="AM366" s="1215"/>
      <c r="AN366" s="1215"/>
      <c r="AO366" s="1215"/>
      <c r="AP366" s="1215"/>
      <c r="AQ366" s="1215"/>
      <c r="AR366" s="1215"/>
      <c r="AS366" s="1215"/>
      <c r="AT366" s="1215"/>
      <c r="AU366" s="1215"/>
      <c r="AV366" s="1215"/>
      <c r="AW366" s="1215"/>
      <c r="AX366" s="1215"/>
      <c r="AY366" s="1215"/>
      <c r="AZ366" s="1215"/>
      <c r="BA366" s="1215"/>
      <c r="BB366" s="1215"/>
      <c r="BC366" s="1215"/>
      <c r="BD366" s="1215"/>
      <c r="BE366" s="1215"/>
      <c r="BF366" s="1215"/>
      <c r="BG366" s="1215"/>
      <c r="BH366" s="1215"/>
      <c r="BI366" s="1215"/>
      <c r="BJ366" s="1215"/>
      <c r="BK366" s="1215"/>
      <c r="BL366" s="1215"/>
      <c r="BM366" s="1215"/>
      <c r="BN366" s="1215"/>
      <c r="BO366" s="1215"/>
      <c r="BP366" s="1215"/>
      <c r="BQ366" s="1215"/>
      <c r="BR366" s="1215"/>
      <c r="BS366" s="1215"/>
      <c r="BT366" s="1215"/>
      <c r="BU366" s="1215"/>
      <c r="BV366" s="1215"/>
      <c r="BW366" s="1215"/>
      <c r="BX366" s="1215"/>
      <c r="BY366" s="1215"/>
      <c r="BZ366" s="1215"/>
      <c r="CA366" s="1215"/>
      <c r="CB366" s="1215"/>
      <c r="CC366" s="1216"/>
      <c r="CD366" s="1216"/>
      <c r="CF366" s="1216"/>
    </row>
    <row r="367" spans="1:84" x14ac:dyDescent="0.3">
      <c r="A367" s="1159"/>
      <c r="B367" s="1154"/>
      <c r="C367" s="1228"/>
      <c r="E367" s="1155"/>
      <c r="F367" s="1156"/>
      <c r="G367" s="1156"/>
      <c r="H367" s="1156"/>
      <c r="I367" s="1156"/>
      <c r="J367" s="1156"/>
      <c r="K367" s="1156"/>
      <c r="L367" s="1157"/>
      <c r="M367" s="1157"/>
      <c r="N367" s="1157"/>
      <c r="O367" s="1157"/>
      <c r="P367" s="1157"/>
      <c r="Q367" s="1157"/>
      <c r="R367" s="1157"/>
      <c r="S367" s="1157"/>
      <c r="T367" s="1157"/>
      <c r="U367" s="1157"/>
      <c r="V367" s="1157"/>
      <c r="W367" s="1157"/>
      <c r="X367" s="1157"/>
      <c r="Y367" s="1157"/>
      <c r="Z367" s="1157"/>
      <c r="AA367" s="1157"/>
      <c r="AB367" s="1157"/>
      <c r="AC367" s="1157"/>
      <c r="AD367" s="1157"/>
      <c r="AE367" s="1157"/>
      <c r="AF367" s="1157"/>
      <c r="AG367" s="1157"/>
      <c r="AH367" s="1157"/>
      <c r="AI367" s="1157"/>
      <c r="AJ367" s="1157"/>
      <c r="AK367" s="1157"/>
      <c r="AL367" s="1157"/>
      <c r="AM367" s="1157"/>
      <c r="AN367" s="1157"/>
      <c r="AO367" s="1157"/>
      <c r="AP367" s="1157"/>
      <c r="AQ367" s="1157"/>
      <c r="AR367" s="1157"/>
      <c r="AS367" s="1157"/>
      <c r="AT367" s="1157"/>
      <c r="AU367" s="1157"/>
      <c r="AV367" s="1157"/>
      <c r="AW367" s="1157"/>
      <c r="AX367" s="1157"/>
      <c r="AY367" s="1157"/>
      <c r="AZ367" s="1157"/>
      <c r="BA367" s="1157"/>
      <c r="BB367" s="1157"/>
      <c r="BC367" s="1157"/>
      <c r="BD367" s="1157"/>
      <c r="BE367" s="1157"/>
      <c r="BF367" s="1157"/>
      <c r="BG367" s="1157"/>
      <c r="BH367" s="1157"/>
      <c r="BI367" s="1157"/>
      <c r="BJ367" s="1157"/>
      <c r="BK367" s="1157"/>
      <c r="BL367" s="1157"/>
      <c r="BM367" s="1157"/>
      <c r="BN367" s="1157"/>
      <c r="BO367" s="1157"/>
      <c r="BP367" s="1157"/>
      <c r="BQ367" s="1157"/>
      <c r="BR367" s="1157"/>
      <c r="BS367" s="1157"/>
      <c r="BT367" s="1157"/>
      <c r="BU367" s="1157"/>
      <c r="BV367" s="1157"/>
      <c r="BW367" s="1157"/>
      <c r="BX367" s="1157"/>
      <c r="BY367" s="1157"/>
      <c r="BZ367" s="1157"/>
      <c r="CA367" s="1157"/>
      <c r="CB367" s="1157"/>
    </row>
    <row r="368" spans="1:84" x14ac:dyDescent="0.3">
      <c r="A368" s="1159">
        <v>44</v>
      </c>
      <c r="B368" s="1154"/>
      <c r="C368" s="1228">
        <v>44</v>
      </c>
      <c r="D368" s="1146" t="s">
        <v>627</v>
      </c>
      <c r="E368" s="1155" t="s">
        <v>335</v>
      </c>
      <c r="F368" s="1156">
        <v>0</v>
      </c>
      <c r="G368" s="1156">
        <v>0</v>
      </c>
      <c r="H368" s="1156">
        <v>688803</v>
      </c>
      <c r="I368" s="1156">
        <v>0</v>
      </c>
      <c r="J368" s="1156">
        <v>0</v>
      </c>
      <c r="K368" s="1156">
        <v>0</v>
      </c>
      <c r="L368" s="1157">
        <v>58722</v>
      </c>
      <c r="M368" s="1157">
        <v>0</v>
      </c>
      <c r="N368" s="1157">
        <v>0</v>
      </c>
      <c r="O368" s="1157">
        <v>0</v>
      </c>
      <c r="P368" s="1157">
        <v>0</v>
      </c>
      <c r="Q368" s="1157">
        <v>1037340</v>
      </c>
      <c r="R368" s="1157">
        <v>0</v>
      </c>
      <c r="S368" s="1157">
        <v>48075856</v>
      </c>
      <c r="T368" s="1157">
        <v>0</v>
      </c>
      <c r="U368" s="1157">
        <v>0</v>
      </c>
      <c r="V368" s="1157">
        <v>45428298</v>
      </c>
      <c r="W368" s="1157">
        <v>8970253</v>
      </c>
      <c r="X368" s="1157">
        <v>15103356</v>
      </c>
      <c r="Y368" s="1157">
        <v>0</v>
      </c>
      <c r="Z368" s="1157">
        <v>326529</v>
      </c>
      <c r="AA368" s="1157">
        <v>5652998</v>
      </c>
      <c r="AB368" s="1157">
        <v>1664612</v>
      </c>
      <c r="AC368" s="1157">
        <v>14581146</v>
      </c>
      <c r="AD368" s="1157">
        <v>1285799</v>
      </c>
      <c r="AE368" s="1157">
        <v>961178</v>
      </c>
      <c r="AF368" s="1157">
        <v>834601</v>
      </c>
      <c r="AG368" s="1157">
        <v>2553314</v>
      </c>
      <c r="AH368" s="1157">
        <v>3644261</v>
      </c>
      <c r="AI368" s="1157">
        <v>2236427</v>
      </c>
      <c r="AJ368" s="1157">
        <v>212747</v>
      </c>
      <c r="AK368" s="1157">
        <v>21285892</v>
      </c>
      <c r="AL368" s="1157">
        <v>845695</v>
      </c>
      <c r="AM368" s="1157">
        <v>405988</v>
      </c>
      <c r="AN368" s="1157">
        <v>0</v>
      </c>
      <c r="AO368" s="1157">
        <v>3760949</v>
      </c>
      <c r="AP368" s="1157">
        <v>0</v>
      </c>
      <c r="AQ368" s="1157">
        <v>0</v>
      </c>
      <c r="AR368" s="1157">
        <v>0</v>
      </c>
      <c r="AS368" s="1157">
        <v>0</v>
      </c>
      <c r="AT368" s="1157">
        <v>4603620</v>
      </c>
      <c r="AU368" s="1157">
        <v>0</v>
      </c>
      <c r="AV368" s="1157">
        <v>884453</v>
      </c>
      <c r="AW368" s="1157">
        <v>34343394</v>
      </c>
      <c r="AX368" s="1157">
        <v>34343394</v>
      </c>
      <c r="AY368" s="1157">
        <v>0</v>
      </c>
      <c r="AZ368" s="1157">
        <v>2061985</v>
      </c>
      <c r="BA368" s="1157">
        <v>5693974</v>
      </c>
      <c r="BB368" s="1157">
        <v>964063</v>
      </c>
      <c r="BC368" s="1157">
        <v>216639</v>
      </c>
      <c r="BD368" s="1157">
        <v>0</v>
      </c>
      <c r="BE368" s="1157">
        <v>197067</v>
      </c>
      <c r="BF368" s="1157">
        <v>14629569</v>
      </c>
      <c r="BG368" s="1157">
        <v>0</v>
      </c>
      <c r="BH368" s="1157">
        <v>125653</v>
      </c>
      <c r="BI368" s="1157">
        <v>103787</v>
      </c>
      <c r="BJ368" s="1157">
        <v>0</v>
      </c>
      <c r="BK368" s="1157">
        <v>269365</v>
      </c>
      <c r="BL368" s="1157">
        <v>0</v>
      </c>
      <c r="BM368" s="1157">
        <v>3088701</v>
      </c>
      <c r="BN368" s="1157">
        <v>0</v>
      </c>
      <c r="BO368" s="1157">
        <v>0</v>
      </c>
      <c r="BP368" s="1157">
        <v>0</v>
      </c>
      <c r="BQ368" s="1157">
        <v>698145</v>
      </c>
      <c r="BR368" s="1157">
        <v>973609</v>
      </c>
      <c r="BS368" s="1157">
        <v>0</v>
      </c>
      <c r="BT368" s="1157">
        <v>364763</v>
      </c>
      <c r="BU368" s="1157">
        <v>0</v>
      </c>
      <c r="BV368" s="1157">
        <v>666238</v>
      </c>
      <c r="BW368" s="1157">
        <v>4788400</v>
      </c>
      <c r="BX368" s="1157">
        <v>0</v>
      </c>
      <c r="BY368" s="1157">
        <v>0</v>
      </c>
      <c r="BZ368" s="1157">
        <v>1234812</v>
      </c>
      <c r="CA368" s="1157">
        <v>16292</v>
      </c>
      <c r="CB368" s="1157">
        <v>0</v>
      </c>
      <c r="CC368" s="1146">
        <v>30119</v>
      </c>
      <c r="CD368" s="1146">
        <v>407931</v>
      </c>
      <c r="CE368" s="1146">
        <v>0</v>
      </c>
      <c r="CF368" s="1146">
        <v>14151</v>
      </c>
    </row>
    <row r="369" spans="1:84" x14ac:dyDescent="0.3">
      <c r="A369" s="1146">
        <v>45</v>
      </c>
      <c r="B369" s="1154"/>
      <c r="C369" s="1228">
        <v>45</v>
      </c>
      <c r="D369" s="1146" t="s">
        <v>628</v>
      </c>
      <c r="E369" s="1155" t="s">
        <v>336</v>
      </c>
      <c r="F369" s="1156">
        <v>0</v>
      </c>
      <c r="G369" s="1156">
        <v>0</v>
      </c>
      <c r="H369" s="1156">
        <v>19516</v>
      </c>
      <c r="I369" s="1156">
        <v>0</v>
      </c>
      <c r="J369" s="1156">
        <v>0</v>
      </c>
      <c r="K369" s="1156">
        <v>0</v>
      </c>
      <c r="L369" s="1157">
        <v>13454</v>
      </c>
      <c r="M369" s="1157">
        <v>0</v>
      </c>
      <c r="N369" s="1157">
        <v>0</v>
      </c>
      <c r="O369" s="1157">
        <v>0</v>
      </c>
      <c r="P369" s="1157">
        <v>0</v>
      </c>
      <c r="Q369" s="1157">
        <v>181288</v>
      </c>
      <c r="R369" s="1157">
        <v>0</v>
      </c>
      <c r="S369" s="1157">
        <v>3728530</v>
      </c>
      <c r="T369" s="1157">
        <v>0</v>
      </c>
      <c r="U369" s="1157">
        <v>0</v>
      </c>
      <c r="V369" s="1157">
        <v>6198506</v>
      </c>
      <c r="W369" s="1157">
        <v>2630498</v>
      </c>
      <c r="X369" s="1157">
        <v>2217394</v>
      </c>
      <c r="Y369" s="1157">
        <v>0</v>
      </c>
      <c r="Z369" s="1157">
        <v>22215</v>
      </c>
      <c r="AA369" s="1157">
        <v>2324928</v>
      </c>
      <c r="AB369" s="1157">
        <v>227913</v>
      </c>
      <c r="AC369" s="1157">
        <v>515723</v>
      </c>
      <c r="AD369" s="1157">
        <v>405844</v>
      </c>
      <c r="AE369" s="1157">
        <v>194796</v>
      </c>
      <c r="AF369" s="1157">
        <v>318355</v>
      </c>
      <c r="AG369" s="1157">
        <v>538162</v>
      </c>
      <c r="AH369" s="1157">
        <v>162890</v>
      </c>
      <c r="AI369" s="1157">
        <v>341634</v>
      </c>
      <c r="AJ369" s="1157">
        <v>114500</v>
      </c>
      <c r="AK369" s="1157">
        <v>5067819</v>
      </c>
      <c r="AL369" s="1157">
        <v>29947</v>
      </c>
      <c r="AM369" s="1157">
        <v>17300</v>
      </c>
      <c r="AN369" s="1157">
        <v>0</v>
      </c>
      <c r="AO369" s="1157">
        <v>1700729</v>
      </c>
      <c r="AP369" s="1157">
        <v>0</v>
      </c>
      <c r="AQ369" s="1157">
        <v>0</v>
      </c>
      <c r="AR369" s="1157">
        <v>0</v>
      </c>
      <c r="AS369" s="1157">
        <v>0</v>
      </c>
      <c r="AT369" s="1157">
        <v>991000</v>
      </c>
      <c r="AU369" s="1157">
        <v>0</v>
      </c>
      <c r="AV369" s="1157">
        <v>627672</v>
      </c>
      <c r="AW369" s="1157">
        <v>1377298</v>
      </c>
      <c r="AX369" s="1157">
        <v>1377298</v>
      </c>
      <c r="AY369" s="1157">
        <v>0</v>
      </c>
      <c r="AZ369" s="1157">
        <v>155279</v>
      </c>
      <c r="BA369" s="1157">
        <v>224450</v>
      </c>
      <c r="BB369" s="1157">
        <v>39784</v>
      </c>
      <c r="BC369" s="1157">
        <v>60806</v>
      </c>
      <c r="BD369" s="1157">
        <v>0</v>
      </c>
      <c r="BE369" s="1157">
        <v>18798</v>
      </c>
      <c r="BF369" s="1157">
        <v>7101239</v>
      </c>
      <c r="BG369" s="1157">
        <v>0</v>
      </c>
      <c r="BH369" s="1157">
        <v>125653</v>
      </c>
      <c r="BI369" s="1157">
        <v>5856</v>
      </c>
      <c r="BJ369" s="1157">
        <v>0</v>
      </c>
      <c r="BK369" s="1157">
        <v>9645</v>
      </c>
      <c r="BL369" s="1157">
        <v>0</v>
      </c>
      <c r="BM369" s="1157">
        <v>231445</v>
      </c>
      <c r="BN369" s="1157">
        <v>0</v>
      </c>
      <c r="BO369" s="1157">
        <v>0</v>
      </c>
      <c r="BP369" s="1157">
        <v>0</v>
      </c>
      <c r="BQ369" s="1157">
        <v>56332</v>
      </c>
      <c r="BR369" s="1157">
        <v>88854</v>
      </c>
      <c r="BS369" s="1157">
        <v>0</v>
      </c>
      <c r="BT369" s="1157">
        <v>4916</v>
      </c>
      <c r="BU369" s="1157">
        <v>0</v>
      </c>
      <c r="BV369" s="1157">
        <v>71151</v>
      </c>
      <c r="BW369" s="1157">
        <v>245635</v>
      </c>
      <c r="BX369" s="1157">
        <v>0</v>
      </c>
      <c r="BY369" s="1157">
        <v>0</v>
      </c>
      <c r="BZ369" s="1157">
        <v>42628</v>
      </c>
      <c r="CA369" s="1157">
        <v>14533</v>
      </c>
      <c r="CB369" s="1157">
        <v>0</v>
      </c>
      <c r="CC369" s="1146">
        <v>11087</v>
      </c>
      <c r="CD369" s="1146">
        <v>30489</v>
      </c>
      <c r="CE369" s="1146">
        <v>0</v>
      </c>
      <c r="CF369" s="1146">
        <v>0</v>
      </c>
    </row>
    <row r="370" spans="1:84" x14ac:dyDescent="0.3">
      <c r="A370" s="1153">
        <v>47</v>
      </c>
      <c r="B370" s="1154">
        <v>47</v>
      </c>
      <c r="C370" s="1228">
        <v>47</v>
      </c>
      <c r="D370" s="1146" t="s">
        <v>630</v>
      </c>
      <c r="E370" s="1155" t="s">
        <v>338</v>
      </c>
      <c r="F370" s="1156">
        <v>0</v>
      </c>
      <c r="G370" s="1156">
        <v>0</v>
      </c>
      <c r="H370" s="1156">
        <v>0</v>
      </c>
      <c r="I370" s="1156">
        <v>0</v>
      </c>
      <c r="J370" s="1156">
        <v>0</v>
      </c>
      <c r="K370" s="1156">
        <v>0</v>
      </c>
      <c r="L370" s="1157">
        <v>0</v>
      </c>
      <c r="M370" s="1157">
        <v>0</v>
      </c>
      <c r="N370" s="1157">
        <v>0</v>
      </c>
      <c r="O370" s="1157">
        <v>0</v>
      </c>
      <c r="P370" s="1157">
        <v>0</v>
      </c>
      <c r="Q370" s="1157">
        <v>0</v>
      </c>
      <c r="R370" s="1157">
        <v>0</v>
      </c>
      <c r="S370" s="1157">
        <v>77170047</v>
      </c>
      <c r="T370" s="1157">
        <v>0</v>
      </c>
      <c r="U370" s="1157">
        <v>0</v>
      </c>
      <c r="V370" s="1157">
        <v>0</v>
      </c>
      <c r="W370" s="1157">
        <v>0</v>
      </c>
      <c r="X370" s="1157">
        <v>19672002</v>
      </c>
      <c r="Y370" s="1157">
        <v>0</v>
      </c>
      <c r="Z370" s="1157">
        <v>0</v>
      </c>
      <c r="AA370" s="1157">
        <v>0</v>
      </c>
      <c r="AB370" s="1157">
        <v>0</v>
      </c>
      <c r="AC370" s="1157">
        <v>0</v>
      </c>
      <c r="AD370" s="1157">
        <v>0</v>
      </c>
      <c r="AE370" s="1157">
        <v>0</v>
      </c>
      <c r="AF370" s="1157">
        <v>0</v>
      </c>
      <c r="AG370" s="1157">
        <v>0</v>
      </c>
      <c r="AH370" s="1157">
        <v>0</v>
      </c>
      <c r="AI370" s="1157">
        <v>0</v>
      </c>
      <c r="AJ370" s="1157">
        <v>0</v>
      </c>
      <c r="AK370" s="1157">
        <v>26191217</v>
      </c>
      <c r="AL370" s="1157">
        <v>0</v>
      </c>
      <c r="AM370" s="1157">
        <v>0</v>
      </c>
      <c r="AN370" s="1157">
        <v>0</v>
      </c>
      <c r="AO370" s="1157">
        <v>10822715</v>
      </c>
      <c r="AP370" s="1157">
        <v>0</v>
      </c>
      <c r="AQ370" s="1157">
        <v>0</v>
      </c>
      <c r="AR370" s="1157">
        <v>0</v>
      </c>
      <c r="AS370" s="1157">
        <v>0</v>
      </c>
      <c r="AT370" s="1157">
        <v>0</v>
      </c>
      <c r="AU370" s="1157">
        <v>0</v>
      </c>
      <c r="AV370" s="1157">
        <v>0</v>
      </c>
      <c r="AW370" s="1157">
        <v>0</v>
      </c>
      <c r="AX370" s="1157">
        <v>0</v>
      </c>
      <c r="AY370" s="1157">
        <v>0</v>
      </c>
      <c r="AZ370" s="1157">
        <v>0</v>
      </c>
      <c r="BA370" s="1157">
        <v>0</v>
      </c>
      <c r="BB370" s="1157">
        <v>0</v>
      </c>
      <c r="BC370" s="1157">
        <v>0</v>
      </c>
      <c r="BD370" s="1157">
        <v>0</v>
      </c>
      <c r="BE370" s="1157">
        <v>0</v>
      </c>
      <c r="BF370" s="1157">
        <v>0</v>
      </c>
      <c r="BG370" s="1157">
        <v>0</v>
      </c>
      <c r="BH370" s="1157">
        <v>0</v>
      </c>
      <c r="BI370" s="1157">
        <v>0</v>
      </c>
      <c r="BJ370" s="1157">
        <v>0</v>
      </c>
      <c r="BK370" s="1157">
        <v>0</v>
      </c>
      <c r="BL370" s="1157">
        <v>0</v>
      </c>
      <c r="BM370" s="1157">
        <v>0</v>
      </c>
      <c r="BN370" s="1157">
        <v>0</v>
      </c>
      <c r="BO370" s="1157">
        <v>0</v>
      </c>
      <c r="BP370" s="1157">
        <v>0</v>
      </c>
      <c r="BQ370" s="1157">
        <v>0</v>
      </c>
      <c r="BR370" s="1157">
        <v>0</v>
      </c>
      <c r="BS370" s="1157">
        <v>0</v>
      </c>
      <c r="BT370" s="1157">
        <v>1120129</v>
      </c>
      <c r="BU370" s="1157">
        <v>6199211</v>
      </c>
      <c r="BV370" s="1157">
        <v>0</v>
      </c>
      <c r="BW370" s="1157">
        <v>0</v>
      </c>
      <c r="BX370" s="1157">
        <v>0</v>
      </c>
      <c r="BY370" s="1157">
        <v>0</v>
      </c>
      <c r="BZ370" s="1157">
        <v>0</v>
      </c>
      <c r="CA370" s="1157">
        <v>0</v>
      </c>
      <c r="CB370" s="1157">
        <v>0</v>
      </c>
      <c r="CC370" s="1146">
        <v>0</v>
      </c>
      <c r="CD370" s="1146">
        <v>0</v>
      </c>
      <c r="CE370" s="1146">
        <v>0</v>
      </c>
      <c r="CF370" s="1146">
        <v>0</v>
      </c>
    </row>
    <row r="371" spans="1:84" x14ac:dyDescent="0.3">
      <c r="A371" s="1153">
        <v>48</v>
      </c>
      <c r="B371" s="1154">
        <v>48</v>
      </c>
      <c r="C371" s="1228">
        <v>48</v>
      </c>
      <c r="D371" s="1146" t="s">
        <v>123</v>
      </c>
      <c r="E371" s="1155" t="s">
        <v>339</v>
      </c>
      <c r="F371" s="1156">
        <v>0</v>
      </c>
      <c r="G371" s="1156">
        <v>0</v>
      </c>
      <c r="H371" s="1156">
        <v>0</v>
      </c>
      <c r="I371" s="1156">
        <v>0</v>
      </c>
      <c r="J371" s="1156">
        <v>0</v>
      </c>
      <c r="K371" s="1156">
        <v>0</v>
      </c>
      <c r="L371" s="1157">
        <v>0</v>
      </c>
      <c r="M371" s="1157">
        <v>0</v>
      </c>
      <c r="N371" s="1157">
        <v>0</v>
      </c>
      <c r="O371" s="1157">
        <v>0</v>
      </c>
      <c r="P371" s="1157">
        <v>0</v>
      </c>
      <c r="Q371" s="1157">
        <v>0</v>
      </c>
      <c r="R371" s="1157">
        <v>0</v>
      </c>
      <c r="S371" s="1157">
        <v>5634981</v>
      </c>
      <c r="T371" s="1157">
        <v>0</v>
      </c>
      <c r="U371" s="1157">
        <v>0</v>
      </c>
      <c r="V371" s="1157">
        <v>0</v>
      </c>
      <c r="W371" s="1157">
        <v>0</v>
      </c>
      <c r="X371" s="1157">
        <v>2521780</v>
      </c>
      <c r="Y371" s="1157">
        <v>0</v>
      </c>
      <c r="Z371" s="1157">
        <v>0</v>
      </c>
      <c r="AA371" s="1157">
        <v>0</v>
      </c>
      <c r="AB371" s="1157">
        <v>0</v>
      </c>
      <c r="AC371" s="1157">
        <v>0</v>
      </c>
      <c r="AD371" s="1157">
        <v>0</v>
      </c>
      <c r="AE371" s="1157">
        <v>0</v>
      </c>
      <c r="AF371" s="1157">
        <v>0</v>
      </c>
      <c r="AG371" s="1157">
        <v>0</v>
      </c>
      <c r="AH371" s="1157">
        <v>0</v>
      </c>
      <c r="AI371" s="1157">
        <v>0</v>
      </c>
      <c r="AJ371" s="1157">
        <v>0</v>
      </c>
      <c r="AK371" s="1157">
        <v>8067985</v>
      </c>
      <c r="AL371" s="1157">
        <v>0</v>
      </c>
      <c r="AM371" s="1157">
        <v>0</v>
      </c>
      <c r="AN371" s="1157">
        <v>0</v>
      </c>
      <c r="AO371" s="1157">
        <v>1900716</v>
      </c>
      <c r="AP371" s="1157">
        <v>0</v>
      </c>
      <c r="AQ371" s="1157">
        <v>0</v>
      </c>
      <c r="AR371" s="1157">
        <v>0</v>
      </c>
      <c r="AS371" s="1157">
        <v>0</v>
      </c>
      <c r="AT371" s="1157">
        <v>0</v>
      </c>
      <c r="AU371" s="1157">
        <v>0</v>
      </c>
      <c r="AV371" s="1157">
        <v>0</v>
      </c>
      <c r="AW371" s="1157">
        <v>0</v>
      </c>
      <c r="AX371" s="1157">
        <v>0</v>
      </c>
      <c r="AY371" s="1157">
        <v>0</v>
      </c>
      <c r="AZ371" s="1157">
        <v>0</v>
      </c>
      <c r="BA371" s="1157">
        <v>0</v>
      </c>
      <c r="BB371" s="1157">
        <v>0</v>
      </c>
      <c r="BC371" s="1157">
        <v>0</v>
      </c>
      <c r="BD371" s="1157">
        <v>0</v>
      </c>
      <c r="BE371" s="1157">
        <v>0</v>
      </c>
      <c r="BF371" s="1157">
        <v>0</v>
      </c>
      <c r="BG371" s="1157">
        <v>0</v>
      </c>
      <c r="BH371" s="1157">
        <v>0</v>
      </c>
      <c r="BI371" s="1157">
        <v>0</v>
      </c>
      <c r="BJ371" s="1157">
        <v>0</v>
      </c>
      <c r="BK371" s="1157">
        <v>0</v>
      </c>
      <c r="BL371" s="1157">
        <v>0</v>
      </c>
      <c r="BM371" s="1157">
        <v>0</v>
      </c>
      <c r="BN371" s="1157">
        <v>0</v>
      </c>
      <c r="BO371" s="1157">
        <v>0</v>
      </c>
      <c r="BP371" s="1157">
        <v>0</v>
      </c>
      <c r="BQ371" s="1157">
        <v>0</v>
      </c>
      <c r="BR371" s="1157">
        <v>0</v>
      </c>
      <c r="BS371" s="1157">
        <v>0</v>
      </c>
      <c r="BT371" s="1157">
        <v>45551</v>
      </c>
      <c r="BU371" s="1157">
        <v>994129</v>
      </c>
      <c r="BV371" s="1157">
        <v>0</v>
      </c>
      <c r="BW371" s="1157">
        <v>0</v>
      </c>
      <c r="BX371" s="1157">
        <v>0</v>
      </c>
      <c r="BY371" s="1157">
        <v>0</v>
      </c>
      <c r="BZ371" s="1157">
        <v>0</v>
      </c>
      <c r="CA371" s="1157">
        <v>0</v>
      </c>
      <c r="CB371" s="1157">
        <v>0</v>
      </c>
      <c r="CC371" s="1146">
        <v>0</v>
      </c>
      <c r="CD371" s="1146">
        <v>0</v>
      </c>
      <c r="CE371" s="1146">
        <v>0</v>
      </c>
      <c r="CF371" s="1146">
        <v>0</v>
      </c>
    </row>
    <row r="372" spans="1:84" x14ac:dyDescent="0.3">
      <c r="A372" s="1153">
        <v>336</v>
      </c>
      <c r="B372" s="1154" t="s">
        <v>1765</v>
      </c>
      <c r="C372" s="1228">
        <v>336</v>
      </c>
      <c r="D372" s="1146" t="s">
        <v>637</v>
      </c>
      <c r="E372" s="1155" t="s">
        <v>419</v>
      </c>
      <c r="F372" s="1156">
        <v>0</v>
      </c>
      <c r="G372" s="1156">
        <v>0</v>
      </c>
      <c r="H372" s="1156">
        <v>55108</v>
      </c>
      <c r="I372" s="1156">
        <v>83058</v>
      </c>
      <c r="J372" s="1156">
        <v>246106</v>
      </c>
      <c r="K372" s="1156">
        <v>55854</v>
      </c>
      <c r="L372" s="1157">
        <v>751</v>
      </c>
      <c r="M372" s="1157">
        <v>2247</v>
      </c>
      <c r="N372" s="1157">
        <v>5367</v>
      </c>
      <c r="O372" s="1157">
        <v>0</v>
      </c>
      <c r="P372" s="1157">
        <v>48058</v>
      </c>
      <c r="Q372" s="1157">
        <v>310335</v>
      </c>
      <c r="R372" s="1157">
        <v>843</v>
      </c>
      <c r="S372" s="1157">
        <v>7444490</v>
      </c>
      <c r="T372" s="1157">
        <v>0</v>
      </c>
      <c r="U372" s="1157">
        <v>1261</v>
      </c>
      <c r="V372" s="1157">
        <v>12189487</v>
      </c>
      <c r="W372" s="1157">
        <v>2390179</v>
      </c>
      <c r="X372" s="1157">
        <v>2158498</v>
      </c>
      <c r="Y372" s="1157">
        <v>5515154</v>
      </c>
      <c r="Z372" s="1157">
        <v>17752</v>
      </c>
      <c r="AA372" s="1157">
        <v>1352373</v>
      </c>
      <c r="AB372" s="1157">
        <v>50214</v>
      </c>
      <c r="AC372" s="1157">
        <v>1707114</v>
      </c>
      <c r="AD372" s="1157">
        <v>138784</v>
      </c>
      <c r="AE372" s="1157">
        <v>160282</v>
      </c>
      <c r="AF372" s="1157">
        <v>36570</v>
      </c>
      <c r="AG372" s="1157">
        <v>137648</v>
      </c>
      <c r="AH372" s="1157">
        <v>4327718</v>
      </c>
      <c r="AI372" s="1157">
        <v>304921</v>
      </c>
      <c r="AJ372" s="1157">
        <v>58159</v>
      </c>
      <c r="AK372" s="1157">
        <v>5516935</v>
      </c>
      <c r="AL372" s="1157">
        <v>132981</v>
      </c>
      <c r="AM372" s="1157">
        <v>72207</v>
      </c>
      <c r="AN372" s="1157">
        <v>0</v>
      </c>
      <c r="AO372" s="1157">
        <v>2594148</v>
      </c>
      <c r="AP372" s="1157">
        <v>0</v>
      </c>
      <c r="AQ372" s="1157">
        <v>0</v>
      </c>
      <c r="AR372" s="1157">
        <v>243</v>
      </c>
      <c r="AS372" s="1157">
        <v>808930</v>
      </c>
      <c r="AT372" s="1157">
        <v>425371</v>
      </c>
      <c r="AU372" s="1157">
        <v>8106</v>
      </c>
      <c r="AV372" s="1157">
        <v>243322</v>
      </c>
      <c r="AW372" s="1157">
        <v>2183299</v>
      </c>
      <c r="AX372" s="1157">
        <v>2183299</v>
      </c>
      <c r="AY372" s="1157">
        <v>311736</v>
      </c>
      <c r="AZ372" s="1157">
        <v>36801</v>
      </c>
      <c r="BA372" s="1157">
        <v>1157759</v>
      </c>
      <c r="BB372" s="1157">
        <v>34470</v>
      </c>
      <c r="BC372" s="1157">
        <v>0</v>
      </c>
      <c r="BD372" s="1157">
        <v>0</v>
      </c>
      <c r="BE372" s="1157">
        <v>16669</v>
      </c>
      <c r="BF372" s="1157">
        <v>488038</v>
      </c>
      <c r="BG372" s="1157">
        <v>1434</v>
      </c>
      <c r="BH372" s="1157">
        <v>6768</v>
      </c>
      <c r="BI372" s="1157">
        <v>13361</v>
      </c>
      <c r="BJ372" s="1157">
        <v>1184</v>
      </c>
      <c r="BK372" s="1157">
        <v>2509</v>
      </c>
      <c r="BL372" s="1157">
        <v>19725</v>
      </c>
      <c r="BM372" s="1157">
        <v>602651</v>
      </c>
      <c r="BN372" s="1157">
        <v>0</v>
      </c>
      <c r="BO372" s="1157">
        <v>0</v>
      </c>
      <c r="BP372" s="1157">
        <v>0</v>
      </c>
      <c r="BQ372" s="1157">
        <v>78579</v>
      </c>
      <c r="BR372" s="1157">
        <v>115327</v>
      </c>
      <c r="BS372" s="1157">
        <v>1392787</v>
      </c>
      <c r="BT372" s="1157">
        <v>63372</v>
      </c>
      <c r="BU372" s="1157">
        <v>919154</v>
      </c>
      <c r="BV372" s="1157">
        <v>66985</v>
      </c>
      <c r="BW372" s="1157">
        <v>315147</v>
      </c>
      <c r="BX372" s="1157">
        <v>21797</v>
      </c>
      <c r="BY372" s="1157">
        <v>0</v>
      </c>
      <c r="BZ372" s="1157">
        <v>39671</v>
      </c>
      <c r="CA372" s="1157">
        <v>2611</v>
      </c>
      <c r="CB372" s="1157">
        <v>0</v>
      </c>
      <c r="CC372" s="1146">
        <v>6491</v>
      </c>
      <c r="CD372" s="1146">
        <v>86280</v>
      </c>
      <c r="CE372" s="1146">
        <v>0</v>
      </c>
      <c r="CF372" s="1146">
        <v>10954</v>
      </c>
    </row>
    <row r="373" spans="1:84" x14ac:dyDescent="0.3">
      <c r="A373" s="1153">
        <v>554</v>
      </c>
      <c r="B373" s="1165">
        <v>554</v>
      </c>
      <c r="C373" s="1166">
        <v>554</v>
      </c>
      <c r="D373" s="1167" t="s">
        <v>578</v>
      </c>
      <c r="E373" s="1160" t="s">
        <v>579</v>
      </c>
      <c r="F373" s="1161">
        <v>0</v>
      </c>
      <c r="G373" s="1161">
        <v>0</v>
      </c>
      <c r="H373" s="1161">
        <v>0</v>
      </c>
      <c r="I373" s="1161">
        <v>0</v>
      </c>
      <c r="J373" s="1161">
        <v>0</v>
      </c>
      <c r="K373" s="1161">
        <v>0</v>
      </c>
      <c r="L373" s="1162">
        <v>0</v>
      </c>
      <c r="M373" s="1162">
        <v>0</v>
      </c>
      <c r="N373" s="1162">
        <v>0</v>
      </c>
      <c r="O373" s="1162">
        <v>74414</v>
      </c>
      <c r="P373" s="1162">
        <v>0</v>
      </c>
      <c r="Q373" s="1162">
        <v>2252389</v>
      </c>
      <c r="R373" s="1162">
        <v>0</v>
      </c>
      <c r="S373" s="1162">
        <v>3252156</v>
      </c>
      <c r="T373" s="1162">
        <v>0</v>
      </c>
      <c r="U373" s="1162">
        <v>0</v>
      </c>
      <c r="V373" s="1162">
        <v>2593686</v>
      </c>
      <c r="W373" s="1162">
        <v>1957476</v>
      </c>
      <c r="X373" s="1162">
        <v>0</v>
      </c>
      <c r="Y373" s="1162">
        <v>0</v>
      </c>
      <c r="Z373" s="1162">
        <v>0</v>
      </c>
      <c r="AA373" s="1162">
        <v>703405</v>
      </c>
      <c r="AB373" s="1162">
        <v>2513192</v>
      </c>
      <c r="AC373" s="1162">
        <v>0</v>
      </c>
      <c r="AD373" s="1162">
        <v>1011415</v>
      </c>
      <c r="AE373" s="1162">
        <v>0</v>
      </c>
      <c r="AF373" s="1162">
        <v>0</v>
      </c>
      <c r="AG373" s="1162">
        <v>984252</v>
      </c>
      <c r="AH373" s="1162">
        <v>7672597</v>
      </c>
      <c r="AI373" s="1162">
        <v>0</v>
      </c>
      <c r="AJ373" s="1162">
        <v>221628</v>
      </c>
      <c r="AK373" s="1162">
        <v>0</v>
      </c>
      <c r="AL373" s="1162">
        <v>0</v>
      </c>
      <c r="AM373" s="1162">
        <v>0</v>
      </c>
      <c r="AN373" s="1162">
        <v>0</v>
      </c>
      <c r="AO373" s="1162">
        <v>0</v>
      </c>
      <c r="AP373" s="1162">
        <v>0</v>
      </c>
      <c r="AQ373" s="1162">
        <v>0</v>
      </c>
      <c r="AR373" s="1162">
        <v>0</v>
      </c>
      <c r="AS373" s="1162">
        <v>4675100</v>
      </c>
      <c r="AT373" s="1162">
        <v>0</v>
      </c>
      <c r="AU373" s="1162">
        <v>0</v>
      </c>
      <c r="AV373" s="1162">
        <v>0</v>
      </c>
      <c r="AW373" s="1162">
        <v>0</v>
      </c>
      <c r="AX373" s="1162">
        <v>288205</v>
      </c>
      <c r="AY373" s="1162">
        <v>0</v>
      </c>
      <c r="AZ373" s="1162">
        <v>0</v>
      </c>
      <c r="BA373" s="1162">
        <v>498297</v>
      </c>
      <c r="BB373" s="1162">
        <v>0</v>
      </c>
      <c r="BC373" s="1162">
        <v>0</v>
      </c>
      <c r="BD373" s="1162">
        <v>0</v>
      </c>
      <c r="BE373" s="1162">
        <v>0</v>
      </c>
      <c r="BF373" s="1162">
        <v>5005319</v>
      </c>
      <c r="BG373" s="1162">
        <v>0</v>
      </c>
      <c r="BH373" s="1162">
        <v>0</v>
      </c>
      <c r="BI373" s="1162">
        <v>0</v>
      </c>
      <c r="BJ373" s="1162">
        <v>0</v>
      </c>
      <c r="BK373" s="1162">
        <v>0</v>
      </c>
      <c r="BL373" s="1162">
        <v>0</v>
      </c>
      <c r="BM373" s="1162">
        <v>0</v>
      </c>
      <c r="BN373" s="1162">
        <v>0</v>
      </c>
      <c r="BO373" s="1162">
        <v>0</v>
      </c>
      <c r="BP373" s="1162">
        <v>5617293</v>
      </c>
      <c r="BQ373" s="1162">
        <v>0</v>
      </c>
      <c r="BR373" s="1162">
        <v>0</v>
      </c>
      <c r="BS373" s="1162">
        <v>70170</v>
      </c>
      <c r="BT373" s="1162">
        <v>79239</v>
      </c>
      <c r="BU373" s="1162">
        <v>0</v>
      </c>
      <c r="BV373" s="1162">
        <v>0</v>
      </c>
      <c r="BW373" s="1162">
        <v>0</v>
      </c>
      <c r="BX373" s="1162">
        <v>0</v>
      </c>
      <c r="BY373" s="1162">
        <v>0</v>
      </c>
      <c r="BZ373" s="1162">
        <v>0</v>
      </c>
      <c r="CA373" s="1162">
        <v>0</v>
      </c>
      <c r="CB373" s="1162">
        <v>0</v>
      </c>
      <c r="CC373" s="1146">
        <v>0</v>
      </c>
      <c r="CD373" s="1146">
        <v>0</v>
      </c>
      <c r="CE373" s="1146">
        <v>0</v>
      </c>
      <c r="CF373" s="1146">
        <v>0</v>
      </c>
    </row>
    <row r="374" spans="1:84" x14ac:dyDescent="0.3">
      <c r="A374" s="1153">
        <v>555</v>
      </c>
      <c r="B374" s="1165">
        <v>555</v>
      </c>
      <c r="C374" s="1166">
        <v>555</v>
      </c>
      <c r="D374" s="1167" t="s">
        <v>580</v>
      </c>
      <c r="E374" s="1160" t="s">
        <v>581</v>
      </c>
      <c r="F374" s="1161">
        <v>0</v>
      </c>
      <c r="G374" s="1161">
        <v>0</v>
      </c>
      <c r="H374" s="1161">
        <v>0</v>
      </c>
      <c r="I374" s="1161">
        <v>0</v>
      </c>
      <c r="J374" s="1161">
        <v>0</v>
      </c>
      <c r="K374" s="1161">
        <v>0</v>
      </c>
      <c r="L374" s="1162">
        <v>0</v>
      </c>
      <c r="M374" s="1162">
        <v>0</v>
      </c>
      <c r="N374" s="1162">
        <v>0</v>
      </c>
      <c r="O374" s="1162">
        <v>0</v>
      </c>
      <c r="P374" s="1162">
        <v>0</v>
      </c>
      <c r="Q374" s="1162">
        <v>2252389</v>
      </c>
      <c r="R374" s="1162">
        <v>0</v>
      </c>
      <c r="S374" s="1162">
        <v>2805423</v>
      </c>
      <c r="T374" s="1162">
        <v>0</v>
      </c>
      <c r="U374" s="1162">
        <v>0</v>
      </c>
      <c r="V374" s="1162">
        <v>2134056</v>
      </c>
      <c r="W374" s="1162">
        <v>1648539</v>
      </c>
      <c r="X374" s="1162">
        <v>0</v>
      </c>
      <c r="Y374" s="1162">
        <v>0</v>
      </c>
      <c r="Z374" s="1162">
        <v>0</v>
      </c>
      <c r="AA374" s="1162">
        <v>0</v>
      </c>
      <c r="AB374" s="1162">
        <v>2472660</v>
      </c>
      <c r="AC374" s="1162">
        <v>0</v>
      </c>
      <c r="AD374" s="1162">
        <v>783521</v>
      </c>
      <c r="AE374" s="1162">
        <v>0</v>
      </c>
      <c r="AF374" s="1162">
        <v>0</v>
      </c>
      <c r="AG374" s="1162">
        <v>493409</v>
      </c>
      <c r="AH374" s="1162">
        <v>7524850</v>
      </c>
      <c r="AI374" s="1162">
        <v>0</v>
      </c>
      <c r="AJ374" s="1162">
        <v>0</v>
      </c>
      <c r="AK374" s="1162">
        <v>0</v>
      </c>
      <c r="AL374" s="1162">
        <v>0</v>
      </c>
      <c r="AM374" s="1162">
        <v>0</v>
      </c>
      <c r="AN374" s="1162">
        <v>0</v>
      </c>
      <c r="AO374" s="1162">
        <v>0</v>
      </c>
      <c r="AP374" s="1162">
        <v>0</v>
      </c>
      <c r="AQ374" s="1162">
        <v>0</v>
      </c>
      <c r="AR374" s="1162">
        <v>0</v>
      </c>
      <c r="AS374" s="1162">
        <v>4651393</v>
      </c>
      <c r="AT374" s="1162">
        <v>0</v>
      </c>
      <c r="AU374" s="1162">
        <v>0</v>
      </c>
      <c r="AV374" s="1162">
        <v>0</v>
      </c>
      <c r="AW374" s="1162">
        <v>0</v>
      </c>
      <c r="AX374" s="1162">
        <v>0</v>
      </c>
      <c r="AY374" s="1162">
        <v>0</v>
      </c>
      <c r="AZ374" s="1162">
        <v>0</v>
      </c>
      <c r="BA374" s="1162">
        <v>0</v>
      </c>
      <c r="BB374" s="1162">
        <v>0</v>
      </c>
      <c r="BC374" s="1162">
        <v>0</v>
      </c>
      <c r="BD374" s="1162">
        <v>0</v>
      </c>
      <c r="BE374" s="1162">
        <v>0</v>
      </c>
      <c r="BF374" s="1162">
        <v>4879802</v>
      </c>
      <c r="BG374" s="1162">
        <v>0</v>
      </c>
      <c r="BH374" s="1162">
        <v>0</v>
      </c>
      <c r="BI374" s="1162">
        <v>0</v>
      </c>
      <c r="BJ374" s="1162">
        <v>0</v>
      </c>
      <c r="BK374" s="1162">
        <v>0</v>
      </c>
      <c r="BL374" s="1162">
        <v>0</v>
      </c>
      <c r="BM374" s="1162">
        <v>0</v>
      </c>
      <c r="BN374" s="1162">
        <v>0</v>
      </c>
      <c r="BO374" s="1162">
        <v>0</v>
      </c>
      <c r="BP374" s="1162">
        <v>5614594</v>
      </c>
      <c r="BQ374" s="1162">
        <v>0</v>
      </c>
      <c r="BR374" s="1162">
        <v>0</v>
      </c>
      <c r="BS374" s="1162">
        <v>0</v>
      </c>
      <c r="BT374" s="1162">
        <v>0</v>
      </c>
      <c r="BU374" s="1162">
        <v>0</v>
      </c>
      <c r="BV374" s="1162">
        <v>0</v>
      </c>
      <c r="BW374" s="1162">
        <v>0</v>
      </c>
      <c r="BX374" s="1162">
        <v>0</v>
      </c>
      <c r="BY374" s="1162">
        <v>0</v>
      </c>
      <c r="BZ374" s="1162">
        <v>0</v>
      </c>
      <c r="CA374" s="1162">
        <v>0</v>
      </c>
      <c r="CB374" s="1162">
        <v>0</v>
      </c>
      <c r="CC374" s="1146">
        <v>0</v>
      </c>
      <c r="CD374" s="1146">
        <v>0</v>
      </c>
      <c r="CE374" s="1146">
        <v>0</v>
      </c>
      <c r="CF374" s="1146">
        <v>0</v>
      </c>
    </row>
    <row r="375" spans="1:84" x14ac:dyDescent="0.3">
      <c r="A375" s="1153">
        <v>556</v>
      </c>
      <c r="B375" s="1175">
        <v>556</v>
      </c>
      <c r="C375" s="1175">
        <v>556</v>
      </c>
      <c r="D375" s="1175" t="s">
        <v>582</v>
      </c>
      <c r="E375" s="1155" t="s">
        <v>583</v>
      </c>
      <c r="F375" s="1156">
        <v>0</v>
      </c>
      <c r="G375" s="1156">
        <v>0</v>
      </c>
      <c r="H375" s="1156">
        <v>0</v>
      </c>
      <c r="I375" s="1156">
        <v>0</v>
      </c>
      <c r="J375" s="1156">
        <v>0</v>
      </c>
      <c r="K375" s="1156">
        <v>0</v>
      </c>
      <c r="L375" s="1157">
        <v>0</v>
      </c>
      <c r="M375" s="1157">
        <v>0</v>
      </c>
      <c r="N375" s="1157">
        <v>0</v>
      </c>
      <c r="O375" s="1157">
        <v>419120</v>
      </c>
      <c r="P375" s="1157">
        <v>0</v>
      </c>
      <c r="Q375" s="1157">
        <v>161208</v>
      </c>
      <c r="R375" s="1157">
        <v>0</v>
      </c>
      <c r="S375" s="1157">
        <v>846879</v>
      </c>
      <c r="T375" s="1157">
        <v>0</v>
      </c>
      <c r="U375" s="1157">
        <v>0</v>
      </c>
      <c r="V375" s="1157">
        <v>1445986</v>
      </c>
      <c r="W375" s="1157">
        <v>1099724</v>
      </c>
      <c r="X375" s="1157">
        <v>0</v>
      </c>
      <c r="Y375" s="1157">
        <v>0</v>
      </c>
      <c r="Z375" s="1157">
        <v>0</v>
      </c>
      <c r="AA375" s="1157">
        <v>750108</v>
      </c>
      <c r="AB375" s="1157">
        <v>84722</v>
      </c>
      <c r="AC375" s="1157">
        <v>0</v>
      </c>
      <c r="AD375" s="1157">
        <v>566518</v>
      </c>
      <c r="AE375" s="1157">
        <v>0</v>
      </c>
      <c r="AF375" s="1157">
        <v>0</v>
      </c>
      <c r="AG375" s="1157">
        <v>856058</v>
      </c>
      <c r="AH375" s="1157">
        <v>359180</v>
      </c>
      <c r="AI375" s="1157">
        <v>0</v>
      </c>
      <c r="AJ375" s="1157">
        <v>544234</v>
      </c>
      <c r="AK375" s="1157">
        <v>0</v>
      </c>
      <c r="AL375" s="1157">
        <v>0</v>
      </c>
      <c r="AM375" s="1157">
        <v>0</v>
      </c>
      <c r="AN375" s="1157">
        <v>0</v>
      </c>
      <c r="AO375" s="1157">
        <v>0</v>
      </c>
      <c r="AP375" s="1157">
        <v>0</v>
      </c>
      <c r="AQ375" s="1157">
        <v>0</v>
      </c>
      <c r="AR375" s="1157">
        <v>0</v>
      </c>
      <c r="AS375" s="1157">
        <v>1926731</v>
      </c>
      <c r="AT375" s="1157">
        <v>0</v>
      </c>
      <c r="AU375" s="1157">
        <v>0</v>
      </c>
      <c r="AV375" s="1157">
        <v>0</v>
      </c>
      <c r="AW375" s="1157">
        <v>0</v>
      </c>
      <c r="AX375" s="1157">
        <v>1262717</v>
      </c>
      <c r="AY375" s="1157">
        <v>0</v>
      </c>
      <c r="AZ375" s="1157">
        <v>0</v>
      </c>
      <c r="BA375" s="1157">
        <v>533305</v>
      </c>
      <c r="BB375" s="1157">
        <v>0</v>
      </c>
      <c r="BC375" s="1157">
        <v>0</v>
      </c>
      <c r="BD375" s="1157">
        <v>0</v>
      </c>
      <c r="BE375" s="1157">
        <v>0</v>
      </c>
      <c r="BF375" s="1157">
        <v>1181348</v>
      </c>
      <c r="BG375" s="1157">
        <v>0</v>
      </c>
      <c r="BH375" s="1157">
        <v>0</v>
      </c>
      <c r="BI375" s="1157">
        <v>0</v>
      </c>
      <c r="BJ375" s="1157">
        <v>0</v>
      </c>
      <c r="BK375" s="1157">
        <v>0</v>
      </c>
      <c r="BL375" s="1157">
        <v>0</v>
      </c>
      <c r="BM375" s="1157">
        <v>0</v>
      </c>
      <c r="BN375" s="1157">
        <v>0</v>
      </c>
      <c r="BO375" s="1157">
        <v>0</v>
      </c>
      <c r="BP375" s="1157">
        <v>1953303</v>
      </c>
      <c r="BQ375" s="1157">
        <v>0</v>
      </c>
      <c r="BR375" s="1157">
        <v>0</v>
      </c>
      <c r="BS375" s="1157">
        <v>501398</v>
      </c>
      <c r="BT375" s="1157">
        <v>856744</v>
      </c>
      <c r="BU375" s="1157">
        <v>0</v>
      </c>
      <c r="BV375" s="1157">
        <v>0</v>
      </c>
      <c r="BW375" s="1157">
        <v>0</v>
      </c>
      <c r="BX375" s="1157">
        <v>0</v>
      </c>
      <c r="BY375" s="1157">
        <v>0</v>
      </c>
      <c r="BZ375" s="1157">
        <v>0</v>
      </c>
      <c r="CA375" s="1157">
        <v>0</v>
      </c>
      <c r="CB375" s="1157">
        <v>0</v>
      </c>
      <c r="CC375" s="1146">
        <v>0</v>
      </c>
      <c r="CD375" s="1146">
        <v>0</v>
      </c>
      <c r="CE375" s="1146">
        <v>0</v>
      </c>
      <c r="CF375" s="1146">
        <v>0</v>
      </c>
    </row>
    <row r="376" spans="1:84" x14ac:dyDescent="0.3">
      <c r="A376" s="1144">
        <v>557</v>
      </c>
      <c r="B376" s="1144">
        <v>557</v>
      </c>
      <c r="C376" s="1145">
        <v>557</v>
      </c>
      <c r="D376" s="1146" t="s">
        <v>584</v>
      </c>
      <c r="E376" s="1191" t="s">
        <v>585</v>
      </c>
      <c r="F376" s="1192">
        <v>0</v>
      </c>
      <c r="G376" s="1192">
        <v>0</v>
      </c>
      <c r="H376" s="1192">
        <v>0</v>
      </c>
      <c r="I376" s="1192">
        <v>0</v>
      </c>
      <c r="J376" s="1192">
        <v>0</v>
      </c>
      <c r="K376" s="1192">
        <v>0</v>
      </c>
      <c r="L376" s="1193">
        <v>0</v>
      </c>
      <c r="M376" s="1193">
        <v>0</v>
      </c>
      <c r="N376" s="1193">
        <v>0</v>
      </c>
      <c r="O376" s="1193">
        <v>419120</v>
      </c>
      <c r="P376" s="1193">
        <v>0</v>
      </c>
      <c r="Q376" s="1193">
        <v>0</v>
      </c>
      <c r="R376" s="1193">
        <v>0</v>
      </c>
      <c r="S376" s="1193">
        <v>602254</v>
      </c>
      <c r="T376" s="1193">
        <v>0</v>
      </c>
      <c r="U376" s="1193">
        <v>0</v>
      </c>
      <c r="V376" s="1193">
        <v>920621</v>
      </c>
      <c r="W376" s="1193">
        <v>826697</v>
      </c>
      <c r="X376" s="1193">
        <v>0</v>
      </c>
      <c r="Y376" s="1193">
        <v>0</v>
      </c>
      <c r="Z376" s="1193">
        <v>0</v>
      </c>
      <c r="AA376" s="1193">
        <v>361352</v>
      </c>
      <c r="AB376" s="1193">
        <v>0</v>
      </c>
      <c r="AC376" s="1193">
        <v>0</v>
      </c>
      <c r="AD376" s="1193">
        <v>0</v>
      </c>
      <c r="AE376" s="1193">
        <v>0</v>
      </c>
      <c r="AF376" s="1193">
        <v>0</v>
      </c>
      <c r="AG376" s="1193">
        <v>754538</v>
      </c>
      <c r="AH376" s="1193">
        <v>0</v>
      </c>
      <c r="AI376" s="1193">
        <v>0</v>
      </c>
      <c r="AJ376" s="1193">
        <v>375000</v>
      </c>
      <c r="AK376" s="1193">
        <v>0</v>
      </c>
      <c r="AL376" s="1193">
        <v>0</v>
      </c>
      <c r="AM376" s="1193">
        <v>0</v>
      </c>
      <c r="AN376" s="1193">
        <v>0</v>
      </c>
      <c r="AO376" s="1193">
        <v>0</v>
      </c>
      <c r="AP376" s="1193">
        <v>0</v>
      </c>
      <c r="AQ376" s="1193">
        <v>0</v>
      </c>
      <c r="AR376" s="1193">
        <v>0</v>
      </c>
      <c r="AS376" s="1193">
        <v>1666667</v>
      </c>
      <c r="AT376" s="1193">
        <v>0</v>
      </c>
      <c r="AU376" s="1193">
        <v>0</v>
      </c>
      <c r="AV376" s="1193">
        <v>0</v>
      </c>
      <c r="AW376" s="1193">
        <v>0</v>
      </c>
      <c r="AX376" s="1193">
        <v>834479</v>
      </c>
      <c r="AY376" s="1193">
        <v>0</v>
      </c>
      <c r="AZ376" s="1193">
        <v>0</v>
      </c>
      <c r="BA376" s="1193">
        <v>394297</v>
      </c>
      <c r="BB376" s="1193">
        <v>0</v>
      </c>
      <c r="BC376" s="1193">
        <v>0</v>
      </c>
      <c r="BD376" s="1193">
        <v>0</v>
      </c>
      <c r="BE376" s="1193">
        <v>0</v>
      </c>
      <c r="BF376" s="1193">
        <v>749321</v>
      </c>
      <c r="BG376" s="1193">
        <v>0</v>
      </c>
      <c r="BH376" s="1193">
        <v>0</v>
      </c>
      <c r="BI376" s="1193">
        <v>0</v>
      </c>
      <c r="BJ376" s="1193">
        <v>0</v>
      </c>
      <c r="BK376" s="1193">
        <v>0</v>
      </c>
      <c r="BL376" s="1193">
        <v>0</v>
      </c>
      <c r="BM376" s="1193">
        <v>0</v>
      </c>
      <c r="BN376" s="1193">
        <v>0</v>
      </c>
      <c r="BO376" s="1193">
        <v>0</v>
      </c>
      <c r="BP376" s="1193">
        <v>1871531</v>
      </c>
      <c r="BQ376" s="1193">
        <v>0</v>
      </c>
      <c r="BR376" s="1193">
        <v>0</v>
      </c>
      <c r="BS376" s="1193">
        <v>501098</v>
      </c>
      <c r="BT376" s="1193">
        <v>732261</v>
      </c>
      <c r="BU376" s="1193">
        <v>0</v>
      </c>
      <c r="BV376" s="1193">
        <v>0</v>
      </c>
      <c r="BW376" s="1193">
        <v>0</v>
      </c>
      <c r="BX376" s="1193">
        <v>0</v>
      </c>
      <c r="BY376" s="1193">
        <v>0</v>
      </c>
      <c r="BZ376" s="1193">
        <v>0</v>
      </c>
      <c r="CA376" s="1193">
        <v>0</v>
      </c>
      <c r="CB376" s="1193">
        <v>0</v>
      </c>
      <c r="CC376" s="1146">
        <v>0</v>
      </c>
      <c r="CD376" s="1146">
        <v>0</v>
      </c>
      <c r="CE376" s="1146">
        <v>0</v>
      </c>
      <c r="CF376" s="1146">
        <v>0</v>
      </c>
    </row>
    <row r="377" spans="1:84" x14ac:dyDescent="0.3">
      <c r="A377" s="1153">
        <v>606</v>
      </c>
      <c r="B377" s="1165"/>
      <c r="C377" s="1168">
        <v>606</v>
      </c>
      <c r="D377" s="1167" t="s">
        <v>714</v>
      </c>
      <c r="E377" s="1160"/>
      <c r="F377" s="1161">
        <v>0</v>
      </c>
      <c r="G377" s="1161">
        <v>0</v>
      </c>
      <c r="H377" s="1161">
        <v>0</v>
      </c>
      <c r="I377" s="1161">
        <v>0</v>
      </c>
      <c r="J377" s="1161">
        <v>0</v>
      </c>
      <c r="K377" s="1161">
        <v>0</v>
      </c>
      <c r="L377" s="1162">
        <v>0</v>
      </c>
      <c r="M377" s="1162">
        <v>0</v>
      </c>
      <c r="N377" s="1162">
        <v>0</v>
      </c>
      <c r="O377" s="1162">
        <v>1</v>
      </c>
      <c r="P377" s="1162">
        <v>0</v>
      </c>
      <c r="Q377" s="1162">
        <v>1</v>
      </c>
      <c r="R377" s="1162">
        <v>0</v>
      </c>
      <c r="S377" s="1162">
        <v>1</v>
      </c>
      <c r="T377" s="1162">
        <v>0</v>
      </c>
      <c r="U377" s="1162">
        <v>0</v>
      </c>
      <c r="V377" s="1162">
        <v>1</v>
      </c>
      <c r="W377" s="1162">
        <v>1</v>
      </c>
      <c r="X377" s="1162">
        <v>0</v>
      </c>
      <c r="Y377" s="1162">
        <v>0</v>
      </c>
      <c r="Z377" s="1162">
        <v>0</v>
      </c>
      <c r="AA377" s="1162">
        <v>1</v>
      </c>
      <c r="AB377" s="1162">
        <v>1</v>
      </c>
      <c r="AC377" s="1162">
        <v>0</v>
      </c>
      <c r="AD377" s="1162">
        <v>1</v>
      </c>
      <c r="AE377" s="1162">
        <v>0</v>
      </c>
      <c r="AF377" s="1162">
        <v>0</v>
      </c>
      <c r="AG377" s="1162">
        <v>1</v>
      </c>
      <c r="AH377" s="1162">
        <v>1</v>
      </c>
      <c r="AI377" s="1162">
        <v>0</v>
      </c>
      <c r="AJ377" s="1162">
        <v>1</v>
      </c>
      <c r="AK377" s="1162">
        <v>0</v>
      </c>
      <c r="AL377" s="1162">
        <v>0</v>
      </c>
      <c r="AM377" s="1162">
        <v>0</v>
      </c>
      <c r="AN377" s="1162">
        <v>0</v>
      </c>
      <c r="AO377" s="1162">
        <v>0</v>
      </c>
      <c r="AP377" s="1162">
        <v>0</v>
      </c>
      <c r="AQ377" s="1162">
        <v>0</v>
      </c>
      <c r="AR377" s="1162">
        <v>0</v>
      </c>
      <c r="AS377" s="1162">
        <v>1</v>
      </c>
      <c r="AT377" s="1162">
        <v>0</v>
      </c>
      <c r="AU377" s="1162">
        <v>0</v>
      </c>
      <c r="AV377" s="1162">
        <v>0</v>
      </c>
      <c r="AW377" s="1162">
        <v>0</v>
      </c>
      <c r="AX377" s="1162">
        <v>1</v>
      </c>
      <c r="AY377" s="1162">
        <v>0</v>
      </c>
      <c r="AZ377" s="1162">
        <v>0</v>
      </c>
      <c r="BA377" s="1162">
        <v>1</v>
      </c>
      <c r="BB377" s="1162">
        <v>0</v>
      </c>
      <c r="BC377" s="1162">
        <v>0</v>
      </c>
      <c r="BD377" s="1162">
        <v>0</v>
      </c>
      <c r="BE377" s="1162">
        <v>0</v>
      </c>
      <c r="BF377" s="1162">
        <v>1</v>
      </c>
      <c r="BG377" s="1162">
        <v>0</v>
      </c>
      <c r="BH377" s="1162">
        <v>0</v>
      </c>
      <c r="BI377" s="1162">
        <v>0</v>
      </c>
      <c r="BJ377" s="1162">
        <v>0</v>
      </c>
      <c r="BK377" s="1162">
        <v>0</v>
      </c>
      <c r="BL377" s="1162">
        <v>0</v>
      </c>
      <c r="BM377" s="1162">
        <v>0</v>
      </c>
      <c r="BN377" s="1162">
        <v>0</v>
      </c>
      <c r="BO377" s="1162">
        <v>0</v>
      </c>
      <c r="BP377" s="1162">
        <v>1</v>
      </c>
      <c r="BQ377" s="1162">
        <v>0</v>
      </c>
      <c r="BR377" s="1162">
        <v>0</v>
      </c>
      <c r="BS377" s="1162">
        <v>1</v>
      </c>
      <c r="BT377" s="1162">
        <v>1</v>
      </c>
      <c r="BU377" s="1162">
        <v>0</v>
      </c>
      <c r="BV377" s="1162">
        <v>0</v>
      </c>
      <c r="BW377" s="1162">
        <v>0</v>
      </c>
      <c r="BX377" s="1162">
        <v>0</v>
      </c>
      <c r="BY377" s="1162">
        <v>0</v>
      </c>
      <c r="BZ377" s="1162">
        <v>0</v>
      </c>
      <c r="CA377" s="1162">
        <v>0</v>
      </c>
      <c r="CB377" s="1162">
        <v>0</v>
      </c>
      <c r="CC377" s="1146">
        <v>0</v>
      </c>
      <c r="CD377" s="1146">
        <v>0</v>
      </c>
      <c r="CE377" s="1146">
        <v>0</v>
      </c>
      <c r="CF377" s="1146">
        <v>0</v>
      </c>
    </row>
    <row r="378" spans="1:84" x14ac:dyDescent="0.3">
      <c r="A378" s="1144">
        <v>662</v>
      </c>
      <c r="B378" s="1144">
        <v>662</v>
      </c>
      <c r="C378" s="1145"/>
      <c r="E378" s="1191"/>
      <c r="F378" s="1192">
        <v>0</v>
      </c>
      <c r="G378" s="1192">
        <v>0</v>
      </c>
      <c r="H378" s="1192">
        <v>0</v>
      </c>
      <c r="I378" s="1192">
        <v>0</v>
      </c>
      <c r="J378" s="1192">
        <v>0</v>
      </c>
      <c r="K378" s="1192">
        <v>0</v>
      </c>
      <c r="L378" s="1193">
        <v>0</v>
      </c>
      <c r="M378" s="1193">
        <v>0</v>
      </c>
      <c r="N378" s="1193">
        <v>0</v>
      </c>
      <c r="O378" s="1193">
        <v>54072</v>
      </c>
      <c r="P378" s="1193">
        <v>0</v>
      </c>
      <c r="Q378" s="1193">
        <v>0</v>
      </c>
      <c r="R378" s="1193">
        <v>0</v>
      </c>
      <c r="S378" s="1193">
        <v>888729</v>
      </c>
      <c r="T378" s="1193">
        <v>0</v>
      </c>
      <c r="U378" s="1193">
        <v>0</v>
      </c>
      <c r="V378" s="1193">
        <v>139646</v>
      </c>
      <c r="W378" s="1193">
        <v>0</v>
      </c>
      <c r="X378" s="1193">
        <v>0</v>
      </c>
      <c r="Y378" s="1193">
        <v>0</v>
      </c>
      <c r="Z378" s="1193">
        <v>0</v>
      </c>
      <c r="AA378" s="1193">
        <v>0</v>
      </c>
      <c r="AB378" s="1193">
        <v>0</v>
      </c>
      <c r="AC378" s="1193">
        <v>0</v>
      </c>
      <c r="AD378" s="1193">
        <v>0</v>
      </c>
      <c r="AE378" s="1193">
        <v>0</v>
      </c>
      <c r="AF378" s="1193">
        <v>0</v>
      </c>
      <c r="AG378" s="1193">
        <v>37432</v>
      </c>
      <c r="AH378" s="1193">
        <v>76958</v>
      </c>
      <c r="AI378" s="1193">
        <v>0</v>
      </c>
      <c r="AJ378" s="1193">
        <v>0</v>
      </c>
      <c r="AK378" s="1193">
        <v>0</v>
      </c>
      <c r="AL378" s="1193">
        <v>0</v>
      </c>
      <c r="AM378" s="1193">
        <v>0</v>
      </c>
      <c r="AN378" s="1193">
        <v>0</v>
      </c>
      <c r="AO378" s="1193">
        <v>0</v>
      </c>
      <c r="AP378" s="1193">
        <v>0</v>
      </c>
      <c r="AQ378" s="1193">
        <v>0</v>
      </c>
      <c r="AR378" s="1193">
        <v>0</v>
      </c>
      <c r="AS378" s="1193">
        <v>0</v>
      </c>
      <c r="AT378" s="1193">
        <v>0</v>
      </c>
      <c r="AU378" s="1193">
        <v>0</v>
      </c>
      <c r="AV378" s="1193">
        <v>0</v>
      </c>
      <c r="AW378" s="1193">
        <v>0</v>
      </c>
      <c r="AX378" s="1193">
        <v>0</v>
      </c>
      <c r="AY378" s="1193">
        <v>0</v>
      </c>
      <c r="AZ378" s="1193">
        <v>0</v>
      </c>
      <c r="BA378" s="1193">
        <v>0</v>
      </c>
      <c r="BB378" s="1193">
        <v>0</v>
      </c>
      <c r="BC378" s="1193">
        <v>0</v>
      </c>
      <c r="BD378" s="1193">
        <v>0</v>
      </c>
      <c r="BE378" s="1193">
        <v>0</v>
      </c>
      <c r="BF378" s="1193">
        <v>0</v>
      </c>
      <c r="BG378" s="1193">
        <v>0</v>
      </c>
      <c r="BH378" s="1193">
        <v>0</v>
      </c>
      <c r="BI378" s="1193">
        <v>0</v>
      </c>
      <c r="BJ378" s="1193">
        <v>0</v>
      </c>
      <c r="BK378" s="1193">
        <v>0</v>
      </c>
      <c r="BL378" s="1193">
        <v>0</v>
      </c>
      <c r="BM378" s="1193">
        <v>0</v>
      </c>
      <c r="BN378" s="1193">
        <v>0</v>
      </c>
      <c r="BO378" s="1193">
        <v>0</v>
      </c>
      <c r="BP378" s="1193">
        <v>0</v>
      </c>
      <c r="BQ378" s="1193">
        <v>0</v>
      </c>
      <c r="BR378" s="1193">
        <v>0</v>
      </c>
      <c r="BS378" s="1193">
        <v>17793</v>
      </c>
      <c r="BT378" s="1193">
        <v>0</v>
      </c>
      <c r="BU378" s="1193">
        <v>0</v>
      </c>
      <c r="BV378" s="1193">
        <v>0</v>
      </c>
      <c r="BW378" s="1193">
        <v>0</v>
      </c>
      <c r="BX378" s="1193">
        <v>0</v>
      </c>
      <c r="BY378" s="1193">
        <v>0</v>
      </c>
      <c r="BZ378" s="1193">
        <v>0</v>
      </c>
      <c r="CA378" s="1193">
        <v>0</v>
      </c>
      <c r="CB378" s="1193">
        <v>0</v>
      </c>
      <c r="CC378" s="1146">
        <v>0</v>
      </c>
      <c r="CD378" s="1146">
        <v>0</v>
      </c>
      <c r="CE378" s="1146">
        <v>0</v>
      </c>
      <c r="CF378" s="1146">
        <v>0</v>
      </c>
    </row>
    <row r="379" spans="1:84" x14ac:dyDescent="0.3">
      <c r="A379" s="1153">
        <v>663</v>
      </c>
      <c r="B379" s="1176">
        <v>663</v>
      </c>
      <c r="C379" s="1228"/>
      <c r="E379" s="1160"/>
      <c r="F379" s="1161">
        <v>0</v>
      </c>
      <c r="G379" s="1161">
        <v>0</v>
      </c>
      <c r="H379" s="1161">
        <v>0</v>
      </c>
      <c r="I379" s="1161">
        <v>0</v>
      </c>
      <c r="J379" s="1161">
        <v>0</v>
      </c>
      <c r="K379" s="1161">
        <v>0</v>
      </c>
      <c r="L379" s="1162">
        <v>0</v>
      </c>
      <c r="M379" s="1162">
        <v>0</v>
      </c>
      <c r="N379" s="1162">
        <v>0</v>
      </c>
      <c r="O379" s="1162">
        <v>0</v>
      </c>
      <c r="P379" s="1162">
        <v>0</v>
      </c>
      <c r="Q379" s="1162">
        <v>0</v>
      </c>
      <c r="R379" s="1162">
        <v>0</v>
      </c>
      <c r="S379" s="1162">
        <v>69000</v>
      </c>
      <c r="T379" s="1162">
        <v>0</v>
      </c>
      <c r="U379" s="1162">
        <v>0</v>
      </c>
      <c r="V379" s="1162">
        <v>0</v>
      </c>
      <c r="W379" s="1162">
        <v>0</v>
      </c>
      <c r="X379" s="1162">
        <v>0</v>
      </c>
      <c r="Y379" s="1162">
        <v>0</v>
      </c>
      <c r="Z379" s="1162">
        <v>0</v>
      </c>
      <c r="AA379" s="1162">
        <v>0</v>
      </c>
      <c r="AB379" s="1162">
        <v>0</v>
      </c>
      <c r="AC379" s="1162">
        <v>0</v>
      </c>
      <c r="AD379" s="1162">
        <v>0</v>
      </c>
      <c r="AE379" s="1162">
        <v>0</v>
      </c>
      <c r="AF379" s="1162">
        <v>0</v>
      </c>
      <c r="AG379" s="1162">
        <v>2237</v>
      </c>
      <c r="AH379" s="1162">
        <v>0</v>
      </c>
      <c r="AI379" s="1162">
        <v>0</v>
      </c>
      <c r="AJ379" s="1162">
        <v>0</v>
      </c>
      <c r="AK379" s="1162">
        <v>0</v>
      </c>
      <c r="AL379" s="1162">
        <v>0</v>
      </c>
      <c r="AM379" s="1162">
        <v>0</v>
      </c>
      <c r="AN379" s="1162">
        <v>0</v>
      </c>
      <c r="AO379" s="1162">
        <v>0</v>
      </c>
      <c r="AP379" s="1162">
        <v>0</v>
      </c>
      <c r="AQ379" s="1162">
        <v>0</v>
      </c>
      <c r="AR379" s="1162">
        <v>0</v>
      </c>
      <c r="AS379" s="1162">
        <v>0</v>
      </c>
      <c r="AT379" s="1162">
        <v>0</v>
      </c>
      <c r="AU379" s="1162">
        <v>0</v>
      </c>
      <c r="AV379" s="1162">
        <v>0</v>
      </c>
      <c r="AW379" s="1162">
        <v>0</v>
      </c>
      <c r="AX379" s="1162">
        <v>0</v>
      </c>
      <c r="AY379" s="1162">
        <v>0</v>
      </c>
      <c r="AZ379" s="1162">
        <v>0</v>
      </c>
      <c r="BA379" s="1162">
        <v>0</v>
      </c>
      <c r="BB379" s="1162">
        <v>0</v>
      </c>
      <c r="BC379" s="1162">
        <v>0</v>
      </c>
      <c r="BD379" s="1162">
        <v>0</v>
      </c>
      <c r="BE379" s="1162">
        <v>0</v>
      </c>
      <c r="BF379" s="1162">
        <v>0</v>
      </c>
      <c r="BG379" s="1162">
        <v>0</v>
      </c>
      <c r="BH379" s="1162">
        <v>0</v>
      </c>
      <c r="BI379" s="1162">
        <v>0</v>
      </c>
      <c r="BJ379" s="1162">
        <v>0</v>
      </c>
      <c r="BK379" s="1162">
        <v>0</v>
      </c>
      <c r="BL379" s="1162">
        <v>0</v>
      </c>
      <c r="BM379" s="1162">
        <v>0</v>
      </c>
      <c r="BN379" s="1162">
        <v>0</v>
      </c>
      <c r="BO379" s="1162">
        <v>0</v>
      </c>
      <c r="BP379" s="1162">
        <v>2699</v>
      </c>
      <c r="BQ379" s="1162">
        <v>0</v>
      </c>
      <c r="BR379" s="1162">
        <v>0</v>
      </c>
      <c r="BS379" s="1162">
        <v>0</v>
      </c>
      <c r="BT379" s="1162">
        <v>0</v>
      </c>
      <c r="BU379" s="1162">
        <v>0</v>
      </c>
      <c r="BV379" s="1162">
        <v>0</v>
      </c>
      <c r="BW379" s="1162">
        <v>0</v>
      </c>
      <c r="BX379" s="1162">
        <v>0</v>
      </c>
      <c r="BY379" s="1162">
        <v>0</v>
      </c>
      <c r="BZ379" s="1162">
        <v>0</v>
      </c>
      <c r="CA379" s="1162">
        <v>0</v>
      </c>
      <c r="CB379" s="1162">
        <v>0</v>
      </c>
      <c r="CC379" s="1146">
        <v>0</v>
      </c>
      <c r="CD379" s="1146">
        <v>0</v>
      </c>
      <c r="CE379" s="1146">
        <v>0</v>
      </c>
      <c r="CF379" s="1146">
        <v>0</v>
      </c>
    </row>
    <row r="380" spans="1:84" x14ac:dyDescent="0.3">
      <c r="A380" s="1153">
        <v>537</v>
      </c>
      <c r="B380" s="1176">
        <v>537</v>
      </c>
      <c r="C380" s="1228">
        <v>537</v>
      </c>
      <c r="D380" s="1146" t="s">
        <v>847</v>
      </c>
      <c r="E380" s="1160" t="s">
        <v>504</v>
      </c>
      <c r="F380" s="1161">
        <v>0</v>
      </c>
      <c r="G380" s="1161">
        <v>0</v>
      </c>
      <c r="H380" s="1161">
        <v>2</v>
      </c>
      <c r="I380" s="1161">
        <v>2</v>
      </c>
      <c r="J380" s="1161">
        <v>2</v>
      </c>
      <c r="K380" s="1161">
        <v>2</v>
      </c>
      <c r="L380" s="1162">
        <v>2</v>
      </c>
      <c r="M380" s="1162">
        <v>2</v>
      </c>
      <c r="N380" s="1162">
        <v>2</v>
      </c>
      <c r="O380" s="1162">
        <v>2</v>
      </c>
      <c r="P380" s="1162">
        <v>2</v>
      </c>
      <c r="Q380" s="1162">
        <v>2</v>
      </c>
      <c r="R380" s="1162">
        <v>2</v>
      </c>
      <c r="S380" s="1162">
        <v>1</v>
      </c>
      <c r="T380" s="1162">
        <v>0</v>
      </c>
      <c r="U380" s="1162">
        <v>2</v>
      </c>
      <c r="V380" s="1162">
        <v>2</v>
      </c>
      <c r="W380" s="1162">
        <v>1</v>
      </c>
      <c r="X380" s="1162">
        <v>2</v>
      </c>
      <c r="Y380" s="1162">
        <v>2</v>
      </c>
      <c r="Z380" s="1162">
        <v>2</v>
      </c>
      <c r="AA380" s="1162">
        <v>2</v>
      </c>
      <c r="AB380" s="1162">
        <v>1</v>
      </c>
      <c r="AC380" s="1162">
        <v>1</v>
      </c>
      <c r="AD380" s="1162">
        <v>2</v>
      </c>
      <c r="AE380" s="1162">
        <v>2</v>
      </c>
      <c r="AF380" s="1162">
        <v>2</v>
      </c>
      <c r="AG380" s="1162">
        <v>2</v>
      </c>
      <c r="AH380" s="1162">
        <v>1</v>
      </c>
      <c r="AI380" s="1162">
        <v>2</v>
      </c>
      <c r="AJ380" s="1162">
        <v>2</v>
      </c>
      <c r="AK380" s="1162">
        <v>2</v>
      </c>
      <c r="AL380" s="1162">
        <v>2</v>
      </c>
      <c r="AM380" s="1162">
        <v>2</v>
      </c>
      <c r="AN380" s="1162">
        <v>0</v>
      </c>
      <c r="AO380" s="1162">
        <v>1</v>
      </c>
      <c r="AP380" s="1162">
        <v>0</v>
      </c>
      <c r="AQ380" s="1162">
        <v>2</v>
      </c>
      <c r="AR380" s="1162">
        <v>2</v>
      </c>
      <c r="AS380" s="1162">
        <v>2</v>
      </c>
      <c r="AT380" s="1162">
        <v>2</v>
      </c>
      <c r="AU380" s="1162">
        <v>2</v>
      </c>
      <c r="AV380" s="1162">
        <v>2</v>
      </c>
      <c r="AW380" s="1162">
        <v>0</v>
      </c>
      <c r="AX380" s="1162">
        <v>2</v>
      </c>
      <c r="AY380" s="1162">
        <v>2</v>
      </c>
      <c r="AZ380" s="1162">
        <v>2</v>
      </c>
      <c r="BA380" s="1162">
        <v>2</v>
      </c>
      <c r="BB380" s="1162">
        <v>1</v>
      </c>
      <c r="BC380" s="1162">
        <v>2</v>
      </c>
      <c r="BD380" s="1162">
        <v>2</v>
      </c>
      <c r="BE380" s="1162">
        <v>2</v>
      </c>
      <c r="BF380" s="1162">
        <v>2</v>
      </c>
      <c r="BG380" s="1162">
        <v>2</v>
      </c>
      <c r="BH380" s="1162">
        <v>2</v>
      </c>
      <c r="BI380" s="1162">
        <v>2</v>
      </c>
      <c r="BJ380" s="1162">
        <v>2</v>
      </c>
      <c r="BK380" s="1162">
        <v>1</v>
      </c>
      <c r="BL380" s="1162">
        <v>2</v>
      </c>
      <c r="BM380" s="1162">
        <v>2</v>
      </c>
      <c r="BN380" s="1162">
        <v>0</v>
      </c>
      <c r="BO380" s="1162">
        <v>1</v>
      </c>
      <c r="BP380" s="1162">
        <v>2</v>
      </c>
      <c r="BQ380" s="1162">
        <v>2</v>
      </c>
      <c r="BR380" s="1162">
        <v>2</v>
      </c>
      <c r="BS380" s="1162">
        <v>2</v>
      </c>
      <c r="BT380" s="1162">
        <v>2</v>
      </c>
      <c r="BU380" s="1162">
        <v>2</v>
      </c>
      <c r="BV380" s="1162">
        <v>2</v>
      </c>
      <c r="BW380" s="1162">
        <v>2</v>
      </c>
      <c r="BX380" s="1162">
        <v>2</v>
      </c>
      <c r="BY380" s="1162">
        <v>0</v>
      </c>
      <c r="BZ380" s="1162">
        <v>1</v>
      </c>
      <c r="CA380" s="1162">
        <v>2</v>
      </c>
      <c r="CB380" s="1162">
        <v>2</v>
      </c>
      <c r="CC380" s="1146">
        <v>1</v>
      </c>
      <c r="CD380" s="1146">
        <v>2</v>
      </c>
      <c r="CE380" s="1146">
        <v>0</v>
      </c>
      <c r="CF380" s="1146">
        <v>2</v>
      </c>
    </row>
    <row r="381" spans="1:84" x14ac:dyDescent="0.3">
      <c r="A381" s="1153">
        <v>538</v>
      </c>
      <c r="B381" s="1154">
        <v>538</v>
      </c>
      <c r="C381" s="1228">
        <v>538</v>
      </c>
      <c r="D381" s="1146" t="s">
        <v>848</v>
      </c>
      <c r="E381" s="1155" t="s">
        <v>505</v>
      </c>
      <c r="F381" s="1156">
        <v>0</v>
      </c>
      <c r="G381" s="1156">
        <v>0</v>
      </c>
      <c r="H381" s="1156">
        <v>2</v>
      </c>
      <c r="I381" s="1156">
        <v>2</v>
      </c>
      <c r="J381" s="1156">
        <v>2</v>
      </c>
      <c r="K381" s="1156">
        <v>2</v>
      </c>
      <c r="L381" s="1157">
        <v>1</v>
      </c>
      <c r="M381" s="1157">
        <v>2</v>
      </c>
      <c r="N381" s="1157">
        <v>2</v>
      </c>
      <c r="O381" s="1157">
        <v>2</v>
      </c>
      <c r="P381" s="1157">
        <v>2</v>
      </c>
      <c r="Q381" s="1157">
        <v>1</v>
      </c>
      <c r="R381" s="1157">
        <v>2</v>
      </c>
      <c r="S381" s="1157">
        <v>1</v>
      </c>
      <c r="T381" s="1157">
        <v>0</v>
      </c>
      <c r="U381" s="1157">
        <v>2</v>
      </c>
      <c r="V381" s="1157">
        <v>2</v>
      </c>
      <c r="W381" s="1157">
        <v>2</v>
      </c>
      <c r="X381" s="1157">
        <v>2</v>
      </c>
      <c r="Y381" s="1157">
        <v>2</v>
      </c>
      <c r="Z381" s="1157">
        <v>2</v>
      </c>
      <c r="AA381" s="1157">
        <v>2</v>
      </c>
      <c r="AB381" s="1157">
        <v>2</v>
      </c>
      <c r="AC381" s="1157">
        <v>1</v>
      </c>
      <c r="AD381" s="1157">
        <v>2</v>
      </c>
      <c r="AE381" s="1157">
        <v>2</v>
      </c>
      <c r="AF381" s="1157">
        <v>1</v>
      </c>
      <c r="AG381" s="1157">
        <v>1</v>
      </c>
      <c r="AH381" s="1157">
        <v>2</v>
      </c>
      <c r="AI381" s="1157">
        <v>2</v>
      </c>
      <c r="AJ381" s="1157">
        <v>2</v>
      </c>
      <c r="AK381" s="1157">
        <v>2</v>
      </c>
      <c r="AL381" s="1157">
        <v>2</v>
      </c>
      <c r="AM381" s="1157">
        <v>2</v>
      </c>
      <c r="AN381" s="1157">
        <v>0</v>
      </c>
      <c r="AO381" s="1157">
        <v>1</v>
      </c>
      <c r="AP381" s="1157">
        <v>0</v>
      </c>
      <c r="AQ381" s="1157">
        <v>2</v>
      </c>
      <c r="AR381" s="1157">
        <v>2</v>
      </c>
      <c r="AS381" s="1157">
        <v>2</v>
      </c>
      <c r="AT381" s="1157">
        <v>2</v>
      </c>
      <c r="AU381" s="1157">
        <v>2</v>
      </c>
      <c r="AV381" s="1157">
        <v>2</v>
      </c>
      <c r="AW381" s="1157">
        <v>0</v>
      </c>
      <c r="AX381" s="1157">
        <v>2</v>
      </c>
      <c r="AY381" s="1157">
        <v>2</v>
      </c>
      <c r="AZ381" s="1157">
        <v>2</v>
      </c>
      <c r="BA381" s="1157">
        <v>2</v>
      </c>
      <c r="BB381" s="1157">
        <v>2</v>
      </c>
      <c r="BC381" s="1157">
        <v>2</v>
      </c>
      <c r="BD381" s="1157">
        <v>2</v>
      </c>
      <c r="BE381" s="1157">
        <v>2</v>
      </c>
      <c r="BF381" s="1157">
        <v>2</v>
      </c>
      <c r="BG381" s="1157">
        <v>2</v>
      </c>
      <c r="BH381" s="1157">
        <v>2</v>
      </c>
      <c r="BI381" s="1157">
        <v>2</v>
      </c>
      <c r="BJ381" s="1157">
        <v>2</v>
      </c>
      <c r="BK381" s="1157">
        <v>1</v>
      </c>
      <c r="BL381" s="1157">
        <v>2</v>
      </c>
      <c r="BM381" s="1157">
        <v>2</v>
      </c>
      <c r="BN381" s="1157">
        <v>0</v>
      </c>
      <c r="BO381" s="1157">
        <v>1</v>
      </c>
      <c r="BP381" s="1157">
        <v>2</v>
      </c>
      <c r="BQ381" s="1157">
        <v>2</v>
      </c>
      <c r="BR381" s="1157">
        <v>2</v>
      </c>
      <c r="BS381" s="1157">
        <v>2</v>
      </c>
      <c r="BT381" s="1157">
        <v>2</v>
      </c>
      <c r="BU381" s="1157">
        <v>2</v>
      </c>
      <c r="BV381" s="1157">
        <v>2</v>
      </c>
      <c r="BW381" s="1157">
        <v>1</v>
      </c>
      <c r="BX381" s="1157">
        <v>2</v>
      </c>
      <c r="BY381" s="1157">
        <v>0</v>
      </c>
      <c r="BZ381" s="1157">
        <v>1</v>
      </c>
      <c r="CA381" s="1157">
        <v>2</v>
      </c>
      <c r="CB381" s="1157">
        <v>2</v>
      </c>
      <c r="CC381" s="1146">
        <v>2</v>
      </c>
      <c r="CD381" s="1146">
        <v>2</v>
      </c>
      <c r="CE381" s="1146">
        <v>0</v>
      </c>
      <c r="CF381" s="1146">
        <v>2</v>
      </c>
    </row>
    <row r="382" spans="1:84" x14ac:dyDescent="0.3">
      <c r="A382" s="1153">
        <v>577</v>
      </c>
      <c r="B382" s="1178">
        <v>577</v>
      </c>
      <c r="C382" s="1228">
        <v>577</v>
      </c>
      <c r="D382" s="1146" t="s">
        <v>645</v>
      </c>
      <c r="E382" s="1179" t="s">
        <v>646</v>
      </c>
      <c r="F382" s="1180">
        <v>0</v>
      </c>
      <c r="G382" s="1180">
        <v>0</v>
      </c>
      <c r="H382" s="1180">
        <v>2</v>
      </c>
      <c r="I382" s="1180">
        <v>2</v>
      </c>
      <c r="J382" s="1180">
        <v>2</v>
      </c>
      <c r="K382" s="1180">
        <v>2</v>
      </c>
      <c r="L382" s="1152">
        <v>2</v>
      </c>
      <c r="M382" s="1152">
        <v>2</v>
      </c>
      <c r="N382" s="1152">
        <v>0</v>
      </c>
      <c r="O382" s="1152">
        <v>0</v>
      </c>
      <c r="P382" s="1152">
        <v>2</v>
      </c>
      <c r="Q382" s="1152">
        <v>0</v>
      </c>
      <c r="R382" s="1152">
        <v>0</v>
      </c>
      <c r="S382" s="1152">
        <v>2</v>
      </c>
      <c r="T382" s="1152">
        <v>0</v>
      </c>
      <c r="U382" s="1152">
        <v>2</v>
      </c>
      <c r="V382" s="1152">
        <v>2</v>
      </c>
      <c r="W382" s="1152">
        <v>2</v>
      </c>
      <c r="X382" s="1152">
        <v>2</v>
      </c>
      <c r="Y382" s="1152">
        <v>2</v>
      </c>
      <c r="Z382" s="1152">
        <v>2</v>
      </c>
      <c r="AA382" s="1152">
        <v>1</v>
      </c>
      <c r="AB382" s="1152">
        <v>2</v>
      </c>
      <c r="AC382" s="1152">
        <v>2</v>
      </c>
      <c r="AD382" s="1152">
        <v>2</v>
      </c>
      <c r="AE382" s="1152">
        <v>2</v>
      </c>
      <c r="AF382" s="1152">
        <v>2</v>
      </c>
      <c r="AG382" s="1152">
        <v>2</v>
      </c>
      <c r="AH382" s="1152">
        <v>2</v>
      </c>
      <c r="AI382" s="1152">
        <v>2</v>
      </c>
      <c r="AJ382" s="1152">
        <v>2</v>
      </c>
      <c r="AK382" s="1152">
        <v>2</v>
      </c>
      <c r="AL382" s="1152">
        <v>2</v>
      </c>
      <c r="AM382" s="1152">
        <v>2</v>
      </c>
      <c r="AN382" s="1152">
        <v>0</v>
      </c>
      <c r="AO382" s="1152">
        <v>2</v>
      </c>
      <c r="AP382" s="1152">
        <v>0</v>
      </c>
      <c r="AQ382" s="1152">
        <v>2</v>
      </c>
      <c r="AR382" s="1152">
        <v>2</v>
      </c>
      <c r="AS382" s="1152">
        <v>2</v>
      </c>
      <c r="AT382" s="1152">
        <v>2</v>
      </c>
      <c r="AU382" s="1152">
        <v>2</v>
      </c>
      <c r="AV382" s="1152">
        <v>2</v>
      </c>
      <c r="AW382" s="1152">
        <v>0</v>
      </c>
      <c r="AX382" s="1152">
        <v>2</v>
      </c>
      <c r="AY382" s="1152">
        <v>2</v>
      </c>
      <c r="AZ382" s="1152">
        <v>2</v>
      </c>
      <c r="BA382" s="1152">
        <v>2</v>
      </c>
      <c r="BB382" s="1152">
        <v>2</v>
      </c>
      <c r="BC382" s="1152">
        <v>2</v>
      </c>
      <c r="BD382" s="1152">
        <v>0</v>
      </c>
      <c r="BE382" s="1152">
        <v>2</v>
      </c>
      <c r="BF382" s="1152">
        <v>2</v>
      </c>
      <c r="BG382" s="1152">
        <v>0</v>
      </c>
      <c r="BH382" s="1152">
        <v>2</v>
      </c>
      <c r="BI382" s="1152">
        <v>2</v>
      </c>
      <c r="BJ382" s="1152">
        <v>2</v>
      </c>
      <c r="BK382" s="1152">
        <v>2</v>
      </c>
      <c r="BL382" s="1152">
        <v>2</v>
      </c>
      <c r="BM382" s="1152">
        <v>2</v>
      </c>
      <c r="BN382" s="1152">
        <v>0</v>
      </c>
      <c r="BO382" s="1152">
        <v>2</v>
      </c>
      <c r="BP382" s="1152">
        <v>2</v>
      </c>
      <c r="BQ382" s="1152">
        <v>2</v>
      </c>
      <c r="BR382" s="1152">
        <v>2</v>
      </c>
      <c r="BS382" s="1152">
        <v>2</v>
      </c>
      <c r="BT382" s="1152">
        <v>2</v>
      </c>
      <c r="BU382" s="1152">
        <v>2</v>
      </c>
      <c r="BV382" s="1152">
        <v>2</v>
      </c>
      <c r="BW382" s="1152">
        <v>2</v>
      </c>
      <c r="BX382" s="1152">
        <v>2</v>
      </c>
      <c r="BY382" s="1152">
        <v>0</v>
      </c>
      <c r="BZ382" s="1152">
        <v>2</v>
      </c>
      <c r="CA382" s="1152">
        <v>2</v>
      </c>
      <c r="CB382" s="1152">
        <v>2</v>
      </c>
      <c r="CC382" s="1146">
        <v>2</v>
      </c>
      <c r="CD382" s="1146">
        <v>2</v>
      </c>
      <c r="CE382" s="1146">
        <v>0</v>
      </c>
      <c r="CF382" s="1146">
        <v>2</v>
      </c>
    </row>
    <row r="383" spans="1:84" x14ac:dyDescent="0.3">
      <c r="A383" s="1173">
        <v>620</v>
      </c>
      <c r="B383" s="1165">
        <v>620</v>
      </c>
      <c r="C383" s="1170">
        <v>620</v>
      </c>
      <c r="D383" s="1167" t="s">
        <v>701</v>
      </c>
      <c r="E383" s="1155"/>
      <c r="F383" s="1156">
        <v>0</v>
      </c>
      <c r="G383" s="1156">
        <v>0</v>
      </c>
      <c r="H383" s="1156">
        <v>2</v>
      </c>
      <c r="I383" s="1156">
        <v>2</v>
      </c>
      <c r="J383" s="1156">
        <v>2</v>
      </c>
      <c r="K383" s="1156">
        <v>2</v>
      </c>
      <c r="L383" s="1157">
        <v>2</v>
      </c>
      <c r="M383" s="1157">
        <v>1</v>
      </c>
      <c r="N383" s="1157">
        <v>2</v>
      </c>
      <c r="O383" s="1157">
        <v>2</v>
      </c>
      <c r="P383" s="1157">
        <v>2</v>
      </c>
      <c r="Q383" s="1157">
        <v>2</v>
      </c>
      <c r="R383" s="1157">
        <v>2</v>
      </c>
      <c r="S383" s="1157">
        <v>1</v>
      </c>
      <c r="T383" s="1157">
        <v>0</v>
      </c>
      <c r="U383" s="1157">
        <v>2</v>
      </c>
      <c r="V383" s="1157">
        <v>1</v>
      </c>
      <c r="W383" s="1157">
        <v>2</v>
      </c>
      <c r="X383" s="1157">
        <v>2</v>
      </c>
      <c r="Y383" s="1157">
        <v>2</v>
      </c>
      <c r="Z383" s="1157">
        <v>2</v>
      </c>
      <c r="AA383" s="1157">
        <v>1</v>
      </c>
      <c r="AB383" s="1157">
        <v>2</v>
      </c>
      <c r="AC383" s="1157">
        <v>1</v>
      </c>
      <c r="AD383" s="1157">
        <v>2</v>
      </c>
      <c r="AE383" s="1157">
        <v>2</v>
      </c>
      <c r="AF383" s="1157">
        <v>2</v>
      </c>
      <c r="AG383" s="1157">
        <v>2</v>
      </c>
      <c r="AH383" s="1157">
        <v>2</v>
      </c>
      <c r="AI383" s="1157">
        <v>2</v>
      </c>
      <c r="AJ383" s="1157">
        <v>2</v>
      </c>
      <c r="AK383" s="1157">
        <v>1</v>
      </c>
      <c r="AL383" s="1157">
        <v>2</v>
      </c>
      <c r="AM383" s="1157">
        <v>2</v>
      </c>
      <c r="AN383" s="1157">
        <v>0</v>
      </c>
      <c r="AO383" s="1157">
        <v>1</v>
      </c>
      <c r="AP383" s="1157">
        <v>0</v>
      </c>
      <c r="AQ383" s="1157">
        <v>2</v>
      </c>
      <c r="AR383" s="1157">
        <v>2</v>
      </c>
      <c r="AS383" s="1157">
        <v>2</v>
      </c>
      <c r="AT383" s="1157">
        <v>1</v>
      </c>
      <c r="AU383" s="1157">
        <v>2</v>
      </c>
      <c r="AV383" s="1157">
        <v>2</v>
      </c>
      <c r="AW383" s="1157">
        <v>0</v>
      </c>
      <c r="AX383" s="1157">
        <v>2</v>
      </c>
      <c r="AY383" s="1157">
        <v>2</v>
      </c>
      <c r="AZ383" s="1157">
        <v>2</v>
      </c>
      <c r="BA383" s="1157">
        <v>2</v>
      </c>
      <c r="BB383" s="1157">
        <v>2</v>
      </c>
      <c r="BC383" s="1157">
        <v>0</v>
      </c>
      <c r="BD383" s="1157">
        <v>2</v>
      </c>
      <c r="BE383" s="1157">
        <v>2</v>
      </c>
      <c r="BF383" s="1157">
        <v>2</v>
      </c>
      <c r="BG383" s="1157">
        <v>2</v>
      </c>
      <c r="BH383" s="1157">
        <v>2</v>
      </c>
      <c r="BI383" s="1157">
        <v>2</v>
      </c>
      <c r="BJ383" s="1157">
        <v>2</v>
      </c>
      <c r="BK383" s="1157">
        <v>2</v>
      </c>
      <c r="BL383" s="1157">
        <v>2</v>
      </c>
      <c r="BM383" s="1157">
        <v>2</v>
      </c>
      <c r="BN383" s="1157">
        <v>0</v>
      </c>
      <c r="BO383" s="1157">
        <v>1</v>
      </c>
      <c r="BP383" s="1157">
        <v>2</v>
      </c>
      <c r="BQ383" s="1157">
        <v>2</v>
      </c>
      <c r="BR383" s="1157">
        <v>2</v>
      </c>
      <c r="BS383" s="1157">
        <v>2</v>
      </c>
      <c r="BT383" s="1157">
        <v>2</v>
      </c>
      <c r="BU383" s="1157">
        <v>1</v>
      </c>
      <c r="BV383" s="1157">
        <v>2</v>
      </c>
      <c r="BW383" s="1157">
        <v>1</v>
      </c>
      <c r="BX383" s="1157">
        <v>2</v>
      </c>
      <c r="BY383" s="1157">
        <v>0</v>
      </c>
      <c r="BZ383" s="1157">
        <v>1</v>
      </c>
      <c r="CA383" s="1157">
        <v>2</v>
      </c>
      <c r="CB383" s="1157">
        <v>2</v>
      </c>
      <c r="CC383" s="1146">
        <v>2</v>
      </c>
      <c r="CD383" s="1146">
        <v>2</v>
      </c>
      <c r="CE383" s="1146">
        <v>0</v>
      </c>
      <c r="CF383" s="1146">
        <v>2</v>
      </c>
    </row>
    <row r="384" spans="1:84" x14ac:dyDescent="0.3">
      <c r="A384" s="1173">
        <v>545</v>
      </c>
      <c r="B384" s="1165">
        <v>545</v>
      </c>
      <c r="C384" s="1170">
        <v>545</v>
      </c>
      <c r="D384" s="1167" t="s">
        <v>54</v>
      </c>
      <c r="E384" s="1155" t="s">
        <v>512</v>
      </c>
      <c r="F384" s="1156">
        <v>0</v>
      </c>
      <c r="G384" s="1156">
        <v>0</v>
      </c>
      <c r="H384" s="1156">
        <v>0</v>
      </c>
      <c r="I384" s="1156">
        <v>0</v>
      </c>
      <c r="J384" s="1156">
        <v>0</v>
      </c>
      <c r="K384" s="1156">
        <v>0</v>
      </c>
      <c r="L384" s="1157">
        <v>0.1</v>
      </c>
      <c r="M384" s="1157">
        <v>0</v>
      </c>
      <c r="N384" s="1157">
        <v>0</v>
      </c>
      <c r="O384" s="1157">
        <v>0</v>
      </c>
      <c r="P384" s="1157">
        <v>0</v>
      </c>
      <c r="Q384" s="1157">
        <v>0</v>
      </c>
      <c r="R384" s="1157">
        <v>0</v>
      </c>
      <c r="S384" s="1157">
        <v>0</v>
      </c>
      <c r="T384" s="1157">
        <v>0</v>
      </c>
      <c r="U384" s="1157">
        <v>0</v>
      </c>
      <c r="V384" s="1157">
        <v>0</v>
      </c>
      <c r="W384" s="1157">
        <v>0</v>
      </c>
      <c r="X384" s="1157">
        <v>0</v>
      </c>
      <c r="Y384" s="1157">
        <v>0</v>
      </c>
      <c r="Z384" s="1157">
        <v>0</v>
      </c>
      <c r="AA384" s="1157">
        <v>0</v>
      </c>
      <c r="AB384" s="1157">
        <v>0</v>
      </c>
      <c r="AC384" s="1157">
        <v>0</v>
      </c>
      <c r="AD384" s="1157">
        <v>0</v>
      </c>
      <c r="AE384" s="1157">
        <v>0</v>
      </c>
      <c r="AF384" s="1157">
        <v>0</v>
      </c>
      <c r="AG384" s="1157">
        <v>0</v>
      </c>
      <c r="AH384" s="1157">
        <v>0</v>
      </c>
      <c r="AI384" s="1157">
        <v>0</v>
      </c>
      <c r="AJ384" s="1157">
        <v>0</v>
      </c>
      <c r="AK384" s="1157">
        <v>0</v>
      </c>
      <c r="AL384" s="1157">
        <v>0</v>
      </c>
      <c r="AM384" s="1157">
        <v>0</v>
      </c>
      <c r="AN384" s="1157">
        <v>0</v>
      </c>
      <c r="AO384" s="1157">
        <v>0</v>
      </c>
      <c r="AP384" s="1157">
        <v>0</v>
      </c>
      <c r="AQ384" s="1157">
        <v>0</v>
      </c>
      <c r="AR384" s="1157">
        <v>0</v>
      </c>
      <c r="AS384" s="1157">
        <v>0</v>
      </c>
      <c r="AT384" s="1157">
        <v>0</v>
      </c>
      <c r="AU384" s="1157">
        <v>0</v>
      </c>
      <c r="AV384" s="1157">
        <v>0</v>
      </c>
      <c r="AW384" s="1157">
        <v>0</v>
      </c>
      <c r="AX384" s="1157">
        <v>0</v>
      </c>
      <c r="AY384" s="1157">
        <v>0</v>
      </c>
      <c r="AZ384" s="1157">
        <v>0</v>
      </c>
      <c r="BA384" s="1157">
        <v>0</v>
      </c>
      <c r="BB384" s="1157">
        <v>0</v>
      </c>
      <c r="BC384" s="1157">
        <v>0</v>
      </c>
      <c r="BD384" s="1157">
        <v>0</v>
      </c>
      <c r="BE384" s="1157">
        <v>0</v>
      </c>
      <c r="BF384" s="1157">
        <v>0</v>
      </c>
      <c r="BG384" s="1157">
        <v>0</v>
      </c>
      <c r="BH384" s="1157">
        <v>0</v>
      </c>
      <c r="BI384" s="1157">
        <v>0</v>
      </c>
      <c r="BJ384" s="1157">
        <v>0</v>
      </c>
      <c r="BK384" s="1157">
        <v>0</v>
      </c>
      <c r="BL384" s="1157">
        <v>0</v>
      </c>
      <c r="BM384" s="1157">
        <v>0</v>
      </c>
      <c r="BN384" s="1157">
        <v>0</v>
      </c>
      <c r="BO384" s="1157">
        <v>0</v>
      </c>
      <c r="BP384" s="1157">
        <v>1</v>
      </c>
      <c r="BQ384" s="1157">
        <v>0</v>
      </c>
      <c r="BR384" s="1157">
        <v>0.01</v>
      </c>
      <c r="BS384" s="1157">
        <v>0</v>
      </c>
      <c r="BT384" s="1157">
        <v>0</v>
      </c>
      <c r="BU384" s="1157">
        <v>0</v>
      </c>
      <c r="BV384" s="1157">
        <v>0</v>
      </c>
      <c r="BW384" s="1157">
        <v>0</v>
      </c>
      <c r="BX384" s="1157">
        <v>0</v>
      </c>
      <c r="BY384" s="1157">
        <v>0</v>
      </c>
      <c r="BZ384" s="1157">
        <v>0.03</v>
      </c>
      <c r="CA384" s="1157">
        <v>0</v>
      </c>
      <c r="CB384" s="1157">
        <v>0</v>
      </c>
      <c r="CC384" s="1146">
        <v>0</v>
      </c>
      <c r="CD384" s="1146">
        <v>0</v>
      </c>
      <c r="CE384" s="1146">
        <v>0</v>
      </c>
      <c r="CF384" s="1146">
        <v>0</v>
      </c>
    </row>
    <row r="385" spans="1:84" x14ac:dyDescent="0.3">
      <c r="A385" s="1173">
        <v>624</v>
      </c>
      <c r="B385" s="1165">
        <v>624</v>
      </c>
      <c r="C385" s="1170"/>
      <c r="D385" s="1167"/>
      <c r="E385" s="1155"/>
      <c r="F385" s="1156">
        <v>0</v>
      </c>
      <c r="G385" s="1156">
        <v>0</v>
      </c>
      <c r="H385" s="1156">
        <v>1</v>
      </c>
      <c r="I385" s="1156">
        <v>1</v>
      </c>
      <c r="J385" s="1156">
        <v>1</v>
      </c>
      <c r="K385" s="1156">
        <v>2</v>
      </c>
      <c r="L385" s="1157">
        <v>1</v>
      </c>
      <c r="M385" s="1157">
        <v>0</v>
      </c>
      <c r="N385" s="1157">
        <v>2</v>
      </c>
      <c r="O385" s="1157">
        <v>1</v>
      </c>
      <c r="P385" s="1157">
        <v>1</v>
      </c>
      <c r="Q385" s="1157">
        <v>1</v>
      </c>
      <c r="R385" s="1157">
        <v>1</v>
      </c>
      <c r="S385" s="1157">
        <v>2</v>
      </c>
      <c r="T385" s="1157">
        <v>0</v>
      </c>
      <c r="U385" s="1157">
        <v>2</v>
      </c>
      <c r="V385" s="1157">
        <v>1</v>
      </c>
      <c r="W385" s="1157">
        <v>2</v>
      </c>
      <c r="X385" s="1157">
        <v>2</v>
      </c>
      <c r="Y385" s="1157">
        <v>1</v>
      </c>
      <c r="Z385" s="1157">
        <v>1</v>
      </c>
      <c r="AA385" s="1157">
        <v>2</v>
      </c>
      <c r="AB385" s="1157">
        <v>1</v>
      </c>
      <c r="AC385" s="1157">
        <v>1</v>
      </c>
      <c r="AD385" s="1157">
        <v>1</v>
      </c>
      <c r="AE385" s="1157">
        <v>1</v>
      </c>
      <c r="AF385" s="1157">
        <v>1</v>
      </c>
      <c r="AG385" s="1157">
        <v>2</v>
      </c>
      <c r="AH385" s="1157">
        <v>2</v>
      </c>
      <c r="AI385" s="1157">
        <v>2</v>
      </c>
      <c r="AJ385" s="1157">
        <v>2</v>
      </c>
      <c r="AK385" s="1157">
        <v>1</v>
      </c>
      <c r="AL385" s="1157">
        <v>1</v>
      </c>
      <c r="AM385" s="1157">
        <v>2</v>
      </c>
      <c r="AN385" s="1157">
        <v>0</v>
      </c>
      <c r="AO385" s="1157">
        <v>1</v>
      </c>
      <c r="AP385" s="1157">
        <v>0</v>
      </c>
      <c r="AQ385" s="1157">
        <v>1</v>
      </c>
      <c r="AR385" s="1157">
        <v>2</v>
      </c>
      <c r="AS385" s="1157">
        <v>2</v>
      </c>
      <c r="AT385" s="1157">
        <v>1</v>
      </c>
      <c r="AU385" s="1157">
        <v>1</v>
      </c>
      <c r="AV385" s="1157">
        <v>2</v>
      </c>
      <c r="AW385" s="1157">
        <v>0</v>
      </c>
      <c r="AX385" s="1157">
        <v>2</v>
      </c>
      <c r="AY385" s="1157">
        <v>1</v>
      </c>
      <c r="AZ385" s="1157">
        <v>2</v>
      </c>
      <c r="BA385" s="1157">
        <v>2</v>
      </c>
      <c r="BB385" s="1157">
        <v>2</v>
      </c>
      <c r="BC385" s="1157">
        <v>1</v>
      </c>
      <c r="BD385" s="1157">
        <v>2</v>
      </c>
      <c r="BE385" s="1157">
        <v>1</v>
      </c>
      <c r="BF385" s="1157">
        <v>1</v>
      </c>
      <c r="BG385" s="1157">
        <v>1</v>
      </c>
      <c r="BH385" s="1157">
        <v>1</v>
      </c>
      <c r="BI385" s="1157">
        <v>1</v>
      </c>
      <c r="BJ385" s="1157">
        <v>1</v>
      </c>
      <c r="BK385" s="1157">
        <v>1</v>
      </c>
      <c r="BL385" s="1157">
        <v>1</v>
      </c>
      <c r="BM385" s="1157">
        <v>2</v>
      </c>
      <c r="BN385" s="1157">
        <v>0</v>
      </c>
      <c r="BO385" s="1157">
        <v>1</v>
      </c>
      <c r="BP385" s="1157">
        <v>2</v>
      </c>
      <c r="BQ385" s="1157">
        <v>1</v>
      </c>
      <c r="BR385" s="1157">
        <v>1</v>
      </c>
      <c r="BS385" s="1157">
        <v>1</v>
      </c>
      <c r="BT385" s="1157">
        <v>2</v>
      </c>
      <c r="BU385" s="1157">
        <v>1</v>
      </c>
      <c r="BV385" s="1157">
        <v>1</v>
      </c>
      <c r="BW385" s="1157">
        <v>2</v>
      </c>
      <c r="BX385" s="1157">
        <v>1</v>
      </c>
      <c r="BY385" s="1157">
        <v>0</v>
      </c>
      <c r="BZ385" s="1157">
        <v>1</v>
      </c>
      <c r="CA385" s="1157">
        <v>1</v>
      </c>
      <c r="CB385" s="1157">
        <v>1</v>
      </c>
      <c r="CC385" s="1146">
        <v>1</v>
      </c>
      <c r="CD385" s="1146">
        <v>1</v>
      </c>
      <c r="CE385" s="1146">
        <v>0</v>
      </c>
      <c r="CF385" s="1146">
        <v>1</v>
      </c>
    </row>
    <row r="386" spans="1:84" x14ac:dyDescent="0.3">
      <c r="A386" s="1173">
        <v>995</v>
      </c>
      <c r="B386" s="1165">
        <v>995</v>
      </c>
      <c r="C386" s="1170">
        <v>995</v>
      </c>
      <c r="D386" s="1167" t="s">
        <v>519</v>
      </c>
      <c r="E386" s="1155" t="s">
        <v>520</v>
      </c>
      <c r="F386" s="1156">
        <v>0</v>
      </c>
      <c r="G386" s="1156">
        <v>0</v>
      </c>
      <c r="H386" s="1156">
        <v>0</v>
      </c>
      <c r="I386" s="1156">
        <v>0</v>
      </c>
      <c r="J386" s="1156">
        <v>0</v>
      </c>
      <c r="K386" s="1156">
        <v>0</v>
      </c>
      <c r="L386" s="1157">
        <v>0</v>
      </c>
      <c r="M386" s="1157">
        <v>0</v>
      </c>
      <c r="N386" s="1157">
        <v>0</v>
      </c>
      <c r="O386" s="1157">
        <v>0</v>
      </c>
      <c r="P386" s="1157">
        <v>0</v>
      </c>
      <c r="Q386" s="1157">
        <v>0</v>
      </c>
      <c r="R386" s="1157">
        <v>0</v>
      </c>
      <c r="S386" s="1157">
        <v>7.0000000000000007E-2</v>
      </c>
      <c r="T386" s="1157">
        <v>0</v>
      </c>
      <c r="U386" s="1157">
        <v>0</v>
      </c>
      <c r="V386" s="1157">
        <v>0</v>
      </c>
      <c r="W386" s="1157">
        <v>0</v>
      </c>
      <c r="X386" s="1157">
        <v>7.0000000000000007E-2</v>
      </c>
      <c r="Y386" s="1157">
        <v>0</v>
      </c>
      <c r="Z386" s="1157">
        <v>0</v>
      </c>
      <c r="AA386" s="1157">
        <v>0</v>
      </c>
      <c r="AB386" s="1157">
        <v>0</v>
      </c>
      <c r="AC386" s="1157">
        <v>0</v>
      </c>
      <c r="AD386" s="1157">
        <v>0</v>
      </c>
      <c r="AE386" s="1157">
        <v>0</v>
      </c>
      <c r="AF386" s="1157">
        <v>0</v>
      </c>
      <c r="AG386" s="1157">
        <v>0</v>
      </c>
      <c r="AH386" s="1157">
        <v>0</v>
      </c>
      <c r="AI386" s="1157">
        <v>0</v>
      </c>
      <c r="AJ386" s="1157">
        <v>0</v>
      </c>
      <c r="AK386" s="1157">
        <v>0.08</v>
      </c>
      <c r="AL386" s="1157">
        <v>0</v>
      </c>
      <c r="AM386" s="1157">
        <v>0</v>
      </c>
      <c r="AN386" s="1157">
        <v>0</v>
      </c>
      <c r="AO386" s="1157">
        <v>0</v>
      </c>
      <c r="AP386" s="1157">
        <v>7.0000000000000007E-2</v>
      </c>
      <c r="AQ386" s="1157">
        <v>0</v>
      </c>
      <c r="AR386" s="1157">
        <v>0</v>
      </c>
      <c r="AS386" s="1157">
        <v>0</v>
      </c>
      <c r="AT386" s="1157">
        <v>0</v>
      </c>
      <c r="AU386" s="1157">
        <v>0</v>
      </c>
      <c r="AV386" s="1157">
        <v>0</v>
      </c>
      <c r="AW386" s="1157">
        <v>0.09</v>
      </c>
      <c r="AX386" s="1157">
        <v>0</v>
      </c>
      <c r="AY386" s="1157">
        <v>0</v>
      </c>
      <c r="AZ386" s="1157">
        <v>0</v>
      </c>
      <c r="BA386" s="1157">
        <v>0</v>
      </c>
      <c r="BB386" s="1157">
        <v>0</v>
      </c>
      <c r="BC386" s="1157">
        <v>0</v>
      </c>
      <c r="BD386" s="1157">
        <v>0</v>
      </c>
      <c r="BE386" s="1157">
        <v>0</v>
      </c>
      <c r="BF386" s="1157">
        <v>0</v>
      </c>
      <c r="BG386" s="1157">
        <v>0</v>
      </c>
      <c r="BH386" s="1157">
        <v>0</v>
      </c>
      <c r="BI386" s="1157">
        <v>0</v>
      </c>
      <c r="BJ386" s="1157">
        <v>0</v>
      </c>
      <c r="BK386" s="1157">
        <v>0</v>
      </c>
      <c r="BL386" s="1157">
        <v>0</v>
      </c>
      <c r="BM386" s="1157">
        <v>0</v>
      </c>
      <c r="BN386" s="1157">
        <v>0.08</v>
      </c>
      <c r="BO386" s="1157">
        <v>0</v>
      </c>
      <c r="BP386" s="1157">
        <v>0</v>
      </c>
      <c r="BQ386" s="1157">
        <v>0</v>
      </c>
      <c r="BR386" s="1157">
        <v>0</v>
      </c>
      <c r="BS386" s="1157">
        <v>0</v>
      </c>
      <c r="BT386" s="1157">
        <v>0.09</v>
      </c>
      <c r="BU386" s="1157">
        <v>7.0000000000000007E-2</v>
      </c>
      <c r="BV386" s="1157">
        <v>0</v>
      </c>
      <c r="BW386" s="1157">
        <v>0</v>
      </c>
      <c r="BX386" s="1157">
        <v>0</v>
      </c>
      <c r="BY386" s="1157">
        <v>0</v>
      </c>
      <c r="BZ386" s="1157">
        <v>0</v>
      </c>
      <c r="CA386" s="1157">
        <v>0</v>
      </c>
      <c r="CB386" s="1157">
        <v>0</v>
      </c>
      <c r="CC386" s="1146">
        <v>0</v>
      </c>
      <c r="CD386" s="1146">
        <v>0</v>
      </c>
      <c r="CE386" s="1146">
        <v>0</v>
      </c>
      <c r="CF386" s="1146">
        <v>0</v>
      </c>
    </row>
    <row r="387" spans="1:84" x14ac:dyDescent="0.3">
      <c r="A387" s="1144">
        <v>996</v>
      </c>
      <c r="B387" s="1144">
        <v>996</v>
      </c>
      <c r="C387" s="1190">
        <v>996</v>
      </c>
      <c r="D387" s="1146" t="s">
        <v>521</v>
      </c>
      <c r="E387" s="1179" t="s">
        <v>522</v>
      </c>
      <c r="F387" s="1180">
        <v>0.01</v>
      </c>
      <c r="G387" s="1180">
        <v>0</v>
      </c>
      <c r="H387" s="1180">
        <v>0.01</v>
      </c>
      <c r="I387" s="1180">
        <v>0</v>
      </c>
      <c r="J387" s="1180">
        <v>0</v>
      </c>
      <c r="K387" s="1180">
        <v>0</v>
      </c>
      <c r="L387" s="1152">
        <v>0.01</v>
      </c>
      <c r="M387" s="1152">
        <v>0</v>
      </c>
      <c r="N387" s="1152">
        <v>0</v>
      </c>
      <c r="O387" s="1152">
        <v>0</v>
      </c>
      <c r="P387" s="1152">
        <v>0</v>
      </c>
      <c r="Q387" s="1152">
        <v>0.01</v>
      </c>
      <c r="R387" s="1152">
        <v>0</v>
      </c>
      <c r="S387" s="1152">
        <v>0.01</v>
      </c>
      <c r="T387" s="1152">
        <v>0.01</v>
      </c>
      <c r="U387" s="1152">
        <v>0</v>
      </c>
      <c r="V387" s="1152">
        <v>0.01</v>
      </c>
      <c r="W387" s="1152">
        <v>0.01</v>
      </c>
      <c r="X387" s="1152">
        <v>0.01</v>
      </c>
      <c r="Y387" s="1152">
        <v>0</v>
      </c>
      <c r="Z387" s="1152">
        <v>0.01</v>
      </c>
      <c r="AA387" s="1152">
        <v>0.01</v>
      </c>
      <c r="AB387" s="1152">
        <v>0.01</v>
      </c>
      <c r="AC387" s="1152">
        <v>0.01</v>
      </c>
      <c r="AD387" s="1152">
        <v>0.01</v>
      </c>
      <c r="AE387" s="1152">
        <v>0.01</v>
      </c>
      <c r="AF387" s="1152">
        <v>0.01</v>
      </c>
      <c r="AG387" s="1152">
        <v>0.01</v>
      </c>
      <c r="AH387" s="1152">
        <v>0.01</v>
      </c>
      <c r="AI387" s="1152">
        <v>0.01</v>
      </c>
      <c r="AJ387" s="1152">
        <v>0.01</v>
      </c>
      <c r="AK387" s="1152">
        <v>0.01</v>
      </c>
      <c r="AL387" s="1152">
        <v>0.01</v>
      </c>
      <c r="AM387" s="1152">
        <v>0.01</v>
      </c>
      <c r="AN387" s="1152">
        <v>0.01</v>
      </c>
      <c r="AO387" s="1152">
        <v>0.01</v>
      </c>
      <c r="AP387" s="1152">
        <v>0.01</v>
      </c>
      <c r="AQ387" s="1152">
        <v>0.01</v>
      </c>
      <c r="AR387" s="1152">
        <v>0</v>
      </c>
      <c r="AS387" s="1152">
        <v>0</v>
      </c>
      <c r="AT387" s="1152">
        <v>0.01</v>
      </c>
      <c r="AU387" s="1152">
        <v>0.01</v>
      </c>
      <c r="AV387" s="1152">
        <v>0.01</v>
      </c>
      <c r="AW387" s="1152">
        <v>0</v>
      </c>
      <c r="AX387" s="1152">
        <v>0.01</v>
      </c>
      <c r="AY387" s="1152">
        <v>0</v>
      </c>
      <c r="AZ387" s="1152">
        <v>0.01</v>
      </c>
      <c r="BA387" s="1152">
        <v>0.01</v>
      </c>
      <c r="BB387" s="1152">
        <v>0.01</v>
      </c>
      <c r="BC387" s="1152">
        <v>0.01</v>
      </c>
      <c r="BD387" s="1152">
        <v>0</v>
      </c>
      <c r="BE387" s="1152">
        <v>0.01</v>
      </c>
      <c r="BF387" s="1152">
        <v>0.01</v>
      </c>
      <c r="BG387" s="1152">
        <v>0</v>
      </c>
      <c r="BH387" s="1152">
        <v>0.01</v>
      </c>
      <c r="BI387" s="1152">
        <v>0.01</v>
      </c>
      <c r="BJ387" s="1152">
        <v>0</v>
      </c>
      <c r="BK387" s="1152">
        <v>0.01</v>
      </c>
      <c r="BL387" s="1152">
        <v>0</v>
      </c>
      <c r="BM387" s="1152">
        <v>0.01</v>
      </c>
      <c r="BN387" s="1152">
        <v>0.01</v>
      </c>
      <c r="BO387" s="1152">
        <v>0.01</v>
      </c>
      <c r="BP387" s="1152">
        <v>0.01</v>
      </c>
      <c r="BQ387" s="1152">
        <v>0.01</v>
      </c>
      <c r="BR387" s="1152">
        <v>0.01</v>
      </c>
      <c r="BS387" s="1152">
        <v>0</v>
      </c>
      <c r="BT387" s="1152">
        <v>0.01</v>
      </c>
      <c r="BU387" s="1152">
        <v>0</v>
      </c>
      <c r="BV387" s="1152">
        <v>0.01</v>
      </c>
      <c r="BW387" s="1152">
        <v>0.01</v>
      </c>
      <c r="BX387" s="1152">
        <v>0</v>
      </c>
      <c r="BY387" s="1152">
        <v>0.01</v>
      </c>
      <c r="BZ387" s="1152">
        <v>0.01</v>
      </c>
      <c r="CA387" s="1152">
        <v>0.01</v>
      </c>
      <c r="CB387" s="1152">
        <v>0.01</v>
      </c>
      <c r="CC387" s="1146">
        <v>0.01</v>
      </c>
      <c r="CD387" s="1146">
        <v>0.01</v>
      </c>
      <c r="CE387" s="1146">
        <v>0</v>
      </c>
      <c r="CF387" s="1146">
        <v>0.01</v>
      </c>
    </row>
    <row r="388" spans="1:84" x14ac:dyDescent="0.3">
      <c r="A388" s="1144">
        <v>997</v>
      </c>
      <c r="B388" s="1144"/>
      <c r="C388" s="1196">
        <v>997</v>
      </c>
      <c r="D388" s="1145"/>
      <c r="E388" s="1191"/>
      <c r="F388" s="1192"/>
      <c r="G388" s="1192"/>
      <c r="H388" s="1192"/>
      <c r="I388" s="1192"/>
      <c r="J388" s="1192"/>
      <c r="K388" s="1192"/>
      <c r="L388" s="1193"/>
      <c r="M388" s="1193"/>
      <c r="N388" s="1193"/>
      <c r="O388" s="1193"/>
      <c r="P388" s="1193"/>
      <c r="Q388" s="1193"/>
      <c r="R388" s="1193"/>
      <c r="S388" s="1193"/>
      <c r="T388" s="1193"/>
      <c r="U388" s="1193"/>
      <c r="V388" s="1193"/>
      <c r="W388" s="1193"/>
      <c r="X388" s="1193"/>
      <c r="Y388" s="1193"/>
      <c r="Z388" s="1193"/>
      <c r="AA388" s="1193"/>
      <c r="AB388" s="1193"/>
      <c r="AC388" s="1193"/>
      <c r="AD388" s="1193"/>
      <c r="AE388" s="1193"/>
      <c r="AF388" s="1193"/>
      <c r="AG388" s="1193"/>
      <c r="AH388" s="1193"/>
      <c r="AI388" s="1193"/>
      <c r="AJ388" s="1193"/>
      <c r="AK388" s="1193"/>
      <c r="AL388" s="1193"/>
      <c r="AM388" s="1193"/>
      <c r="AN388" s="1193"/>
      <c r="AO388" s="1193"/>
      <c r="AP388" s="1193"/>
      <c r="AQ388" s="1193"/>
      <c r="AR388" s="1193"/>
      <c r="AS388" s="1193"/>
      <c r="AT388" s="1193"/>
      <c r="AU388" s="1193"/>
      <c r="AV388" s="1193"/>
      <c r="AW388" s="1193"/>
      <c r="AX388" s="1193"/>
      <c r="AY388" s="1193"/>
      <c r="AZ388" s="1193"/>
      <c r="BA388" s="1193"/>
      <c r="BB388" s="1193"/>
      <c r="BC388" s="1193"/>
      <c r="BD388" s="1193"/>
      <c r="BE388" s="1193"/>
      <c r="BF388" s="1193"/>
      <c r="BG388" s="1193"/>
      <c r="BH388" s="1193"/>
      <c r="BI388" s="1193"/>
      <c r="BJ388" s="1193"/>
      <c r="BK388" s="1193"/>
      <c r="BL388" s="1193"/>
      <c r="BM388" s="1193"/>
      <c r="BN388" s="1193"/>
      <c r="BO388" s="1193"/>
      <c r="BP388" s="1193"/>
      <c r="BQ388" s="1193"/>
      <c r="BR388" s="1193"/>
      <c r="BS388" s="1193"/>
      <c r="BT388" s="1193"/>
      <c r="BU388" s="1193"/>
      <c r="BV388" s="1193"/>
      <c r="BW388" s="1193"/>
      <c r="BX388" s="1193"/>
      <c r="BY388" s="1193"/>
      <c r="BZ388" s="1193"/>
      <c r="CA388" s="1193"/>
      <c r="CB388" s="1193"/>
    </row>
    <row r="389" spans="1:84" x14ac:dyDescent="0.3">
      <c r="A389" s="1144">
        <v>998</v>
      </c>
      <c r="B389" s="1144">
        <v>998</v>
      </c>
      <c r="C389" s="1196">
        <v>998</v>
      </c>
      <c r="D389" s="1145" t="s">
        <v>292</v>
      </c>
      <c r="E389" s="1191" t="s">
        <v>523</v>
      </c>
      <c r="F389" s="1192">
        <v>0</v>
      </c>
      <c r="G389" s="1192">
        <v>0</v>
      </c>
      <c r="H389" s="1192">
        <v>50</v>
      </c>
      <c r="I389" s="1192">
        <v>50</v>
      </c>
      <c r="J389" s="1192">
        <v>50</v>
      </c>
      <c r="K389" s="1192">
        <v>50</v>
      </c>
      <c r="L389" s="1193">
        <v>50</v>
      </c>
      <c r="M389" s="1193">
        <v>50</v>
      </c>
      <c r="N389" s="1193">
        <v>50</v>
      </c>
      <c r="O389" s="1193">
        <v>50</v>
      </c>
      <c r="P389" s="1193">
        <v>50</v>
      </c>
      <c r="Q389" s="1193">
        <v>50</v>
      </c>
      <c r="R389" s="1193">
        <v>50</v>
      </c>
      <c r="S389" s="1193">
        <v>50</v>
      </c>
      <c r="T389" s="1193">
        <v>0</v>
      </c>
      <c r="U389" s="1193">
        <v>50</v>
      </c>
      <c r="V389" s="1193">
        <v>50</v>
      </c>
      <c r="W389" s="1193">
        <v>50</v>
      </c>
      <c r="X389" s="1193">
        <v>50</v>
      </c>
      <c r="Y389" s="1193">
        <v>50</v>
      </c>
      <c r="Z389" s="1193">
        <v>50</v>
      </c>
      <c r="AA389" s="1193">
        <v>50</v>
      </c>
      <c r="AB389" s="1193">
        <v>50</v>
      </c>
      <c r="AC389" s="1193">
        <v>50</v>
      </c>
      <c r="AD389" s="1193">
        <v>50</v>
      </c>
      <c r="AE389" s="1193">
        <v>50</v>
      </c>
      <c r="AF389" s="1193">
        <v>50</v>
      </c>
      <c r="AG389" s="1193">
        <v>50</v>
      </c>
      <c r="AH389" s="1193">
        <v>50</v>
      </c>
      <c r="AI389" s="1193">
        <v>50</v>
      </c>
      <c r="AJ389" s="1193">
        <v>50</v>
      </c>
      <c r="AK389" s="1193">
        <v>50</v>
      </c>
      <c r="AL389" s="1193">
        <v>50</v>
      </c>
      <c r="AM389" s="1193">
        <v>50</v>
      </c>
      <c r="AN389" s="1193">
        <v>0</v>
      </c>
      <c r="AO389" s="1193">
        <v>50</v>
      </c>
      <c r="AP389" s="1193">
        <v>0</v>
      </c>
      <c r="AQ389" s="1193">
        <v>50</v>
      </c>
      <c r="AR389" s="1193">
        <v>50</v>
      </c>
      <c r="AS389" s="1193">
        <v>50</v>
      </c>
      <c r="AT389" s="1193">
        <v>50</v>
      </c>
      <c r="AU389" s="1193">
        <v>50</v>
      </c>
      <c r="AV389" s="1193">
        <v>50</v>
      </c>
      <c r="AW389" s="1193">
        <v>0</v>
      </c>
      <c r="AX389" s="1193">
        <v>50</v>
      </c>
      <c r="AY389" s="1193">
        <v>50</v>
      </c>
      <c r="AZ389" s="1193">
        <v>50</v>
      </c>
      <c r="BA389" s="1193">
        <v>50</v>
      </c>
      <c r="BB389" s="1193">
        <v>50</v>
      </c>
      <c r="BC389" s="1193">
        <v>50</v>
      </c>
      <c r="BD389" s="1193">
        <v>50</v>
      </c>
      <c r="BE389" s="1193">
        <v>50</v>
      </c>
      <c r="BF389" s="1193">
        <v>50</v>
      </c>
      <c r="BG389" s="1193">
        <v>50</v>
      </c>
      <c r="BH389" s="1193">
        <v>50</v>
      </c>
      <c r="BI389" s="1193">
        <v>50</v>
      </c>
      <c r="BJ389" s="1193">
        <v>50</v>
      </c>
      <c r="BK389" s="1193">
        <v>50</v>
      </c>
      <c r="BL389" s="1193">
        <v>50</v>
      </c>
      <c r="BM389" s="1193">
        <v>50</v>
      </c>
      <c r="BN389" s="1193">
        <v>0</v>
      </c>
      <c r="BO389" s="1193">
        <v>50</v>
      </c>
      <c r="BP389" s="1193">
        <v>50</v>
      </c>
      <c r="BQ389" s="1193">
        <v>50</v>
      </c>
      <c r="BR389" s="1193">
        <v>50</v>
      </c>
      <c r="BS389" s="1193">
        <v>50</v>
      </c>
      <c r="BT389" s="1193">
        <v>50</v>
      </c>
      <c r="BU389" s="1193">
        <v>50</v>
      </c>
      <c r="BV389" s="1193">
        <v>50</v>
      </c>
      <c r="BW389" s="1193">
        <v>50</v>
      </c>
      <c r="BX389" s="1193">
        <v>50</v>
      </c>
      <c r="BY389" s="1193">
        <v>0</v>
      </c>
      <c r="BZ389" s="1193">
        <v>50</v>
      </c>
      <c r="CA389" s="1193">
        <v>50</v>
      </c>
      <c r="CB389" s="1193">
        <v>50</v>
      </c>
      <c r="CC389" s="1146">
        <v>50</v>
      </c>
      <c r="CD389" s="1146">
        <v>50</v>
      </c>
      <c r="CE389" s="1146">
        <v>0</v>
      </c>
      <c r="CF389" s="1146">
        <v>50</v>
      </c>
    </row>
    <row r="390" spans="1:84" x14ac:dyDescent="0.3">
      <c r="A390" s="1144">
        <v>999</v>
      </c>
      <c r="B390" s="1144">
        <v>999</v>
      </c>
      <c r="C390" s="1196">
        <v>999</v>
      </c>
      <c r="D390" s="1145" t="s">
        <v>293</v>
      </c>
      <c r="E390" s="1191" t="s">
        <v>524</v>
      </c>
      <c r="F390" s="1192">
        <v>0</v>
      </c>
      <c r="G390" s="1192">
        <v>0</v>
      </c>
      <c r="H390" s="1192">
        <v>50256</v>
      </c>
      <c r="I390" s="1192">
        <v>50558</v>
      </c>
      <c r="J390" s="1192">
        <v>50566</v>
      </c>
      <c r="K390" s="1192">
        <v>50562</v>
      </c>
      <c r="L390" s="1193">
        <v>50257</v>
      </c>
      <c r="M390" s="1193">
        <v>50555</v>
      </c>
      <c r="N390" s="1193">
        <v>50445</v>
      </c>
      <c r="O390" s="1193">
        <v>50452</v>
      </c>
      <c r="P390" s="1193">
        <v>50563</v>
      </c>
      <c r="Q390" s="1193">
        <v>50258</v>
      </c>
      <c r="R390" s="1193">
        <v>50523</v>
      </c>
      <c r="S390" s="1193">
        <v>50259</v>
      </c>
      <c r="T390" s="1193">
        <v>0</v>
      </c>
      <c r="U390" s="1193">
        <v>50487</v>
      </c>
      <c r="V390" s="1193">
        <v>50261</v>
      </c>
      <c r="W390" s="1193">
        <v>50262</v>
      </c>
      <c r="X390" s="1193">
        <v>50263</v>
      </c>
      <c r="Y390" s="1193">
        <v>50264</v>
      </c>
      <c r="Z390" s="1193">
        <v>50265</v>
      </c>
      <c r="AA390" s="1193">
        <v>50266</v>
      </c>
      <c r="AB390" s="1193">
        <v>50267</v>
      </c>
      <c r="AC390" s="1193">
        <v>50268</v>
      </c>
      <c r="AD390" s="1193">
        <v>50269</v>
      </c>
      <c r="AE390" s="1193">
        <v>50270</v>
      </c>
      <c r="AF390" s="1193">
        <v>50271</v>
      </c>
      <c r="AG390" s="1193">
        <v>50272</v>
      </c>
      <c r="AH390" s="1193">
        <v>50273</v>
      </c>
      <c r="AI390" s="1193">
        <v>50274</v>
      </c>
      <c r="AJ390" s="1193">
        <v>50480</v>
      </c>
      <c r="AK390" s="1193">
        <v>50275</v>
      </c>
      <c r="AL390" s="1193">
        <v>50277</v>
      </c>
      <c r="AM390" s="1193">
        <v>50276</v>
      </c>
      <c r="AN390" s="1193">
        <v>0</v>
      </c>
      <c r="AO390" s="1193">
        <v>50279</v>
      </c>
      <c r="AP390" s="1193">
        <v>0</v>
      </c>
      <c r="AQ390" s="1193">
        <v>50281</v>
      </c>
      <c r="AR390" s="1193">
        <v>50478</v>
      </c>
      <c r="AS390" s="1193">
        <v>50524</v>
      </c>
      <c r="AT390" s="1193">
        <v>50282</v>
      </c>
      <c r="AU390" s="1193">
        <v>50525</v>
      </c>
      <c r="AV390" s="1193">
        <v>50283</v>
      </c>
      <c r="AW390" s="1193">
        <v>0</v>
      </c>
      <c r="AX390" s="1193">
        <v>50553</v>
      </c>
      <c r="AY390" s="1193">
        <v>50548</v>
      </c>
      <c r="AZ390" s="1193">
        <v>50284</v>
      </c>
      <c r="BA390" s="1193">
        <v>50286</v>
      </c>
      <c r="BB390" s="1193">
        <v>50287</v>
      </c>
      <c r="BC390" s="1193">
        <v>50288</v>
      </c>
      <c r="BD390" s="1193">
        <v>50290</v>
      </c>
      <c r="BE390" s="1193">
        <v>50564</v>
      </c>
      <c r="BF390" s="1193">
        <v>50289</v>
      </c>
      <c r="BG390" s="1193">
        <v>50291</v>
      </c>
      <c r="BH390" s="1193">
        <v>50292</v>
      </c>
      <c r="BI390" s="1193">
        <v>50293</v>
      </c>
      <c r="BJ390" s="1193">
        <v>50463</v>
      </c>
      <c r="BK390" s="1193">
        <v>50294</v>
      </c>
      <c r="BL390" s="1193">
        <v>50538</v>
      </c>
      <c r="BM390" s="1193">
        <v>50295</v>
      </c>
      <c r="BN390" s="1193">
        <v>0</v>
      </c>
      <c r="BO390" s="1193">
        <v>50297</v>
      </c>
      <c r="BP390" s="1193">
        <v>50449</v>
      </c>
      <c r="BQ390" s="1193">
        <v>50300</v>
      </c>
      <c r="BR390" s="1193">
        <v>50298</v>
      </c>
      <c r="BS390" s="1193">
        <v>50299</v>
      </c>
      <c r="BT390" s="1193">
        <v>50301</v>
      </c>
      <c r="BU390" s="1193">
        <v>50302</v>
      </c>
      <c r="BV390" s="1193">
        <v>50303</v>
      </c>
      <c r="BW390" s="1193">
        <v>50304</v>
      </c>
      <c r="BX390" s="1193">
        <v>50540</v>
      </c>
      <c r="BY390" s="1193">
        <v>0</v>
      </c>
      <c r="BZ390" s="1193">
        <v>50306</v>
      </c>
      <c r="CA390" s="1193">
        <v>50479</v>
      </c>
      <c r="CB390" s="1193">
        <v>50307</v>
      </c>
      <c r="CC390" s="1146">
        <v>50308</v>
      </c>
      <c r="CD390" s="1146">
        <v>50309</v>
      </c>
      <c r="CE390" s="1146">
        <v>0</v>
      </c>
      <c r="CF390" s="1146">
        <v>50311</v>
      </c>
    </row>
    <row r="391" spans="1:84" x14ac:dyDescent="0.3">
      <c r="A391" s="1144">
        <v>906</v>
      </c>
      <c r="B391" s="1144">
        <v>906</v>
      </c>
      <c r="C391" s="1196"/>
      <c r="D391" s="1145"/>
      <c r="E391" s="1191"/>
      <c r="F391" s="1192">
        <v>0</v>
      </c>
      <c r="G391" s="1192">
        <v>0</v>
      </c>
      <c r="H391" s="1192">
        <v>1</v>
      </c>
      <c r="I391" s="1192">
        <v>1</v>
      </c>
      <c r="J391" s="1192">
        <v>1</v>
      </c>
      <c r="K391" s="1192">
        <v>1</v>
      </c>
      <c r="L391" s="1193">
        <v>1</v>
      </c>
      <c r="M391" s="1193">
        <v>1</v>
      </c>
      <c r="N391" s="1193">
        <v>1</v>
      </c>
      <c r="O391" s="1193">
        <v>1</v>
      </c>
      <c r="P391" s="1193">
        <v>1</v>
      </c>
      <c r="Q391" s="1193">
        <v>1</v>
      </c>
      <c r="R391" s="1193">
        <v>1</v>
      </c>
      <c r="S391" s="1193">
        <v>1</v>
      </c>
      <c r="T391" s="1193">
        <v>0</v>
      </c>
      <c r="U391" s="1193">
        <v>1</v>
      </c>
      <c r="V391" s="1193">
        <v>1</v>
      </c>
      <c r="W391" s="1193">
        <v>1</v>
      </c>
      <c r="X391" s="1193">
        <v>1</v>
      </c>
      <c r="Y391" s="1193">
        <v>1</v>
      </c>
      <c r="Z391" s="1193">
        <v>1</v>
      </c>
      <c r="AA391" s="1193">
        <v>1</v>
      </c>
      <c r="AB391" s="1193">
        <v>1</v>
      </c>
      <c r="AC391" s="1193">
        <v>1</v>
      </c>
      <c r="AD391" s="1193">
        <v>1</v>
      </c>
      <c r="AE391" s="1193">
        <v>1</v>
      </c>
      <c r="AF391" s="1193">
        <v>1</v>
      </c>
      <c r="AG391" s="1193">
        <v>1</v>
      </c>
      <c r="AH391" s="1193">
        <v>1</v>
      </c>
      <c r="AI391" s="1193">
        <v>1</v>
      </c>
      <c r="AJ391" s="1193">
        <v>1</v>
      </c>
      <c r="AK391" s="1193">
        <v>1</v>
      </c>
      <c r="AL391" s="1193">
        <v>1</v>
      </c>
      <c r="AM391" s="1193">
        <v>1</v>
      </c>
      <c r="AN391" s="1193">
        <v>0</v>
      </c>
      <c r="AO391" s="1193">
        <v>1</v>
      </c>
      <c r="AP391" s="1193">
        <v>0</v>
      </c>
      <c r="AQ391" s="1193">
        <v>1</v>
      </c>
      <c r="AR391" s="1193">
        <v>1</v>
      </c>
      <c r="AS391" s="1193">
        <v>1</v>
      </c>
      <c r="AT391" s="1193">
        <v>1</v>
      </c>
      <c r="AU391" s="1193">
        <v>1</v>
      </c>
      <c r="AV391" s="1193">
        <v>1</v>
      </c>
      <c r="AW391" s="1193">
        <v>0</v>
      </c>
      <c r="AX391" s="1193">
        <v>1</v>
      </c>
      <c r="AY391" s="1193">
        <v>1</v>
      </c>
      <c r="AZ391" s="1193">
        <v>1</v>
      </c>
      <c r="BA391" s="1193">
        <v>1</v>
      </c>
      <c r="BB391" s="1193">
        <v>1</v>
      </c>
      <c r="BC391" s="1193">
        <v>1</v>
      </c>
      <c r="BD391" s="1193">
        <v>1</v>
      </c>
      <c r="BE391" s="1193">
        <v>1</v>
      </c>
      <c r="BF391" s="1193">
        <v>1</v>
      </c>
      <c r="BG391" s="1193">
        <v>1</v>
      </c>
      <c r="BH391" s="1193">
        <v>1</v>
      </c>
      <c r="BI391" s="1193">
        <v>1</v>
      </c>
      <c r="BJ391" s="1193">
        <v>1</v>
      </c>
      <c r="BK391" s="1193">
        <v>1</v>
      </c>
      <c r="BL391" s="1193">
        <v>1</v>
      </c>
      <c r="BM391" s="1193">
        <v>1</v>
      </c>
      <c r="BN391" s="1193">
        <v>0</v>
      </c>
      <c r="BO391" s="1193">
        <v>1</v>
      </c>
      <c r="BP391" s="1193">
        <v>1</v>
      </c>
      <c r="BQ391" s="1193">
        <v>1</v>
      </c>
      <c r="BR391" s="1193">
        <v>1</v>
      </c>
      <c r="BS391" s="1193">
        <v>1</v>
      </c>
      <c r="BT391" s="1193">
        <v>1</v>
      </c>
      <c r="BU391" s="1193">
        <v>1</v>
      </c>
      <c r="BV391" s="1193">
        <v>1</v>
      </c>
      <c r="BW391" s="1193">
        <v>1</v>
      </c>
      <c r="BX391" s="1193">
        <v>1</v>
      </c>
      <c r="BY391" s="1193">
        <v>0</v>
      </c>
      <c r="BZ391" s="1193">
        <v>1</v>
      </c>
      <c r="CA391" s="1193">
        <v>1</v>
      </c>
      <c r="CB391" s="1193">
        <v>1</v>
      </c>
      <c r="CC391" s="1146">
        <v>1</v>
      </c>
      <c r="CD391" s="1146">
        <v>1</v>
      </c>
      <c r="CE391" s="1146">
        <v>0</v>
      </c>
      <c r="CF391" s="1146">
        <v>1</v>
      </c>
    </row>
    <row r="392" spans="1:84" x14ac:dyDescent="0.3">
      <c r="A392" s="1144">
        <v>907</v>
      </c>
      <c r="B392" s="1144">
        <v>907</v>
      </c>
      <c r="C392" s="1196"/>
      <c r="D392" s="1145"/>
      <c r="E392" s="1191"/>
      <c r="F392" s="1192">
        <v>0</v>
      </c>
      <c r="G392" s="1192">
        <v>0</v>
      </c>
      <c r="H392" s="1192">
        <v>2</v>
      </c>
      <c r="I392" s="1192">
        <v>1</v>
      </c>
      <c r="J392" s="1192">
        <v>2</v>
      </c>
      <c r="K392" s="1192">
        <v>2</v>
      </c>
      <c r="L392" s="1193">
        <v>1</v>
      </c>
      <c r="M392" s="1193">
        <v>2</v>
      </c>
      <c r="N392" s="1193">
        <v>2</v>
      </c>
      <c r="O392" s="1193">
        <v>2</v>
      </c>
      <c r="P392" s="1193">
        <v>2</v>
      </c>
      <c r="Q392" s="1193">
        <v>2</v>
      </c>
      <c r="R392" s="1193">
        <v>1</v>
      </c>
      <c r="S392" s="1193">
        <v>2</v>
      </c>
      <c r="T392" s="1193">
        <v>0</v>
      </c>
      <c r="U392" s="1193">
        <v>1</v>
      </c>
      <c r="V392" s="1193">
        <v>2</v>
      </c>
      <c r="W392" s="1193">
        <v>2</v>
      </c>
      <c r="X392" s="1193">
        <v>2</v>
      </c>
      <c r="Y392" s="1193">
        <v>2</v>
      </c>
      <c r="Z392" s="1193">
        <v>2</v>
      </c>
      <c r="AA392" s="1193">
        <v>2</v>
      </c>
      <c r="AB392" s="1193">
        <v>1</v>
      </c>
      <c r="AC392" s="1193">
        <v>2</v>
      </c>
      <c r="AD392" s="1193">
        <v>2</v>
      </c>
      <c r="AE392" s="1193">
        <v>2</v>
      </c>
      <c r="AF392" s="1193">
        <v>2</v>
      </c>
      <c r="AG392" s="1193">
        <v>2</v>
      </c>
      <c r="AH392" s="1193">
        <v>2</v>
      </c>
      <c r="AI392" s="1193">
        <v>2</v>
      </c>
      <c r="AJ392" s="1193">
        <v>2</v>
      </c>
      <c r="AK392" s="1193">
        <v>2</v>
      </c>
      <c r="AL392" s="1193">
        <v>2</v>
      </c>
      <c r="AM392" s="1193">
        <v>1</v>
      </c>
      <c r="AN392" s="1193">
        <v>0</v>
      </c>
      <c r="AO392" s="1193">
        <v>2</v>
      </c>
      <c r="AP392" s="1193">
        <v>0</v>
      </c>
      <c r="AQ392" s="1193">
        <v>2</v>
      </c>
      <c r="AR392" s="1193">
        <v>2</v>
      </c>
      <c r="AS392" s="1193">
        <v>2</v>
      </c>
      <c r="AT392" s="1193">
        <v>2</v>
      </c>
      <c r="AU392" s="1193">
        <v>1</v>
      </c>
      <c r="AV392" s="1193">
        <v>1</v>
      </c>
      <c r="AW392" s="1193">
        <v>0</v>
      </c>
      <c r="AX392" s="1193">
        <v>2</v>
      </c>
      <c r="AY392" s="1193">
        <v>2</v>
      </c>
      <c r="AZ392" s="1193">
        <v>2</v>
      </c>
      <c r="BA392" s="1193">
        <v>2</v>
      </c>
      <c r="BB392" s="1193">
        <v>1</v>
      </c>
      <c r="BC392" s="1193">
        <v>2</v>
      </c>
      <c r="BD392" s="1193">
        <v>1</v>
      </c>
      <c r="BE392" s="1193">
        <v>2</v>
      </c>
      <c r="BF392" s="1193">
        <v>2</v>
      </c>
      <c r="BG392" s="1193">
        <v>2</v>
      </c>
      <c r="BH392" s="1193">
        <v>2</v>
      </c>
      <c r="BI392" s="1193">
        <v>2</v>
      </c>
      <c r="BJ392" s="1193">
        <v>1</v>
      </c>
      <c r="BK392" s="1193">
        <v>1</v>
      </c>
      <c r="BL392" s="1193">
        <v>1</v>
      </c>
      <c r="BM392" s="1193">
        <v>2</v>
      </c>
      <c r="BN392" s="1193">
        <v>0</v>
      </c>
      <c r="BO392" s="1193">
        <v>2</v>
      </c>
      <c r="BP392" s="1193">
        <v>1</v>
      </c>
      <c r="BQ392" s="1193">
        <v>1</v>
      </c>
      <c r="BR392" s="1193">
        <v>2</v>
      </c>
      <c r="BS392" s="1193">
        <v>2</v>
      </c>
      <c r="BT392" s="1193">
        <v>2</v>
      </c>
      <c r="BU392" s="1193">
        <v>2</v>
      </c>
      <c r="BV392" s="1193">
        <v>1</v>
      </c>
      <c r="BW392" s="1193">
        <v>2</v>
      </c>
      <c r="BX392" s="1193">
        <v>2</v>
      </c>
      <c r="BY392" s="1193">
        <v>0</v>
      </c>
      <c r="BZ392" s="1193">
        <v>1</v>
      </c>
      <c r="CA392" s="1193">
        <v>1</v>
      </c>
      <c r="CB392" s="1193">
        <v>2</v>
      </c>
      <c r="CC392" s="1146">
        <v>1</v>
      </c>
      <c r="CD392" s="1146">
        <v>1</v>
      </c>
      <c r="CE392" s="1146">
        <v>0</v>
      </c>
      <c r="CF392" s="1146">
        <v>2</v>
      </c>
    </row>
    <row r="393" spans="1:84" x14ac:dyDescent="0.3">
      <c r="A393" s="1144">
        <v>951</v>
      </c>
      <c r="B393" s="1144">
        <v>951</v>
      </c>
      <c r="C393" s="1196"/>
      <c r="D393" s="1145"/>
      <c r="E393" s="1191"/>
      <c r="F393" s="1192">
        <v>0</v>
      </c>
      <c r="G393" s="1192">
        <v>0</v>
      </c>
      <c r="H393" s="1192">
        <v>2</v>
      </c>
      <c r="I393" s="1192">
        <v>2</v>
      </c>
      <c r="J393" s="1192">
        <v>1</v>
      </c>
      <c r="K393" s="1192">
        <v>2</v>
      </c>
      <c r="L393" s="1193">
        <v>1</v>
      </c>
      <c r="M393" s="1193">
        <v>2</v>
      </c>
      <c r="N393" s="1193">
        <v>2</v>
      </c>
      <c r="O393" s="1193">
        <v>2</v>
      </c>
      <c r="P393" s="1193">
        <v>2</v>
      </c>
      <c r="Q393" s="1193">
        <v>2</v>
      </c>
      <c r="R393" s="1193">
        <v>2</v>
      </c>
      <c r="S393" s="1193">
        <v>2</v>
      </c>
      <c r="T393" s="1193">
        <v>0</v>
      </c>
      <c r="U393" s="1193">
        <v>2</v>
      </c>
      <c r="V393" s="1193">
        <v>2</v>
      </c>
      <c r="W393" s="1193">
        <v>2</v>
      </c>
      <c r="X393" s="1193">
        <v>2</v>
      </c>
      <c r="Y393" s="1193">
        <v>2</v>
      </c>
      <c r="Z393" s="1193">
        <v>2</v>
      </c>
      <c r="AA393" s="1193">
        <v>2</v>
      </c>
      <c r="AB393" s="1193">
        <v>2</v>
      </c>
      <c r="AC393" s="1193">
        <v>2</v>
      </c>
      <c r="AD393" s="1193">
        <v>2</v>
      </c>
      <c r="AE393" s="1193">
        <v>2</v>
      </c>
      <c r="AF393" s="1193">
        <v>2</v>
      </c>
      <c r="AG393" s="1193">
        <v>2</v>
      </c>
      <c r="AH393" s="1193">
        <v>2</v>
      </c>
      <c r="AI393" s="1193">
        <v>2</v>
      </c>
      <c r="AJ393" s="1193">
        <v>2</v>
      </c>
      <c r="AK393" s="1193">
        <v>2</v>
      </c>
      <c r="AL393" s="1193">
        <v>2</v>
      </c>
      <c r="AM393" s="1193">
        <v>1</v>
      </c>
      <c r="AN393" s="1193">
        <v>0</v>
      </c>
      <c r="AO393" s="1193">
        <v>2</v>
      </c>
      <c r="AP393" s="1193">
        <v>0</v>
      </c>
      <c r="AQ393" s="1193">
        <v>2</v>
      </c>
      <c r="AR393" s="1193">
        <v>2</v>
      </c>
      <c r="AS393" s="1193">
        <v>2</v>
      </c>
      <c r="AT393" s="1193">
        <v>2</v>
      </c>
      <c r="AU393" s="1193">
        <v>2</v>
      </c>
      <c r="AV393" s="1193">
        <v>2</v>
      </c>
      <c r="AW393" s="1193">
        <v>0</v>
      </c>
      <c r="AX393" s="1193">
        <v>2</v>
      </c>
      <c r="AY393" s="1193">
        <v>2</v>
      </c>
      <c r="AZ393" s="1193">
        <v>2</v>
      </c>
      <c r="BA393" s="1193">
        <v>2</v>
      </c>
      <c r="BB393" s="1193">
        <v>1</v>
      </c>
      <c r="BC393" s="1193">
        <v>2</v>
      </c>
      <c r="BD393" s="1193">
        <v>2</v>
      </c>
      <c r="BE393" s="1193">
        <v>2</v>
      </c>
      <c r="BF393" s="1193">
        <v>2</v>
      </c>
      <c r="BG393" s="1193">
        <v>2</v>
      </c>
      <c r="BH393" s="1193">
        <v>2</v>
      </c>
      <c r="BI393" s="1193">
        <v>2</v>
      </c>
      <c r="BJ393" s="1193">
        <v>2</v>
      </c>
      <c r="BK393" s="1193">
        <v>1</v>
      </c>
      <c r="BL393" s="1193">
        <v>2</v>
      </c>
      <c r="BM393" s="1193">
        <v>2</v>
      </c>
      <c r="BN393" s="1193">
        <v>0</v>
      </c>
      <c r="BO393" s="1193">
        <v>2</v>
      </c>
      <c r="BP393" s="1193">
        <v>2</v>
      </c>
      <c r="BQ393" s="1193">
        <v>2</v>
      </c>
      <c r="BR393" s="1193">
        <v>2</v>
      </c>
      <c r="BS393" s="1193">
        <v>2</v>
      </c>
      <c r="BT393" s="1193">
        <v>2</v>
      </c>
      <c r="BU393" s="1193">
        <v>2</v>
      </c>
      <c r="BV393" s="1193">
        <v>2</v>
      </c>
      <c r="BW393" s="1193">
        <v>2</v>
      </c>
      <c r="BX393" s="1193">
        <v>2</v>
      </c>
      <c r="BY393" s="1193">
        <v>0</v>
      </c>
      <c r="BZ393" s="1193">
        <v>2</v>
      </c>
      <c r="CA393" s="1193">
        <v>1</v>
      </c>
      <c r="CB393" s="1193">
        <v>2</v>
      </c>
      <c r="CC393" s="1146">
        <v>1</v>
      </c>
      <c r="CD393" s="1146">
        <v>2</v>
      </c>
      <c r="CE393" s="1146">
        <v>0</v>
      </c>
      <c r="CF393" s="1146">
        <v>2</v>
      </c>
    </row>
    <row r="394" spans="1:84" x14ac:dyDescent="0.3">
      <c r="A394" s="1144">
        <v>953</v>
      </c>
      <c r="B394" s="1144">
        <v>953</v>
      </c>
      <c r="C394" s="1196"/>
      <c r="D394" s="1145"/>
      <c r="E394" s="1191"/>
      <c r="F394" s="1192">
        <v>0</v>
      </c>
      <c r="G394" s="1192">
        <v>0</v>
      </c>
      <c r="H394" s="1192">
        <v>2</v>
      </c>
      <c r="I394" s="1192">
        <v>2</v>
      </c>
      <c r="J394" s="1192">
        <v>2</v>
      </c>
      <c r="K394" s="1192">
        <v>2</v>
      </c>
      <c r="L394" s="1193">
        <v>2</v>
      </c>
      <c r="M394" s="1193">
        <v>2</v>
      </c>
      <c r="N394" s="1193">
        <v>2</v>
      </c>
      <c r="O394" s="1193">
        <v>2</v>
      </c>
      <c r="P394" s="1193">
        <v>2</v>
      </c>
      <c r="Q394" s="1193">
        <v>2</v>
      </c>
      <c r="R394" s="1193">
        <v>2</v>
      </c>
      <c r="S394" s="1193">
        <v>2</v>
      </c>
      <c r="T394" s="1193">
        <v>0</v>
      </c>
      <c r="U394" s="1193">
        <v>2</v>
      </c>
      <c r="V394" s="1193">
        <v>2</v>
      </c>
      <c r="W394" s="1193">
        <v>2</v>
      </c>
      <c r="X394" s="1193">
        <v>2</v>
      </c>
      <c r="Y394" s="1193">
        <v>2</v>
      </c>
      <c r="Z394" s="1193">
        <v>2</v>
      </c>
      <c r="AA394" s="1193">
        <v>2</v>
      </c>
      <c r="AB394" s="1193">
        <v>2</v>
      </c>
      <c r="AC394" s="1193">
        <v>2</v>
      </c>
      <c r="AD394" s="1193">
        <v>2</v>
      </c>
      <c r="AE394" s="1193">
        <v>2</v>
      </c>
      <c r="AF394" s="1193">
        <v>2</v>
      </c>
      <c r="AG394" s="1193">
        <v>2</v>
      </c>
      <c r="AH394" s="1193">
        <v>2</v>
      </c>
      <c r="AI394" s="1193">
        <v>2</v>
      </c>
      <c r="AJ394" s="1193">
        <v>2</v>
      </c>
      <c r="AK394" s="1193">
        <v>2</v>
      </c>
      <c r="AL394" s="1193">
        <v>2</v>
      </c>
      <c r="AM394" s="1193">
        <v>2</v>
      </c>
      <c r="AN394" s="1193">
        <v>0</v>
      </c>
      <c r="AO394" s="1193">
        <v>2</v>
      </c>
      <c r="AP394" s="1193">
        <v>0</v>
      </c>
      <c r="AQ394" s="1193">
        <v>2</v>
      </c>
      <c r="AR394" s="1193">
        <v>2</v>
      </c>
      <c r="AS394" s="1193">
        <v>2</v>
      </c>
      <c r="AT394" s="1193">
        <v>2</v>
      </c>
      <c r="AU394" s="1193">
        <v>2</v>
      </c>
      <c r="AV394" s="1193">
        <v>2</v>
      </c>
      <c r="AW394" s="1193">
        <v>0</v>
      </c>
      <c r="AX394" s="1193">
        <v>2</v>
      </c>
      <c r="AY394" s="1193">
        <v>2</v>
      </c>
      <c r="AZ394" s="1193">
        <v>2</v>
      </c>
      <c r="BA394" s="1193">
        <v>2</v>
      </c>
      <c r="BB394" s="1193">
        <v>2</v>
      </c>
      <c r="BC394" s="1193">
        <v>2</v>
      </c>
      <c r="BD394" s="1193">
        <v>2</v>
      </c>
      <c r="BE394" s="1193">
        <v>2</v>
      </c>
      <c r="BF394" s="1193">
        <v>2</v>
      </c>
      <c r="BG394" s="1193">
        <v>2</v>
      </c>
      <c r="BH394" s="1193">
        <v>2</v>
      </c>
      <c r="BI394" s="1193">
        <v>2</v>
      </c>
      <c r="BJ394" s="1193">
        <v>2</v>
      </c>
      <c r="BK394" s="1193">
        <v>2</v>
      </c>
      <c r="BL394" s="1193">
        <v>2</v>
      </c>
      <c r="BM394" s="1193">
        <v>2</v>
      </c>
      <c r="BN394" s="1193">
        <v>0</v>
      </c>
      <c r="BO394" s="1193">
        <v>2</v>
      </c>
      <c r="BP394" s="1193">
        <v>2</v>
      </c>
      <c r="BQ394" s="1193">
        <v>2</v>
      </c>
      <c r="BR394" s="1193">
        <v>2</v>
      </c>
      <c r="BS394" s="1193">
        <v>2</v>
      </c>
      <c r="BT394" s="1193">
        <v>2</v>
      </c>
      <c r="BU394" s="1193">
        <v>2</v>
      </c>
      <c r="BV394" s="1193">
        <v>2</v>
      </c>
      <c r="BW394" s="1193">
        <v>2</v>
      </c>
      <c r="BX394" s="1193">
        <v>2</v>
      </c>
      <c r="BY394" s="1193">
        <v>0</v>
      </c>
      <c r="BZ394" s="1193">
        <v>2</v>
      </c>
      <c r="CA394" s="1193">
        <v>2</v>
      </c>
      <c r="CB394" s="1193">
        <v>2</v>
      </c>
      <c r="CC394" s="1146">
        <v>2</v>
      </c>
      <c r="CD394" s="1146">
        <v>2</v>
      </c>
      <c r="CE394" s="1146">
        <v>0</v>
      </c>
      <c r="CF394" s="1146">
        <v>2</v>
      </c>
    </row>
    <row r="395" spans="1:84" x14ac:dyDescent="0.3">
      <c r="A395" s="1144">
        <v>955</v>
      </c>
      <c r="B395" s="1144">
        <v>955</v>
      </c>
      <c r="C395" s="1196"/>
      <c r="D395" s="1145"/>
      <c r="E395" s="1191"/>
      <c r="F395" s="1192">
        <v>0</v>
      </c>
      <c r="G395" s="1192">
        <v>0</v>
      </c>
      <c r="H395" s="1192">
        <v>1</v>
      </c>
      <c r="I395" s="1192">
        <v>0</v>
      </c>
      <c r="J395" s="1192">
        <v>0</v>
      </c>
      <c r="K395" s="1192">
        <v>0</v>
      </c>
      <c r="L395" s="1193">
        <v>0</v>
      </c>
      <c r="M395" s="1193">
        <v>0</v>
      </c>
      <c r="N395" s="1193">
        <v>0</v>
      </c>
      <c r="O395" s="1193">
        <v>0</v>
      </c>
      <c r="P395" s="1193">
        <v>0</v>
      </c>
      <c r="Q395" s="1193">
        <v>0</v>
      </c>
      <c r="R395" s="1193">
        <v>0</v>
      </c>
      <c r="S395" s="1193">
        <v>0</v>
      </c>
      <c r="T395" s="1193">
        <v>0</v>
      </c>
      <c r="U395" s="1193">
        <v>0</v>
      </c>
      <c r="V395" s="1193">
        <v>0</v>
      </c>
      <c r="W395" s="1193">
        <v>1</v>
      </c>
      <c r="X395" s="1193">
        <v>0</v>
      </c>
      <c r="Y395" s="1193">
        <v>0</v>
      </c>
      <c r="Z395" s="1193">
        <v>1</v>
      </c>
      <c r="AA395" s="1193">
        <v>0</v>
      </c>
      <c r="AB395" s="1193">
        <v>0</v>
      </c>
      <c r="AC395" s="1193">
        <v>0</v>
      </c>
      <c r="AD395" s="1193">
        <v>0</v>
      </c>
      <c r="AE395" s="1193">
        <v>0</v>
      </c>
      <c r="AF395" s="1193">
        <v>0</v>
      </c>
      <c r="AG395" s="1193">
        <v>0</v>
      </c>
      <c r="AH395" s="1193">
        <v>0</v>
      </c>
      <c r="AI395" s="1193">
        <v>0</v>
      </c>
      <c r="AJ395" s="1193">
        <v>2</v>
      </c>
      <c r="AK395" s="1193">
        <v>0</v>
      </c>
      <c r="AL395" s="1193">
        <v>0</v>
      </c>
      <c r="AM395" s="1193">
        <v>0</v>
      </c>
      <c r="AN395" s="1193">
        <v>0</v>
      </c>
      <c r="AO395" s="1193">
        <v>0</v>
      </c>
      <c r="AP395" s="1193">
        <v>0</v>
      </c>
      <c r="AQ395" s="1193">
        <v>0</v>
      </c>
      <c r="AR395" s="1193">
        <v>0</v>
      </c>
      <c r="AS395" s="1193">
        <v>0</v>
      </c>
      <c r="AT395" s="1193">
        <v>0</v>
      </c>
      <c r="AU395" s="1193">
        <v>2</v>
      </c>
      <c r="AV395" s="1193">
        <v>2</v>
      </c>
      <c r="AW395" s="1193">
        <v>0</v>
      </c>
      <c r="AX395" s="1193">
        <v>0</v>
      </c>
      <c r="AY395" s="1193">
        <v>0</v>
      </c>
      <c r="AZ395" s="1193">
        <v>0</v>
      </c>
      <c r="BA395" s="1193">
        <v>0</v>
      </c>
      <c r="BB395" s="1193">
        <v>0</v>
      </c>
      <c r="BC395" s="1193">
        <v>0</v>
      </c>
      <c r="BD395" s="1193">
        <v>0</v>
      </c>
      <c r="BE395" s="1193">
        <v>0</v>
      </c>
      <c r="BF395" s="1193">
        <v>0</v>
      </c>
      <c r="BG395" s="1193">
        <v>0</v>
      </c>
      <c r="BH395" s="1193">
        <v>0</v>
      </c>
      <c r="BI395" s="1193">
        <v>0</v>
      </c>
      <c r="BJ395" s="1193">
        <v>0</v>
      </c>
      <c r="BK395" s="1193">
        <v>0</v>
      </c>
      <c r="BL395" s="1193">
        <v>0</v>
      </c>
      <c r="BM395" s="1193">
        <v>0</v>
      </c>
      <c r="BN395" s="1193">
        <v>0</v>
      </c>
      <c r="BO395" s="1193">
        <v>0</v>
      </c>
      <c r="BP395" s="1193">
        <v>0</v>
      </c>
      <c r="BQ395" s="1193">
        <v>2</v>
      </c>
      <c r="BR395" s="1193">
        <v>0</v>
      </c>
      <c r="BS395" s="1193">
        <v>0</v>
      </c>
      <c r="BT395" s="1193">
        <v>1</v>
      </c>
      <c r="BU395" s="1193">
        <v>0</v>
      </c>
      <c r="BV395" s="1193">
        <v>0</v>
      </c>
      <c r="BW395" s="1193">
        <v>0</v>
      </c>
      <c r="BX395" s="1193">
        <v>0</v>
      </c>
      <c r="BY395" s="1193">
        <v>0</v>
      </c>
      <c r="BZ395" s="1193">
        <v>0</v>
      </c>
      <c r="CA395" s="1193">
        <v>0</v>
      </c>
      <c r="CB395" s="1193">
        <v>1</v>
      </c>
      <c r="CC395" s="1146">
        <v>0</v>
      </c>
      <c r="CD395" s="1146">
        <v>2</v>
      </c>
      <c r="CE395" s="1146">
        <v>0</v>
      </c>
      <c r="CF395" s="1146">
        <v>0</v>
      </c>
    </row>
    <row r="396" spans="1:84" x14ac:dyDescent="0.3">
      <c r="A396" s="1144">
        <v>957</v>
      </c>
      <c r="B396" s="1144">
        <v>957</v>
      </c>
      <c r="C396" s="1195"/>
      <c r="D396" s="1145"/>
      <c r="E396" s="1191"/>
      <c r="F396" s="1192">
        <v>0</v>
      </c>
      <c r="G396" s="1192">
        <v>0</v>
      </c>
      <c r="H396" s="1192">
        <v>0</v>
      </c>
      <c r="I396" s="1192">
        <v>0</v>
      </c>
      <c r="J396" s="1192">
        <v>0</v>
      </c>
      <c r="K396" s="1192">
        <v>0</v>
      </c>
      <c r="L396" s="1193">
        <v>0</v>
      </c>
      <c r="M396" s="1193">
        <v>0</v>
      </c>
      <c r="N396" s="1193">
        <v>0</v>
      </c>
      <c r="O396" s="1193">
        <v>0</v>
      </c>
      <c r="P396" s="1193">
        <v>0</v>
      </c>
      <c r="Q396" s="1193">
        <v>0</v>
      </c>
      <c r="R396" s="1193">
        <v>0</v>
      </c>
      <c r="S396" s="1193">
        <v>0</v>
      </c>
      <c r="T396" s="1193">
        <v>0</v>
      </c>
      <c r="U396" s="1193">
        <v>0</v>
      </c>
      <c r="V396" s="1193">
        <v>0</v>
      </c>
      <c r="W396" s="1193">
        <v>0</v>
      </c>
      <c r="X396" s="1193">
        <v>0</v>
      </c>
      <c r="Y396" s="1193">
        <v>0</v>
      </c>
      <c r="Z396" s="1193">
        <v>0</v>
      </c>
      <c r="AA396" s="1193">
        <v>0</v>
      </c>
      <c r="AB396" s="1193">
        <v>0</v>
      </c>
      <c r="AC396" s="1193">
        <v>4</v>
      </c>
      <c r="AD396" s="1193">
        <v>3</v>
      </c>
      <c r="AE396" s="1193">
        <v>0</v>
      </c>
      <c r="AF396" s="1193">
        <v>0</v>
      </c>
      <c r="AG396" s="1193">
        <v>0</v>
      </c>
      <c r="AH396" s="1193">
        <v>0</v>
      </c>
      <c r="AI396" s="1193">
        <v>0</v>
      </c>
      <c r="AJ396" s="1193">
        <v>0</v>
      </c>
      <c r="AK396" s="1193">
        <v>0</v>
      </c>
      <c r="AL396" s="1193">
        <v>0</v>
      </c>
      <c r="AM396" s="1193">
        <v>0</v>
      </c>
      <c r="AN396" s="1193">
        <v>0</v>
      </c>
      <c r="AO396" s="1193">
        <v>1</v>
      </c>
      <c r="AP396" s="1193">
        <v>0</v>
      </c>
      <c r="AQ396" s="1193">
        <v>0</v>
      </c>
      <c r="AR396" s="1193">
        <v>0</v>
      </c>
      <c r="AS396" s="1193">
        <v>0</v>
      </c>
      <c r="AT396" s="1193">
        <v>0</v>
      </c>
      <c r="AU396" s="1193">
        <v>1</v>
      </c>
      <c r="AV396" s="1193">
        <v>1</v>
      </c>
      <c r="AW396" s="1193">
        <v>0</v>
      </c>
      <c r="AX396" s="1193">
        <v>0</v>
      </c>
      <c r="AY396" s="1193">
        <v>0</v>
      </c>
      <c r="AZ396" s="1193">
        <v>0</v>
      </c>
      <c r="BA396" s="1193">
        <v>0</v>
      </c>
      <c r="BB396" s="1193">
        <v>0</v>
      </c>
      <c r="BC396" s="1193">
        <v>0</v>
      </c>
      <c r="BD396" s="1193">
        <v>0</v>
      </c>
      <c r="BE396" s="1193">
        <v>0</v>
      </c>
      <c r="BF396" s="1193">
        <v>0</v>
      </c>
      <c r="BG396" s="1193">
        <v>0</v>
      </c>
      <c r="BH396" s="1193">
        <v>0</v>
      </c>
      <c r="BI396" s="1193">
        <v>0</v>
      </c>
      <c r="BJ396" s="1193">
        <v>0</v>
      </c>
      <c r="BK396" s="1193">
        <v>0</v>
      </c>
      <c r="BL396" s="1193">
        <v>0</v>
      </c>
      <c r="BM396" s="1193">
        <v>0</v>
      </c>
      <c r="BN396" s="1193">
        <v>0</v>
      </c>
      <c r="BO396" s="1193">
        <v>0</v>
      </c>
      <c r="BP396" s="1193">
        <v>0</v>
      </c>
      <c r="BQ396" s="1193">
        <v>0</v>
      </c>
      <c r="BR396" s="1193">
        <v>0</v>
      </c>
      <c r="BS396" s="1193">
        <v>0</v>
      </c>
      <c r="BT396" s="1193">
        <v>0</v>
      </c>
      <c r="BU396" s="1193">
        <v>0</v>
      </c>
      <c r="BV396" s="1193">
        <v>0</v>
      </c>
      <c r="BW396" s="1193">
        <v>0</v>
      </c>
      <c r="BX396" s="1193">
        <v>0</v>
      </c>
      <c r="BY396" s="1193">
        <v>0</v>
      </c>
      <c r="BZ396" s="1193">
        <v>0</v>
      </c>
      <c r="CA396" s="1193">
        <v>0</v>
      </c>
      <c r="CB396" s="1193">
        <v>4</v>
      </c>
      <c r="CC396" s="1146">
        <v>0</v>
      </c>
      <c r="CD396" s="1146">
        <v>2</v>
      </c>
      <c r="CE396" s="1146">
        <v>0</v>
      </c>
      <c r="CF396" s="1146">
        <v>0</v>
      </c>
    </row>
    <row r="397" spans="1:84" x14ac:dyDescent="0.3">
      <c r="A397" s="1144">
        <v>959</v>
      </c>
      <c r="B397" s="1144">
        <v>959</v>
      </c>
      <c r="C397" s="1195"/>
      <c r="D397" s="1145"/>
      <c r="E397" s="1191"/>
      <c r="F397" s="1192">
        <v>0</v>
      </c>
      <c r="G397" s="1192">
        <v>0</v>
      </c>
      <c r="H397" s="1192">
        <v>2</v>
      </c>
      <c r="I397" s="1192">
        <v>2</v>
      </c>
      <c r="J397" s="1192">
        <v>2</v>
      </c>
      <c r="K397" s="1192">
        <v>2</v>
      </c>
      <c r="L397" s="1193">
        <v>2</v>
      </c>
      <c r="M397" s="1193">
        <v>3</v>
      </c>
      <c r="N397" s="1193">
        <v>3</v>
      </c>
      <c r="O397" s="1193">
        <v>3</v>
      </c>
      <c r="P397" s="1193">
        <v>2</v>
      </c>
      <c r="Q397" s="1193">
        <v>2</v>
      </c>
      <c r="R397" s="1193">
        <v>3</v>
      </c>
      <c r="S397" s="1193">
        <v>2</v>
      </c>
      <c r="T397" s="1193">
        <v>0</v>
      </c>
      <c r="U397" s="1193">
        <v>3</v>
      </c>
      <c r="V397" s="1193">
        <v>2</v>
      </c>
      <c r="W397" s="1193">
        <v>2</v>
      </c>
      <c r="X397" s="1193">
        <v>2</v>
      </c>
      <c r="Y397" s="1193">
        <v>2</v>
      </c>
      <c r="Z397" s="1193">
        <v>3</v>
      </c>
      <c r="AA397" s="1193">
        <v>2</v>
      </c>
      <c r="AB397" s="1193">
        <v>2</v>
      </c>
      <c r="AC397" s="1193">
        <v>2</v>
      </c>
      <c r="AD397" s="1193">
        <v>3</v>
      </c>
      <c r="AE397" s="1193">
        <v>2</v>
      </c>
      <c r="AF397" s="1193">
        <v>2</v>
      </c>
      <c r="AG397" s="1193">
        <v>2</v>
      </c>
      <c r="AH397" s="1193">
        <v>2</v>
      </c>
      <c r="AI397" s="1193">
        <v>2</v>
      </c>
      <c r="AJ397" s="1193">
        <v>2</v>
      </c>
      <c r="AK397" s="1193">
        <v>2</v>
      </c>
      <c r="AL397" s="1193">
        <v>2</v>
      </c>
      <c r="AM397" s="1193">
        <v>2</v>
      </c>
      <c r="AN397" s="1193">
        <v>0</v>
      </c>
      <c r="AO397" s="1193">
        <v>2</v>
      </c>
      <c r="AP397" s="1193">
        <v>0</v>
      </c>
      <c r="AQ397" s="1193">
        <v>2</v>
      </c>
      <c r="AR397" s="1193">
        <v>2</v>
      </c>
      <c r="AS397" s="1193">
        <v>2</v>
      </c>
      <c r="AT397" s="1193">
        <v>2</v>
      </c>
      <c r="AU397" s="1193">
        <v>2</v>
      </c>
      <c r="AV397" s="1193">
        <v>2</v>
      </c>
      <c r="AW397" s="1193">
        <v>0</v>
      </c>
      <c r="AX397" s="1193">
        <v>2</v>
      </c>
      <c r="AY397" s="1193">
        <v>2</v>
      </c>
      <c r="AZ397" s="1193">
        <v>2</v>
      </c>
      <c r="BA397" s="1193">
        <v>2</v>
      </c>
      <c r="BB397" s="1193">
        <v>3</v>
      </c>
      <c r="BC397" s="1193">
        <v>2</v>
      </c>
      <c r="BD397" s="1193">
        <v>3</v>
      </c>
      <c r="BE397" s="1193">
        <v>2</v>
      </c>
      <c r="BF397" s="1193">
        <v>2</v>
      </c>
      <c r="BG397" s="1193">
        <v>2</v>
      </c>
      <c r="BH397" s="1193">
        <v>2</v>
      </c>
      <c r="BI397" s="1193">
        <v>2</v>
      </c>
      <c r="BJ397" s="1193">
        <v>3</v>
      </c>
      <c r="BK397" s="1193">
        <v>2</v>
      </c>
      <c r="BL397" s="1193">
        <v>2</v>
      </c>
      <c r="BM397" s="1193">
        <v>2</v>
      </c>
      <c r="BN397" s="1193">
        <v>0</v>
      </c>
      <c r="BO397" s="1193">
        <v>2</v>
      </c>
      <c r="BP397" s="1193">
        <v>2</v>
      </c>
      <c r="BQ397" s="1193">
        <v>2</v>
      </c>
      <c r="BR397" s="1193">
        <v>2</v>
      </c>
      <c r="BS397" s="1193">
        <v>2</v>
      </c>
      <c r="BT397" s="1193">
        <v>2</v>
      </c>
      <c r="BU397" s="1193">
        <v>2</v>
      </c>
      <c r="BV397" s="1193">
        <v>2</v>
      </c>
      <c r="BW397" s="1193">
        <v>2</v>
      </c>
      <c r="BX397" s="1193">
        <v>3</v>
      </c>
      <c r="BY397" s="1193">
        <v>0</v>
      </c>
      <c r="BZ397" s="1193">
        <v>2</v>
      </c>
      <c r="CA397" s="1193">
        <v>3</v>
      </c>
      <c r="CB397" s="1193">
        <v>2</v>
      </c>
      <c r="CC397" s="1146">
        <v>2</v>
      </c>
      <c r="CD397" s="1146">
        <v>2</v>
      </c>
      <c r="CE397" s="1146">
        <v>0</v>
      </c>
      <c r="CF397" s="1146">
        <v>3</v>
      </c>
    </row>
    <row r="398" spans="1:84" x14ac:dyDescent="0.3">
      <c r="A398" s="1144">
        <v>961</v>
      </c>
      <c r="B398" s="1144">
        <v>961</v>
      </c>
      <c r="C398" s="1196"/>
      <c r="D398" s="1145"/>
      <c r="E398" s="1191"/>
      <c r="F398" s="1192">
        <v>0</v>
      </c>
      <c r="G398" s="1192">
        <v>0</v>
      </c>
      <c r="H398" s="1192">
        <v>2</v>
      </c>
      <c r="I398" s="1192">
        <v>2</v>
      </c>
      <c r="J398" s="1192">
        <v>2</v>
      </c>
      <c r="K398" s="1192">
        <v>2</v>
      </c>
      <c r="L398" s="1193">
        <v>2</v>
      </c>
      <c r="M398" s="1193">
        <v>3</v>
      </c>
      <c r="N398" s="1193">
        <v>3</v>
      </c>
      <c r="O398" s="1193">
        <v>2</v>
      </c>
      <c r="P398" s="1193">
        <v>2</v>
      </c>
      <c r="Q398" s="1193">
        <v>2</v>
      </c>
      <c r="R398" s="1193">
        <v>3</v>
      </c>
      <c r="S398" s="1193">
        <v>2</v>
      </c>
      <c r="T398" s="1193">
        <v>0</v>
      </c>
      <c r="U398" s="1193">
        <v>3</v>
      </c>
      <c r="V398" s="1193">
        <v>2</v>
      </c>
      <c r="W398" s="1193">
        <v>2</v>
      </c>
      <c r="X398" s="1193">
        <v>2</v>
      </c>
      <c r="Y398" s="1193">
        <v>2</v>
      </c>
      <c r="Z398" s="1193">
        <v>3</v>
      </c>
      <c r="AA398" s="1193">
        <v>2</v>
      </c>
      <c r="AB398" s="1193">
        <v>2</v>
      </c>
      <c r="AC398" s="1193">
        <v>2</v>
      </c>
      <c r="AD398" s="1193">
        <v>2</v>
      </c>
      <c r="AE398" s="1193">
        <v>2</v>
      </c>
      <c r="AF398" s="1193">
        <v>2</v>
      </c>
      <c r="AG398" s="1193">
        <v>2</v>
      </c>
      <c r="AH398" s="1193">
        <v>2</v>
      </c>
      <c r="AI398" s="1193">
        <v>2</v>
      </c>
      <c r="AJ398" s="1193">
        <v>2</v>
      </c>
      <c r="AK398" s="1193">
        <v>2</v>
      </c>
      <c r="AL398" s="1193">
        <v>3</v>
      </c>
      <c r="AM398" s="1193">
        <v>2</v>
      </c>
      <c r="AN398" s="1193">
        <v>0</v>
      </c>
      <c r="AO398" s="1193">
        <v>2</v>
      </c>
      <c r="AP398" s="1193">
        <v>0</v>
      </c>
      <c r="AQ398" s="1193">
        <v>2</v>
      </c>
      <c r="AR398" s="1193">
        <v>3</v>
      </c>
      <c r="AS398" s="1193">
        <v>2</v>
      </c>
      <c r="AT398" s="1193">
        <v>2</v>
      </c>
      <c r="AU398" s="1193">
        <v>2</v>
      </c>
      <c r="AV398" s="1193">
        <v>2</v>
      </c>
      <c r="AW398" s="1193">
        <v>0</v>
      </c>
      <c r="AX398" s="1193">
        <v>2</v>
      </c>
      <c r="AY398" s="1193">
        <v>2</v>
      </c>
      <c r="AZ398" s="1193">
        <v>2</v>
      </c>
      <c r="BA398" s="1193">
        <v>2</v>
      </c>
      <c r="BB398" s="1193">
        <v>3</v>
      </c>
      <c r="BC398" s="1193">
        <v>2</v>
      </c>
      <c r="BD398" s="1193">
        <v>3</v>
      </c>
      <c r="BE398" s="1193">
        <v>2</v>
      </c>
      <c r="BF398" s="1193">
        <v>2</v>
      </c>
      <c r="BG398" s="1193">
        <v>2</v>
      </c>
      <c r="BH398" s="1193">
        <v>2</v>
      </c>
      <c r="BI398" s="1193">
        <v>2</v>
      </c>
      <c r="BJ398" s="1193">
        <v>3</v>
      </c>
      <c r="BK398" s="1193">
        <v>2</v>
      </c>
      <c r="BL398" s="1193">
        <v>2</v>
      </c>
      <c r="BM398" s="1193">
        <v>2</v>
      </c>
      <c r="BN398" s="1193">
        <v>0</v>
      </c>
      <c r="BO398" s="1193">
        <v>2</v>
      </c>
      <c r="BP398" s="1193">
        <v>2</v>
      </c>
      <c r="BQ398" s="1193">
        <v>2</v>
      </c>
      <c r="BR398" s="1193">
        <v>2</v>
      </c>
      <c r="BS398" s="1193">
        <v>2</v>
      </c>
      <c r="BT398" s="1193">
        <v>2</v>
      </c>
      <c r="BU398" s="1193">
        <v>2</v>
      </c>
      <c r="BV398" s="1193">
        <v>2</v>
      </c>
      <c r="BW398" s="1193">
        <v>2</v>
      </c>
      <c r="BX398" s="1193">
        <v>3</v>
      </c>
      <c r="BY398" s="1193">
        <v>0</v>
      </c>
      <c r="BZ398" s="1193">
        <v>2</v>
      </c>
      <c r="CA398" s="1193">
        <v>3</v>
      </c>
      <c r="CB398" s="1193">
        <v>2</v>
      </c>
      <c r="CC398" s="1146">
        <v>2</v>
      </c>
      <c r="CD398" s="1146">
        <v>2</v>
      </c>
      <c r="CE398" s="1146">
        <v>0</v>
      </c>
      <c r="CF398" s="1146">
        <v>3</v>
      </c>
    </row>
    <row r="399" spans="1:84" x14ac:dyDescent="0.3">
      <c r="A399" s="1144">
        <v>963</v>
      </c>
      <c r="B399" s="1144">
        <v>963</v>
      </c>
      <c r="C399" s="1196"/>
      <c r="D399" s="1145"/>
      <c r="E399" s="1191"/>
      <c r="F399" s="1192">
        <v>0</v>
      </c>
      <c r="G399" s="1192">
        <v>0</v>
      </c>
      <c r="H399" s="1192">
        <v>1</v>
      </c>
      <c r="I399" s="1192">
        <v>3</v>
      </c>
      <c r="J399" s="1192">
        <v>3</v>
      </c>
      <c r="K399" s="1192">
        <v>3</v>
      </c>
      <c r="L399" s="1193">
        <v>3</v>
      </c>
      <c r="M399" s="1193">
        <v>3</v>
      </c>
      <c r="N399" s="1193">
        <v>3</v>
      </c>
      <c r="O399" s="1193">
        <v>3</v>
      </c>
      <c r="P399" s="1193">
        <v>3</v>
      </c>
      <c r="Q399" s="1193">
        <v>3</v>
      </c>
      <c r="R399" s="1193">
        <v>3</v>
      </c>
      <c r="S399" s="1193">
        <v>1</v>
      </c>
      <c r="T399" s="1193">
        <v>0</v>
      </c>
      <c r="U399" s="1193">
        <v>3</v>
      </c>
      <c r="V399" s="1193">
        <v>1</v>
      </c>
      <c r="W399" s="1193">
        <v>1</v>
      </c>
      <c r="X399" s="1193">
        <v>1</v>
      </c>
      <c r="Y399" s="1193">
        <v>3</v>
      </c>
      <c r="Z399" s="1193">
        <v>3</v>
      </c>
      <c r="AA399" s="1193">
        <v>3</v>
      </c>
      <c r="AB399" s="1193">
        <v>1</v>
      </c>
      <c r="AC399" s="1193">
        <v>1</v>
      </c>
      <c r="AD399" s="1193">
        <v>1</v>
      </c>
      <c r="AE399" s="1193">
        <v>3</v>
      </c>
      <c r="AF399" s="1193">
        <v>1</v>
      </c>
      <c r="AG399" s="1193">
        <v>3</v>
      </c>
      <c r="AH399" s="1193">
        <v>1</v>
      </c>
      <c r="AI399" s="1193">
        <v>3</v>
      </c>
      <c r="AJ399" s="1193">
        <v>3</v>
      </c>
      <c r="AK399" s="1193">
        <v>1</v>
      </c>
      <c r="AL399" s="1193">
        <v>3</v>
      </c>
      <c r="AM399" s="1193">
        <v>3</v>
      </c>
      <c r="AN399" s="1193">
        <v>0</v>
      </c>
      <c r="AO399" s="1193">
        <v>3</v>
      </c>
      <c r="AP399" s="1193">
        <v>0</v>
      </c>
      <c r="AQ399" s="1193">
        <v>2</v>
      </c>
      <c r="AR399" s="1193">
        <v>3</v>
      </c>
      <c r="AS399" s="1193">
        <v>1</v>
      </c>
      <c r="AT399" s="1193">
        <v>1</v>
      </c>
      <c r="AU399" s="1193">
        <v>3</v>
      </c>
      <c r="AV399" s="1193">
        <v>1</v>
      </c>
      <c r="AW399" s="1193">
        <v>0</v>
      </c>
      <c r="AX399" s="1193">
        <v>1</v>
      </c>
      <c r="AY399" s="1193">
        <v>3</v>
      </c>
      <c r="AZ399" s="1193">
        <v>3</v>
      </c>
      <c r="BA399" s="1193">
        <v>1</v>
      </c>
      <c r="BB399" s="1193">
        <v>3</v>
      </c>
      <c r="BC399" s="1193">
        <v>3</v>
      </c>
      <c r="BD399" s="1193">
        <v>3</v>
      </c>
      <c r="BE399" s="1193">
        <v>3</v>
      </c>
      <c r="BF399" s="1193">
        <v>1</v>
      </c>
      <c r="BG399" s="1193">
        <v>3</v>
      </c>
      <c r="BH399" s="1193">
        <v>3</v>
      </c>
      <c r="BI399" s="1193">
        <v>3</v>
      </c>
      <c r="BJ399" s="1193">
        <v>3</v>
      </c>
      <c r="BK399" s="1193">
        <v>3</v>
      </c>
      <c r="BL399" s="1193">
        <v>3</v>
      </c>
      <c r="BM399" s="1193">
        <v>3</v>
      </c>
      <c r="BN399" s="1193">
        <v>0</v>
      </c>
      <c r="BO399" s="1193">
        <v>3</v>
      </c>
      <c r="BP399" s="1193">
        <v>3</v>
      </c>
      <c r="BQ399" s="1193">
        <v>3</v>
      </c>
      <c r="BR399" s="1193">
        <v>3</v>
      </c>
      <c r="BS399" s="1193">
        <v>3</v>
      </c>
      <c r="BT399" s="1193">
        <v>3</v>
      </c>
      <c r="BU399" s="1193">
        <v>3</v>
      </c>
      <c r="BV399" s="1193">
        <v>1</v>
      </c>
      <c r="BW399" s="1193">
        <v>3</v>
      </c>
      <c r="BX399" s="1193">
        <v>3</v>
      </c>
      <c r="BY399" s="1193">
        <v>0</v>
      </c>
      <c r="BZ399" s="1193">
        <v>3</v>
      </c>
      <c r="CA399" s="1193">
        <v>3</v>
      </c>
      <c r="CB399" s="1193">
        <v>1</v>
      </c>
      <c r="CC399" s="1146">
        <v>1</v>
      </c>
      <c r="CD399" s="1146">
        <v>3</v>
      </c>
      <c r="CE399" s="1146">
        <v>0</v>
      </c>
      <c r="CF399" s="1146">
        <v>3</v>
      </c>
    </row>
    <row r="400" spans="1:84" x14ac:dyDescent="0.3">
      <c r="A400" s="1144">
        <v>965</v>
      </c>
      <c r="B400" s="1144">
        <v>965</v>
      </c>
      <c r="C400" s="1196"/>
      <c r="D400" s="1145"/>
      <c r="E400" s="1191"/>
      <c r="F400" s="1192">
        <v>0</v>
      </c>
      <c r="G400" s="1192">
        <v>0</v>
      </c>
      <c r="H400" s="1192">
        <v>1</v>
      </c>
      <c r="I400" s="1192">
        <v>1</v>
      </c>
      <c r="J400" s="1192">
        <v>1</v>
      </c>
      <c r="K400" s="1192">
        <v>1</v>
      </c>
      <c r="L400" s="1193">
        <v>1</v>
      </c>
      <c r="M400" s="1193">
        <v>1</v>
      </c>
      <c r="N400" s="1193">
        <v>1</v>
      </c>
      <c r="O400" s="1193">
        <v>1</v>
      </c>
      <c r="P400" s="1193">
        <v>1</v>
      </c>
      <c r="Q400" s="1193">
        <v>1</v>
      </c>
      <c r="R400" s="1193">
        <v>1</v>
      </c>
      <c r="S400" s="1193">
        <v>1</v>
      </c>
      <c r="T400" s="1193">
        <v>0</v>
      </c>
      <c r="U400" s="1193">
        <v>1</v>
      </c>
      <c r="V400" s="1193">
        <v>1</v>
      </c>
      <c r="W400" s="1193">
        <v>1</v>
      </c>
      <c r="X400" s="1193">
        <v>1</v>
      </c>
      <c r="Y400" s="1193">
        <v>1</v>
      </c>
      <c r="Z400" s="1193">
        <v>1</v>
      </c>
      <c r="AA400" s="1193">
        <v>1</v>
      </c>
      <c r="AB400" s="1193">
        <v>1</v>
      </c>
      <c r="AC400" s="1193">
        <v>1</v>
      </c>
      <c r="AD400" s="1193">
        <v>1</v>
      </c>
      <c r="AE400" s="1193">
        <v>1</v>
      </c>
      <c r="AF400" s="1193">
        <v>1</v>
      </c>
      <c r="AG400" s="1193">
        <v>1</v>
      </c>
      <c r="AH400" s="1193">
        <v>1</v>
      </c>
      <c r="AI400" s="1193">
        <v>1</v>
      </c>
      <c r="AJ400" s="1193">
        <v>1</v>
      </c>
      <c r="AK400" s="1193">
        <v>1</v>
      </c>
      <c r="AL400" s="1193">
        <v>1</v>
      </c>
      <c r="AM400" s="1193">
        <v>1</v>
      </c>
      <c r="AN400" s="1193">
        <v>0</v>
      </c>
      <c r="AO400" s="1193">
        <v>1</v>
      </c>
      <c r="AP400" s="1193">
        <v>0</v>
      </c>
      <c r="AQ400" s="1193">
        <v>1</v>
      </c>
      <c r="AR400" s="1193">
        <v>2</v>
      </c>
      <c r="AS400" s="1193">
        <v>1</v>
      </c>
      <c r="AT400" s="1193">
        <v>1</v>
      </c>
      <c r="AU400" s="1193">
        <v>1</v>
      </c>
      <c r="AV400" s="1193">
        <v>1</v>
      </c>
      <c r="AW400" s="1193">
        <v>0</v>
      </c>
      <c r="AX400" s="1193">
        <v>1</v>
      </c>
      <c r="AY400" s="1193">
        <v>1</v>
      </c>
      <c r="AZ400" s="1193">
        <v>1</v>
      </c>
      <c r="BA400" s="1193">
        <v>1</v>
      </c>
      <c r="BB400" s="1193">
        <v>1</v>
      </c>
      <c r="BC400" s="1193">
        <v>1</v>
      </c>
      <c r="BD400" s="1193">
        <v>1</v>
      </c>
      <c r="BE400" s="1193">
        <v>1</v>
      </c>
      <c r="BF400" s="1193">
        <v>1</v>
      </c>
      <c r="BG400" s="1193">
        <v>1</v>
      </c>
      <c r="BH400" s="1193">
        <v>1</v>
      </c>
      <c r="BI400" s="1193">
        <v>1</v>
      </c>
      <c r="BJ400" s="1193">
        <v>1</v>
      </c>
      <c r="BK400" s="1193">
        <v>1</v>
      </c>
      <c r="BL400" s="1193">
        <v>1</v>
      </c>
      <c r="BM400" s="1193">
        <v>1</v>
      </c>
      <c r="BN400" s="1193">
        <v>0</v>
      </c>
      <c r="BO400" s="1193">
        <v>1</v>
      </c>
      <c r="BP400" s="1193">
        <v>1</v>
      </c>
      <c r="BQ400" s="1193">
        <v>1</v>
      </c>
      <c r="BR400" s="1193">
        <v>1</v>
      </c>
      <c r="BS400" s="1193">
        <v>1</v>
      </c>
      <c r="BT400" s="1193">
        <v>1</v>
      </c>
      <c r="BU400" s="1193">
        <v>1</v>
      </c>
      <c r="BV400" s="1193">
        <v>1</v>
      </c>
      <c r="BW400" s="1193">
        <v>1</v>
      </c>
      <c r="BX400" s="1193">
        <v>1</v>
      </c>
      <c r="BY400" s="1193">
        <v>0</v>
      </c>
      <c r="BZ400" s="1193">
        <v>1</v>
      </c>
      <c r="CA400" s="1193">
        <v>1</v>
      </c>
      <c r="CB400" s="1193">
        <v>1</v>
      </c>
      <c r="CC400" s="1146">
        <v>1</v>
      </c>
      <c r="CD400" s="1146">
        <v>1</v>
      </c>
      <c r="CE400" s="1146">
        <v>0</v>
      </c>
      <c r="CF400" s="1146">
        <v>1</v>
      </c>
    </row>
    <row r="401" spans="1:84" x14ac:dyDescent="0.3">
      <c r="A401" s="1144">
        <v>603</v>
      </c>
      <c r="B401" s="1144">
        <v>603</v>
      </c>
      <c r="C401" s="1196"/>
      <c r="D401" s="1145"/>
      <c r="E401" s="1191"/>
      <c r="F401" s="1192">
        <v>0</v>
      </c>
      <c r="G401" s="1192">
        <v>0</v>
      </c>
      <c r="H401" s="1192">
        <v>2</v>
      </c>
      <c r="I401" s="1192">
        <v>0</v>
      </c>
      <c r="J401" s="1192">
        <v>0</v>
      </c>
      <c r="K401" s="1192">
        <v>0</v>
      </c>
      <c r="L401" s="1193">
        <v>2</v>
      </c>
      <c r="M401" s="1193">
        <v>0</v>
      </c>
      <c r="N401" s="1193">
        <v>1</v>
      </c>
      <c r="O401" s="1193">
        <v>2</v>
      </c>
      <c r="P401" s="1193">
        <v>0</v>
      </c>
      <c r="Q401" s="1193">
        <v>0</v>
      </c>
      <c r="R401" s="1193">
        <v>0</v>
      </c>
      <c r="S401" s="1193">
        <v>0</v>
      </c>
      <c r="T401" s="1193">
        <v>0</v>
      </c>
      <c r="U401" s="1193">
        <v>0</v>
      </c>
      <c r="V401" s="1193">
        <v>0</v>
      </c>
      <c r="W401" s="1193">
        <v>0</v>
      </c>
      <c r="X401" s="1193">
        <v>0</v>
      </c>
      <c r="Y401" s="1193">
        <v>0</v>
      </c>
      <c r="Z401" s="1193">
        <v>2</v>
      </c>
      <c r="AA401" s="1193">
        <v>0</v>
      </c>
      <c r="AB401" s="1193">
        <v>0</v>
      </c>
      <c r="AC401" s="1193">
        <v>4</v>
      </c>
      <c r="AD401" s="1193">
        <v>4</v>
      </c>
      <c r="AE401" s="1193">
        <v>0</v>
      </c>
      <c r="AF401" s="1193">
        <v>6</v>
      </c>
      <c r="AG401" s="1193">
        <v>0</v>
      </c>
      <c r="AH401" s="1193">
        <v>0</v>
      </c>
      <c r="AI401" s="1193">
        <v>6</v>
      </c>
      <c r="AJ401" s="1193">
        <v>4</v>
      </c>
      <c r="AK401" s="1193">
        <v>0</v>
      </c>
      <c r="AL401" s="1193">
        <v>0</v>
      </c>
      <c r="AM401" s="1193">
        <v>0</v>
      </c>
      <c r="AN401" s="1193">
        <v>0</v>
      </c>
      <c r="AO401" s="1193">
        <v>2</v>
      </c>
      <c r="AP401" s="1193">
        <v>0</v>
      </c>
      <c r="AQ401" s="1193">
        <v>4</v>
      </c>
      <c r="AR401" s="1193">
        <v>1</v>
      </c>
      <c r="AS401" s="1193">
        <v>1</v>
      </c>
      <c r="AT401" s="1193">
        <v>1</v>
      </c>
      <c r="AU401" s="1193">
        <v>2</v>
      </c>
      <c r="AV401" s="1193">
        <v>4</v>
      </c>
      <c r="AW401" s="1193">
        <v>0</v>
      </c>
      <c r="AX401" s="1193">
        <v>0</v>
      </c>
      <c r="AY401" s="1193">
        <v>0</v>
      </c>
      <c r="AZ401" s="1193">
        <v>0</v>
      </c>
      <c r="BA401" s="1193">
        <v>0</v>
      </c>
      <c r="BB401" s="1193">
        <v>0</v>
      </c>
      <c r="BC401" s="1193">
        <v>1</v>
      </c>
      <c r="BD401" s="1193">
        <v>0</v>
      </c>
      <c r="BE401" s="1193">
        <v>1</v>
      </c>
      <c r="BF401" s="1193">
        <v>0</v>
      </c>
      <c r="BG401" s="1193">
        <v>0</v>
      </c>
      <c r="BH401" s="1193">
        <v>0</v>
      </c>
      <c r="BI401" s="1193">
        <v>1</v>
      </c>
      <c r="BJ401" s="1193">
        <v>0</v>
      </c>
      <c r="BK401" s="1193">
        <v>0</v>
      </c>
      <c r="BL401" s="1193">
        <v>0</v>
      </c>
      <c r="BM401" s="1193">
        <v>1</v>
      </c>
      <c r="BN401" s="1193">
        <v>0</v>
      </c>
      <c r="BO401" s="1193">
        <v>4</v>
      </c>
      <c r="BP401" s="1193">
        <v>0</v>
      </c>
      <c r="BQ401" s="1193">
        <v>2</v>
      </c>
      <c r="BR401" s="1193">
        <v>0</v>
      </c>
      <c r="BS401" s="1193">
        <v>0</v>
      </c>
      <c r="BT401" s="1193">
        <v>1</v>
      </c>
      <c r="BU401" s="1193">
        <v>0</v>
      </c>
      <c r="BV401" s="1193">
        <v>1</v>
      </c>
      <c r="BW401" s="1193">
        <v>1</v>
      </c>
      <c r="BX401" s="1193">
        <v>0</v>
      </c>
      <c r="BY401" s="1193">
        <v>0</v>
      </c>
      <c r="BZ401" s="1193">
        <v>0</v>
      </c>
      <c r="CA401" s="1193">
        <v>2</v>
      </c>
      <c r="CB401" s="1193">
        <v>4</v>
      </c>
      <c r="CC401" s="1146">
        <v>0</v>
      </c>
      <c r="CD401" s="1146">
        <v>2</v>
      </c>
      <c r="CE401" s="1146">
        <v>0</v>
      </c>
      <c r="CF401" s="1146">
        <v>2</v>
      </c>
    </row>
    <row r="402" spans="1:84" x14ac:dyDescent="0.3">
      <c r="A402" s="1144">
        <v>929</v>
      </c>
      <c r="B402" s="1144">
        <v>929</v>
      </c>
      <c r="C402" s="1196"/>
      <c r="D402" s="1145"/>
      <c r="E402" s="1191"/>
      <c r="F402" s="1192">
        <v>0</v>
      </c>
      <c r="G402" s="1192">
        <v>0</v>
      </c>
      <c r="H402" s="1192">
        <v>1</v>
      </c>
      <c r="I402" s="1192">
        <v>0</v>
      </c>
      <c r="J402" s="1192">
        <v>0</v>
      </c>
      <c r="K402" s="1192">
        <v>0</v>
      </c>
      <c r="L402" s="1193">
        <v>2</v>
      </c>
      <c r="M402" s="1193">
        <v>0</v>
      </c>
      <c r="N402" s="1193">
        <v>2</v>
      </c>
      <c r="O402" s="1193">
        <v>2</v>
      </c>
      <c r="P402" s="1193">
        <v>0</v>
      </c>
      <c r="Q402" s="1193">
        <v>0</v>
      </c>
      <c r="R402" s="1193">
        <v>0</v>
      </c>
      <c r="S402" s="1193">
        <v>0</v>
      </c>
      <c r="T402" s="1193">
        <v>0</v>
      </c>
      <c r="U402" s="1193">
        <v>0</v>
      </c>
      <c r="V402" s="1193">
        <v>0</v>
      </c>
      <c r="W402" s="1193">
        <v>0</v>
      </c>
      <c r="X402" s="1193">
        <v>0</v>
      </c>
      <c r="Y402" s="1193">
        <v>0</v>
      </c>
      <c r="Z402" s="1193">
        <v>1</v>
      </c>
      <c r="AA402" s="1193">
        <v>0</v>
      </c>
      <c r="AB402" s="1193">
        <v>0</v>
      </c>
      <c r="AC402" s="1193">
        <v>2</v>
      </c>
      <c r="AD402" s="1193">
        <v>2</v>
      </c>
      <c r="AE402" s="1193">
        <v>0</v>
      </c>
      <c r="AF402" s="1193">
        <v>2</v>
      </c>
      <c r="AG402" s="1193">
        <v>0</v>
      </c>
      <c r="AH402" s="1193">
        <v>0</v>
      </c>
      <c r="AI402" s="1193">
        <v>2</v>
      </c>
      <c r="AJ402" s="1193">
        <v>1</v>
      </c>
      <c r="AK402" s="1193">
        <v>0</v>
      </c>
      <c r="AL402" s="1193">
        <v>0</v>
      </c>
      <c r="AM402" s="1193">
        <v>0</v>
      </c>
      <c r="AN402" s="1193">
        <v>0</v>
      </c>
      <c r="AO402" s="1193">
        <v>2</v>
      </c>
      <c r="AP402" s="1193">
        <v>0</v>
      </c>
      <c r="AQ402" s="1193">
        <v>2</v>
      </c>
      <c r="AR402" s="1193">
        <v>0</v>
      </c>
      <c r="AS402" s="1193">
        <v>2</v>
      </c>
      <c r="AT402" s="1193">
        <v>2</v>
      </c>
      <c r="AU402" s="1193">
        <v>2</v>
      </c>
      <c r="AV402" s="1193">
        <v>1</v>
      </c>
      <c r="AW402" s="1193">
        <v>0</v>
      </c>
      <c r="AX402" s="1193">
        <v>0</v>
      </c>
      <c r="AY402" s="1193">
        <v>0</v>
      </c>
      <c r="AZ402" s="1193">
        <v>0</v>
      </c>
      <c r="BA402" s="1193">
        <v>0</v>
      </c>
      <c r="BB402" s="1193">
        <v>0</v>
      </c>
      <c r="BC402" s="1193">
        <v>2</v>
      </c>
      <c r="BD402" s="1193">
        <v>0</v>
      </c>
      <c r="BE402" s="1193">
        <v>2</v>
      </c>
      <c r="BF402" s="1193">
        <v>0</v>
      </c>
      <c r="BG402" s="1193">
        <v>0</v>
      </c>
      <c r="BH402" s="1193">
        <v>0</v>
      </c>
      <c r="BI402" s="1193">
        <v>0</v>
      </c>
      <c r="BJ402" s="1193">
        <v>0</v>
      </c>
      <c r="BK402" s="1193">
        <v>0</v>
      </c>
      <c r="BL402" s="1193">
        <v>0</v>
      </c>
      <c r="BM402" s="1193">
        <v>2</v>
      </c>
      <c r="BN402" s="1193">
        <v>0</v>
      </c>
      <c r="BO402" s="1193">
        <v>2</v>
      </c>
      <c r="BP402" s="1193">
        <v>0</v>
      </c>
      <c r="BQ402" s="1193">
        <v>2</v>
      </c>
      <c r="BR402" s="1193">
        <v>0</v>
      </c>
      <c r="BS402" s="1193">
        <v>0</v>
      </c>
      <c r="BT402" s="1193">
        <v>2</v>
      </c>
      <c r="BU402" s="1193">
        <v>0</v>
      </c>
      <c r="BV402" s="1193">
        <v>2</v>
      </c>
      <c r="BW402" s="1193">
        <v>2</v>
      </c>
      <c r="BX402" s="1193">
        <v>0</v>
      </c>
      <c r="BY402" s="1193">
        <v>0</v>
      </c>
      <c r="BZ402" s="1193">
        <v>0</v>
      </c>
      <c r="CA402" s="1193">
        <v>2</v>
      </c>
      <c r="CB402" s="1193">
        <v>2</v>
      </c>
      <c r="CC402" s="1146">
        <v>0</v>
      </c>
      <c r="CD402" s="1146">
        <v>2</v>
      </c>
      <c r="CE402" s="1146">
        <v>0</v>
      </c>
      <c r="CF402" s="1146">
        <v>2</v>
      </c>
    </row>
    <row r="403" spans="1:84" x14ac:dyDescent="0.3">
      <c r="A403" s="1144">
        <v>930</v>
      </c>
      <c r="B403" s="1144">
        <v>930</v>
      </c>
      <c r="C403" s="1196"/>
      <c r="D403" s="1145"/>
      <c r="E403" s="1191"/>
      <c r="F403" s="1192">
        <v>0</v>
      </c>
      <c r="G403" s="1192">
        <v>0</v>
      </c>
      <c r="H403" s="1192">
        <v>2</v>
      </c>
      <c r="I403" s="1192">
        <v>0</v>
      </c>
      <c r="J403" s="1192">
        <v>0</v>
      </c>
      <c r="K403" s="1192">
        <v>0</v>
      </c>
      <c r="L403" s="1193">
        <v>1</v>
      </c>
      <c r="M403" s="1193">
        <v>0</v>
      </c>
      <c r="N403" s="1193">
        <v>2</v>
      </c>
      <c r="O403" s="1193">
        <v>2</v>
      </c>
      <c r="P403" s="1193">
        <v>0</v>
      </c>
      <c r="Q403" s="1193">
        <v>0</v>
      </c>
      <c r="R403" s="1193">
        <v>0</v>
      </c>
      <c r="S403" s="1193">
        <v>0</v>
      </c>
      <c r="T403" s="1193">
        <v>0</v>
      </c>
      <c r="U403" s="1193">
        <v>0</v>
      </c>
      <c r="V403" s="1193">
        <v>0</v>
      </c>
      <c r="W403" s="1193">
        <v>0</v>
      </c>
      <c r="X403" s="1193">
        <v>0</v>
      </c>
      <c r="Y403" s="1193">
        <v>0</v>
      </c>
      <c r="Z403" s="1193">
        <v>2</v>
      </c>
      <c r="AA403" s="1193">
        <v>0</v>
      </c>
      <c r="AB403" s="1193">
        <v>0</v>
      </c>
      <c r="AC403" s="1193">
        <v>1</v>
      </c>
      <c r="AD403" s="1193">
        <v>1</v>
      </c>
      <c r="AE403" s="1193">
        <v>0</v>
      </c>
      <c r="AF403" s="1193">
        <v>2</v>
      </c>
      <c r="AG403" s="1193">
        <v>0</v>
      </c>
      <c r="AH403" s="1193">
        <v>0</v>
      </c>
      <c r="AI403" s="1193">
        <v>2</v>
      </c>
      <c r="AJ403" s="1193">
        <v>1</v>
      </c>
      <c r="AK403" s="1193">
        <v>0</v>
      </c>
      <c r="AL403" s="1193">
        <v>0</v>
      </c>
      <c r="AM403" s="1193">
        <v>0</v>
      </c>
      <c r="AN403" s="1193">
        <v>0</v>
      </c>
      <c r="AO403" s="1193">
        <v>2</v>
      </c>
      <c r="AP403" s="1193">
        <v>0</v>
      </c>
      <c r="AQ403" s="1193">
        <v>1</v>
      </c>
      <c r="AR403" s="1193">
        <v>1</v>
      </c>
      <c r="AS403" s="1193">
        <v>2</v>
      </c>
      <c r="AT403" s="1193">
        <v>2</v>
      </c>
      <c r="AU403" s="1193">
        <v>2</v>
      </c>
      <c r="AV403" s="1193">
        <v>2</v>
      </c>
      <c r="AW403" s="1193">
        <v>0</v>
      </c>
      <c r="AX403" s="1193">
        <v>0</v>
      </c>
      <c r="AY403" s="1193">
        <v>0</v>
      </c>
      <c r="AZ403" s="1193">
        <v>0</v>
      </c>
      <c r="BA403" s="1193">
        <v>0</v>
      </c>
      <c r="BB403" s="1193">
        <v>0</v>
      </c>
      <c r="BC403" s="1193">
        <v>2</v>
      </c>
      <c r="BD403" s="1193">
        <v>0</v>
      </c>
      <c r="BE403" s="1193">
        <v>1</v>
      </c>
      <c r="BF403" s="1193">
        <v>0</v>
      </c>
      <c r="BG403" s="1193">
        <v>0</v>
      </c>
      <c r="BH403" s="1193">
        <v>0</v>
      </c>
      <c r="BI403" s="1193">
        <v>0</v>
      </c>
      <c r="BJ403" s="1193">
        <v>0</v>
      </c>
      <c r="BK403" s="1193">
        <v>0</v>
      </c>
      <c r="BL403" s="1193">
        <v>0</v>
      </c>
      <c r="BM403" s="1193">
        <v>2</v>
      </c>
      <c r="BN403" s="1193">
        <v>0</v>
      </c>
      <c r="BO403" s="1193">
        <v>1</v>
      </c>
      <c r="BP403" s="1193">
        <v>0</v>
      </c>
      <c r="BQ403" s="1193">
        <v>2</v>
      </c>
      <c r="BR403" s="1193">
        <v>0</v>
      </c>
      <c r="BS403" s="1193">
        <v>0</v>
      </c>
      <c r="BT403" s="1193">
        <v>2</v>
      </c>
      <c r="BU403" s="1193">
        <v>0</v>
      </c>
      <c r="BV403" s="1193">
        <v>2</v>
      </c>
      <c r="BW403" s="1193">
        <v>2</v>
      </c>
      <c r="BX403" s="1193">
        <v>0</v>
      </c>
      <c r="BY403" s="1193">
        <v>0</v>
      </c>
      <c r="BZ403" s="1193">
        <v>0</v>
      </c>
      <c r="CA403" s="1193">
        <v>1</v>
      </c>
      <c r="CB403" s="1193">
        <v>1</v>
      </c>
      <c r="CC403" s="1146">
        <v>0</v>
      </c>
      <c r="CD403" s="1146">
        <v>2</v>
      </c>
      <c r="CE403" s="1146">
        <v>0</v>
      </c>
      <c r="CF403" s="1146">
        <v>2</v>
      </c>
    </row>
    <row r="404" spans="1:84" x14ac:dyDescent="0.3">
      <c r="A404" s="1144">
        <v>931</v>
      </c>
      <c r="B404" s="1144">
        <v>931</v>
      </c>
      <c r="C404" s="1196"/>
      <c r="D404" s="1145"/>
      <c r="E404" s="1191"/>
      <c r="F404" s="1192">
        <v>0</v>
      </c>
      <c r="G404" s="1192">
        <v>0</v>
      </c>
      <c r="H404" s="1192">
        <v>2</v>
      </c>
      <c r="I404" s="1192">
        <v>0</v>
      </c>
      <c r="J404" s="1192">
        <v>0</v>
      </c>
      <c r="K404" s="1192">
        <v>0</v>
      </c>
      <c r="L404" s="1193">
        <v>2</v>
      </c>
      <c r="M404" s="1193">
        <v>0</v>
      </c>
      <c r="N404" s="1193">
        <v>2</v>
      </c>
      <c r="O404" s="1193">
        <v>2</v>
      </c>
      <c r="P404" s="1193">
        <v>0</v>
      </c>
      <c r="Q404" s="1193">
        <v>0</v>
      </c>
      <c r="R404" s="1193">
        <v>0</v>
      </c>
      <c r="S404" s="1193">
        <v>0</v>
      </c>
      <c r="T404" s="1193">
        <v>0</v>
      </c>
      <c r="U404" s="1193">
        <v>0</v>
      </c>
      <c r="V404" s="1193">
        <v>0</v>
      </c>
      <c r="W404" s="1193">
        <v>0</v>
      </c>
      <c r="X404" s="1193">
        <v>0</v>
      </c>
      <c r="Y404" s="1193">
        <v>0</v>
      </c>
      <c r="Z404" s="1193">
        <v>2</v>
      </c>
      <c r="AA404" s="1193">
        <v>0</v>
      </c>
      <c r="AB404" s="1193">
        <v>0</v>
      </c>
      <c r="AC404" s="1193">
        <v>2</v>
      </c>
      <c r="AD404" s="1193">
        <v>2</v>
      </c>
      <c r="AE404" s="1193">
        <v>0</v>
      </c>
      <c r="AF404" s="1193">
        <v>2</v>
      </c>
      <c r="AG404" s="1193">
        <v>0</v>
      </c>
      <c r="AH404" s="1193">
        <v>0</v>
      </c>
      <c r="AI404" s="1193">
        <v>2</v>
      </c>
      <c r="AJ404" s="1193">
        <v>2</v>
      </c>
      <c r="AK404" s="1193">
        <v>0</v>
      </c>
      <c r="AL404" s="1193">
        <v>0</v>
      </c>
      <c r="AM404" s="1193">
        <v>0</v>
      </c>
      <c r="AN404" s="1193">
        <v>0</v>
      </c>
      <c r="AO404" s="1193">
        <v>2</v>
      </c>
      <c r="AP404" s="1193">
        <v>0</v>
      </c>
      <c r="AQ404" s="1193">
        <v>2</v>
      </c>
      <c r="AR404" s="1193">
        <v>0</v>
      </c>
      <c r="AS404" s="1193">
        <v>2</v>
      </c>
      <c r="AT404" s="1193">
        <v>2</v>
      </c>
      <c r="AU404" s="1193">
        <v>2</v>
      </c>
      <c r="AV404" s="1193">
        <v>2</v>
      </c>
      <c r="AW404" s="1193">
        <v>0</v>
      </c>
      <c r="AX404" s="1193">
        <v>0</v>
      </c>
      <c r="AY404" s="1193">
        <v>0</v>
      </c>
      <c r="AZ404" s="1193">
        <v>0</v>
      </c>
      <c r="BA404" s="1193">
        <v>0</v>
      </c>
      <c r="BB404" s="1193">
        <v>0</v>
      </c>
      <c r="BC404" s="1193">
        <v>2</v>
      </c>
      <c r="BD404" s="1193">
        <v>0</v>
      </c>
      <c r="BE404" s="1193">
        <v>2</v>
      </c>
      <c r="BF404" s="1193">
        <v>0</v>
      </c>
      <c r="BG404" s="1193">
        <v>0</v>
      </c>
      <c r="BH404" s="1193">
        <v>0</v>
      </c>
      <c r="BI404" s="1193">
        <v>0</v>
      </c>
      <c r="BJ404" s="1193">
        <v>0</v>
      </c>
      <c r="BK404" s="1193">
        <v>0</v>
      </c>
      <c r="BL404" s="1193">
        <v>0</v>
      </c>
      <c r="BM404" s="1193">
        <v>2</v>
      </c>
      <c r="BN404" s="1193">
        <v>0</v>
      </c>
      <c r="BO404" s="1193">
        <v>2</v>
      </c>
      <c r="BP404" s="1193">
        <v>0</v>
      </c>
      <c r="BQ404" s="1193">
        <v>2</v>
      </c>
      <c r="BR404" s="1193">
        <v>0</v>
      </c>
      <c r="BS404" s="1193">
        <v>0</v>
      </c>
      <c r="BT404" s="1193">
        <v>2</v>
      </c>
      <c r="BU404" s="1193">
        <v>0</v>
      </c>
      <c r="BV404" s="1193">
        <v>2</v>
      </c>
      <c r="BW404" s="1193">
        <v>2</v>
      </c>
      <c r="BX404" s="1193">
        <v>0</v>
      </c>
      <c r="BY404" s="1193">
        <v>0</v>
      </c>
      <c r="BZ404" s="1193">
        <v>0</v>
      </c>
      <c r="CA404" s="1193">
        <v>2</v>
      </c>
      <c r="CB404" s="1193">
        <v>2</v>
      </c>
      <c r="CC404" s="1146">
        <v>0</v>
      </c>
      <c r="CD404" s="1146">
        <v>2</v>
      </c>
      <c r="CE404" s="1146">
        <v>0</v>
      </c>
      <c r="CF404" s="1146">
        <v>2</v>
      </c>
    </row>
    <row r="405" spans="1:84" x14ac:dyDescent="0.3">
      <c r="A405" s="1146">
        <v>932</v>
      </c>
      <c r="B405" s="1146">
        <v>932</v>
      </c>
      <c r="E405" s="1200"/>
      <c r="F405" s="1200">
        <v>0</v>
      </c>
      <c r="G405" s="1200">
        <v>0</v>
      </c>
      <c r="H405" s="1200">
        <v>2</v>
      </c>
      <c r="I405" s="1200">
        <v>0</v>
      </c>
      <c r="J405" s="1200">
        <v>0</v>
      </c>
      <c r="K405" s="1200">
        <v>0</v>
      </c>
      <c r="L405" s="1200">
        <v>2</v>
      </c>
      <c r="M405" s="1200">
        <v>0</v>
      </c>
      <c r="N405" s="1200">
        <v>2</v>
      </c>
      <c r="O405" s="1200">
        <v>2</v>
      </c>
      <c r="P405" s="1200">
        <v>0</v>
      </c>
      <c r="Q405" s="1200">
        <v>0</v>
      </c>
      <c r="R405" s="1200">
        <v>0</v>
      </c>
      <c r="S405" s="1200">
        <v>0</v>
      </c>
      <c r="T405" s="1200">
        <v>0</v>
      </c>
      <c r="U405" s="1200">
        <v>0</v>
      </c>
      <c r="V405" s="1200">
        <v>0</v>
      </c>
      <c r="W405" s="1200">
        <v>0</v>
      </c>
      <c r="X405" s="1200">
        <v>0</v>
      </c>
      <c r="Y405" s="1200">
        <v>0</v>
      </c>
      <c r="Z405" s="1200">
        <v>2</v>
      </c>
      <c r="AA405" s="1200">
        <v>0</v>
      </c>
      <c r="AB405" s="1200">
        <v>0</v>
      </c>
      <c r="AC405" s="1200">
        <v>2</v>
      </c>
      <c r="AD405" s="1200">
        <v>2</v>
      </c>
      <c r="AE405" s="1200">
        <v>0</v>
      </c>
      <c r="AF405" s="1200">
        <v>2</v>
      </c>
      <c r="AG405" s="1200">
        <v>0</v>
      </c>
      <c r="AH405" s="1200">
        <v>0</v>
      </c>
      <c r="AI405" s="1200">
        <v>2</v>
      </c>
      <c r="AJ405" s="1200">
        <v>2</v>
      </c>
      <c r="AK405" s="1200">
        <v>0</v>
      </c>
      <c r="AL405" s="1200">
        <v>0</v>
      </c>
      <c r="AM405" s="1200">
        <v>0</v>
      </c>
      <c r="AN405" s="1200">
        <v>0</v>
      </c>
      <c r="AO405" s="1200">
        <v>2</v>
      </c>
      <c r="AP405" s="1200">
        <v>0</v>
      </c>
      <c r="AQ405" s="1200">
        <v>2</v>
      </c>
      <c r="AR405" s="1200">
        <v>0</v>
      </c>
      <c r="AS405" s="1200">
        <v>2</v>
      </c>
      <c r="AT405" s="1200">
        <v>2</v>
      </c>
      <c r="AU405" s="1200">
        <v>2</v>
      </c>
      <c r="AV405" s="1200">
        <v>2</v>
      </c>
      <c r="AW405" s="1200">
        <v>0</v>
      </c>
      <c r="AX405" s="1200">
        <v>0</v>
      </c>
      <c r="AY405" s="1200">
        <v>0</v>
      </c>
      <c r="AZ405" s="1200">
        <v>0</v>
      </c>
      <c r="BA405" s="1200">
        <v>0</v>
      </c>
      <c r="BB405" s="1200">
        <v>0</v>
      </c>
      <c r="BC405" s="1200">
        <v>2</v>
      </c>
      <c r="BD405" s="1200">
        <v>0</v>
      </c>
      <c r="BE405" s="1200">
        <v>2</v>
      </c>
      <c r="BF405" s="1200">
        <v>0</v>
      </c>
      <c r="BG405" s="1200">
        <v>0</v>
      </c>
      <c r="BH405" s="1200">
        <v>0</v>
      </c>
      <c r="BI405" s="1200">
        <v>0</v>
      </c>
      <c r="BJ405" s="1200">
        <v>0</v>
      </c>
      <c r="BK405" s="1200">
        <v>0</v>
      </c>
      <c r="BL405" s="1200">
        <v>0</v>
      </c>
      <c r="BM405" s="1200">
        <v>2</v>
      </c>
      <c r="BN405" s="1200">
        <v>0</v>
      </c>
      <c r="BO405" s="1200">
        <v>2</v>
      </c>
      <c r="BP405" s="1200">
        <v>0</v>
      </c>
      <c r="BQ405" s="1200">
        <v>2</v>
      </c>
      <c r="BR405" s="1200">
        <v>0</v>
      </c>
      <c r="BS405" s="1200">
        <v>0</v>
      </c>
      <c r="BT405" s="1200">
        <v>2</v>
      </c>
      <c r="BU405" s="1200">
        <v>0</v>
      </c>
      <c r="BV405" s="1200">
        <v>2</v>
      </c>
      <c r="BW405" s="1200">
        <v>2</v>
      </c>
      <c r="BX405" s="1200">
        <v>0</v>
      </c>
      <c r="BY405" s="1200">
        <v>0</v>
      </c>
      <c r="BZ405" s="1200">
        <v>0</v>
      </c>
      <c r="CA405" s="1200">
        <v>2</v>
      </c>
      <c r="CB405" s="1200">
        <v>2</v>
      </c>
      <c r="CC405" s="1146">
        <v>0</v>
      </c>
      <c r="CD405" s="1146">
        <v>2</v>
      </c>
      <c r="CE405" s="1146">
        <v>0</v>
      </c>
      <c r="CF405" s="1146">
        <v>2</v>
      </c>
    </row>
    <row r="406" spans="1:84" x14ac:dyDescent="0.3">
      <c r="B406" s="1146"/>
      <c r="F406" s="1146">
        <v>0.01</v>
      </c>
      <c r="G406" s="1146">
        <v>0</v>
      </c>
      <c r="H406" s="1146">
        <v>813765.01</v>
      </c>
      <c r="I406" s="1146">
        <v>133689</v>
      </c>
      <c r="J406" s="1146">
        <v>296745</v>
      </c>
      <c r="K406" s="1146">
        <v>106491</v>
      </c>
      <c r="L406" s="1146">
        <v>123264.11</v>
      </c>
      <c r="M406" s="1146">
        <v>52876</v>
      </c>
      <c r="N406" s="1146">
        <v>55896</v>
      </c>
      <c r="O406" s="1146">
        <v>1017262</v>
      </c>
      <c r="P406" s="1146">
        <v>98695</v>
      </c>
      <c r="Q406" s="1146">
        <v>6245279.0099999998</v>
      </c>
      <c r="R406" s="1146">
        <v>51439</v>
      </c>
      <c r="S406" s="1146">
        <v>150568675.07999998</v>
      </c>
      <c r="T406" s="1146">
        <v>0.01</v>
      </c>
      <c r="U406" s="1146">
        <v>51824</v>
      </c>
      <c r="V406" s="1146">
        <v>71100619.010000005</v>
      </c>
      <c r="W406" s="1146">
        <v>19573702.010000002</v>
      </c>
      <c r="X406" s="1146">
        <v>41723366.079999998</v>
      </c>
      <c r="Y406" s="1146">
        <v>5565492</v>
      </c>
      <c r="Z406" s="1146">
        <v>416847.01</v>
      </c>
      <c r="AA406" s="1146">
        <v>11195504.01</v>
      </c>
      <c r="AB406" s="1146">
        <v>7063651.0099999998</v>
      </c>
      <c r="AC406" s="1146">
        <v>16854335.010000002</v>
      </c>
      <c r="AD406" s="1146">
        <v>4242238.01</v>
      </c>
      <c r="AE406" s="1146">
        <v>1366600.01</v>
      </c>
      <c r="AF406" s="1146">
        <v>1239882.01</v>
      </c>
      <c r="AG406" s="1146">
        <v>6407397.0099999998</v>
      </c>
      <c r="AH406" s="1146">
        <v>23818800.010000002</v>
      </c>
      <c r="AI406" s="1146">
        <v>2933345.01</v>
      </c>
      <c r="AJ406" s="1146">
        <v>1576836.01</v>
      </c>
      <c r="AK406" s="1146">
        <v>66180194.089999996</v>
      </c>
      <c r="AL406" s="1146">
        <v>1058975.01</v>
      </c>
      <c r="AM406" s="1146">
        <v>545844.01</v>
      </c>
      <c r="AN406" s="1146">
        <v>0.01</v>
      </c>
      <c r="AO406" s="1146">
        <v>20829618.010000002</v>
      </c>
      <c r="AP406" s="1146">
        <v>0.08</v>
      </c>
      <c r="AQ406" s="1146">
        <v>50365.01</v>
      </c>
      <c r="AR406" s="1146">
        <v>50800</v>
      </c>
      <c r="AS406" s="1146">
        <v>13779428</v>
      </c>
      <c r="AT406" s="1146">
        <v>6070353.0099999998</v>
      </c>
      <c r="AU406" s="1146">
        <v>58717.01</v>
      </c>
      <c r="AV406" s="1146">
        <v>1805816.01</v>
      </c>
      <c r="AW406" s="1146">
        <v>37903991.090000004</v>
      </c>
      <c r="AX406" s="1146">
        <v>40340019.009999998</v>
      </c>
      <c r="AY406" s="1146">
        <v>362358</v>
      </c>
      <c r="AZ406" s="1146">
        <v>2304424.0099999998</v>
      </c>
      <c r="BA406" s="1146">
        <v>8552442.0099999998</v>
      </c>
      <c r="BB406" s="1146">
        <v>1088678.01</v>
      </c>
      <c r="BC406" s="1146">
        <v>327814.01</v>
      </c>
      <c r="BD406" s="1146">
        <v>50364</v>
      </c>
      <c r="BE406" s="1146">
        <v>283180.01</v>
      </c>
      <c r="BF406" s="1146">
        <v>34084998.009999998</v>
      </c>
      <c r="BG406" s="1146">
        <v>51797</v>
      </c>
      <c r="BH406" s="1146">
        <v>308440.01</v>
      </c>
      <c r="BI406" s="1146">
        <v>173372.01</v>
      </c>
      <c r="BJ406" s="1146">
        <v>51722</v>
      </c>
      <c r="BK406" s="1146">
        <v>331883.01</v>
      </c>
      <c r="BL406" s="1146">
        <v>70336</v>
      </c>
      <c r="BM406" s="1146">
        <v>3973176.01</v>
      </c>
      <c r="BN406" s="1146">
        <v>0.09</v>
      </c>
      <c r="BO406" s="1146">
        <v>50379.01</v>
      </c>
      <c r="BP406" s="1146">
        <v>15109945.01</v>
      </c>
      <c r="BQ406" s="1146">
        <v>883441.01</v>
      </c>
      <c r="BR406" s="1146">
        <v>1228162.02</v>
      </c>
      <c r="BS406" s="1146">
        <v>2533620</v>
      </c>
      <c r="BT406" s="1146">
        <v>3317362.0999999996</v>
      </c>
      <c r="BU406" s="1146">
        <v>8162869.0700000003</v>
      </c>
      <c r="BV406" s="1146">
        <v>854757.01</v>
      </c>
      <c r="BW406" s="1146">
        <v>5399568.0099999998</v>
      </c>
      <c r="BX406" s="1146">
        <v>72413</v>
      </c>
      <c r="BY406" s="1146">
        <v>0.01</v>
      </c>
      <c r="BZ406" s="1146">
        <v>1367487.04</v>
      </c>
      <c r="CA406" s="1146">
        <v>83998.010000000009</v>
      </c>
      <c r="CB406" s="1146">
        <v>50395.01</v>
      </c>
      <c r="CC406" s="1146">
        <v>98074.010000000009</v>
      </c>
      <c r="CD406" s="1146">
        <v>575096.01</v>
      </c>
      <c r="CE406" s="1146">
        <v>0</v>
      </c>
      <c r="CF406" s="1146">
        <v>75502.009999999995</v>
      </c>
    </row>
    <row r="407" spans="1:84" x14ac:dyDescent="0.3">
      <c r="B407" s="1146"/>
      <c r="E407" s="1215"/>
      <c r="F407" s="1215"/>
      <c r="G407" s="1215"/>
      <c r="H407" s="1215"/>
      <c r="I407" s="1215"/>
      <c r="J407" s="1215"/>
      <c r="K407" s="1215"/>
      <c r="L407" s="1215"/>
      <c r="M407" s="1215"/>
      <c r="N407" s="1215"/>
      <c r="O407" s="1215"/>
      <c r="P407" s="1215"/>
      <c r="Q407" s="1215"/>
      <c r="R407" s="1215"/>
      <c r="S407" s="1215"/>
      <c r="T407" s="1215"/>
      <c r="U407" s="1215"/>
      <c r="V407" s="1215"/>
      <c r="W407" s="1215"/>
      <c r="X407" s="1215"/>
      <c r="Y407" s="1215"/>
      <c r="Z407" s="1215"/>
      <c r="AA407" s="1215"/>
      <c r="AB407" s="1215"/>
      <c r="AC407" s="1215"/>
      <c r="AD407" s="1215"/>
      <c r="AE407" s="1215"/>
      <c r="AF407" s="1215"/>
      <c r="AG407" s="1215"/>
      <c r="AH407" s="1215"/>
      <c r="AI407" s="1215"/>
      <c r="AJ407" s="1215"/>
      <c r="AK407" s="1215"/>
      <c r="AL407" s="1215"/>
      <c r="AM407" s="1215"/>
      <c r="AN407" s="1215"/>
      <c r="AO407" s="1215"/>
      <c r="AP407" s="1215"/>
      <c r="AQ407" s="1215"/>
      <c r="AR407" s="1215"/>
      <c r="AS407" s="1215"/>
      <c r="AT407" s="1215"/>
      <c r="AU407" s="1215"/>
      <c r="AV407" s="1215"/>
      <c r="AW407" s="1215"/>
      <c r="AX407" s="1215"/>
      <c r="AY407" s="1215"/>
      <c r="AZ407" s="1215"/>
      <c r="BA407" s="1215"/>
      <c r="BB407" s="1215"/>
      <c r="BC407" s="1215"/>
      <c r="BD407" s="1215"/>
      <c r="BE407" s="1215"/>
      <c r="BF407" s="1215"/>
      <c r="BG407" s="1215"/>
      <c r="BH407" s="1215"/>
      <c r="BI407" s="1215"/>
      <c r="BJ407" s="1215"/>
      <c r="BK407" s="1215"/>
      <c r="BL407" s="1215"/>
      <c r="BM407" s="1215"/>
      <c r="BN407" s="1215"/>
      <c r="BO407" s="1215"/>
      <c r="BP407" s="1215"/>
      <c r="BQ407" s="1215"/>
      <c r="BR407" s="1215"/>
      <c r="BS407" s="1215"/>
      <c r="BT407" s="1215"/>
      <c r="BU407" s="1215"/>
      <c r="BV407" s="1215"/>
      <c r="BW407" s="1215"/>
      <c r="BX407" s="1215"/>
      <c r="BY407" s="1215"/>
      <c r="BZ407" s="1215"/>
      <c r="CA407" s="1215"/>
      <c r="CB407" s="1215"/>
    </row>
    <row r="408" spans="1:84" x14ac:dyDescent="0.3">
      <c r="B408" s="1146"/>
      <c r="D408" s="1146" t="s">
        <v>1790</v>
      </c>
      <c r="F408" s="1146">
        <v>0</v>
      </c>
      <c r="G408" s="1146">
        <v>0</v>
      </c>
      <c r="H408" s="1146">
        <v>42292234.560000002</v>
      </c>
      <c r="I408" s="1146">
        <v>69693066.319999993</v>
      </c>
      <c r="J408" s="1146">
        <v>57300177.07</v>
      </c>
      <c r="K408" s="1146">
        <v>71428739.879999995</v>
      </c>
      <c r="L408" s="1146">
        <v>11736967.02</v>
      </c>
      <c r="M408" s="1146">
        <v>13379574.75</v>
      </c>
      <c r="N408" s="1146">
        <v>10073807.73</v>
      </c>
      <c r="O408" s="1146">
        <v>372515368.12</v>
      </c>
      <c r="P408" s="1146">
        <v>9765025.7800000012</v>
      </c>
      <c r="Q408" s="1146">
        <v>216648257.06999999</v>
      </c>
      <c r="R408" s="1146">
        <v>3147280.82</v>
      </c>
      <c r="S408" s="1146">
        <v>3125627378.2900004</v>
      </c>
      <c r="T408" s="1146">
        <v>0</v>
      </c>
      <c r="U408" s="1146">
        <v>2255714</v>
      </c>
      <c r="V408" s="1146">
        <v>3162027434.8299999</v>
      </c>
      <c r="W408" s="1146">
        <v>693734727.23000002</v>
      </c>
      <c r="X408" s="1146">
        <v>1389236992.98</v>
      </c>
      <c r="Y408" s="1146">
        <v>1070564626.28</v>
      </c>
      <c r="Z408" s="1146">
        <v>20317794.060000002</v>
      </c>
      <c r="AA408" s="1146">
        <v>603455432.11000001</v>
      </c>
      <c r="AB408" s="1146">
        <v>101930118.31999999</v>
      </c>
      <c r="AC408" s="1146">
        <v>578513509.05999994</v>
      </c>
      <c r="AD408" s="1146">
        <v>195673401.19</v>
      </c>
      <c r="AE408" s="1146">
        <v>70362078.289999992</v>
      </c>
      <c r="AF408" s="1146">
        <v>66514581.529999994</v>
      </c>
      <c r="AG408" s="1146">
        <v>149347170.43000001</v>
      </c>
      <c r="AH408" s="1146">
        <v>715131422.75</v>
      </c>
      <c r="AI408" s="1146">
        <v>177944694.17000002</v>
      </c>
      <c r="AJ408" s="1146">
        <v>46986142.109999999</v>
      </c>
      <c r="AK408" s="1146">
        <v>2121438489.0599997</v>
      </c>
      <c r="AL408" s="1146">
        <v>52583640.590000004</v>
      </c>
      <c r="AM408" s="1146">
        <v>47534000.780000001</v>
      </c>
      <c r="AN408" s="1146">
        <v>0</v>
      </c>
      <c r="AO408" s="1215">
        <f>AO360-AO406</f>
        <v>751116124.10000002</v>
      </c>
      <c r="AP408" s="1146">
        <v>0</v>
      </c>
      <c r="AQ408" s="1146">
        <v>25100110.100000001</v>
      </c>
      <c r="AR408" s="1146">
        <v>1298172</v>
      </c>
      <c r="AS408" s="1146">
        <v>229587715.37</v>
      </c>
      <c r="AT408" s="1146">
        <v>578860078.59000003</v>
      </c>
      <c r="AU408" s="1146">
        <v>2224543.7199999997</v>
      </c>
      <c r="AV408" s="1146">
        <v>104906501.16</v>
      </c>
      <c r="AW408" s="1146">
        <v>0</v>
      </c>
      <c r="AX408" s="1146">
        <v>1124966918.0599999</v>
      </c>
      <c r="AY408" s="1146">
        <v>62200198.93</v>
      </c>
      <c r="AZ408" s="1146">
        <v>82920855.450000003</v>
      </c>
      <c r="BA408" s="1146">
        <v>312659287.01999998</v>
      </c>
      <c r="BB408" s="1146">
        <v>66929778.749999993</v>
      </c>
      <c r="BC408" s="1146">
        <v>31940349.68</v>
      </c>
      <c r="BD408" s="1146">
        <v>1105409</v>
      </c>
      <c r="BE408" s="1146">
        <v>10582655.08</v>
      </c>
      <c r="BF408" s="1146">
        <v>443365142.12</v>
      </c>
      <c r="BG408" s="1146">
        <v>5847514.6600000001</v>
      </c>
      <c r="BH408" s="1146">
        <v>23864172.52</v>
      </c>
      <c r="BI408" s="1146">
        <v>14241712.17</v>
      </c>
      <c r="BJ408" s="1146">
        <v>3144010.14</v>
      </c>
      <c r="BK408" s="1146">
        <v>21429782.66</v>
      </c>
      <c r="BL408" s="1146">
        <v>4188298.66</v>
      </c>
      <c r="BM408" s="1146">
        <v>165632629.80000001</v>
      </c>
      <c r="BN408" s="1146">
        <v>0</v>
      </c>
      <c r="BO408" s="1146">
        <v>72237093.039999992</v>
      </c>
      <c r="BP408" s="1146">
        <v>162813535.59</v>
      </c>
      <c r="BQ408" s="1146">
        <v>43832723.439999998</v>
      </c>
      <c r="BR408" s="1146">
        <v>53090667.279999994</v>
      </c>
      <c r="BS408" s="1146">
        <v>317848428.85000002</v>
      </c>
      <c r="BT408" s="1146">
        <v>73954170.480000019</v>
      </c>
      <c r="BU408" s="1146">
        <v>529069671.56999999</v>
      </c>
      <c r="BV408" s="1146">
        <v>54719984.119999997</v>
      </c>
      <c r="BW408" s="1146">
        <v>209690582.09999999</v>
      </c>
      <c r="BX408" s="1146">
        <v>24255197.560000002</v>
      </c>
      <c r="BY408" s="1146">
        <v>0</v>
      </c>
      <c r="BZ408" s="1146">
        <v>41008095</v>
      </c>
      <c r="CA408" s="1146">
        <v>6116915.29</v>
      </c>
      <c r="CB408" s="1146">
        <v>32954393.149999999</v>
      </c>
      <c r="CC408" s="1146">
        <v>21306696.09</v>
      </c>
      <c r="CD408" s="1146">
        <v>41483703.060000002</v>
      </c>
      <c r="CE408" s="1146">
        <v>0</v>
      </c>
      <c r="CF408" s="1146">
        <v>6902648.6399999997</v>
      </c>
    </row>
    <row r="409" spans="1:84" x14ac:dyDescent="0.3">
      <c r="B409" s="1146"/>
    </row>
    <row r="410" spans="1:84" x14ac:dyDescent="0.3">
      <c r="B410" s="1146"/>
      <c r="E410" s="1146">
        <v>576</v>
      </c>
      <c r="F410" s="1200">
        <f>F226</f>
        <v>0</v>
      </c>
      <c r="G410" s="1200">
        <f t="shared" ref="G410:BR410" si="6">G226</f>
        <v>0</v>
      </c>
      <c r="H410" s="1200">
        <f t="shared" si="6"/>
        <v>0</v>
      </c>
      <c r="I410" s="1200">
        <f t="shared" si="6"/>
        <v>0</v>
      </c>
      <c r="J410" s="1200">
        <f t="shared" si="6"/>
        <v>0</v>
      </c>
      <c r="K410" s="1200">
        <f t="shared" si="6"/>
        <v>0</v>
      </c>
      <c r="L410" s="1200">
        <f t="shared" si="6"/>
        <v>0</v>
      </c>
      <c r="M410" s="1200">
        <f t="shared" si="6"/>
        <v>0</v>
      </c>
      <c r="N410" s="1200">
        <f t="shared" si="6"/>
        <v>0</v>
      </c>
      <c r="O410" s="1200">
        <f t="shared" si="6"/>
        <v>0</v>
      </c>
      <c r="P410" s="1200">
        <f t="shared" si="6"/>
        <v>0</v>
      </c>
      <c r="Q410" s="1200">
        <f t="shared" si="6"/>
        <v>0</v>
      </c>
      <c r="R410" s="1200">
        <f t="shared" si="6"/>
        <v>0</v>
      </c>
      <c r="S410" s="1200">
        <f t="shared" si="6"/>
        <v>1131160</v>
      </c>
      <c r="T410" s="1200">
        <f t="shared" si="6"/>
        <v>0</v>
      </c>
      <c r="U410" s="1200">
        <f t="shared" si="6"/>
        <v>0</v>
      </c>
      <c r="V410" s="1200">
        <f t="shared" si="6"/>
        <v>0</v>
      </c>
      <c r="W410" s="1200">
        <f t="shared" si="6"/>
        <v>0</v>
      </c>
      <c r="X410" s="1200">
        <f t="shared" si="6"/>
        <v>0</v>
      </c>
      <c r="Y410" s="1200">
        <f t="shared" si="6"/>
        <v>0</v>
      </c>
      <c r="Z410" s="1200">
        <f t="shared" si="6"/>
        <v>4173</v>
      </c>
      <c r="AA410" s="1200">
        <f t="shared" si="6"/>
        <v>108415</v>
      </c>
      <c r="AB410" s="1200">
        <f t="shared" si="6"/>
        <v>0</v>
      </c>
      <c r="AC410" s="1200">
        <f t="shared" si="6"/>
        <v>0</v>
      </c>
      <c r="AD410" s="1200">
        <f t="shared" si="6"/>
        <v>0</v>
      </c>
      <c r="AE410" s="1200">
        <f t="shared" si="6"/>
        <v>1991</v>
      </c>
      <c r="AF410" s="1200">
        <f t="shared" si="6"/>
        <v>0</v>
      </c>
      <c r="AG410" s="1200">
        <f t="shared" si="6"/>
        <v>0</v>
      </c>
      <c r="AH410" s="1200">
        <f t="shared" si="6"/>
        <v>0</v>
      </c>
      <c r="AI410" s="1200">
        <f t="shared" si="6"/>
        <v>0</v>
      </c>
      <c r="AJ410" s="1200">
        <f t="shared" si="6"/>
        <v>0</v>
      </c>
      <c r="AK410" s="1200">
        <f t="shared" si="6"/>
        <v>1094804</v>
      </c>
      <c r="AL410" s="1200">
        <f t="shared" si="6"/>
        <v>0</v>
      </c>
      <c r="AM410" s="1200">
        <f t="shared" si="6"/>
        <v>0</v>
      </c>
      <c r="AN410" s="1200">
        <f t="shared" si="6"/>
        <v>0</v>
      </c>
      <c r="AO410" s="1200">
        <f t="shared" si="6"/>
        <v>75631</v>
      </c>
      <c r="AP410" s="1200">
        <f t="shared" si="6"/>
        <v>0</v>
      </c>
      <c r="AQ410" s="1200">
        <f t="shared" si="6"/>
        <v>13182</v>
      </c>
      <c r="AR410" s="1200">
        <f t="shared" si="6"/>
        <v>0</v>
      </c>
      <c r="AS410" s="1200">
        <f t="shared" si="6"/>
        <v>0</v>
      </c>
      <c r="AT410" s="1200">
        <f t="shared" si="6"/>
        <v>0</v>
      </c>
      <c r="AU410" s="1200">
        <f t="shared" si="6"/>
        <v>0</v>
      </c>
      <c r="AV410" s="1200">
        <f t="shared" si="6"/>
        <v>0</v>
      </c>
      <c r="AW410" s="1200">
        <f t="shared" si="6"/>
        <v>0</v>
      </c>
      <c r="AX410" s="1200">
        <f t="shared" si="6"/>
        <v>0</v>
      </c>
      <c r="AY410" s="1200">
        <f t="shared" si="6"/>
        <v>0</v>
      </c>
      <c r="AZ410" s="1200">
        <f t="shared" si="6"/>
        <v>0</v>
      </c>
      <c r="BA410" s="1200">
        <f t="shared" si="6"/>
        <v>0</v>
      </c>
      <c r="BB410" s="1200">
        <f t="shared" si="6"/>
        <v>0</v>
      </c>
      <c r="BC410" s="1200">
        <f t="shared" si="6"/>
        <v>0</v>
      </c>
      <c r="BD410" s="1200">
        <f t="shared" si="6"/>
        <v>0</v>
      </c>
      <c r="BE410" s="1200">
        <f t="shared" si="6"/>
        <v>0</v>
      </c>
      <c r="BF410" s="1200">
        <f t="shared" si="6"/>
        <v>0</v>
      </c>
      <c r="BG410" s="1200">
        <f t="shared" si="6"/>
        <v>0</v>
      </c>
      <c r="BH410" s="1200">
        <f t="shared" si="6"/>
        <v>0</v>
      </c>
      <c r="BI410" s="1200">
        <f t="shared" si="6"/>
        <v>13361</v>
      </c>
      <c r="BJ410" s="1200">
        <f t="shared" si="6"/>
        <v>0</v>
      </c>
      <c r="BK410" s="1200">
        <f t="shared" si="6"/>
        <v>0</v>
      </c>
      <c r="BL410" s="1200">
        <f t="shared" si="6"/>
        <v>0</v>
      </c>
      <c r="BM410" s="1200">
        <f t="shared" si="6"/>
        <v>0</v>
      </c>
      <c r="BN410" s="1200">
        <f t="shared" si="6"/>
        <v>0</v>
      </c>
      <c r="BO410" s="1200">
        <f t="shared" si="6"/>
        <v>0</v>
      </c>
      <c r="BP410" s="1200">
        <f t="shared" si="6"/>
        <v>0</v>
      </c>
      <c r="BQ410" s="1200">
        <f t="shared" si="6"/>
        <v>27569</v>
      </c>
      <c r="BR410" s="1200">
        <f t="shared" si="6"/>
        <v>0</v>
      </c>
      <c r="BS410" s="1200">
        <f t="shared" ref="BS410:CF410" si="7">BS226</f>
        <v>0</v>
      </c>
      <c r="BT410" s="1200">
        <f t="shared" si="7"/>
        <v>32063</v>
      </c>
      <c r="BU410" s="1200">
        <f t="shared" si="7"/>
        <v>0</v>
      </c>
      <c r="BV410" s="1200">
        <f t="shared" si="7"/>
        <v>33313</v>
      </c>
      <c r="BW410" s="1200">
        <f t="shared" si="7"/>
        <v>0</v>
      </c>
      <c r="BX410" s="1200">
        <f t="shared" si="7"/>
        <v>0</v>
      </c>
      <c r="BY410" s="1200">
        <f t="shared" si="7"/>
        <v>0</v>
      </c>
      <c r="BZ410" s="1200">
        <f t="shared" si="7"/>
        <v>0</v>
      </c>
      <c r="CA410" s="1200">
        <f t="shared" si="7"/>
        <v>0</v>
      </c>
      <c r="CB410" s="1200">
        <f t="shared" si="7"/>
        <v>0</v>
      </c>
      <c r="CC410" s="1200">
        <f t="shared" si="7"/>
        <v>0</v>
      </c>
      <c r="CD410" s="1200">
        <f t="shared" si="7"/>
        <v>0</v>
      </c>
      <c r="CE410" s="1200">
        <f t="shared" si="7"/>
        <v>0</v>
      </c>
      <c r="CF410" s="1200">
        <f t="shared" si="7"/>
        <v>8737</v>
      </c>
    </row>
    <row r="411" spans="1:84" x14ac:dyDescent="0.3">
      <c r="B411" s="1146"/>
      <c r="E411" s="1146">
        <v>576</v>
      </c>
      <c r="F411" s="1200">
        <f>F226</f>
        <v>0</v>
      </c>
      <c r="G411" s="1200">
        <f t="shared" ref="G411:BR411" si="8">G226</f>
        <v>0</v>
      </c>
      <c r="H411" s="1200">
        <f t="shared" si="8"/>
        <v>0</v>
      </c>
      <c r="I411" s="1200">
        <f t="shared" si="8"/>
        <v>0</v>
      </c>
      <c r="J411" s="1200">
        <f t="shared" si="8"/>
        <v>0</v>
      </c>
      <c r="K411" s="1200">
        <f t="shared" si="8"/>
        <v>0</v>
      </c>
      <c r="L411" s="1200">
        <f t="shared" si="8"/>
        <v>0</v>
      </c>
      <c r="M411" s="1200">
        <f t="shared" si="8"/>
        <v>0</v>
      </c>
      <c r="N411" s="1200">
        <f t="shared" si="8"/>
        <v>0</v>
      </c>
      <c r="O411" s="1200">
        <f t="shared" si="8"/>
        <v>0</v>
      </c>
      <c r="P411" s="1200">
        <f t="shared" si="8"/>
        <v>0</v>
      </c>
      <c r="Q411" s="1200">
        <f t="shared" si="8"/>
        <v>0</v>
      </c>
      <c r="R411" s="1200">
        <f t="shared" si="8"/>
        <v>0</v>
      </c>
      <c r="S411" s="1200">
        <f t="shared" si="8"/>
        <v>1131160</v>
      </c>
      <c r="T411" s="1200">
        <f t="shared" si="8"/>
        <v>0</v>
      </c>
      <c r="U411" s="1200">
        <f t="shared" si="8"/>
        <v>0</v>
      </c>
      <c r="V411" s="1200">
        <f t="shared" si="8"/>
        <v>0</v>
      </c>
      <c r="W411" s="1200">
        <f t="shared" si="8"/>
        <v>0</v>
      </c>
      <c r="X411" s="1200">
        <f t="shared" si="8"/>
        <v>0</v>
      </c>
      <c r="Y411" s="1200">
        <f t="shared" si="8"/>
        <v>0</v>
      </c>
      <c r="Z411" s="1200">
        <f t="shared" si="8"/>
        <v>4173</v>
      </c>
      <c r="AA411" s="1200">
        <f t="shared" si="8"/>
        <v>108415</v>
      </c>
      <c r="AB411" s="1200">
        <f t="shared" si="8"/>
        <v>0</v>
      </c>
      <c r="AC411" s="1200">
        <f t="shared" si="8"/>
        <v>0</v>
      </c>
      <c r="AD411" s="1200">
        <f t="shared" si="8"/>
        <v>0</v>
      </c>
      <c r="AE411" s="1200">
        <f t="shared" si="8"/>
        <v>1991</v>
      </c>
      <c r="AF411" s="1200">
        <f t="shared" si="8"/>
        <v>0</v>
      </c>
      <c r="AG411" s="1200">
        <f t="shared" si="8"/>
        <v>0</v>
      </c>
      <c r="AH411" s="1200">
        <f t="shared" si="8"/>
        <v>0</v>
      </c>
      <c r="AI411" s="1200">
        <f t="shared" si="8"/>
        <v>0</v>
      </c>
      <c r="AJ411" s="1200">
        <f t="shared" si="8"/>
        <v>0</v>
      </c>
      <c r="AK411" s="1200">
        <f t="shared" si="8"/>
        <v>1094804</v>
      </c>
      <c r="AL411" s="1200">
        <f t="shared" si="8"/>
        <v>0</v>
      </c>
      <c r="AM411" s="1200">
        <f t="shared" si="8"/>
        <v>0</v>
      </c>
      <c r="AN411" s="1200">
        <f t="shared" si="8"/>
        <v>0</v>
      </c>
      <c r="AO411" s="1200">
        <f t="shared" si="8"/>
        <v>75631</v>
      </c>
      <c r="AP411" s="1200">
        <f t="shared" si="8"/>
        <v>0</v>
      </c>
      <c r="AQ411" s="1200">
        <f t="shared" si="8"/>
        <v>13182</v>
      </c>
      <c r="AR411" s="1200">
        <f t="shared" si="8"/>
        <v>0</v>
      </c>
      <c r="AS411" s="1200">
        <f t="shared" si="8"/>
        <v>0</v>
      </c>
      <c r="AT411" s="1200">
        <f t="shared" si="8"/>
        <v>0</v>
      </c>
      <c r="AU411" s="1200">
        <f t="shared" si="8"/>
        <v>0</v>
      </c>
      <c r="AV411" s="1200">
        <f t="shared" si="8"/>
        <v>0</v>
      </c>
      <c r="AW411" s="1200">
        <f t="shared" si="8"/>
        <v>0</v>
      </c>
      <c r="AX411" s="1200">
        <f t="shared" si="8"/>
        <v>0</v>
      </c>
      <c r="AY411" s="1200">
        <f t="shared" si="8"/>
        <v>0</v>
      </c>
      <c r="AZ411" s="1200">
        <f t="shared" si="8"/>
        <v>0</v>
      </c>
      <c r="BA411" s="1200">
        <f t="shared" si="8"/>
        <v>0</v>
      </c>
      <c r="BB411" s="1200">
        <f t="shared" si="8"/>
        <v>0</v>
      </c>
      <c r="BC411" s="1200">
        <f t="shared" si="8"/>
        <v>0</v>
      </c>
      <c r="BD411" s="1200">
        <f t="shared" si="8"/>
        <v>0</v>
      </c>
      <c r="BE411" s="1200">
        <f t="shared" si="8"/>
        <v>0</v>
      </c>
      <c r="BF411" s="1200">
        <f t="shared" si="8"/>
        <v>0</v>
      </c>
      <c r="BG411" s="1200">
        <f t="shared" si="8"/>
        <v>0</v>
      </c>
      <c r="BH411" s="1200">
        <f t="shared" si="8"/>
        <v>0</v>
      </c>
      <c r="BI411" s="1200">
        <f t="shared" si="8"/>
        <v>13361</v>
      </c>
      <c r="BJ411" s="1200">
        <f t="shared" si="8"/>
        <v>0</v>
      </c>
      <c r="BK411" s="1200">
        <f t="shared" si="8"/>
        <v>0</v>
      </c>
      <c r="BL411" s="1200">
        <f t="shared" si="8"/>
        <v>0</v>
      </c>
      <c r="BM411" s="1200">
        <f t="shared" si="8"/>
        <v>0</v>
      </c>
      <c r="BN411" s="1200">
        <f t="shared" si="8"/>
        <v>0</v>
      </c>
      <c r="BO411" s="1200">
        <f t="shared" si="8"/>
        <v>0</v>
      </c>
      <c r="BP411" s="1200">
        <f t="shared" si="8"/>
        <v>0</v>
      </c>
      <c r="BQ411" s="1200">
        <f t="shared" si="8"/>
        <v>27569</v>
      </c>
      <c r="BR411" s="1200">
        <f t="shared" si="8"/>
        <v>0</v>
      </c>
      <c r="BS411" s="1200">
        <f t="shared" ref="BS411:CF411" si="9">BS226</f>
        <v>0</v>
      </c>
      <c r="BT411" s="1200">
        <f t="shared" si="9"/>
        <v>32063</v>
      </c>
      <c r="BU411" s="1200">
        <f t="shared" si="9"/>
        <v>0</v>
      </c>
      <c r="BV411" s="1200">
        <f t="shared" si="9"/>
        <v>33313</v>
      </c>
      <c r="BW411" s="1200">
        <f t="shared" si="9"/>
        <v>0</v>
      </c>
      <c r="BX411" s="1200">
        <f t="shared" si="9"/>
        <v>0</v>
      </c>
      <c r="BY411" s="1200">
        <f t="shared" si="9"/>
        <v>0</v>
      </c>
      <c r="BZ411" s="1200">
        <f t="shared" si="9"/>
        <v>0</v>
      </c>
      <c r="CA411" s="1200">
        <f t="shared" si="9"/>
        <v>0</v>
      </c>
      <c r="CB411" s="1200">
        <f t="shared" si="9"/>
        <v>0</v>
      </c>
      <c r="CC411" s="1200">
        <f t="shared" si="9"/>
        <v>0</v>
      </c>
      <c r="CD411" s="1200">
        <f t="shared" si="9"/>
        <v>0</v>
      </c>
      <c r="CE411" s="1200">
        <f t="shared" si="9"/>
        <v>0</v>
      </c>
      <c r="CF411" s="1200">
        <f t="shared" si="9"/>
        <v>8737</v>
      </c>
    </row>
    <row r="412" spans="1:84" x14ac:dyDescent="0.3">
      <c r="B412" s="1146"/>
    </row>
    <row r="413" spans="1:84" x14ac:dyDescent="0.3">
      <c r="B413" s="1146"/>
      <c r="F413" s="1200">
        <f>F408-F410-F411</f>
        <v>0</v>
      </c>
      <c r="G413" s="1200">
        <f t="shared" ref="G413:BR413" si="10">G408-G410-G411</f>
        <v>0</v>
      </c>
      <c r="H413" s="1200">
        <f t="shared" si="10"/>
        <v>42292234.560000002</v>
      </c>
      <c r="I413" s="1200">
        <f t="shared" si="10"/>
        <v>69693066.319999993</v>
      </c>
      <c r="J413" s="1200">
        <f t="shared" si="10"/>
        <v>57300177.07</v>
      </c>
      <c r="K413" s="1200">
        <f t="shared" si="10"/>
        <v>71428739.879999995</v>
      </c>
      <c r="L413" s="1200">
        <f t="shared" si="10"/>
        <v>11736967.02</v>
      </c>
      <c r="M413" s="1200">
        <f t="shared" si="10"/>
        <v>13379574.75</v>
      </c>
      <c r="N413" s="1200">
        <f t="shared" si="10"/>
        <v>10073807.73</v>
      </c>
      <c r="O413" s="1200">
        <f t="shared" si="10"/>
        <v>372515368.12</v>
      </c>
      <c r="P413" s="1200">
        <f t="shared" si="10"/>
        <v>9765025.7800000012</v>
      </c>
      <c r="Q413" s="1200">
        <f t="shared" si="10"/>
        <v>216648257.06999999</v>
      </c>
      <c r="R413" s="1200">
        <f t="shared" si="10"/>
        <v>3147280.82</v>
      </c>
      <c r="S413" s="1200">
        <f t="shared" si="10"/>
        <v>3123365058.2900004</v>
      </c>
      <c r="T413" s="1200">
        <f t="shared" si="10"/>
        <v>0</v>
      </c>
      <c r="U413" s="1200">
        <f t="shared" si="10"/>
        <v>2255714</v>
      </c>
      <c r="V413" s="1200">
        <f t="shared" si="10"/>
        <v>3162027434.8299999</v>
      </c>
      <c r="W413" s="1200">
        <f t="shared" si="10"/>
        <v>693734727.23000002</v>
      </c>
      <c r="X413" s="1200">
        <f t="shared" si="10"/>
        <v>1389236992.98</v>
      </c>
      <c r="Y413" s="1200">
        <f t="shared" si="10"/>
        <v>1070564626.28</v>
      </c>
      <c r="Z413" s="1200">
        <f t="shared" si="10"/>
        <v>20309448.060000002</v>
      </c>
      <c r="AA413" s="1200">
        <f t="shared" si="10"/>
        <v>603238602.11000001</v>
      </c>
      <c r="AB413" s="1200">
        <f t="shared" si="10"/>
        <v>101930118.31999999</v>
      </c>
      <c r="AC413" s="1200">
        <f t="shared" si="10"/>
        <v>578513509.05999994</v>
      </c>
      <c r="AD413" s="1200">
        <f t="shared" si="10"/>
        <v>195673401.19</v>
      </c>
      <c r="AE413" s="1200">
        <f t="shared" si="10"/>
        <v>70358096.289999992</v>
      </c>
      <c r="AF413" s="1200">
        <f t="shared" si="10"/>
        <v>66514581.529999994</v>
      </c>
      <c r="AG413" s="1200">
        <f t="shared" si="10"/>
        <v>149347170.43000001</v>
      </c>
      <c r="AH413" s="1200">
        <f t="shared" si="10"/>
        <v>715131422.75</v>
      </c>
      <c r="AI413" s="1200">
        <f t="shared" si="10"/>
        <v>177944694.17000002</v>
      </c>
      <c r="AJ413" s="1200">
        <f t="shared" si="10"/>
        <v>46986142.109999999</v>
      </c>
      <c r="AK413" s="1200">
        <f t="shared" si="10"/>
        <v>2119248881.0599997</v>
      </c>
      <c r="AL413" s="1200">
        <f t="shared" si="10"/>
        <v>52583640.590000004</v>
      </c>
      <c r="AM413" s="1200">
        <f t="shared" si="10"/>
        <v>47534000.780000001</v>
      </c>
      <c r="AN413" s="1200">
        <f t="shared" si="10"/>
        <v>0</v>
      </c>
      <c r="AO413" s="1200">
        <f t="shared" si="10"/>
        <v>750964862.10000002</v>
      </c>
      <c r="AP413" s="1200">
        <f t="shared" si="10"/>
        <v>0</v>
      </c>
      <c r="AQ413" s="1200">
        <f t="shared" si="10"/>
        <v>25073746.100000001</v>
      </c>
      <c r="AR413" s="1200">
        <f t="shared" si="10"/>
        <v>1298172</v>
      </c>
      <c r="AS413" s="1200">
        <f t="shared" si="10"/>
        <v>229587715.37</v>
      </c>
      <c r="AT413" s="1200">
        <f t="shared" si="10"/>
        <v>578860078.59000003</v>
      </c>
      <c r="AU413" s="1200">
        <f t="shared" si="10"/>
        <v>2224543.7199999997</v>
      </c>
      <c r="AV413" s="1200">
        <f t="shared" si="10"/>
        <v>104906501.16</v>
      </c>
      <c r="AW413" s="1200">
        <f t="shared" si="10"/>
        <v>0</v>
      </c>
      <c r="AX413" s="1200">
        <f t="shared" si="10"/>
        <v>1124966918.0599999</v>
      </c>
      <c r="AY413" s="1200">
        <f t="shared" si="10"/>
        <v>62200198.93</v>
      </c>
      <c r="AZ413" s="1200">
        <f t="shared" si="10"/>
        <v>82920855.450000003</v>
      </c>
      <c r="BA413" s="1200">
        <f t="shared" si="10"/>
        <v>312659287.01999998</v>
      </c>
      <c r="BB413" s="1200">
        <f t="shared" si="10"/>
        <v>66929778.749999993</v>
      </c>
      <c r="BC413" s="1200">
        <f t="shared" si="10"/>
        <v>31940349.68</v>
      </c>
      <c r="BD413" s="1200">
        <f t="shared" si="10"/>
        <v>1105409</v>
      </c>
      <c r="BE413" s="1200">
        <f t="shared" si="10"/>
        <v>10582655.08</v>
      </c>
      <c r="BF413" s="1200">
        <f t="shared" si="10"/>
        <v>443365142.12</v>
      </c>
      <c r="BG413" s="1200">
        <f t="shared" si="10"/>
        <v>5847514.6600000001</v>
      </c>
      <c r="BH413" s="1200">
        <f t="shared" si="10"/>
        <v>23864172.52</v>
      </c>
      <c r="BI413" s="1200">
        <f t="shared" si="10"/>
        <v>14214990.17</v>
      </c>
      <c r="BJ413" s="1200">
        <f t="shared" si="10"/>
        <v>3144010.14</v>
      </c>
      <c r="BK413" s="1200">
        <f t="shared" si="10"/>
        <v>21429782.66</v>
      </c>
      <c r="BL413" s="1200">
        <f t="shared" si="10"/>
        <v>4188298.66</v>
      </c>
      <c r="BM413" s="1200">
        <f t="shared" si="10"/>
        <v>165632629.80000001</v>
      </c>
      <c r="BN413" s="1200">
        <f t="shared" si="10"/>
        <v>0</v>
      </c>
      <c r="BO413" s="1200">
        <f t="shared" si="10"/>
        <v>72237093.039999992</v>
      </c>
      <c r="BP413" s="1200">
        <f t="shared" si="10"/>
        <v>162813535.59</v>
      </c>
      <c r="BQ413" s="1200">
        <f t="shared" si="10"/>
        <v>43777585.439999998</v>
      </c>
      <c r="BR413" s="1200">
        <f t="shared" si="10"/>
        <v>53090667.279999994</v>
      </c>
      <c r="BS413" s="1200">
        <f t="shared" ref="BS413:CF413" si="11">BS408-BS410-BS411</f>
        <v>317848428.85000002</v>
      </c>
      <c r="BT413" s="1200">
        <f t="shared" si="11"/>
        <v>73890044.480000019</v>
      </c>
      <c r="BU413" s="1200">
        <f t="shared" si="11"/>
        <v>529069671.56999999</v>
      </c>
      <c r="BV413" s="1200">
        <f t="shared" si="11"/>
        <v>54653358.119999997</v>
      </c>
      <c r="BW413" s="1200">
        <f t="shared" si="11"/>
        <v>209690582.09999999</v>
      </c>
      <c r="BX413" s="1200">
        <f t="shared" si="11"/>
        <v>24255197.560000002</v>
      </c>
      <c r="BY413" s="1200">
        <f t="shared" si="11"/>
        <v>0</v>
      </c>
      <c r="BZ413" s="1200">
        <f t="shared" si="11"/>
        <v>41008095</v>
      </c>
      <c r="CA413" s="1200">
        <f t="shared" si="11"/>
        <v>6116915.29</v>
      </c>
      <c r="CB413" s="1200">
        <f t="shared" si="11"/>
        <v>32954393.149999999</v>
      </c>
      <c r="CC413" s="1200">
        <f t="shared" si="11"/>
        <v>21306696.09</v>
      </c>
      <c r="CD413" s="1200">
        <f t="shared" si="11"/>
        <v>41483703.060000002</v>
      </c>
      <c r="CE413" s="1200">
        <f t="shared" si="11"/>
        <v>0</v>
      </c>
      <c r="CF413" s="1200">
        <f t="shared" si="11"/>
        <v>6885174.6399999997</v>
      </c>
    </row>
    <row r="414" spans="1:84" x14ac:dyDescent="0.3">
      <c r="B414" s="1146"/>
    </row>
    <row r="415" spans="1:84" x14ac:dyDescent="0.3">
      <c r="B415" s="1146"/>
    </row>
    <row r="416" spans="1:84" x14ac:dyDescent="0.3">
      <c r="B416" s="1146"/>
    </row>
    <row r="417" spans="2:2" x14ac:dyDescent="0.3">
      <c r="B417" s="1146"/>
    </row>
    <row r="418" spans="2:2" x14ac:dyDescent="0.3">
      <c r="B418" s="1146"/>
    </row>
  </sheetData>
  <printOptions headings="1" gridLines="1"/>
  <pageMargins left="0.25" right="0.25"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17550-04E5-49D9-B446-DDF9728A8EC8}">
  <sheetPr codeName="Sheet12"/>
  <dimension ref="A1:CE305"/>
  <sheetViews>
    <sheetView zoomScale="120" zoomScaleNormal="120" workbookViewId="0">
      <selection activeCell="E1" sqref="E1"/>
    </sheetView>
  </sheetViews>
  <sheetFormatPr defaultColWidth="9.109375" defaultRowHeight="14.4" x14ac:dyDescent="0.3"/>
  <cols>
    <col min="1" max="1" width="9.109375" style="267"/>
    <col min="2" max="2" width="10.33203125" style="267" customWidth="1"/>
    <col min="3" max="3" width="32.5546875" style="267" customWidth="1"/>
    <col min="4" max="4" width="24" style="267" customWidth="1"/>
    <col min="5" max="6" width="16.88671875" style="267" bestFit="1" customWidth="1"/>
    <col min="7" max="7" width="15.6640625" style="267" bestFit="1" customWidth="1"/>
    <col min="8" max="8" width="16.88671875" style="267" bestFit="1" customWidth="1"/>
    <col min="9" max="9" width="14.5546875" style="267" bestFit="1" customWidth="1"/>
    <col min="10" max="10" width="15.6640625" style="267" bestFit="1" customWidth="1"/>
    <col min="11" max="11" width="16.88671875" style="267" bestFit="1" customWidth="1"/>
    <col min="12" max="12" width="15.6640625" style="267" bestFit="1" customWidth="1"/>
    <col min="13" max="13" width="18.6640625" style="267" bestFit="1" customWidth="1"/>
    <col min="14" max="14" width="12.6640625" style="267" bestFit="1" customWidth="1"/>
    <col min="15" max="15" width="16.88671875" style="267" bestFit="1" customWidth="1"/>
    <col min="16" max="16" width="15.6640625" style="267" bestFit="1" customWidth="1"/>
    <col min="17" max="17" width="16.88671875" style="267" bestFit="1" customWidth="1"/>
    <col min="18" max="18" width="18.6640625" style="267" bestFit="1" customWidth="1"/>
    <col min="19" max="19" width="20.44140625" style="267" customWidth="1"/>
    <col min="20" max="20" width="15.6640625" style="267" bestFit="1" customWidth="1"/>
    <col min="21" max="21" width="16.88671875" style="267" bestFit="1" customWidth="1"/>
    <col min="22" max="22" width="15.5546875" style="267" customWidth="1"/>
    <col min="23" max="23" width="15.6640625" style="267" bestFit="1" customWidth="1"/>
    <col min="24" max="24" width="14.5546875" style="267" bestFit="1" customWidth="1"/>
    <col min="25" max="25" width="16.88671875" style="267" bestFit="1" customWidth="1"/>
    <col min="26" max="28" width="15.6640625" style="267" bestFit="1" customWidth="1"/>
    <col min="29" max="29" width="16.88671875" style="267" bestFit="1" customWidth="1"/>
    <col min="30" max="31" width="15.6640625" style="267" bestFit="1" customWidth="1"/>
    <col min="32" max="33" width="14.5546875" style="267" bestFit="1" customWidth="1"/>
    <col min="34" max="35" width="16.88671875" style="267" bestFit="1" customWidth="1"/>
    <col min="36" max="36" width="15.6640625" style="267" bestFit="1" customWidth="1"/>
    <col min="37" max="37" width="16.88671875" style="267" bestFit="1" customWidth="1"/>
    <col min="38" max="38" width="17.44140625" style="267" customWidth="1"/>
    <col min="39" max="39" width="14.5546875" style="267" bestFit="1" customWidth="1"/>
    <col min="40" max="40" width="16.88671875" style="267" bestFit="1" customWidth="1"/>
    <col min="41" max="41" width="15.6640625" style="267" bestFit="1" customWidth="1"/>
    <col min="42" max="42" width="16.88671875" style="267" bestFit="1" customWidth="1"/>
    <col min="43" max="43" width="14.5546875" style="267" bestFit="1" customWidth="1"/>
    <col min="44" max="44" width="17.6640625" style="267" customWidth="1"/>
    <col min="45" max="47" width="15.6640625" style="267" bestFit="1" customWidth="1"/>
    <col min="48" max="48" width="16.5546875" style="267" customWidth="1"/>
    <col min="49" max="49" width="16.88671875" style="267" bestFit="1" customWidth="1"/>
    <col min="50" max="50" width="15.6640625" style="267" bestFit="1" customWidth="1"/>
    <col min="51" max="51" width="16.88671875" style="267" bestFit="1" customWidth="1"/>
    <col min="52" max="53" width="14.5546875" style="267" bestFit="1" customWidth="1"/>
    <col min="54" max="55" width="15.6640625" style="267" bestFit="1" customWidth="1"/>
    <col min="56" max="56" width="14.5546875" style="267" bestFit="1" customWidth="1"/>
    <col min="57" max="57" width="15.6640625" style="267" bestFit="1" customWidth="1"/>
    <col min="58" max="58" width="16.88671875" style="267" bestFit="1" customWidth="1"/>
    <col min="59" max="60" width="15.6640625" style="267" bestFit="1" customWidth="1"/>
    <col min="61" max="61" width="16.88671875" style="267" bestFit="1" customWidth="1"/>
    <col min="62" max="63" width="15.6640625" style="267" bestFit="1" customWidth="1"/>
    <col min="64" max="64" width="14.5546875" style="267" bestFit="1" customWidth="1"/>
    <col min="65" max="67" width="15.6640625" style="267" bestFit="1" customWidth="1"/>
    <col min="68" max="68" width="16.88671875" style="267" bestFit="1" customWidth="1"/>
    <col min="69" max="69" width="18.6640625" style="267" bestFit="1" customWidth="1"/>
    <col min="70" max="71" width="16.88671875" style="267" bestFit="1" customWidth="1"/>
    <col min="72" max="80" width="16" style="267" customWidth="1"/>
    <col min="81" max="16384" width="9.109375" style="267"/>
  </cols>
  <sheetData>
    <row r="1" spans="1:83" x14ac:dyDescent="0.3">
      <c r="A1" s="267" t="s">
        <v>1761</v>
      </c>
      <c r="B1" s="267" t="s">
        <v>567</v>
      </c>
      <c r="D1" s="267" t="s">
        <v>567</v>
      </c>
      <c r="E1" s="267" t="s">
        <v>1621</v>
      </c>
      <c r="F1" s="267" t="s">
        <v>1622</v>
      </c>
      <c r="G1" s="267" t="s">
        <v>1703</v>
      </c>
      <c r="H1" s="267" t="s">
        <v>1704</v>
      </c>
      <c r="I1" s="267" t="s">
        <v>1705</v>
      </c>
      <c r="J1" s="267" t="s">
        <v>1706</v>
      </c>
      <c r="K1" s="267" t="s">
        <v>974</v>
      </c>
      <c r="L1" s="267" t="s">
        <v>1707</v>
      </c>
      <c r="M1" s="267" t="s">
        <v>1708</v>
      </c>
      <c r="N1" s="267" t="s">
        <v>1623</v>
      </c>
      <c r="O1" s="267" t="s">
        <v>1709</v>
      </c>
      <c r="P1" s="267" t="s">
        <v>1710</v>
      </c>
      <c r="Q1" s="267" t="s">
        <v>1711</v>
      </c>
      <c r="R1" s="267" t="s">
        <v>1712</v>
      </c>
      <c r="S1" s="267" t="s">
        <v>975</v>
      </c>
      <c r="T1" s="267" t="s">
        <v>1713</v>
      </c>
      <c r="U1" s="267" t="s">
        <v>1714</v>
      </c>
      <c r="V1" s="267" t="s">
        <v>1715</v>
      </c>
      <c r="W1" s="267" t="s">
        <v>1716</v>
      </c>
      <c r="X1" s="267" t="s">
        <v>1717</v>
      </c>
      <c r="Y1" s="267" t="s">
        <v>1718</v>
      </c>
      <c r="Z1" s="267" t="s">
        <v>1719</v>
      </c>
      <c r="AA1" s="267" t="s">
        <v>1720</v>
      </c>
      <c r="AB1" s="267" t="s">
        <v>1624</v>
      </c>
      <c r="AC1" s="267" t="s">
        <v>976</v>
      </c>
      <c r="AD1" s="267" t="s">
        <v>1721</v>
      </c>
      <c r="AE1" s="267" t="s">
        <v>1722</v>
      </c>
      <c r="AF1" s="267" t="s">
        <v>1723</v>
      </c>
      <c r="AG1" s="267" t="s">
        <v>1724</v>
      </c>
      <c r="AH1" s="267" t="s">
        <v>1725</v>
      </c>
      <c r="AI1" s="267" t="s">
        <v>977</v>
      </c>
      <c r="AJ1" s="267" t="s">
        <v>1726</v>
      </c>
      <c r="AK1" s="267" t="s">
        <v>1727</v>
      </c>
      <c r="AL1" s="267" t="s">
        <v>1728</v>
      </c>
      <c r="AM1" s="267" t="s">
        <v>978</v>
      </c>
      <c r="AN1" s="267" t="s">
        <v>1729</v>
      </c>
      <c r="AO1" s="267" t="s">
        <v>979</v>
      </c>
      <c r="AP1" s="267" t="s">
        <v>980</v>
      </c>
      <c r="AQ1" s="267" t="s">
        <v>981</v>
      </c>
      <c r="AR1" s="267" t="s">
        <v>1730</v>
      </c>
      <c r="AS1" s="267" t="s">
        <v>1731</v>
      </c>
      <c r="AT1" s="267" t="s">
        <v>1732</v>
      </c>
      <c r="AU1" s="267" t="s">
        <v>983</v>
      </c>
      <c r="AV1" s="267" t="s">
        <v>984</v>
      </c>
      <c r="AW1" s="267" t="s">
        <v>1733</v>
      </c>
      <c r="AX1" s="267" t="s">
        <v>1734</v>
      </c>
      <c r="AY1" s="267" t="s">
        <v>1735</v>
      </c>
      <c r="AZ1" s="267" t="s">
        <v>1736</v>
      </c>
      <c r="BA1" s="267" t="s">
        <v>1737</v>
      </c>
      <c r="BB1" s="267" t="s">
        <v>1738</v>
      </c>
      <c r="BC1" s="267" t="s">
        <v>1739</v>
      </c>
      <c r="BD1" s="267" t="s">
        <v>1740</v>
      </c>
      <c r="BE1" s="267" t="s">
        <v>1741</v>
      </c>
      <c r="BF1" s="267" t="s">
        <v>1742</v>
      </c>
      <c r="BG1" s="267" t="s">
        <v>1743</v>
      </c>
      <c r="BH1" s="267" t="s">
        <v>1744</v>
      </c>
      <c r="BI1" s="267" t="s">
        <v>1745</v>
      </c>
      <c r="BJ1" s="267" t="s">
        <v>1746</v>
      </c>
      <c r="BK1" s="267" t="s">
        <v>1747</v>
      </c>
      <c r="BL1" s="267" t="s">
        <v>1748</v>
      </c>
      <c r="BM1" s="267" t="s">
        <v>987</v>
      </c>
      <c r="BN1" s="267" t="s">
        <v>988</v>
      </c>
      <c r="BO1" s="267" t="s">
        <v>1749</v>
      </c>
      <c r="BP1" s="267" t="s">
        <v>1750</v>
      </c>
      <c r="BQ1" s="267" t="s">
        <v>1751</v>
      </c>
      <c r="BR1" s="267" t="s">
        <v>1752</v>
      </c>
      <c r="BS1" s="267" t="s">
        <v>1753</v>
      </c>
      <c r="BT1" s="267" t="s">
        <v>1754</v>
      </c>
      <c r="BU1" s="267" t="s">
        <v>1755</v>
      </c>
      <c r="BV1" s="267" t="s">
        <v>1756</v>
      </c>
      <c r="BW1" s="267" t="s">
        <v>1757</v>
      </c>
      <c r="BX1" s="267" t="s">
        <v>1625</v>
      </c>
      <c r="BY1" s="267" t="s">
        <v>1758</v>
      </c>
      <c r="BZ1" s="267" t="s">
        <v>989</v>
      </c>
      <c r="CA1" s="267" t="s">
        <v>990</v>
      </c>
      <c r="CB1" s="267" t="s">
        <v>1759</v>
      </c>
      <c r="CC1" s="267" t="s">
        <v>1760</v>
      </c>
      <c r="CD1" s="267" t="s">
        <v>991</v>
      </c>
      <c r="CE1" s="267" t="s">
        <v>992</v>
      </c>
    </row>
    <row r="2" spans="1:83" x14ac:dyDescent="0.3">
      <c r="D2" s="267" t="s">
        <v>297</v>
      </c>
      <c r="E2" s="267">
        <v>50254</v>
      </c>
      <c r="F2" s="267">
        <v>50255</v>
      </c>
      <c r="G2" s="267">
        <v>50256</v>
      </c>
      <c r="H2" s="267">
        <v>50558</v>
      </c>
      <c r="I2" s="267">
        <v>50566</v>
      </c>
      <c r="J2" s="267">
        <v>50562</v>
      </c>
      <c r="K2" s="267">
        <v>50257</v>
      </c>
      <c r="L2" s="267">
        <v>50555</v>
      </c>
      <c r="M2" s="267">
        <v>50445</v>
      </c>
      <c r="N2" s="267">
        <v>50452</v>
      </c>
      <c r="O2" s="267">
        <v>50563</v>
      </c>
      <c r="P2" s="267">
        <v>50258</v>
      </c>
      <c r="Q2" s="267">
        <v>50523</v>
      </c>
      <c r="R2" s="267">
        <v>50259</v>
      </c>
      <c r="S2" s="267">
        <v>50260</v>
      </c>
      <c r="T2" s="267">
        <v>50487</v>
      </c>
      <c r="U2" s="267">
        <v>50261</v>
      </c>
      <c r="V2" s="267">
        <v>50262</v>
      </c>
      <c r="W2" s="267">
        <v>50263</v>
      </c>
      <c r="X2" s="267">
        <v>50264</v>
      </c>
      <c r="Y2" s="267">
        <v>50265</v>
      </c>
      <c r="Z2" s="267">
        <v>50266</v>
      </c>
      <c r="AA2" s="267">
        <v>50267</v>
      </c>
      <c r="AB2" s="267">
        <v>50268</v>
      </c>
      <c r="AC2" s="267">
        <v>50269</v>
      </c>
      <c r="AD2" s="267">
        <v>50270</v>
      </c>
      <c r="AE2" s="267">
        <v>50271</v>
      </c>
      <c r="AF2" s="267">
        <v>50272</v>
      </c>
      <c r="AG2" s="267">
        <v>50273</v>
      </c>
      <c r="AH2" s="267">
        <v>50274</v>
      </c>
      <c r="AI2" s="267">
        <v>50480</v>
      </c>
      <c r="AJ2" s="267">
        <v>50275</v>
      </c>
      <c r="AK2" s="267">
        <v>50277</v>
      </c>
      <c r="AL2" s="267">
        <v>50276</v>
      </c>
      <c r="AM2" s="267">
        <v>50278</v>
      </c>
      <c r="AN2" s="267">
        <v>50279</v>
      </c>
      <c r="AO2" s="267">
        <v>50280</v>
      </c>
      <c r="AP2" s="267">
        <v>50281</v>
      </c>
      <c r="AQ2" s="267">
        <v>50478</v>
      </c>
      <c r="AR2" s="267">
        <v>50524</v>
      </c>
      <c r="AS2" s="267">
        <v>50282</v>
      </c>
      <c r="AT2" s="267">
        <v>50525</v>
      </c>
      <c r="AU2" s="267">
        <v>50283</v>
      </c>
      <c r="AV2" s="267">
        <v>50285</v>
      </c>
      <c r="AW2" s="267">
        <v>50553</v>
      </c>
      <c r="AX2" s="267">
        <v>50548</v>
      </c>
      <c r="AY2" s="267">
        <v>50284</v>
      </c>
      <c r="AZ2" s="267">
        <v>50286</v>
      </c>
      <c r="BA2" s="267">
        <v>50287</v>
      </c>
      <c r="BB2" s="267">
        <v>50288</v>
      </c>
      <c r="BC2" s="267">
        <v>50290</v>
      </c>
      <c r="BD2" s="267">
        <v>50564</v>
      </c>
      <c r="BE2" s="267">
        <v>50289</v>
      </c>
      <c r="BF2" s="267">
        <v>50291</v>
      </c>
      <c r="BG2" s="267">
        <v>50292</v>
      </c>
      <c r="BH2" s="267">
        <v>50293</v>
      </c>
      <c r="BI2" s="267">
        <v>50463</v>
      </c>
      <c r="BJ2" s="267">
        <v>50294</v>
      </c>
      <c r="BK2" s="267">
        <v>50538</v>
      </c>
      <c r="BL2" s="267">
        <v>50295</v>
      </c>
      <c r="BM2" s="267">
        <v>50296</v>
      </c>
      <c r="BN2" s="267">
        <v>50297</v>
      </c>
      <c r="BO2" s="267">
        <v>50449</v>
      </c>
      <c r="BP2" s="267">
        <v>50300</v>
      </c>
      <c r="BQ2" s="267">
        <v>50298</v>
      </c>
      <c r="BR2" s="267">
        <v>50299</v>
      </c>
      <c r="BS2" s="267">
        <v>50301</v>
      </c>
      <c r="BT2" s="267">
        <v>50302</v>
      </c>
      <c r="BU2" s="267">
        <v>50303</v>
      </c>
      <c r="BV2" s="267">
        <v>50304</v>
      </c>
      <c r="BW2" s="267">
        <v>50540</v>
      </c>
      <c r="BX2" s="267">
        <v>50305</v>
      </c>
      <c r="BY2" s="267">
        <v>50306</v>
      </c>
      <c r="BZ2" s="267">
        <v>50479</v>
      </c>
      <c r="CA2" s="267">
        <v>50307</v>
      </c>
      <c r="CB2" s="267">
        <v>50308</v>
      </c>
      <c r="CC2" s="267">
        <v>50309</v>
      </c>
      <c r="CD2" s="267">
        <v>50310</v>
      </c>
      <c r="CE2" s="267">
        <v>50311</v>
      </c>
    </row>
    <row r="3" spans="1:83" x14ac:dyDescent="0.3">
      <c r="A3" s="267">
        <v>4</v>
      </c>
      <c r="B3" s="267">
        <v>4</v>
      </c>
      <c r="C3" s="267" t="s">
        <v>618</v>
      </c>
      <c r="D3" s="267" t="s">
        <v>298</v>
      </c>
      <c r="E3" s="267">
        <v>0</v>
      </c>
      <c r="F3" s="267">
        <v>466</v>
      </c>
      <c r="G3" s="267">
        <v>25847</v>
      </c>
      <c r="H3" s="267">
        <v>100762</v>
      </c>
      <c r="I3" s="267">
        <v>126469</v>
      </c>
      <c r="J3" s="267">
        <v>72007</v>
      </c>
      <c r="K3" s="267">
        <v>674</v>
      </c>
      <c r="L3" s="267">
        <v>24989</v>
      </c>
      <c r="M3" s="267">
        <v>5048</v>
      </c>
      <c r="N3" s="267">
        <v>702251</v>
      </c>
      <c r="O3" s="267">
        <v>5385</v>
      </c>
      <c r="P3" s="267">
        <v>198173</v>
      </c>
      <c r="Q3" s="267">
        <v>876</v>
      </c>
      <c r="R3" s="267">
        <v>3000348</v>
      </c>
      <c r="S3" s="267">
        <v>47275</v>
      </c>
      <c r="T3" s="267">
        <v>3777</v>
      </c>
      <c r="U3" s="267">
        <v>3321661</v>
      </c>
      <c r="V3" s="267">
        <v>756802</v>
      </c>
      <c r="W3" s="267">
        <v>1001326</v>
      </c>
      <c r="X3" s="267">
        <v>1999933</v>
      </c>
      <c r="Y3" s="267">
        <v>23158</v>
      </c>
      <c r="Z3" s="267">
        <v>1192618</v>
      </c>
      <c r="AA3" s="267">
        <v>69202</v>
      </c>
      <c r="AB3" s="267">
        <v>492050</v>
      </c>
      <c r="AC3" s="267">
        <v>194771</v>
      </c>
      <c r="AD3" s="267">
        <v>46086</v>
      </c>
      <c r="AE3" s="1232">
        <v>77739</v>
      </c>
      <c r="AF3" s="267">
        <v>13209</v>
      </c>
      <c r="AG3" s="267">
        <v>449480</v>
      </c>
      <c r="AH3" s="267">
        <v>295406</v>
      </c>
      <c r="AI3" s="267">
        <v>16385</v>
      </c>
      <c r="AJ3" s="267">
        <v>1146902</v>
      </c>
      <c r="AK3" s="267">
        <v>9535</v>
      </c>
      <c r="AL3" s="267">
        <v>93281</v>
      </c>
      <c r="AM3" s="267">
        <v>0</v>
      </c>
      <c r="AN3" s="267">
        <v>433672</v>
      </c>
      <c r="AO3" s="267">
        <v>0</v>
      </c>
      <c r="AP3" s="267">
        <v>0</v>
      </c>
      <c r="AQ3" s="267">
        <v>601</v>
      </c>
      <c r="AR3" s="267">
        <v>94377</v>
      </c>
      <c r="AS3" s="267">
        <v>94818</v>
      </c>
      <c r="AT3" s="267">
        <v>38990</v>
      </c>
      <c r="AU3" s="267">
        <v>124545</v>
      </c>
      <c r="AV3" s="267">
        <v>0</v>
      </c>
      <c r="AW3" s="267">
        <v>754973</v>
      </c>
      <c r="AX3" s="267">
        <v>195551</v>
      </c>
      <c r="AY3" s="267">
        <v>78548</v>
      </c>
      <c r="AZ3" s="267">
        <v>318404</v>
      </c>
      <c r="BA3" s="267">
        <v>28708</v>
      </c>
      <c r="BB3" s="267">
        <v>59554</v>
      </c>
      <c r="BC3" s="267">
        <v>0</v>
      </c>
      <c r="BD3" s="267">
        <v>0</v>
      </c>
      <c r="BE3" s="267">
        <v>347965</v>
      </c>
      <c r="BF3" s="267">
        <v>11934</v>
      </c>
      <c r="BG3" s="267">
        <v>4903</v>
      </c>
      <c r="BH3" s="267">
        <v>15934</v>
      </c>
      <c r="BI3" s="267">
        <v>848</v>
      </c>
      <c r="BJ3" s="267">
        <v>2418</v>
      </c>
      <c r="BK3" s="267">
        <v>2134</v>
      </c>
      <c r="BL3" s="267">
        <v>41094</v>
      </c>
      <c r="BM3" s="267">
        <v>0</v>
      </c>
      <c r="BN3" s="267">
        <v>257716</v>
      </c>
      <c r="BO3" s="267">
        <v>199933</v>
      </c>
      <c r="BP3" s="267">
        <v>27436</v>
      </c>
      <c r="BQ3" s="267">
        <v>0</v>
      </c>
      <c r="BR3" s="267">
        <v>898251</v>
      </c>
      <c r="BS3" s="267">
        <v>57703</v>
      </c>
      <c r="BT3" s="267">
        <v>494938</v>
      </c>
      <c r="BU3" s="267">
        <v>12647</v>
      </c>
      <c r="BV3" s="267">
        <v>187941</v>
      </c>
      <c r="BW3" s="267">
        <v>48489</v>
      </c>
      <c r="BX3" s="267">
        <v>96694</v>
      </c>
      <c r="BY3" s="267">
        <v>60362</v>
      </c>
      <c r="BZ3" s="267">
        <v>2310</v>
      </c>
      <c r="CA3" s="1232">
        <v>10411</v>
      </c>
      <c r="CB3" s="267">
        <v>4527</v>
      </c>
      <c r="CC3" s="267">
        <v>0</v>
      </c>
      <c r="CD3" s="267">
        <v>0</v>
      </c>
      <c r="CE3" s="267">
        <v>1017</v>
      </c>
    </row>
    <row r="4" spans="1:83" x14ac:dyDescent="0.3">
      <c r="A4" s="267">
        <v>5</v>
      </c>
      <c r="B4" s="267">
        <v>5</v>
      </c>
      <c r="C4" s="267" t="s">
        <v>120</v>
      </c>
      <c r="D4" s="267" t="s">
        <v>299</v>
      </c>
      <c r="E4" s="267">
        <v>0</v>
      </c>
      <c r="F4" s="267">
        <v>0</v>
      </c>
      <c r="G4" s="267">
        <v>0</v>
      </c>
      <c r="H4" s="267">
        <v>0</v>
      </c>
      <c r="I4" s="267">
        <v>0</v>
      </c>
      <c r="J4" s="267">
        <v>4623</v>
      </c>
      <c r="K4" s="267">
        <v>0</v>
      </c>
      <c r="L4" s="267">
        <v>0</v>
      </c>
      <c r="M4" s="267">
        <v>0</v>
      </c>
      <c r="N4" s="267">
        <v>0</v>
      </c>
      <c r="O4" s="267">
        <v>0</v>
      </c>
      <c r="P4" s="267">
        <v>0</v>
      </c>
      <c r="Q4" s="267">
        <v>0</v>
      </c>
      <c r="R4" s="267">
        <v>11922</v>
      </c>
      <c r="S4" s="267">
        <v>0</v>
      </c>
      <c r="T4" s="267">
        <v>0</v>
      </c>
      <c r="U4" s="267">
        <v>66787</v>
      </c>
      <c r="V4" s="267">
        <v>59098</v>
      </c>
      <c r="W4" s="267">
        <v>4326</v>
      </c>
      <c r="X4" s="267">
        <v>11841</v>
      </c>
      <c r="Y4" s="267">
        <v>0</v>
      </c>
      <c r="Z4" s="267">
        <v>16630</v>
      </c>
      <c r="AA4" s="267">
        <v>0</v>
      </c>
      <c r="AB4" s="267">
        <v>0</v>
      </c>
      <c r="AC4" s="267">
        <v>0</v>
      </c>
      <c r="AD4" s="267">
        <v>0</v>
      </c>
      <c r="AE4" s="267">
        <v>0</v>
      </c>
      <c r="AF4" s="267">
        <v>15541</v>
      </c>
      <c r="AG4" s="267">
        <v>4713</v>
      </c>
      <c r="AH4" s="267">
        <v>2</v>
      </c>
      <c r="AI4" s="267">
        <v>0</v>
      </c>
      <c r="AJ4" s="267">
        <v>0</v>
      </c>
      <c r="AK4" s="267">
        <v>0</v>
      </c>
      <c r="AL4" s="267">
        <v>0</v>
      </c>
      <c r="AM4" s="267">
        <v>0</v>
      </c>
      <c r="AN4" s="267">
        <v>2353</v>
      </c>
      <c r="AO4" s="267">
        <v>0</v>
      </c>
      <c r="AP4" s="267">
        <v>0</v>
      </c>
      <c r="AQ4" s="267">
        <v>0</v>
      </c>
      <c r="AR4" s="267">
        <v>0</v>
      </c>
      <c r="AS4" s="267">
        <v>14000000</v>
      </c>
      <c r="AT4" s="267">
        <v>0</v>
      </c>
      <c r="AU4" s="267">
        <v>0</v>
      </c>
      <c r="AV4" s="267">
        <v>0</v>
      </c>
      <c r="AW4" s="267">
        <v>25734</v>
      </c>
      <c r="AX4" s="267">
        <v>0</v>
      </c>
      <c r="AY4" s="267">
        <v>0</v>
      </c>
      <c r="AZ4" s="267">
        <v>0</v>
      </c>
      <c r="BA4" s="267">
        <v>0</v>
      </c>
      <c r="BB4" s="267">
        <v>0</v>
      </c>
      <c r="BC4" s="267">
        <v>0</v>
      </c>
      <c r="BD4" s="267">
        <v>0</v>
      </c>
      <c r="BE4" s="267">
        <v>0</v>
      </c>
      <c r="BF4" s="267">
        <v>0</v>
      </c>
      <c r="BG4" s="267">
        <v>0</v>
      </c>
      <c r="BH4" s="267">
        <v>0</v>
      </c>
      <c r="BI4" s="267">
        <v>0</v>
      </c>
      <c r="BJ4" s="267">
        <v>0</v>
      </c>
      <c r="BK4" s="267">
        <v>0</v>
      </c>
      <c r="BL4" s="267">
        <v>0</v>
      </c>
      <c r="BM4" s="267">
        <v>0</v>
      </c>
      <c r="BN4" s="267">
        <v>0</v>
      </c>
      <c r="BO4" s="267">
        <v>92340</v>
      </c>
      <c r="BP4" s="267">
        <v>0</v>
      </c>
      <c r="BQ4" s="267">
        <v>0</v>
      </c>
      <c r="BR4" s="267">
        <v>16016</v>
      </c>
      <c r="BS4" s="267">
        <v>0</v>
      </c>
      <c r="BT4" s="267">
        <v>0</v>
      </c>
      <c r="BU4" s="267">
        <v>14</v>
      </c>
      <c r="BV4" s="267">
        <v>466009</v>
      </c>
      <c r="BW4" s="267">
        <v>0</v>
      </c>
      <c r="BX4" s="267">
        <v>2592</v>
      </c>
      <c r="BY4" s="267">
        <v>0</v>
      </c>
      <c r="BZ4" s="267">
        <v>0</v>
      </c>
      <c r="CA4" s="1232">
        <v>429786</v>
      </c>
      <c r="CB4" s="267">
        <v>356</v>
      </c>
      <c r="CC4" s="267">
        <v>0</v>
      </c>
      <c r="CD4" s="267">
        <v>0</v>
      </c>
      <c r="CE4" s="267">
        <v>0</v>
      </c>
    </row>
    <row r="5" spans="1:83" x14ac:dyDescent="0.3">
      <c r="A5" s="267">
        <v>6</v>
      </c>
      <c r="B5" s="267">
        <v>6</v>
      </c>
      <c r="C5" s="267" t="s">
        <v>265</v>
      </c>
      <c r="D5" s="267" t="s">
        <v>300</v>
      </c>
      <c r="E5" s="267">
        <v>0</v>
      </c>
      <c r="F5" s="267">
        <v>0</v>
      </c>
      <c r="G5" s="267">
        <v>0</v>
      </c>
      <c r="H5" s="267">
        <v>0</v>
      </c>
      <c r="I5" s="267">
        <v>0</v>
      </c>
      <c r="J5" s="267">
        <v>0</v>
      </c>
      <c r="K5" s="267">
        <v>0</v>
      </c>
      <c r="L5" s="267">
        <v>0</v>
      </c>
      <c r="M5" s="267">
        <v>0</v>
      </c>
      <c r="N5" s="267">
        <v>21750</v>
      </c>
      <c r="O5" s="267">
        <v>0</v>
      </c>
      <c r="P5" s="267">
        <v>0</v>
      </c>
      <c r="Q5" s="267">
        <v>0</v>
      </c>
      <c r="R5" s="267">
        <v>2505709</v>
      </c>
      <c r="S5" s="267">
        <v>0</v>
      </c>
      <c r="T5" s="267">
        <v>0</v>
      </c>
      <c r="U5" s="267">
        <v>935783</v>
      </c>
      <c r="V5" s="267">
        <v>0</v>
      </c>
      <c r="W5" s="267">
        <v>1268912</v>
      </c>
      <c r="X5" s="267">
        <v>3962119</v>
      </c>
      <c r="Y5" s="267">
        <v>0</v>
      </c>
      <c r="Z5" s="267">
        <v>1964282</v>
      </c>
      <c r="AA5" s="267">
        <v>0</v>
      </c>
      <c r="AB5" s="267">
        <v>0</v>
      </c>
      <c r="AC5" s="267">
        <v>0</v>
      </c>
      <c r="AD5" s="267">
        <v>0</v>
      </c>
      <c r="AE5" s="267">
        <v>0</v>
      </c>
      <c r="AF5" s="267">
        <v>0</v>
      </c>
      <c r="AG5" s="267">
        <v>1918909</v>
      </c>
      <c r="AH5" s="267">
        <v>0</v>
      </c>
      <c r="AI5" s="267">
        <v>0</v>
      </c>
      <c r="AJ5" s="267">
        <v>2112516</v>
      </c>
      <c r="AK5" s="267">
        <v>6650</v>
      </c>
      <c r="AL5" s="267">
        <v>0</v>
      </c>
      <c r="AM5" s="267">
        <v>0</v>
      </c>
      <c r="AN5" s="267">
        <v>536111</v>
      </c>
      <c r="AO5" s="267">
        <v>0</v>
      </c>
      <c r="AP5" s="267">
        <v>0</v>
      </c>
      <c r="AQ5" s="267">
        <v>0</v>
      </c>
      <c r="AR5" s="267">
        <v>0</v>
      </c>
      <c r="AS5" s="267">
        <v>0</v>
      </c>
      <c r="AT5" s="267">
        <v>0</v>
      </c>
      <c r="AU5" s="267">
        <v>0</v>
      </c>
      <c r="AV5" s="267">
        <v>0</v>
      </c>
      <c r="AW5" s="267">
        <v>0</v>
      </c>
      <c r="AX5" s="267">
        <v>0</v>
      </c>
      <c r="AY5" s="267">
        <v>0</v>
      </c>
      <c r="AZ5" s="267">
        <v>0</v>
      </c>
      <c r="BA5" s="267">
        <v>0</v>
      </c>
      <c r="BB5" s="267">
        <v>0</v>
      </c>
      <c r="BC5" s="267">
        <v>0</v>
      </c>
      <c r="BD5" s="267">
        <v>0</v>
      </c>
      <c r="BE5" s="267">
        <v>0</v>
      </c>
      <c r="BF5" s="267">
        <v>0</v>
      </c>
      <c r="BG5" s="267">
        <v>0</v>
      </c>
      <c r="BH5" s="267">
        <v>0</v>
      </c>
      <c r="BI5" s="267">
        <v>0</v>
      </c>
      <c r="BJ5" s="267">
        <v>0</v>
      </c>
      <c r="BK5" s="267">
        <v>0</v>
      </c>
      <c r="BL5" s="267">
        <v>0</v>
      </c>
      <c r="BM5" s="267">
        <v>0</v>
      </c>
      <c r="BN5" s="267">
        <v>0</v>
      </c>
      <c r="BO5" s="267">
        <v>0</v>
      </c>
      <c r="BP5" s="267">
        <v>0</v>
      </c>
      <c r="BQ5" s="267">
        <v>0</v>
      </c>
      <c r="BR5" s="267">
        <v>100416</v>
      </c>
      <c r="BS5" s="267">
        <v>0</v>
      </c>
      <c r="BT5" s="267">
        <v>0</v>
      </c>
      <c r="BU5" s="267">
        <v>0</v>
      </c>
      <c r="BV5" s="267">
        <v>0</v>
      </c>
      <c r="BW5" s="267">
        <v>0</v>
      </c>
      <c r="BX5" s="267">
        <v>0</v>
      </c>
      <c r="BY5" s="267">
        <v>0</v>
      </c>
      <c r="BZ5" s="267">
        <v>0</v>
      </c>
      <c r="CA5" s="267">
        <v>0</v>
      </c>
      <c r="CB5" s="267">
        <v>0</v>
      </c>
      <c r="CC5" s="267">
        <v>0</v>
      </c>
      <c r="CD5" s="267">
        <v>0</v>
      </c>
      <c r="CE5" s="267">
        <v>0</v>
      </c>
    </row>
    <row r="6" spans="1:83" x14ac:dyDescent="0.3">
      <c r="A6" s="267">
        <v>7</v>
      </c>
      <c r="B6" s="267">
        <v>7</v>
      </c>
      <c r="C6" s="267" t="s">
        <v>202</v>
      </c>
      <c r="D6" s="267" t="s">
        <v>301</v>
      </c>
      <c r="E6" s="267">
        <v>0</v>
      </c>
      <c r="F6" s="267">
        <v>0</v>
      </c>
      <c r="G6" s="267">
        <v>0</v>
      </c>
      <c r="H6" s="267">
        <v>0</v>
      </c>
      <c r="I6" s="267">
        <v>0</v>
      </c>
      <c r="J6" s="267">
        <v>0</v>
      </c>
      <c r="K6" s="267">
        <v>0</v>
      </c>
      <c r="L6" s="267">
        <v>0</v>
      </c>
      <c r="M6" s="267">
        <v>0</v>
      </c>
      <c r="N6" s="267">
        <v>0</v>
      </c>
      <c r="O6" s="267">
        <v>0</v>
      </c>
      <c r="P6" s="267">
        <v>0</v>
      </c>
      <c r="Q6" s="267">
        <v>0</v>
      </c>
      <c r="R6" s="267">
        <v>856113</v>
      </c>
      <c r="S6" s="267">
        <v>7098</v>
      </c>
      <c r="T6" s="267">
        <v>0</v>
      </c>
      <c r="U6" s="267">
        <v>244028</v>
      </c>
      <c r="V6" s="267">
        <v>236131</v>
      </c>
      <c r="W6" s="267">
        <v>195628</v>
      </c>
      <c r="X6" s="267">
        <v>9742</v>
      </c>
      <c r="Y6" s="267">
        <v>0</v>
      </c>
      <c r="Z6" s="267">
        <v>114895</v>
      </c>
      <c r="AA6" s="267">
        <v>5632</v>
      </c>
      <c r="AB6" s="267">
        <v>54421</v>
      </c>
      <c r="AC6" s="267">
        <v>0</v>
      </c>
      <c r="AD6" s="267">
        <v>0</v>
      </c>
      <c r="AE6" s="1232">
        <v>23733</v>
      </c>
      <c r="AF6" s="267">
        <v>0</v>
      </c>
      <c r="AG6" s="267">
        <v>73868</v>
      </c>
      <c r="AH6" s="267">
        <v>4650</v>
      </c>
      <c r="AI6" s="267">
        <v>0</v>
      </c>
      <c r="AJ6" s="267">
        <v>103144</v>
      </c>
      <c r="AK6" s="267">
        <v>0</v>
      </c>
      <c r="AL6" s="267">
        <v>7093</v>
      </c>
      <c r="AM6" s="267">
        <v>0</v>
      </c>
      <c r="AN6" s="267">
        <v>40019</v>
      </c>
      <c r="AO6" s="267">
        <v>0</v>
      </c>
      <c r="AP6" s="267">
        <v>0</v>
      </c>
      <c r="AQ6" s="267">
        <v>0</v>
      </c>
      <c r="AR6" s="267">
        <v>24453</v>
      </c>
      <c r="AS6" s="267">
        <v>335212</v>
      </c>
      <c r="AT6" s="267">
        <v>0</v>
      </c>
      <c r="AU6" s="267">
        <v>0</v>
      </c>
      <c r="AV6" s="267">
        <v>0</v>
      </c>
      <c r="AW6" s="267">
        <v>106511</v>
      </c>
      <c r="AX6" s="267">
        <v>0</v>
      </c>
      <c r="AY6" s="267">
        <v>0</v>
      </c>
      <c r="AZ6" s="267">
        <v>0</v>
      </c>
      <c r="BA6" s="267">
        <v>0</v>
      </c>
      <c r="BB6" s="267">
        <v>0</v>
      </c>
      <c r="BC6" s="267">
        <v>0</v>
      </c>
      <c r="BD6" s="267">
        <v>0</v>
      </c>
      <c r="BE6" s="267">
        <v>5912</v>
      </c>
      <c r="BF6" s="267">
        <v>4815</v>
      </c>
      <c r="BG6" s="267">
        <v>0</v>
      </c>
      <c r="BH6" s="267">
        <v>0</v>
      </c>
      <c r="BI6" s="267">
        <v>0</v>
      </c>
      <c r="BJ6" s="267">
        <v>0</v>
      </c>
      <c r="BK6" s="267">
        <v>0</v>
      </c>
      <c r="BL6" s="267">
        <v>0</v>
      </c>
      <c r="BM6" s="267">
        <v>0</v>
      </c>
      <c r="BN6" s="267">
        <v>0</v>
      </c>
      <c r="BO6" s="267">
        <v>45897</v>
      </c>
      <c r="BP6" s="267">
        <v>6098</v>
      </c>
      <c r="BQ6" s="267">
        <v>0</v>
      </c>
      <c r="BR6" s="267">
        <v>68562</v>
      </c>
      <c r="BS6" s="267">
        <v>0</v>
      </c>
      <c r="BT6" s="267">
        <v>6428</v>
      </c>
      <c r="BU6" s="267">
        <v>0</v>
      </c>
      <c r="BV6" s="267">
        <v>0</v>
      </c>
      <c r="BW6" s="267">
        <v>350</v>
      </c>
      <c r="BX6" s="267">
        <v>0</v>
      </c>
      <c r="BY6" s="267">
        <v>0</v>
      </c>
      <c r="BZ6" s="267">
        <v>12876</v>
      </c>
      <c r="CA6" s="267">
        <v>0</v>
      </c>
      <c r="CB6" s="267">
        <v>0</v>
      </c>
      <c r="CC6" s="267">
        <v>0</v>
      </c>
      <c r="CD6" s="267">
        <v>0</v>
      </c>
      <c r="CE6" s="267">
        <v>0</v>
      </c>
    </row>
    <row r="7" spans="1:83" x14ac:dyDescent="0.3">
      <c r="A7" s="267">
        <v>9</v>
      </c>
      <c r="B7" s="267">
        <v>9</v>
      </c>
      <c r="C7" s="267" t="s">
        <v>204</v>
      </c>
      <c r="D7" s="267" t="s">
        <v>302</v>
      </c>
      <c r="E7" s="267">
        <v>0</v>
      </c>
      <c r="F7" s="267">
        <v>141355</v>
      </c>
      <c r="G7" s="267">
        <v>930867</v>
      </c>
      <c r="H7" s="267">
        <v>4130773</v>
      </c>
      <c r="I7" s="267">
        <v>5208368</v>
      </c>
      <c r="J7" s="267">
        <v>5083096</v>
      </c>
      <c r="K7" s="267">
        <v>111269</v>
      </c>
      <c r="L7" s="267">
        <v>885290</v>
      </c>
      <c r="M7" s="267">
        <v>974108</v>
      </c>
      <c r="N7" s="267">
        <v>7970530</v>
      </c>
      <c r="O7" s="267">
        <v>672619</v>
      </c>
      <c r="P7" s="267">
        <v>6903740</v>
      </c>
      <c r="Q7" s="267">
        <v>288930</v>
      </c>
      <c r="R7" s="267">
        <v>33447223</v>
      </c>
      <c r="S7" s="267">
        <v>1752315</v>
      </c>
      <c r="T7" s="267">
        <v>212106</v>
      </c>
      <c r="U7" s="267">
        <v>39888262</v>
      </c>
      <c r="V7" s="267">
        <v>9324636</v>
      </c>
      <c r="W7" s="267">
        <v>19773670</v>
      </c>
      <c r="X7" s="267">
        <v>34620352</v>
      </c>
      <c r="Y7" s="267">
        <v>290094</v>
      </c>
      <c r="Z7" s="267">
        <v>12836876</v>
      </c>
      <c r="AA7" s="267">
        <v>1542634</v>
      </c>
      <c r="AB7" s="267">
        <v>13359288</v>
      </c>
      <c r="AC7" s="267">
        <v>1237175</v>
      </c>
      <c r="AD7" s="267">
        <v>1816013</v>
      </c>
      <c r="AE7" s="1232">
        <v>1416038</v>
      </c>
      <c r="AF7" s="267">
        <v>3303273</v>
      </c>
      <c r="AG7" s="267">
        <v>28416589</v>
      </c>
      <c r="AH7" s="267">
        <v>5380745</v>
      </c>
      <c r="AI7" s="267">
        <v>871603</v>
      </c>
      <c r="AJ7" s="267">
        <v>22829395</v>
      </c>
      <c r="AK7" s="267">
        <v>3258859</v>
      </c>
      <c r="AL7" s="267">
        <v>740967</v>
      </c>
      <c r="AM7" s="267">
        <v>0</v>
      </c>
      <c r="AN7" s="267">
        <v>9110062</v>
      </c>
      <c r="AO7" s="267">
        <v>0</v>
      </c>
      <c r="AP7" s="267">
        <v>0</v>
      </c>
      <c r="AQ7" s="267">
        <v>97581</v>
      </c>
      <c r="AR7" s="267">
        <v>3353238</v>
      </c>
      <c r="AS7" s="267">
        <v>4491202</v>
      </c>
      <c r="AT7" s="267">
        <v>705712</v>
      </c>
      <c r="AU7" s="267">
        <v>1715754</v>
      </c>
      <c r="AV7" s="267">
        <v>0</v>
      </c>
      <c r="AW7" s="267">
        <v>13834543</v>
      </c>
      <c r="AX7" s="267">
        <v>3684392</v>
      </c>
      <c r="AY7" s="267">
        <v>1677174</v>
      </c>
      <c r="AZ7" s="267">
        <v>17868832</v>
      </c>
      <c r="BA7" s="267">
        <v>1943341</v>
      </c>
      <c r="BB7" s="267">
        <v>966886</v>
      </c>
      <c r="BC7" s="267">
        <v>101867</v>
      </c>
      <c r="BD7" s="267">
        <v>0</v>
      </c>
      <c r="BE7" s="267">
        <v>6477626</v>
      </c>
      <c r="BF7" s="267">
        <v>531678</v>
      </c>
      <c r="BG7" s="267">
        <v>765484</v>
      </c>
      <c r="BH7" s="267">
        <v>148547</v>
      </c>
      <c r="BI7" s="267">
        <v>298634</v>
      </c>
      <c r="BJ7" s="267">
        <v>543868</v>
      </c>
      <c r="BK7" s="267">
        <v>275748</v>
      </c>
      <c r="BL7" s="267">
        <v>1908186</v>
      </c>
      <c r="BM7" s="267">
        <v>0</v>
      </c>
      <c r="BN7" s="267">
        <v>729868</v>
      </c>
      <c r="BO7" s="267">
        <v>3257573</v>
      </c>
      <c r="BP7" s="267">
        <v>940629</v>
      </c>
      <c r="BQ7" s="267">
        <v>1895655</v>
      </c>
      <c r="BR7" s="267">
        <v>7871973</v>
      </c>
      <c r="BS7" s="267">
        <v>472862</v>
      </c>
      <c r="BT7" s="267">
        <v>19712566</v>
      </c>
      <c r="BU7" s="267">
        <v>770426</v>
      </c>
      <c r="BV7" s="267">
        <v>3453743</v>
      </c>
      <c r="BW7" s="267">
        <v>1039747</v>
      </c>
      <c r="BX7" s="267">
        <v>1345260</v>
      </c>
      <c r="BY7" s="267">
        <v>2152277</v>
      </c>
      <c r="BZ7" s="267">
        <v>383183</v>
      </c>
      <c r="CA7" s="1232">
        <v>564451</v>
      </c>
      <c r="CB7" s="267">
        <v>177157</v>
      </c>
      <c r="CC7" s="267">
        <v>0</v>
      </c>
      <c r="CD7" s="267">
        <v>0</v>
      </c>
      <c r="CE7" s="267">
        <v>368031</v>
      </c>
    </row>
    <row r="8" spans="1:83" x14ac:dyDescent="0.3">
      <c r="A8" s="267">
        <v>11</v>
      </c>
      <c r="B8" s="267">
        <v>11</v>
      </c>
      <c r="C8" s="267" t="s">
        <v>203</v>
      </c>
      <c r="D8" s="267" t="s">
        <v>303</v>
      </c>
      <c r="E8" s="267">
        <v>0</v>
      </c>
      <c r="F8" s="267">
        <v>34379</v>
      </c>
      <c r="G8" s="267">
        <v>108825</v>
      </c>
      <c r="H8" s="267">
        <v>211409</v>
      </c>
      <c r="I8" s="267">
        <v>0</v>
      </c>
      <c r="J8" s="267">
        <v>0</v>
      </c>
      <c r="K8" s="267">
        <v>0</v>
      </c>
      <c r="L8" s="267">
        <v>0</v>
      </c>
      <c r="M8" s="267">
        <v>0</v>
      </c>
      <c r="N8" s="267">
        <v>341903</v>
      </c>
      <c r="O8" s="267">
        <v>84991</v>
      </c>
      <c r="P8" s="267">
        <v>189</v>
      </c>
      <c r="Q8" s="267">
        <v>0</v>
      </c>
      <c r="R8" s="267">
        <v>1641615</v>
      </c>
      <c r="S8" s="267">
        <v>281397</v>
      </c>
      <c r="T8" s="267">
        <v>0</v>
      </c>
      <c r="U8" s="267">
        <v>799573</v>
      </c>
      <c r="V8" s="267">
        <v>474202</v>
      </c>
      <c r="W8" s="267">
        <v>758914</v>
      </c>
      <c r="X8" s="267">
        <v>3042283</v>
      </c>
      <c r="Y8" s="267">
        <v>130821</v>
      </c>
      <c r="Z8" s="267">
        <v>613130</v>
      </c>
      <c r="AA8" s="267">
        <v>120108</v>
      </c>
      <c r="AB8" s="267">
        <v>1358142</v>
      </c>
      <c r="AC8" s="267">
        <v>227898</v>
      </c>
      <c r="AD8" s="267">
        <v>33303</v>
      </c>
      <c r="AE8" s="267">
        <v>0</v>
      </c>
      <c r="AF8" s="267">
        <v>103981</v>
      </c>
      <c r="AG8" s="267">
        <v>109954</v>
      </c>
      <c r="AH8" s="267">
        <v>128919</v>
      </c>
      <c r="AI8" s="267">
        <v>54432</v>
      </c>
      <c r="AJ8" s="267">
        <v>0</v>
      </c>
      <c r="AK8" s="267">
        <v>154775</v>
      </c>
      <c r="AL8" s="267">
        <v>22290</v>
      </c>
      <c r="AM8" s="267">
        <v>0</v>
      </c>
      <c r="AN8" s="267">
        <v>321318</v>
      </c>
      <c r="AO8" s="267">
        <v>0</v>
      </c>
      <c r="AP8" s="267">
        <v>0</v>
      </c>
      <c r="AQ8" s="267">
        <v>0</v>
      </c>
      <c r="AR8" s="267">
        <v>24539</v>
      </c>
      <c r="AS8" s="267">
        <v>89890</v>
      </c>
      <c r="AT8" s="267">
        <v>87246</v>
      </c>
      <c r="AU8" s="267">
        <v>409381</v>
      </c>
      <c r="AV8" s="267">
        <v>0</v>
      </c>
      <c r="AW8" s="267">
        <v>970079</v>
      </c>
      <c r="AX8" s="267">
        <v>0</v>
      </c>
      <c r="AY8" s="267">
        <v>178142</v>
      </c>
      <c r="AZ8" s="267">
        <v>47411</v>
      </c>
      <c r="BA8" s="267">
        <v>33549</v>
      </c>
      <c r="BB8" s="267">
        <v>165808</v>
      </c>
      <c r="BC8" s="267">
        <v>0</v>
      </c>
      <c r="BD8" s="267">
        <v>0</v>
      </c>
      <c r="BE8" s="267">
        <v>786476</v>
      </c>
      <c r="BF8" s="267">
        <v>35395</v>
      </c>
      <c r="BG8" s="267">
        <v>7266</v>
      </c>
      <c r="BH8" s="267">
        <v>20190</v>
      </c>
      <c r="BI8" s="267">
        <v>0</v>
      </c>
      <c r="BJ8" s="267">
        <v>65147</v>
      </c>
      <c r="BK8" s="267">
        <v>54354</v>
      </c>
      <c r="BL8" s="267">
        <v>630</v>
      </c>
      <c r="BM8" s="267">
        <v>0</v>
      </c>
      <c r="BN8" s="267">
        <v>701</v>
      </c>
      <c r="BO8" s="267">
        <v>108876</v>
      </c>
      <c r="BP8" s="267">
        <v>57455</v>
      </c>
      <c r="BQ8" s="267">
        <v>72801</v>
      </c>
      <c r="BR8" s="267">
        <v>0</v>
      </c>
      <c r="BS8" s="267">
        <v>149467</v>
      </c>
      <c r="BT8" s="267">
        <v>377685</v>
      </c>
      <c r="BU8" s="267">
        <v>33382</v>
      </c>
      <c r="BV8" s="267">
        <v>140497</v>
      </c>
      <c r="BW8" s="267">
        <v>0</v>
      </c>
      <c r="BX8" s="267">
        <v>93896</v>
      </c>
      <c r="BY8" s="267">
        <v>408426</v>
      </c>
      <c r="BZ8" s="267">
        <v>172036</v>
      </c>
      <c r="CA8" s="1232">
        <v>35587</v>
      </c>
      <c r="CB8" s="267">
        <v>14363</v>
      </c>
      <c r="CC8" s="267">
        <v>0</v>
      </c>
      <c r="CD8" s="267">
        <v>0</v>
      </c>
      <c r="CE8" s="267">
        <v>19647</v>
      </c>
    </row>
    <row r="9" spans="1:83" x14ac:dyDescent="0.3">
      <c r="B9" s="267">
        <v>12</v>
      </c>
      <c r="C9" s="267" t="s">
        <v>619</v>
      </c>
      <c r="D9" s="267" t="s">
        <v>304</v>
      </c>
      <c r="E9" s="267">
        <v>0</v>
      </c>
      <c r="F9" s="267">
        <v>0</v>
      </c>
      <c r="G9" s="267">
        <v>0</v>
      </c>
      <c r="H9" s="267">
        <v>0</v>
      </c>
      <c r="I9" s="267">
        <v>0</v>
      </c>
      <c r="J9" s="267">
        <v>0</v>
      </c>
      <c r="K9" s="267">
        <v>0</v>
      </c>
      <c r="L9" s="267">
        <v>0</v>
      </c>
      <c r="M9" s="267">
        <v>0</v>
      </c>
      <c r="N9" s="267">
        <v>0</v>
      </c>
      <c r="O9" s="267">
        <v>0</v>
      </c>
      <c r="P9" s="267">
        <v>0</v>
      </c>
      <c r="Q9" s="267">
        <v>0</v>
      </c>
      <c r="R9" s="267">
        <v>0</v>
      </c>
      <c r="S9" s="267">
        <v>0</v>
      </c>
      <c r="T9" s="267">
        <v>0</v>
      </c>
      <c r="U9" s="267">
        <v>0</v>
      </c>
      <c r="V9" s="267">
        <v>0</v>
      </c>
      <c r="W9" s="267">
        <v>0</v>
      </c>
      <c r="X9" s="267">
        <v>0</v>
      </c>
      <c r="Y9" s="267">
        <v>0</v>
      </c>
      <c r="Z9" s="267">
        <v>0</v>
      </c>
      <c r="AA9" s="267">
        <v>0</v>
      </c>
      <c r="AB9" s="267">
        <v>0</v>
      </c>
      <c r="AC9" s="267">
        <v>0</v>
      </c>
      <c r="AD9" s="267">
        <v>0</v>
      </c>
      <c r="AE9" s="267">
        <v>0</v>
      </c>
      <c r="AF9" s="267">
        <v>0</v>
      </c>
      <c r="AG9" s="267">
        <v>0</v>
      </c>
      <c r="AH9" s="267">
        <v>0</v>
      </c>
      <c r="AI9" s="267">
        <v>0</v>
      </c>
      <c r="AJ9" s="267">
        <v>0</v>
      </c>
      <c r="AK9" s="267">
        <v>0</v>
      </c>
      <c r="AL9" s="267">
        <v>0</v>
      </c>
      <c r="AM9" s="267">
        <v>0</v>
      </c>
      <c r="AN9" s="267">
        <v>0</v>
      </c>
      <c r="AO9" s="267">
        <v>0</v>
      </c>
      <c r="AP9" s="267">
        <v>0</v>
      </c>
      <c r="AQ9" s="267">
        <v>0</v>
      </c>
      <c r="AR9" s="267">
        <v>0</v>
      </c>
      <c r="AS9" s="267">
        <v>0</v>
      </c>
      <c r="AT9" s="267">
        <v>0</v>
      </c>
      <c r="AU9" s="267">
        <v>0</v>
      </c>
      <c r="AV9" s="267">
        <v>0</v>
      </c>
      <c r="AW9" s="267">
        <v>0</v>
      </c>
      <c r="AX9" s="267">
        <v>0</v>
      </c>
      <c r="AY9" s="267">
        <v>0</v>
      </c>
      <c r="AZ9" s="267">
        <v>0</v>
      </c>
      <c r="BA9" s="267">
        <v>0</v>
      </c>
      <c r="BB9" s="267">
        <v>0</v>
      </c>
      <c r="BC9" s="267">
        <v>0</v>
      </c>
      <c r="BD9" s="267">
        <v>0</v>
      </c>
      <c r="BE9" s="267">
        <v>0</v>
      </c>
      <c r="BF9" s="267">
        <v>0</v>
      </c>
      <c r="BG9" s="267">
        <v>0</v>
      </c>
      <c r="BH9" s="267">
        <v>0</v>
      </c>
      <c r="BI9" s="267">
        <v>0</v>
      </c>
      <c r="BJ9" s="267">
        <v>0</v>
      </c>
      <c r="BK9" s="267">
        <v>0</v>
      </c>
      <c r="BL9" s="267">
        <v>0</v>
      </c>
      <c r="BM9" s="267">
        <v>0</v>
      </c>
      <c r="BN9" s="267">
        <v>0</v>
      </c>
      <c r="BO9" s="267">
        <v>0</v>
      </c>
      <c r="BP9" s="267">
        <v>0</v>
      </c>
      <c r="BQ9" s="267">
        <v>0</v>
      </c>
      <c r="BR9" s="267">
        <v>0</v>
      </c>
      <c r="BS9" s="267">
        <v>0</v>
      </c>
      <c r="BT9" s="267">
        <v>0</v>
      </c>
      <c r="BU9" s="267">
        <v>0</v>
      </c>
      <c r="BV9" s="267">
        <v>0</v>
      </c>
      <c r="BW9" s="267">
        <v>0</v>
      </c>
      <c r="BX9" s="267">
        <v>0</v>
      </c>
      <c r="BY9" s="267">
        <v>0</v>
      </c>
      <c r="BZ9" s="267">
        <v>0</v>
      </c>
      <c r="CA9" s="267">
        <v>0</v>
      </c>
      <c r="CB9" s="267">
        <v>0</v>
      </c>
      <c r="CC9" s="267">
        <v>0</v>
      </c>
      <c r="CD9" s="267">
        <v>0</v>
      </c>
      <c r="CE9" s="267">
        <v>0</v>
      </c>
    </row>
    <row r="10" spans="1:83" x14ac:dyDescent="0.3">
      <c r="B10" s="267">
        <v>13</v>
      </c>
      <c r="C10" s="267" t="s">
        <v>620</v>
      </c>
      <c r="D10" s="267" t="s">
        <v>305</v>
      </c>
      <c r="E10" s="267">
        <v>0</v>
      </c>
      <c r="F10" s="267">
        <v>0</v>
      </c>
      <c r="G10" s="267">
        <v>0</v>
      </c>
      <c r="H10" s="267">
        <v>0</v>
      </c>
      <c r="I10" s="267">
        <v>0</v>
      </c>
      <c r="J10" s="267">
        <v>0</v>
      </c>
      <c r="K10" s="267">
        <v>0</v>
      </c>
      <c r="L10" s="267">
        <v>0</v>
      </c>
      <c r="M10" s="267">
        <v>0</v>
      </c>
      <c r="N10" s="267">
        <v>0</v>
      </c>
      <c r="O10" s="267">
        <v>0</v>
      </c>
      <c r="P10" s="267">
        <v>0</v>
      </c>
      <c r="Q10" s="267">
        <v>0</v>
      </c>
      <c r="R10" s="267">
        <v>0</v>
      </c>
      <c r="S10" s="267">
        <v>0</v>
      </c>
      <c r="T10" s="267">
        <v>0</v>
      </c>
      <c r="U10" s="267">
        <v>0</v>
      </c>
      <c r="V10" s="267">
        <v>0</v>
      </c>
      <c r="W10" s="267">
        <v>0</v>
      </c>
      <c r="X10" s="267">
        <v>0</v>
      </c>
      <c r="Y10" s="267">
        <v>0</v>
      </c>
      <c r="Z10" s="267">
        <v>0</v>
      </c>
      <c r="AA10" s="267">
        <v>0</v>
      </c>
      <c r="AB10" s="267">
        <v>0</v>
      </c>
      <c r="AC10" s="267">
        <v>0</v>
      </c>
      <c r="AD10" s="267">
        <v>0</v>
      </c>
      <c r="AE10" s="267">
        <v>0</v>
      </c>
      <c r="AF10" s="267">
        <v>0</v>
      </c>
      <c r="AG10" s="267">
        <v>0</v>
      </c>
      <c r="AH10" s="267">
        <v>0</v>
      </c>
      <c r="AI10" s="267">
        <v>0</v>
      </c>
      <c r="AJ10" s="267">
        <v>0</v>
      </c>
      <c r="AK10" s="267">
        <v>0</v>
      </c>
      <c r="AL10" s="267">
        <v>0</v>
      </c>
      <c r="AM10" s="267">
        <v>0</v>
      </c>
      <c r="AN10" s="267">
        <v>0</v>
      </c>
      <c r="AO10" s="267">
        <v>0</v>
      </c>
      <c r="AP10" s="267">
        <v>0</v>
      </c>
      <c r="AQ10" s="267">
        <v>0</v>
      </c>
      <c r="AR10" s="267">
        <v>0</v>
      </c>
      <c r="AS10" s="267">
        <v>0</v>
      </c>
      <c r="AT10" s="267">
        <v>0</v>
      </c>
      <c r="AU10" s="267">
        <v>0</v>
      </c>
      <c r="AV10" s="267">
        <v>0</v>
      </c>
      <c r="AW10" s="267">
        <v>0</v>
      </c>
      <c r="AX10" s="267">
        <v>0</v>
      </c>
      <c r="AY10" s="267">
        <v>0</v>
      </c>
      <c r="AZ10" s="267">
        <v>0</v>
      </c>
      <c r="BA10" s="267">
        <v>0</v>
      </c>
      <c r="BB10" s="267">
        <v>0</v>
      </c>
      <c r="BC10" s="267">
        <v>0</v>
      </c>
      <c r="BD10" s="267">
        <v>0</v>
      </c>
      <c r="BE10" s="267">
        <v>0</v>
      </c>
      <c r="BF10" s="267">
        <v>0</v>
      </c>
      <c r="BG10" s="267">
        <v>0</v>
      </c>
      <c r="BH10" s="267">
        <v>0</v>
      </c>
      <c r="BI10" s="267">
        <v>0</v>
      </c>
      <c r="BJ10" s="267">
        <v>0</v>
      </c>
      <c r="BK10" s="267">
        <v>0</v>
      </c>
      <c r="BL10" s="267">
        <v>0</v>
      </c>
      <c r="BM10" s="267">
        <v>0</v>
      </c>
      <c r="BN10" s="267">
        <v>0</v>
      </c>
      <c r="BO10" s="267">
        <v>0</v>
      </c>
      <c r="BP10" s="267">
        <v>0</v>
      </c>
      <c r="BQ10" s="267">
        <v>0</v>
      </c>
      <c r="BR10" s="267">
        <v>0</v>
      </c>
      <c r="BS10" s="267">
        <v>0</v>
      </c>
      <c r="BT10" s="267">
        <v>0</v>
      </c>
      <c r="BU10" s="267">
        <v>0</v>
      </c>
      <c r="BV10" s="267">
        <v>0</v>
      </c>
      <c r="BW10" s="267">
        <v>0</v>
      </c>
      <c r="BX10" s="267">
        <v>0</v>
      </c>
      <c r="BY10" s="267">
        <v>0</v>
      </c>
      <c r="BZ10" s="267">
        <v>0</v>
      </c>
      <c r="CA10" s="267">
        <v>0</v>
      </c>
      <c r="CB10" s="267">
        <v>0</v>
      </c>
      <c r="CC10" s="267">
        <v>0</v>
      </c>
      <c r="CD10" s="267">
        <v>0</v>
      </c>
      <c r="CE10" s="267">
        <v>0</v>
      </c>
    </row>
    <row r="11" spans="1:83" x14ac:dyDescent="0.3">
      <c r="B11" s="267">
        <v>14</v>
      </c>
      <c r="C11" s="267" t="s">
        <v>306</v>
      </c>
      <c r="D11" s="267" t="s">
        <v>307</v>
      </c>
      <c r="E11" s="267">
        <v>0</v>
      </c>
      <c r="F11" s="267">
        <v>0</v>
      </c>
      <c r="G11" s="267">
        <v>0</v>
      </c>
      <c r="H11" s="267">
        <v>0</v>
      </c>
      <c r="I11" s="267">
        <v>0</v>
      </c>
      <c r="J11" s="267">
        <v>0</v>
      </c>
      <c r="K11" s="267">
        <v>0</v>
      </c>
      <c r="L11" s="267">
        <v>0</v>
      </c>
      <c r="M11" s="267">
        <v>0</v>
      </c>
      <c r="N11" s="267">
        <v>0</v>
      </c>
      <c r="O11" s="267">
        <v>0</v>
      </c>
      <c r="P11" s="267">
        <v>0</v>
      </c>
      <c r="Q11" s="267">
        <v>0</v>
      </c>
      <c r="R11" s="267">
        <v>0</v>
      </c>
      <c r="S11" s="267">
        <v>0</v>
      </c>
      <c r="T11" s="267">
        <v>0</v>
      </c>
      <c r="U11" s="267">
        <v>0</v>
      </c>
      <c r="V11" s="267">
        <v>0</v>
      </c>
      <c r="W11" s="267">
        <v>0</v>
      </c>
      <c r="X11" s="267">
        <v>0</v>
      </c>
      <c r="Y11" s="267">
        <v>0</v>
      </c>
      <c r="Z11" s="267">
        <v>0</v>
      </c>
      <c r="AA11" s="267">
        <v>0</v>
      </c>
      <c r="AB11" s="267">
        <v>0</v>
      </c>
      <c r="AC11" s="267">
        <v>0</v>
      </c>
      <c r="AD11" s="267">
        <v>0</v>
      </c>
      <c r="AE11" s="267">
        <v>0</v>
      </c>
      <c r="AF11" s="267">
        <v>0</v>
      </c>
      <c r="AG11" s="267">
        <v>0</v>
      </c>
      <c r="AH11" s="267">
        <v>0</v>
      </c>
      <c r="AI11" s="267">
        <v>0</v>
      </c>
      <c r="AJ11" s="267">
        <v>0</v>
      </c>
      <c r="AK11" s="267">
        <v>0</v>
      </c>
      <c r="AL11" s="267">
        <v>0</v>
      </c>
      <c r="AM11" s="267">
        <v>0</v>
      </c>
      <c r="AN11" s="267">
        <v>0</v>
      </c>
      <c r="AO11" s="267">
        <v>0</v>
      </c>
      <c r="AP11" s="267">
        <v>0</v>
      </c>
      <c r="AQ11" s="267">
        <v>0</v>
      </c>
      <c r="AR11" s="267">
        <v>0</v>
      </c>
      <c r="AS11" s="267">
        <v>0</v>
      </c>
      <c r="AT11" s="267">
        <v>0</v>
      </c>
      <c r="AU11" s="267">
        <v>0</v>
      </c>
      <c r="AV11" s="267">
        <v>0</v>
      </c>
      <c r="AW11" s="267">
        <v>0</v>
      </c>
      <c r="AX11" s="267">
        <v>0</v>
      </c>
      <c r="AY11" s="267">
        <v>0</v>
      </c>
      <c r="AZ11" s="267">
        <v>0</v>
      </c>
      <c r="BA11" s="267">
        <v>0</v>
      </c>
      <c r="BB11" s="267">
        <v>0</v>
      </c>
      <c r="BC11" s="267">
        <v>0</v>
      </c>
      <c r="BD11" s="267">
        <v>0</v>
      </c>
      <c r="BE11" s="267">
        <v>0</v>
      </c>
      <c r="BF11" s="267">
        <v>0</v>
      </c>
      <c r="BG11" s="267">
        <v>0</v>
      </c>
      <c r="BH11" s="267">
        <v>0</v>
      </c>
      <c r="BI11" s="267">
        <v>0</v>
      </c>
      <c r="BJ11" s="267">
        <v>0</v>
      </c>
      <c r="BK11" s="267">
        <v>0</v>
      </c>
      <c r="BL11" s="267">
        <v>0</v>
      </c>
      <c r="BM11" s="267">
        <v>0</v>
      </c>
      <c r="BN11" s="267">
        <v>0</v>
      </c>
      <c r="BO11" s="267">
        <v>0</v>
      </c>
      <c r="BP11" s="267">
        <v>0</v>
      </c>
      <c r="BQ11" s="267">
        <v>0</v>
      </c>
      <c r="BR11" s="267">
        <v>0</v>
      </c>
      <c r="BS11" s="267">
        <v>0</v>
      </c>
      <c r="BT11" s="267">
        <v>0</v>
      </c>
      <c r="BU11" s="267">
        <v>0</v>
      </c>
      <c r="BV11" s="267">
        <v>0</v>
      </c>
      <c r="BW11" s="267">
        <v>0</v>
      </c>
      <c r="BX11" s="267">
        <v>0</v>
      </c>
      <c r="BY11" s="267">
        <v>0</v>
      </c>
      <c r="BZ11" s="267">
        <v>0</v>
      </c>
      <c r="CA11" s="267">
        <v>0</v>
      </c>
      <c r="CB11" s="267">
        <v>0</v>
      </c>
      <c r="CC11" s="267">
        <v>0</v>
      </c>
      <c r="CD11" s="267">
        <v>0</v>
      </c>
      <c r="CE11" s="267">
        <v>0</v>
      </c>
    </row>
    <row r="12" spans="1:83" x14ac:dyDescent="0.3">
      <c r="A12" s="267">
        <v>16</v>
      </c>
      <c r="B12" s="267">
        <v>16</v>
      </c>
      <c r="C12" s="267" t="s">
        <v>206</v>
      </c>
      <c r="D12" s="267" t="s">
        <v>308</v>
      </c>
      <c r="E12" s="267">
        <v>0</v>
      </c>
      <c r="F12" s="267">
        <v>69832</v>
      </c>
      <c r="G12" s="267">
        <v>890119</v>
      </c>
      <c r="H12" s="267">
        <v>1852135</v>
      </c>
      <c r="I12" s="267">
        <v>1643850</v>
      </c>
      <c r="J12" s="267">
        <v>3595795</v>
      </c>
      <c r="K12" s="267">
        <v>77735</v>
      </c>
      <c r="L12" s="267">
        <v>362959</v>
      </c>
      <c r="M12" s="267">
        <v>231254</v>
      </c>
      <c r="N12" s="267">
        <v>13914625</v>
      </c>
      <c r="O12" s="267">
        <v>534022</v>
      </c>
      <c r="P12" s="267">
        <v>5530854</v>
      </c>
      <c r="Q12" s="267">
        <v>85689</v>
      </c>
      <c r="R12" s="267">
        <v>42220026</v>
      </c>
      <c r="S12" s="267">
        <v>1800842</v>
      </c>
      <c r="T12" s="267">
        <v>35172</v>
      </c>
      <c r="U12" s="267">
        <v>73940308</v>
      </c>
      <c r="V12" s="267">
        <v>13311775</v>
      </c>
      <c r="W12" s="267">
        <v>21255820</v>
      </c>
      <c r="X12" s="267">
        <v>33034388</v>
      </c>
      <c r="Y12" s="267">
        <v>293722</v>
      </c>
      <c r="Z12" s="267">
        <v>13887491</v>
      </c>
      <c r="AA12" s="267">
        <v>1125048</v>
      </c>
      <c r="AB12" s="267">
        <v>14117578</v>
      </c>
      <c r="AC12" s="267">
        <v>3945481</v>
      </c>
      <c r="AD12" s="267">
        <v>1840961</v>
      </c>
      <c r="AE12" s="1232">
        <v>2248383</v>
      </c>
      <c r="AF12" s="267">
        <v>2281756</v>
      </c>
      <c r="AG12" s="267">
        <v>26801916</v>
      </c>
      <c r="AH12" s="267">
        <v>5696151</v>
      </c>
      <c r="AI12" s="267">
        <v>1052895</v>
      </c>
      <c r="AJ12" s="267">
        <v>29607939</v>
      </c>
      <c r="AK12" s="267">
        <v>639735</v>
      </c>
      <c r="AL12" s="267">
        <v>916430</v>
      </c>
      <c r="AM12" s="267">
        <v>0</v>
      </c>
      <c r="AN12" s="267">
        <v>14156661</v>
      </c>
      <c r="AO12" s="267">
        <v>0</v>
      </c>
      <c r="AP12" s="267">
        <v>0</v>
      </c>
      <c r="AQ12" s="267">
        <v>45354</v>
      </c>
      <c r="AR12" s="267">
        <v>5012328</v>
      </c>
      <c r="AS12" s="267">
        <v>7089809</v>
      </c>
      <c r="AT12" s="267">
        <v>520549</v>
      </c>
      <c r="AU12" s="267">
        <v>2267545</v>
      </c>
      <c r="AV12" s="267">
        <v>0</v>
      </c>
      <c r="AW12" s="267">
        <v>14300967</v>
      </c>
      <c r="AX12" s="267">
        <v>1792095</v>
      </c>
      <c r="AY12" s="267">
        <v>1590784</v>
      </c>
      <c r="AZ12" s="267">
        <v>9311159</v>
      </c>
      <c r="BA12" s="267">
        <v>885368</v>
      </c>
      <c r="BB12" s="267">
        <v>1107679</v>
      </c>
      <c r="BC12" s="267">
        <v>30007</v>
      </c>
      <c r="BD12" s="267">
        <v>0</v>
      </c>
      <c r="BE12" s="267">
        <v>9447403</v>
      </c>
      <c r="BF12" s="267">
        <v>136199</v>
      </c>
      <c r="BG12" s="267">
        <v>426207</v>
      </c>
      <c r="BH12" s="267">
        <v>159912</v>
      </c>
      <c r="BI12" s="267">
        <v>95290</v>
      </c>
      <c r="BJ12" s="267">
        <v>229147</v>
      </c>
      <c r="BK12" s="267">
        <v>136790</v>
      </c>
      <c r="BL12" s="267">
        <v>3699741</v>
      </c>
      <c r="BM12" s="267">
        <v>0</v>
      </c>
      <c r="BN12" s="267">
        <v>1779809</v>
      </c>
      <c r="BO12" s="267">
        <v>5652427</v>
      </c>
      <c r="BP12" s="267">
        <v>1181789</v>
      </c>
      <c r="BQ12" s="267">
        <v>1617249</v>
      </c>
      <c r="BR12" s="267">
        <v>19275712</v>
      </c>
      <c r="BS12" s="267">
        <v>885781</v>
      </c>
      <c r="BT12" s="267">
        <v>13821715</v>
      </c>
      <c r="BU12" s="267">
        <v>675206</v>
      </c>
      <c r="BV12" s="267">
        <v>5126412</v>
      </c>
      <c r="BW12" s="267">
        <v>632287</v>
      </c>
      <c r="BX12" s="267">
        <v>2138254</v>
      </c>
      <c r="BY12" s="267">
        <v>998397</v>
      </c>
      <c r="BZ12" s="267">
        <v>127953</v>
      </c>
      <c r="CA12" s="1232">
        <v>222891</v>
      </c>
      <c r="CB12" s="267">
        <v>180295</v>
      </c>
      <c r="CC12" s="267">
        <v>0</v>
      </c>
      <c r="CD12" s="267">
        <v>0</v>
      </c>
      <c r="CE12" s="267">
        <v>57885</v>
      </c>
    </row>
    <row r="13" spans="1:83" x14ac:dyDescent="0.3">
      <c r="A13" s="267">
        <v>17</v>
      </c>
      <c r="B13" s="267">
        <v>17</v>
      </c>
      <c r="C13" s="267" t="s">
        <v>209</v>
      </c>
      <c r="D13" s="267" t="s">
        <v>309</v>
      </c>
      <c r="E13" s="267">
        <v>0</v>
      </c>
      <c r="F13" s="267">
        <v>0</v>
      </c>
      <c r="G13" s="267">
        <v>0</v>
      </c>
      <c r="H13" s="267">
        <v>0</v>
      </c>
      <c r="I13" s="267">
        <v>0</v>
      </c>
      <c r="J13" s="267">
        <v>0</v>
      </c>
      <c r="K13" s="267">
        <v>0</v>
      </c>
      <c r="L13" s="267">
        <v>0</v>
      </c>
      <c r="M13" s="267">
        <v>0</v>
      </c>
      <c r="N13" s="267">
        <v>0</v>
      </c>
      <c r="O13" s="267">
        <v>0</v>
      </c>
      <c r="P13" s="267">
        <v>0</v>
      </c>
      <c r="Q13" s="267">
        <v>0</v>
      </c>
      <c r="R13" s="267">
        <v>936296</v>
      </c>
      <c r="S13" s="267">
        <v>0</v>
      </c>
      <c r="T13" s="267">
        <v>0</v>
      </c>
      <c r="U13" s="267">
        <v>0</v>
      </c>
      <c r="V13" s="267">
        <v>567000</v>
      </c>
      <c r="W13" s="267">
        <v>175340</v>
      </c>
      <c r="X13" s="267">
        <v>570000</v>
      </c>
      <c r="Y13" s="267">
        <v>0</v>
      </c>
      <c r="Z13" s="267">
        <v>10000</v>
      </c>
      <c r="AA13" s="267">
        <v>0</v>
      </c>
      <c r="AB13" s="267">
        <v>0</v>
      </c>
      <c r="AC13" s="267">
        <v>52466</v>
      </c>
      <c r="AD13" s="267">
        <v>0</v>
      </c>
      <c r="AE13" s="267">
        <v>0</v>
      </c>
      <c r="AF13" s="267">
        <v>99598</v>
      </c>
      <c r="AG13" s="267">
        <v>0</v>
      </c>
      <c r="AH13" s="267">
        <v>85307</v>
      </c>
      <c r="AI13" s="267">
        <v>0</v>
      </c>
      <c r="AJ13" s="267">
        <v>1968600</v>
      </c>
      <c r="AK13" s="267">
        <v>0</v>
      </c>
      <c r="AL13" s="267">
        <v>0</v>
      </c>
      <c r="AM13" s="267">
        <v>0</v>
      </c>
      <c r="AN13" s="267">
        <v>0</v>
      </c>
      <c r="AO13" s="267">
        <v>0</v>
      </c>
      <c r="AP13" s="267">
        <v>0</v>
      </c>
      <c r="AQ13" s="267">
        <v>0</v>
      </c>
      <c r="AR13" s="267">
        <v>946918</v>
      </c>
      <c r="AS13" s="267">
        <v>0</v>
      </c>
      <c r="AT13" s="267">
        <v>0</v>
      </c>
      <c r="AU13" s="267">
        <v>7796</v>
      </c>
      <c r="AV13" s="267">
        <v>0</v>
      </c>
      <c r="AW13" s="267">
        <v>373864</v>
      </c>
      <c r="AX13" s="267">
        <v>0</v>
      </c>
      <c r="AY13" s="267">
        <v>0</v>
      </c>
      <c r="AZ13" s="267">
        <v>0</v>
      </c>
      <c r="BA13" s="267">
        <v>0</v>
      </c>
      <c r="BB13" s="267">
        <v>0</v>
      </c>
      <c r="BC13" s="267">
        <v>0</v>
      </c>
      <c r="BD13" s="267">
        <v>0</v>
      </c>
      <c r="BE13" s="267">
        <v>225950</v>
      </c>
      <c r="BF13" s="267">
        <v>0</v>
      </c>
      <c r="BG13" s="267">
        <v>0</v>
      </c>
      <c r="BH13" s="267">
        <v>0</v>
      </c>
      <c r="BI13" s="267">
        <v>20911</v>
      </c>
      <c r="BJ13" s="267">
        <v>0</v>
      </c>
      <c r="BK13" s="267">
        <v>0</v>
      </c>
      <c r="BL13" s="267">
        <v>0</v>
      </c>
      <c r="BM13" s="267">
        <v>0</v>
      </c>
      <c r="BN13" s="267">
        <v>0</v>
      </c>
      <c r="BO13" s="267">
        <v>0</v>
      </c>
      <c r="BP13" s="267">
        <v>0</v>
      </c>
      <c r="BQ13" s="267">
        <v>4054</v>
      </c>
      <c r="BR13" s="267">
        <v>0</v>
      </c>
      <c r="BS13" s="267">
        <v>246038</v>
      </c>
      <c r="BT13" s="267">
        <v>42497</v>
      </c>
      <c r="BU13" s="267">
        <v>0</v>
      </c>
      <c r="BV13" s="267">
        <v>0</v>
      </c>
      <c r="BW13" s="267">
        <v>0</v>
      </c>
      <c r="BX13" s="267">
        <v>0</v>
      </c>
      <c r="BY13" s="267">
        <v>0</v>
      </c>
      <c r="BZ13" s="267">
        <v>0</v>
      </c>
      <c r="CA13" s="267">
        <v>0</v>
      </c>
      <c r="CB13" s="267">
        <v>0</v>
      </c>
      <c r="CC13" s="267">
        <v>0</v>
      </c>
      <c r="CD13" s="267">
        <v>0</v>
      </c>
      <c r="CE13" s="267">
        <v>0</v>
      </c>
    </row>
    <row r="14" spans="1:83" x14ac:dyDescent="0.3">
      <c r="B14" s="267">
        <v>19</v>
      </c>
      <c r="C14" s="267" t="s">
        <v>621</v>
      </c>
      <c r="D14" s="267" t="s">
        <v>310</v>
      </c>
      <c r="E14" s="267">
        <v>0</v>
      </c>
      <c r="F14" s="267">
        <v>0</v>
      </c>
      <c r="G14" s="267">
        <v>0</v>
      </c>
      <c r="H14" s="267">
        <v>0</v>
      </c>
      <c r="I14" s="267">
        <v>0</v>
      </c>
      <c r="J14" s="267">
        <v>0</v>
      </c>
      <c r="K14" s="267">
        <v>0</v>
      </c>
      <c r="L14" s="267">
        <v>0</v>
      </c>
      <c r="M14" s="267">
        <v>0</v>
      </c>
      <c r="N14" s="267">
        <v>0</v>
      </c>
      <c r="O14" s="267">
        <v>0</v>
      </c>
      <c r="P14" s="267">
        <v>0</v>
      </c>
      <c r="Q14" s="267">
        <v>0</v>
      </c>
      <c r="R14" s="267">
        <v>0</v>
      </c>
      <c r="S14" s="267">
        <v>0</v>
      </c>
      <c r="T14" s="267">
        <v>0</v>
      </c>
      <c r="U14" s="267">
        <v>0</v>
      </c>
      <c r="V14" s="267">
        <v>0</v>
      </c>
      <c r="W14" s="267">
        <v>0</v>
      </c>
      <c r="X14" s="267">
        <v>0</v>
      </c>
      <c r="Y14" s="267">
        <v>0</v>
      </c>
      <c r="Z14" s="267">
        <v>0</v>
      </c>
      <c r="AA14" s="267">
        <v>0</v>
      </c>
      <c r="AB14" s="267">
        <v>0</v>
      </c>
      <c r="AC14" s="267">
        <v>0</v>
      </c>
      <c r="AD14" s="267">
        <v>0</v>
      </c>
      <c r="AE14" s="267">
        <v>0</v>
      </c>
      <c r="AF14" s="267">
        <v>0</v>
      </c>
      <c r="AG14" s="267">
        <v>0</v>
      </c>
      <c r="AH14" s="267">
        <v>0</v>
      </c>
      <c r="AI14" s="267">
        <v>0</v>
      </c>
      <c r="AJ14" s="267">
        <v>0</v>
      </c>
      <c r="AK14" s="267">
        <v>0</v>
      </c>
      <c r="AL14" s="267">
        <v>0</v>
      </c>
      <c r="AM14" s="267">
        <v>0</v>
      </c>
      <c r="AN14" s="267">
        <v>0</v>
      </c>
      <c r="AO14" s="267">
        <v>0</v>
      </c>
      <c r="AP14" s="267">
        <v>0</v>
      </c>
      <c r="AQ14" s="267">
        <v>0</v>
      </c>
      <c r="AR14" s="267">
        <v>0</v>
      </c>
      <c r="AS14" s="267">
        <v>0</v>
      </c>
      <c r="AT14" s="267">
        <v>0</v>
      </c>
      <c r="AU14" s="267">
        <v>0</v>
      </c>
      <c r="AV14" s="267">
        <v>0</v>
      </c>
      <c r="AW14" s="267">
        <v>0</v>
      </c>
      <c r="AX14" s="267">
        <v>0</v>
      </c>
      <c r="AY14" s="267">
        <v>0</v>
      </c>
      <c r="AZ14" s="267">
        <v>0</v>
      </c>
      <c r="BA14" s="267">
        <v>0</v>
      </c>
      <c r="BB14" s="267">
        <v>0</v>
      </c>
      <c r="BC14" s="267">
        <v>0</v>
      </c>
      <c r="BD14" s="267">
        <v>0</v>
      </c>
      <c r="BE14" s="267">
        <v>0</v>
      </c>
      <c r="BF14" s="267">
        <v>0</v>
      </c>
      <c r="BG14" s="267">
        <v>0</v>
      </c>
      <c r="BH14" s="267">
        <v>0</v>
      </c>
      <c r="BI14" s="267">
        <v>0</v>
      </c>
      <c r="BJ14" s="267">
        <v>0</v>
      </c>
      <c r="BK14" s="267">
        <v>0</v>
      </c>
      <c r="BL14" s="267">
        <v>0</v>
      </c>
      <c r="BM14" s="267">
        <v>0</v>
      </c>
      <c r="BN14" s="267">
        <v>0</v>
      </c>
      <c r="BO14" s="267">
        <v>0</v>
      </c>
      <c r="BP14" s="267">
        <v>0</v>
      </c>
      <c r="BQ14" s="267">
        <v>0</v>
      </c>
      <c r="BR14" s="267">
        <v>0</v>
      </c>
      <c r="BS14" s="267">
        <v>0</v>
      </c>
      <c r="BT14" s="267">
        <v>0</v>
      </c>
      <c r="BU14" s="267">
        <v>0</v>
      </c>
      <c r="BV14" s="267">
        <v>0</v>
      </c>
      <c r="BW14" s="267">
        <v>0</v>
      </c>
      <c r="BX14" s="267">
        <v>0</v>
      </c>
      <c r="BY14" s="267">
        <v>0</v>
      </c>
      <c r="BZ14" s="267">
        <v>0</v>
      </c>
      <c r="CA14" s="267">
        <v>0</v>
      </c>
      <c r="CB14" s="267">
        <v>0</v>
      </c>
      <c r="CC14" s="267">
        <v>0</v>
      </c>
      <c r="CD14" s="267">
        <v>0</v>
      </c>
      <c r="CE14" s="267">
        <v>0</v>
      </c>
    </row>
    <row r="15" spans="1:83" x14ac:dyDescent="0.3">
      <c r="A15" s="267">
        <v>20</v>
      </c>
      <c r="B15" s="267">
        <v>20</v>
      </c>
      <c r="C15" s="267" t="s">
        <v>210</v>
      </c>
      <c r="D15" s="267" t="s">
        <v>311</v>
      </c>
      <c r="E15" s="267">
        <v>0</v>
      </c>
      <c r="F15" s="267">
        <v>0</v>
      </c>
      <c r="G15" s="267">
        <v>0</v>
      </c>
      <c r="H15" s="267">
        <v>24806</v>
      </c>
      <c r="I15" s="267">
        <v>0</v>
      </c>
      <c r="J15" s="267">
        <v>0</v>
      </c>
      <c r="K15" s="267">
        <v>112809</v>
      </c>
      <c r="L15" s="267">
        <v>0</v>
      </c>
      <c r="M15" s="267">
        <v>0</v>
      </c>
      <c r="N15" s="267">
        <v>16251</v>
      </c>
      <c r="O15" s="267">
        <v>0</v>
      </c>
      <c r="P15" s="267">
        <v>0</v>
      </c>
      <c r="Q15" s="267">
        <v>0</v>
      </c>
      <c r="R15" s="267">
        <v>4436788</v>
      </c>
      <c r="S15" s="267">
        <v>138038</v>
      </c>
      <c r="T15" s="267">
        <v>0</v>
      </c>
      <c r="U15" s="267">
        <v>2084933</v>
      </c>
      <c r="V15" s="267">
        <v>3768652</v>
      </c>
      <c r="W15" s="267">
        <v>0</v>
      </c>
      <c r="X15" s="267">
        <v>1757800</v>
      </c>
      <c r="Y15" s="267">
        <v>0</v>
      </c>
      <c r="Z15" s="267">
        <v>553442</v>
      </c>
      <c r="AA15" s="267">
        <v>0</v>
      </c>
      <c r="AB15" s="267">
        <v>788368</v>
      </c>
      <c r="AC15" s="267">
        <v>0</v>
      </c>
      <c r="AD15" s="267">
        <v>166459</v>
      </c>
      <c r="AE15" s="267">
        <v>0</v>
      </c>
      <c r="AF15" s="267">
        <v>0</v>
      </c>
      <c r="AG15" s="267">
        <v>1750000</v>
      </c>
      <c r="AH15" s="267">
        <v>283497</v>
      </c>
      <c r="AI15" s="267">
        <v>0</v>
      </c>
      <c r="AJ15" s="267">
        <v>13923</v>
      </c>
      <c r="AK15" s="267">
        <v>35833</v>
      </c>
      <c r="AL15" s="267">
        <v>0</v>
      </c>
      <c r="AM15" s="267">
        <v>0</v>
      </c>
      <c r="AN15" s="267">
        <v>1021850</v>
      </c>
      <c r="AO15" s="267">
        <v>0</v>
      </c>
      <c r="AP15" s="267">
        <v>0</v>
      </c>
      <c r="AQ15" s="267">
        <v>0</v>
      </c>
      <c r="AR15" s="267">
        <v>0</v>
      </c>
      <c r="AS15" s="267">
        <v>70000</v>
      </c>
      <c r="AT15" s="267">
        <v>0</v>
      </c>
      <c r="AU15" s="267">
        <v>0</v>
      </c>
      <c r="AV15" s="267">
        <v>0</v>
      </c>
      <c r="AW15" s="267">
        <v>549228</v>
      </c>
      <c r="AX15" s="267">
        <v>0</v>
      </c>
      <c r="AY15" s="267">
        <v>0</v>
      </c>
      <c r="AZ15" s="267">
        <v>0</v>
      </c>
      <c r="BA15" s="267">
        <v>0</v>
      </c>
      <c r="BB15" s="267">
        <v>0</v>
      </c>
      <c r="BC15" s="267">
        <v>0</v>
      </c>
      <c r="BD15" s="267">
        <v>0</v>
      </c>
      <c r="BE15" s="267">
        <v>19625</v>
      </c>
      <c r="BF15" s="267">
        <v>0</v>
      </c>
      <c r="BG15" s="267">
        <v>0</v>
      </c>
      <c r="BH15" s="267">
        <v>0</v>
      </c>
      <c r="BI15" s="267">
        <v>0</v>
      </c>
      <c r="BJ15" s="267">
        <v>0</v>
      </c>
      <c r="BK15" s="267">
        <v>0</v>
      </c>
      <c r="BL15" s="267">
        <v>0</v>
      </c>
      <c r="BM15" s="267">
        <v>0</v>
      </c>
      <c r="BN15" s="267">
        <v>150500</v>
      </c>
      <c r="BO15" s="267">
        <v>43000</v>
      </c>
      <c r="BP15" s="267">
        <v>0</v>
      </c>
      <c r="BQ15" s="267">
        <v>4054</v>
      </c>
      <c r="BR15" s="267">
        <v>4569165</v>
      </c>
      <c r="BS15" s="267">
        <v>0</v>
      </c>
      <c r="BT15" s="267">
        <v>50000</v>
      </c>
      <c r="BU15" s="267">
        <v>0</v>
      </c>
      <c r="BV15" s="267">
        <v>2067698</v>
      </c>
      <c r="BW15" s="267">
        <v>26532</v>
      </c>
      <c r="BX15" s="267">
        <v>39227</v>
      </c>
      <c r="BY15" s="267">
        <v>172250</v>
      </c>
      <c r="BZ15" s="267">
        <v>0</v>
      </c>
      <c r="CA15" s="1232">
        <v>83469</v>
      </c>
      <c r="CB15" s="267">
        <v>0</v>
      </c>
      <c r="CC15" s="267">
        <v>0</v>
      </c>
      <c r="CD15" s="267">
        <v>0</v>
      </c>
      <c r="CE15" s="267">
        <v>0</v>
      </c>
    </row>
    <row r="16" spans="1:83" x14ac:dyDescent="0.3">
      <c r="B16" s="267">
        <v>21</v>
      </c>
      <c r="C16" s="267" t="s">
        <v>622</v>
      </c>
      <c r="D16" s="267" t="s">
        <v>312</v>
      </c>
      <c r="E16" s="267">
        <v>0</v>
      </c>
      <c r="F16" s="267">
        <v>0</v>
      </c>
      <c r="G16" s="267">
        <v>0</v>
      </c>
      <c r="H16" s="267">
        <v>0</v>
      </c>
      <c r="I16" s="267">
        <v>0</v>
      </c>
      <c r="J16" s="267">
        <v>0</v>
      </c>
      <c r="K16" s="267">
        <v>0</v>
      </c>
      <c r="L16" s="267">
        <v>0</v>
      </c>
      <c r="M16" s="267">
        <v>0</v>
      </c>
      <c r="N16" s="267">
        <v>0</v>
      </c>
      <c r="O16" s="267">
        <v>0</v>
      </c>
      <c r="P16" s="267">
        <v>0</v>
      </c>
      <c r="Q16" s="267">
        <v>0</v>
      </c>
      <c r="R16" s="267">
        <v>0</v>
      </c>
      <c r="S16" s="267">
        <v>0</v>
      </c>
      <c r="T16" s="267">
        <v>0</v>
      </c>
      <c r="U16" s="267">
        <v>0</v>
      </c>
      <c r="V16" s="267">
        <v>0</v>
      </c>
      <c r="W16" s="267">
        <v>0</v>
      </c>
      <c r="X16" s="267">
        <v>0</v>
      </c>
      <c r="Y16" s="267">
        <v>0</v>
      </c>
      <c r="Z16" s="267">
        <v>0</v>
      </c>
      <c r="AA16" s="267">
        <v>0</v>
      </c>
      <c r="AB16" s="267">
        <v>0</v>
      </c>
      <c r="AC16" s="267">
        <v>0</v>
      </c>
      <c r="AD16" s="267">
        <v>0</v>
      </c>
      <c r="AE16" s="267">
        <v>0</v>
      </c>
      <c r="AF16" s="267">
        <v>0</v>
      </c>
      <c r="AG16" s="267">
        <v>0</v>
      </c>
      <c r="AH16" s="267">
        <v>0</v>
      </c>
      <c r="AI16" s="267">
        <v>0</v>
      </c>
      <c r="AJ16" s="267">
        <v>0</v>
      </c>
      <c r="AK16" s="267">
        <v>0</v>
      </c>
      <c r="AL16" s="267">
        <v>0</v>
      </c>
      <c r="AM16" s="267">
        <v>0</v>
      </c>
      <c r="AN16" s="267">
        <v>0</v>
      </c>
      <c r="AO16" s="267">
        <v>0</v>
      </c>
      <c r="AP16" s="267">
        <v>0</v>
      </c>
      <c r="AQ16" s="267">
        <v>0</v>
      </c>
      <c r="AR16" s="267">
        <v>0</v>
      </c>
      <c r="AS16" s="267">
        <v>0</v>
      </c>
      <c r="AT16" s="267">
        <v>0</v>
      </c>
      <c r="AU16" s="267">
        <v>0</v>
      </c>
      <c r="AV16" s="267">
        <v>0</v>
      </c>
      <c r="AW16" s="267">
        <v>0</v>
      </c>
      <c r="AX16" s="267">
        <v>0</v>
      </c>
      <c r="AY16" s="267">
        <v>0</v>
      </c>
      <c r="AZ16" s="267">
        <v>0</v>
      </c>
      <c r="BA16" s="267">
        <v>0</v>
      </c>
      <c r="BB16" s="267">
        <v>0</v>
      </c>
      <c r="BC16" s="267">
        <v>0</v>
      </c>
      <c r="BD16" s="267">
        <v>0</v>
      </c>
      <c r="BE16" s="267">
        <v>0</v>
      </c>
      <c r="BF16" s="267">
        <v>0</v>
      </c>
      <c r="BG16" s="267">
        <v>0</v>
      </c>
      <c r="BH16" s="267">
        <v>0</v>
      </c>
      <c r="BI16" s="267">
        <v>0</v>
      </c>
      <c r="BJ16" s="267">
        <v>0</v>
      </c>
      <c r="BK16" s="267">
        <v>0</v>
      </c>
      <c r="BL16" s="267">
        <v>0</v>
      </c>
      <c r="BM16" s="267">
        <v>0</v>
      </c>
      <c r="BN16" s="267">
        <v>0</v>
      </c>
      <c r="BO16" s="267">
        <v>0</v>
      </c>
      <c r="BP16" s="267">
        <v>0</v>
      </c>
      <c r="BQ16" s="267">
        <v>0</v>
      </c>
      <c r="BR16" s="267">
        <v>0</v>
      </c>
      <c r="BS16" s="267">
        <v>0</v>
      </c>
      <c r="BT16" s="267">
        <v>0</v>
      </c>
      <c r="BU16" s="267">
        <v>0</v>
      </c>
      <c r="BV16" s="267">
        <v>0</v>
      </c>
      <c r="BW16" s="267">
        <v>0</v>
      </c>
      <c r="BX16" s="267">
        <v>0</v>
      </c>
      <c r="BY16" s="267">
        <v>0</v>
      </c>
      <c r="BZ16" s="267">
        <v>0</v>
      </c>
      <c r="CA16" s="267">
        <v>0</v>
      </c>
      <c r="CB16" s="267">
        <v>0</v>
      </c>
      <c r="CC16" s="267">
        <v>0</v>
      </c>
      <c r="CD16" s="267">
        <v>0</v>
      </c>
      <c r="CE16" s="267">
        <v>0</v>
      </c>
    </row>
    <row r="17" spans="1:83" x14ac:dyDescent="0.3">
      <c r="A17" s="267">
        <v>22</v>
      </c>
      <c r="B17" s="267">
        <v>22</v>
      </c>
      <c r="C17" s="267" t="s">
        <v>212</v>
      </c>
      <c r="D17" s="267" t="s">
        <v>313</v>
      </c>
      <c r="E17" s="267">
        <v>0</v>
      </c>
      <c r="F17" s="267">
        <v>0</v>
      </c>
      <c r="G17" s="267">
        <v>4000</v>
      </c>
      <c r="H17" s="267">
        <v>0</v>
      </c>
      <c r="I17" s="267">
        <v>0</v>
      </c>
      <c r="J17" s="267">
        <v>0</v>
      </c>
      <c r="K17" s="267">
        <v>0</v>
      </c>
      <c r="L17" s="267">
        <v>0</v>
      </c>
      <c r="M17" s="267">
        <v>0</v>
      </c>
      <c r="N17" s="267">
        <v>0</v>
      </c>
      <c r="O17" s="267">
        <v>0</v>
      </c>
      <c r="P17" s="267">
        <v>0</v>
      </c>
      <c r="Q17" s="267">
        <v>0</v>
      </c>
      <c r="R17" s="267">
        <v>0</v>
      </c>
      <c r="S17" s="267">
        <v>0</v>
      </c>
      <c r="T17" s="267">
        <v>0</v>
      </c>
      <c r="U17" s="267">
        <v>181480</v>
      </c>
      <c r="V17" s="267">
        <v>6015</v>
      </c>
      <c r="W17" s="267">
        <v>0</v>
      </c>
      <c r="X17" s="267">
        <v>0</v>
      </c>
      <c r="Y17" s="267">
        <v>0</v>
      </c>
      <c r="Z17" s="267">
        <v>48097</v>
      </c>
      <c r="AA17" s="267">
        <v>0</v>
      </c>
      <c r="AB17" s="267">
        <v>608741</v>
      </c>
      <c r="AC17" s="267">
        <v>928643</v>
      </c>
      <c r="AD17" s="267">
        <v>5897</v>
      </c>
      <c r="AE17" s="267">
        <v>0</v>
      </c>
      <c r="AF17" s="267">
        <v>11001</v>
      </c>
      <c r="AG17" s="267">
        <v>20345</v>
      </c>
      <c r="AH17" s="267">
        <v>86074</v>
      </c>
      <c r="AI17" s="267">
        <v>0</v>
      </c>
      <c r="AJ17" s="267">
        <v>31970</v>
      </c>
      <c r="AK17" s="267">
        <v>0</v>
      </c>
      <c r="AL17" s="267">
        <v>0</v>
      </c>
      <c r="AM17" s="267">
        <v>0</v>
      </c>
      <c r="AN17" s="267">
        <v>0</v>
      </c>
      <c r="AO17" s="267">
        <v>0</v>
      </c>
      <c r="AP17" s="267">
        <v>0</v>
      </c>
      <c r="AQ17" s="267">
        <v>0</v>
      </c>
      <c r="AR17" s="267">
        <v>5000</v>
      </c>
      <c r="AS17" s="267">
        <v>-94214</v>
      </c>
      <c r="AT17" s="267">
        <v>0</v>
      </c>
      <c r="AU17" s="267">
        <v>11905</v>
      </c>
      <c r="AV17" s="267">
        <v>0</v>
      </c>
      <c r="AW17" s="267">
        <v>3117</v>
      </c>
      <c r="AX17" s="267">
        <v>0</v>
      </c>
      <c r="AY17" s="267">
        <v>0</v>
      </c>
      <c r="AZ17" s="267">
        <v>0</v>
      </c>
      <c r="BA17" s="267">
        <v>37500</v>
      </c>
      <c r="BB17" s="267">
        <v>44755</v>
      </c>
      <c r="BC17" s="267">
        <v>0</v>
      </c>
      <c r="BD17" s="267">
        <v>0</v>
      </c>
      <c r="BE17" s="267">
        <v>12975</v>
      </c>
      <c r="BF17" s="267">
        <v>0</v>
      </c>
      <c r="BG17" s="267">
        <v>0</v>
      </c>
      <c r="BH17" s="267">
        <v>0</v>
      </c>
      <c r="BI17" s="267">
        <v>0</v>
      </c>
      <c r="BJ17" s="267">
        <v>8711</v>
      </c>
      <c r="BK17" s="267">
        <v>0</v>
      </c>
      <c r="BL17" s="267">
        <v>0</v>
      </c>
      <c r="BM17" s="267">
        <v>0</v>
      </c>
      <c r="BN17" s="267">
        <v>3694</v>
      </c>
      <c r="BO17" s="267">
        <v>0</v>
      </c>
      <c r="BP17" s="267">
        <v>0</v>
      </c>
      <c r="BQ17" s="267">
        <v>5675</v>
      </c>
      <c r="BR17" s="267">
        <v>50481</v>
      </c>
      <c r="BS17" s="267">
        <v>0</v>
      </c>
      <c r="BT17" s="267">
        <v>0</v>
      </c>
      <c r="BU17" s="267">
        <v>0</v>
      </c>
      <c r="BV17" s="267">
        <v>0</v>
      </c>
      <c r="BW17" s="267">
        <v>0</v>
      </c>
      <c r="BX17" s="267">
        <v>0</v>
      </c>
      <c r="BY17" s="267">
        <v>0</v>
      </c>
      <c r="BZ17" s="267">
        <v>0</v>
      </c>
      <c r="CA17" s="1232">
        <v>405838</v>
      </c>
      <c r="CB17" s="267">
        <v>0</v>
      </c>
      <c r="CC17" s="267">
        <v>0</v>
      </c>
      <c r="CD17" s="267">
        <v>0</v>
      </c>
      <c r="CE17" s="267">
        <v>0</v>
      </c>
    </row>
    <row r="18" spans="1:83" x14ac:dyDescent="0.3">
      <c r="A18" s="267">
        <v>23</v>
      </c>
      <c r="B18" s="267">
        <v>23</v>
      </c>
      <c r="C18" s="267" t="s">
        <v>215</v>
      </c>
      <c r="D18" s="267" t="s">
        <v>314</v>
      </c>
      <c r="E18" s="267">
        <v>0</v>
      </c>
      <c r="F18" s="267">
        <v>20465</v>
      </c>
      <c r="G18" s="267">
        <v>79186</v>
      </c>
      <c r="H18" s="267">
        <v>141435</v>
      </c>
      <c r="I18" s="267">
        <v>731772</v>
      </c>
      <c r="J18" s="267">
        <v>576381</v>
      </c>
      <c r="K18" s="267">
        <v>-98501</v>
      </c>
      <c r="L18" s="267">
        <v>76537</v>
      </c>
      <c r="M18" s="267">
        <v>90311</v>
      </c>
      <c r="N18" s="267">
        <v>-528407</v>
      </c>
      <c r="O18" s="267">
        <v>72398</v>
      </c>
      <c r="P18" s="267">
        <v>-1060940</v>
      </c>
      <c r="Q18" s="267">
        <v>28389</v>
      </c>
      <c r="R18" s="267">
        <v>4884207</v>
      </c>
      <c r="S18" s="267">
        <v>-10545</v>
      </c>
      <c r="T18" s="267">
        <v>273</v>
      </c>
      <c r="U18" s="267">
        <v>7677629</v>
      </c>
      <c r="V18" s="267">
        <v>-441941</v>
      </c>
      <c r="W18" s="267">
        <v>1440465</v>
      </c>
      <c r="X18" s="267">
        <v>4540503</v>
      </c>
      <c r="Y18" s="267">
        <v>43373</v>
      </c>
      <c r="Z18" s="267">
        <v>143328</v>
      </c>
      <c r="AA18" s="267">
        <v>-22361</v>
      </c>
      <c r="AB18" s="267">
        <v>1360760</v>
      </c>
      <c r="AC18" s="267">
        <v>122188</v>
      </c>
      <c r="AD18" s="267">
        <v>185371</v>
      </c>
      <c r="AE18" s="1232">
        <v>324404</v>
      </c>
      <c r="AF18" s="267">
        <v>327692</v>
      </c>
      <c r="AG18" s="267">
        <v>11237772</v>
      </c>
      <c r="AH18" s="267">
        <v>582151</v>
      </c>
      <c r="AI18" s="267">
        <v>-268836</v>
      </c>
      <c r="AJ18" s="267">
        <v>3558686</v>
      </c>
      <c r="AK18" s="267">
        <v>301183</v>
      </c>
      <c r="AL18" s="267">
        <v>64930</v>
      </c>
      <c r="AM18" s="267">
        <v>0</v>
      </c>
      <c r="AN18" s="267">
        <v>-248952</v>
      </c>
      <c r="AO18" s="267">
        <v>0</v>
      </c>
      <c r="AP18" s="267">
        <v>0</v>
      </c>
      <c r="AQ18" s="267">
        <v>10585</v>
      </c>
      <c r="AR18" s="267">
        <v>1506810</v>
      </c>
      <c r="AS18" s="267">
        <v>999401</v>
      </c>
      <c r="AT18" s="267">
        <v>60606</v>
      </c>
      <c r="AU18" s="267">
        <v>-22942</v>
      </c>
      <c r="AV18" s="267">
        <v>0</v>
      </c>
      <c r="AW18" s="267">
        <v>-878657</v>
      </c>
      <c r="AX18" s="267">
        <v>-629</v>
      </c>
      <c r="AY18" s="267">
        <v>-43193</v>
      </c>
      <c r="AZ18" s="267">
        <v>3751904</v>
      </c>
      <c r="BA18" s="267">
        <v>40175</v>
      </c>
      <c r="BB18" s="267">
        <v>-172018</v>
      </c>
      <c r="BC18" s="267">
        <v>13437</v>
      </c>
      <c r="BD18" s="267">
        <v>0</v>
      </c>
      <c r="BE18" s="267">
        <v>868954</v>
      </c>
      <c r="BF18" s="267">
        <v>36391</v>
      </c>
      <c r="BG18" s="267">
        <v>-100819</v>
      </c>
      <c r="BH18" s="267">
        <v>23659</v>
      </c>
      <c r="BI18" s="267">
        <v>29341</v>
      </c>
      <c r="BJ18" s="267">
        <v>7725</v>
      </c>
      <c r="BK18" s="267">
        <v>-7968</v>
      </c>
      <c r="BL18" s="267">
        <v>373830</v>
      </c>
      <c r="BM18" s="267">
        <v>0</v>
      </c>
      <c r="BN18" s="267">
        <v>-117247</v>
      </c>
      <c r="BO18" s="267">
        <v>442452</v>
      </c>
      <c r="BP18" s="267">
        <v>-27301</v>
      </c>
      <c r="BQ18" s="267">
        <v>-158145</v>
      </c>
      <c r="BR18" s="267">
        <v>-2769865</v>
      </c>
      <c r="BS18" s="267">
        <v>-193643</v>
      </c>
      <c r="BT18" s="267">
        <v>1469258</v>
      </c>
      <c r="BU18" s="267">
        <v>27717</v>
      </c>
      <c r="BV18" s="267">
        <v>-1338786</v>
      </c>
      <c r="BW18" s="267">
        <v>-65372</v>
      </c>
      <c r="BX18" s="267">
        <v>743</v>
      </c>
      <c r="BY18" s="267">
        <v>122218</v>
      </c>
      <c r="BZ18" s="267">
        <v>47906</v>
      </c>
      <c r="CA18" s="1232">
        <v>317063</v>
      </c>
      <c r="CB18" s="267">
        <v>58130</v>
      </c>
      <c r="CC18" s="267">
        <v>0</v>
      </c>
      <c r="CD18" s="267">
        <v>0</v>
      </c>
      <c r="CE18" s="267">
        <v>-2414</v>
      </c>
    </row>
    <row r="19" spans="1:83" x14ac:dyDescent="0.3">
      <c r="B19" s="267">
        <v>31</v>
      </c>
      <c r="C19" s="267" t="s">
        <v>623</v>
      </c>
      <c r="D19" s="267" t="s">
        <v>315</v>
      </c>
      <c r="E19" s="267">
        <v>0</v>
      </c>
      <c r="F19" s="267">
        <v>0</v>
      </c>
      <c r="G19" s="267">
        <v>0</v>
      </c>
      <c r="H19" s="267">
        <v>0</v>
      </c>
      <c r="I19" s="267">
        <v>0</v>
      </c>
      <c r="J19" s="267">
        <v>0</v>
      </c>
      <c r="K19" s="267">
        <v>0</v>
      </c>
      <c r="L19" s="267">
        <v>0</v>
      </c>
      <c r="M19" s="267">
        <v>0</v>
      </c>
      <c r="N19" s="267">
        <v>0</v>
      </c>
      <c r="O19" s="267">
        <v>0</v>
      </c>
      <c r="P19" s="267">
        <v>0</v>
      </c>
      <c r="Q19" s="267">
        <v>0</v>
      </c>
      <c r="R19" s="267">
        <v>0</v>
      </c>
      <c r="S19" s="267">
        <v>0</v>
      </c>
      <c r="T19" s="267">
        <v>0</v>
      </c>
      <c r="U19" s="267">
        <v>0</v>
      </c>
      <c r="V19" s="267">
        <v>0</v>
      </c>
      <c r="W19" s="267">
        <v>0</v>
      </c>
      <c r="X19" s="267">
        <v>0</v>
      </c>
      <c r="Y19" s="267">
        <v>0</v>
      </c>
      <c r="Z19" s="267">
        <v>0</v>
      </c>
      <c r="AA19" s="267">
        <v>0</v>
      </c>
      <c r="AB19" s="267">
        <v>0</v>
      </c>
      <c r="AC19" s="267">
        <v>0</v>
      </c>
      <c r="AD19" s="267">
        <v>0</v>
      </c>
      <c r="AE19" s="267">
        <v>0</v>
      </c>
      <c r="AF19" s="267">
        <v>0</v>
      </c>
      <c r="AG19" s="267">
        <v>0</v>
      </c>
      <c r="AH19" s="267">
        <v>0</v>
      </c>
      <c r="AI19" s="267">
        <v>0</v>
      </c>
      <c r="AJ19" s="267">
        <v>0</v>
      </c>
      <c r="AK19" s="267">
        <v>0</v>
      </c>
      <c r="AL19" s="267">
        <v>0</v>
      </c>
      <c r="AM19" s="267">
        <v>0</v>
      </c>
      <c r="AN19" s="267">
        <v>0</v>
      </c>
      <c r="AO19" s="267">
        <v>0</v>
      </c>
      <c r="AP19" s="267">
        <v>0</v>
      </c>
      <c r="AQ19" s="267">
        <v>0</v>
      </c>
      <c r="AR19" s="267">
        <v>0</v>
      </c>
      <c r="AS19" s="267">
        <v>0</v>
      </c>
      <c r="AT19" s="267">
        <v>0</v>
      </c>
      <c r="AU19" s="267">
        <v>0</v>
      </c>
      <c r="AV19" s="267">
        <v>0</v>
      </c>
      <c r="AW19" s="267">
        <v>0</v>
      </c>
      <c r="AX19" s="267">
        <v>0</v>
      </c>
      <c r="AY19" s="267">
        <v>0</v>
      </c>
      <c r="AZ19" s="267">
        <v>0</v>
      </c>
      <c r="BA19" s="267">
        <v>0</v>
      </c>
      <c r="BB19" s="267">
        <v>0</v>
      </c>
      <c r="BC19" s="267">
        <v>0</v>
      </c>
      <c r="BD19" s="267">
        <v>0</v>
      </c>
      <c r="BE19" s="267">
        <v>0</v>
      </c>
      <c r="BF19" s="267">
        <v>0</v>
      </c>
      <c r="BG19" s="267">
        <v>0</v>
      </c>
      <c r="BH19" s="267">
        <v>0</v>
      </c>
      <c r="BI19" s="267">
        <v>0</v>
      </c>
      <c r="BJ19" s="267">
        <v>0</v>
      </c>
      <c r="BK19" s="267">
        <v>0</v>
      </c>
      <c r="BL19" s="267">
        <v>0</v>
      </c>
      <c r="BM19" s="267">
        <v>0</v>
      </c>
      <c r="BN19" s="267">
        <v>0</v>
      </c>
      <c r="BO19" s="267">
        <v>0</v>
      </c>
      <c r="BP19" s="267">
        <v>0</v>
      </c>
      <c r="BQ19" s="267">
        <v>0</v>
      </c>
      <c r="BR19" s="267">
        <v>0</v>
      </c>
      <c r="BS19" s="267">
        <v>0</v>
      </c>
      <c r="BT19" s="267">
        <v>0</v>
      </c>
      <c r="BU19" s="267">
        <v>0</v>
      </c>
      <c r="BV19" s="267">
        <v>0</v>
      </c>
      <c r="BW19" s="267">
        <v>0</v>
      </c>
      <c r="BX19" s="267">
        <v>0</v>
      </c>
      <c r="BY19" s="267">
        <v>0</v>
      </c>
      <c r="BZ19" s="267">
        <v>0</v>
      </c>
      <c r="CA19" s="267">
        <v>0</v>
      </c>
      <c r="CB19" s="267">
        <v>0</v>
      </c>
      <c r="CC19" s="267">
        <v>0</v>
      </c>
      <c r="CD19" s="267">
        <v>0</v>
      </c>
      <c r="CE19" s="267">
        <v>0</v>
      </c>
    </row>
    <row r="20" spans="1:83" x14ac:dyDescent="0.3">
      <c r="B20" s="267">
        <v>32</v>
      </c>
      <c r="C20" s="267" t="s">
        <v>316</v>
      </c>
      <c r="D20" s="267" t="s">
        <v>317</v>
      </c>
      <c r="E20" s="267">
        <v>0</v>
      </c>
      <c r="F20" s="267">
        <v>0</v>
      </c>
      <c r="G20" s="267">
        <v>0</v>
      </c>
      <c r="H20" s="267">
        <v>0</v>
      </c>
      <c r="I20" s="267">
        <v>0</v>
      </c>
      <c r="J20" s="267">
        <v>0</v>
      </c>
      <c r="K20" s="267">
        <v>0</v>
      </c>
      <c r="L20" s="267">
        <v>0</v>
      </c>
      <c r="M20" s="267">
        <v>0</v>
      </c>
      <c r="N20" s="267">
        <v>0</v>
      </c>
      <c r="O20" s="267">
        <v>0</v>
      </c>
      <c r="P20" s="267">
        <v>0</v>
      </c>
      <c r="Q20" s="267">
        <v>0</v>
      </c>
      <c r="R20" s="267">
        <v>0</v>
      </c>
      <c r="S20" s="267">
        <v>0</v>
      </c>
      <c r="T20" s="267">
        <v>0</v>
      </c>
      <c r="U20" s="267">
        <v>0</v>
      </c>
      <c r="V20" s="267">
        <v>0</v>
      </c>
      <c r="W20" s="267">
        <v>0</v>
      </c>
      <c r="X20" s="267">
        <v>0</v>
      </c>
      <c r="Y20" s="267">
        <v>0</v>
      </c>
      <c r="Z20" s="267">
        <v>0</v>
      </c>
      <c r="AA20" s="267">
        <v>0</v>
      </c>
      <c r="AB20" s="267">
        <v>0</v>
      </c>
      <c r="AC20" s="267">
        <v>0</v>
      </c>
      <c r="AD20" s="267">
        <v>0</v>
      </c>
      <c r="AE20" s="267">
        <v>0</v>
      </c>
      <c r="AF20" s="267">
        <v>0</v>
      </c>
      <c r="AG20" s="267">
        <v>0</v>
      </c>
      <c r="AH20" s="267">
        <v>0</v>
      </c>
      <c r="AI20" s="267">
        <v>0</v>
      </c>
      <c r="AJ20" s="267">
        <v>0</v>
      </c>
      <c r="AK20" s="267">
        <v>0</v>
      </c>
      <c r="AL20" s="267">
        <v>0</v>
      </c>
      <c r="AM20" s="267">
        <v>0</v>
      </c>
      <c r="AN20" s="267">
        <v>0</v>
      </c>
      <c r="AO20" s="267">
        <v>0</v>
      </c>
      <c r="AP20" s="267">
        <v>0</v>
      </c>
      <c r="AQ20" s="267">
        <v>0</v>
      </c>
      <c r="AR20" s="267">
        <v>0</v>
      </c>
      <c r="AS20" s="267">
        <v>0</v>
      </c>
      <c r="AT20" s="267">
        <v>0</v>
      </c>
      <c r="AU20" s="267">
        <v>0</v>
      </c>
      <c r="AV20" s="267">
        <v>0</v>
      </c>
      <c r="AW20" s="267">
        <v>0</v>
      </c>
      <c r="AX20" s="267">
        <v>0</v>
      </c>
      <c r="AY20" s="267">
        <v>0</v>
      </c>
      <c r="AZ20" s="267">
        <v>0</v>
      </c>
      <c r="BA20" s="267">
        <v>0</v>
      </c>
      <c r="BB20" s="267">
        <v>0</v>
      </c>
      <c r="BC20" s="267">
        <v>0</v>
      </c>
      <c r="BD20" s="267">
        <v>0</v>
      </c>
      <c r="BE20" s="267">
        <v>0</v>
      </c>
      <c r="BF20" s="267">
        <v>0</v>
      </c>
      <c r="BG20" s="267">
        <v>0</v>
      </c>
      <c r="BH20" s="267">
        <v>0</v>
      </c>
      <c r="BI20" s="267">
        <v>0</v>
      </c>
      <c r="BJ20" s="267">
        <v>0</v>
      </c>
      <c r="BK20" s="267">
        <v>0</v>
      </c>
      <c r="BL20" s="267">
        <v>0</v>
      </c>
      <c r="BM20" s="267">
        <v>0</v>
      </c>
      <c r="BN20" s="267">
        <v>0</v>
      </c>
      <c r="BO20" s="267">
        <v>0</v>
      </c>
      <c r="BP20" s="267">
        <v>0</v>
      </c>
      <c r="BQ20" s="267">
        <v>0</v>
      </c>
      <c r="BR20" s="267">
        <v>0</v>
      </c>
      <c r="BS20" s="267">
        <v>0</v>
      </c>
      <c r="BT20" s="267">
        <v>0</v>
      </c>
      <c r="BU20" s="267">
        <v>0</v>
      </c>
      <c r="BV20" s="267">
        <v>0</v>
      </c>
      <c r="BW20" s="267">
        <v>0</v>
      </c>
      <c r="BX20" s="267">
        <v>0</v>
      </c>
      <c r="BY20" s="267">
        <v>0</v>
      </c>
      <c r="BZ20" s="267">
        <v>0</v>
      </c>
      <c r="CA20" s="267">
        <v>0</v>
      </c>
      <c r="CB20" s="267">
        <v>0</v>
      </c>
      <c r="CC20" s="267">
        <v>0</v>
      </c>
      <c r="CD20" s="267">
        <v>0</v>
      </c>
      <c r="CE20" s="267">
        <v>0</v>
      </c>
    </row>
    <row r="21" spans="1:83" x14ac:dyDescent="0.3">
      <c r="B21" s="267">
        <v>33</v>
      </c>
      <c r="C21" s="267" t="s">
        <v>318</v>
      </c>
      <c r="D21" s="267" t="s">
        <v>319</v>
      </c>
      <c r="E21" s="267">
        <v>0</v>
      </c>
      <c r="F21" s="267">
        <v>0</v>
      </c>
      <c r="G21" s="267">
        <v>0</v>
      </c>
      <c r="H21" s="267">
        <v>0</v>
      </c>
      <c r="I21" s="267">
        <v>0</v>
      </c>
      <c r="J21" s="267">
        <v>0</v>
      </c>
      <c r="K21" s="267">
        <v>0</v>
      </c>
      <c r="L21" s="267">
        <v>0</v>
      </c>
      <c r="M21" s="267">
        <v>0</v>
      </c>
      <c r="N21" s="267">
        <v>0</v>
      </c>
      <c r="O21" s="267">
        <v>0</v>
      </c>
      <c r="P21" s="267">
        <v>0</v>
      </c>
      <c r="Q21" s="267">
        <v>0</v>
      </c>
      <c r="R21" s="267">
        <v>0</v>
      </c>
      <c r="S21" s="267">
        <v>0</v>
      </c>
      <c r="T21" s="267">
        <v>0</v>
      </c>
      <c r="U21" s="267">
        <v>0</v>
      </c>
      <c r="V21" s="267">
        <v>0</v>
      </c>
      <c r="W21" s="267">
        <v>0</v>
      </c>
      <c r="X21" s="267">
        <v>0</v>
      </c>
      <c r="Y21" s="267">
        <v>0</v>
      </c>
      <c r="Z21" s="267">
        <v>0</v>
      </c>
      <c r="AA21" s="267">
        <v>0</v>
      </c>
      <c r="AB21" s="267">
        <v>0</v>
      </c>
      <c r="AC21" s="267">
        <v>0</v>
      </c>
      <c r="AD21" s="267">
        <v>0</v>
      </c>
      <c r="AE21" s="267">
        <v>0</v>
      </c>
      <c r="AF21" s="267">
        <v>0</v>
      </c>
      <c r="AG21" s="267">
        <v>0</v>
      </c>
      <c r="AH21" s="267">
        <v>0</v>
      </c>
      <c r="AI21" s="267">
        <v>0</v>
      </c>
      <c r="AJ21" s="267">
        <v>0</v>
      </c>
      <c r="AK21" s="267">
        <v>0</v>
      </c>
      <c r="AL21" s="267">
        <v>0</v>
      </c>
      <c r="AM21" s="267">
        <v>0</v>
      </c>
      <c r="AN21" s="267">
        <v>0</v>
      </c>
      <c r="AO21" s="267">
        <v>0</v>
      </c>
      <c r="AP21" s="267">
        <v>0</v>
      </c>
      <c r="AQ21" s="267">
        <v>0</v>
      </c>
      <c r="AR21" s="267">
        <v>0</v>
      </c>
      <c r="AS21" s="267">
        <v>0</v>
      </c>
      <c r="AT21" s="267">
        <v>0</v>
      </c>
      <c r="AU21" s="267">
        <v>0</v>
      </c>
      <c r="AV21" s="267">
        <v>0</v>
      </c>
      <c r="AW21" s="267">
        <v>0</v>
      </c>
      <c r="AX21" s="267">
        <v>0</v>
      </c>
      <c r="AY21" s="267">
        <v>0</v>
      </c>
      <c r="AZ21" s="267">
        <v>0</v>
      </c>
      <c r="BA21" s="267">
        <v>0</v>
      </c>
      <c r="BB21" s="267">
        <v>0</v>
      </c>
      <c r="BC21" s="267">
        <v>0</v>
      </c>
      <c r="BD21" s="267">
        <v>0</v>
      </c>
      <c r="BE21" s="267">
        <v>0</v>
      </c>
      <c r="BF21" s="267">
        <v>0</v>
      </c>
      <c r="BG21" s="267">
        <v>0</v>
      </c>
      <c r="BH21" s="267">
        <v>0</v>
      </c>
      <c r="BI21" s="267">
        <v>0</v>
      </c>
      <c r="BJ21" s="267">
        <v>0</v>
      </c>
      <c r="BK21" s="267">
        <v>0</v>
      </c>
      <c r="BL21" s="267">
        <v>0</v>
      </c>
      <c r="BM21" s="267">
        <v>0</v>
      </c>
      <c r="BN21" s="267">
        <v>0</v>
      </c>
      <c r="BO21" s="267">
        <v>0</v>
      </c>
      <c r="BP21" s="267">
        <v>0</v>
      </c>
      <c r="BQ21" s="267">
        <v>0</v>
      </c>
      <c r="BR21" s="267">
        <v>0</v>
      </c>
      <c r="BS21" s="267">
        <v>0</v>
      </c>
      <c r="BT21" s="267">
        <v>0</v>
      </c>
      <c r="BU21" s="267">
        <v>0</v>
      </c>
      <c r="BV21" s="267">
        <v>0</v>
      </c>
      <c r="BW21" s="267">
        <v>0</v>
      </c>
      <c r="BX21" s="267">
        <v>0</v>
      </c>
      <c r="BY21" s="267">
        <v>0</v>
      </c>
      <c r="BZ21" s="267">
        <v>0</v>
      </c>
      <c r="CA21" s="267">
        <v>0</v>
      </c>
      <c r="CB21" s="267">
        <v>0</v>
      </c>
      <c r="CC21" s="267">
        <v>0</v>
      </c>
      <c r="CD21" s="267">
        <v>0</v>
      </c>
      <c r="CE21" s="267">
        <v>0</v>
      </c>
    </row>
    <row r="22" spans="1:83" x14ac:dyDescent="0.3">
      <c r="B22" s="267">
        <v>34</v>
      </c>
      <c r="C22" s="267" t="s">
        <v>320</v>
      </c>
      <c r="D22" s="267" t="s">
        <v>321</v>
      </c>
      <c r="E22" s="267">
        <v>0</v>
      </c>
      <c r="F22" s="267">
        <v>0</v>
      </c>
      <c r="G22" s="267">
        <v>0</v>
      </c>
      <c r="H22" s="267">
        <v>0</v>
      </c>
      <c r="I22" s="267">
        <v>0</v>
      </c>
      <c r="J22" s="267">
        <v>0</v>
      </c>
      <c r="K22" s="267">
        <v>0</v>
      </c>
      <c r="L22" s="267">
        <v>0</v>
      </c>
      <c r="M22" s="267">
        <v>0</v>
      </c>
      <c r="N22" s="267">
        <v>0</v>
      </c>
      <c r="O22" s="267">
        <v>0</v>
      </c>
      <c r="P22" s="267">
        <v>0</v>
      </c>
      <c r="Q22" s="267">
        <v>0</v>
      </c>
      <c r="R22" s="267">
        <v>0</v>
      </c>
      <c r="S22" s="267">
        <v>0</v>
      </c>
      <c r="T22" s="267">
        <v>0</v>
      </c>
      <c r="U22" s="267">
        <v>0</v>
      </c>
      <c r="V22" s="267">
        <v>0</v>
      </c>
      <c r="W22" s="267">
        <v>0</v>
      </c>
      <c r="X22" s="267">
        <v>0</v>
      </c>
      <c r="Y22" s="267">
        <v>0</v>
      </c>
      <c r="Z22" s="267">
        <v>0</v>
      </c>
      <c r="AA22" s="267">
        <v>0</v>
      </c>
      <c r="AB22" s="267">
        <v>0</v>
      </c>
      <c r="AC22" s="267">
        <v>0</v>
      </c>
      <c r="AD22" s="267">
        <v>0</v>
      </c>
      <c r="AE22" s="267">
        <v>0</v>
      </c>
      <c r="AF22" s="267">
        <v>0</v>
      </c>
      <c r="AG22" s="267">
        <v>0</v>
      </c>
      <c r="AH22" s="267">
        <v>0</v>
      </c>
      <c r="AI22" s="267">
        <v>0</v>
      </c>
      <c r="AJ22" s="267">
        <v>0</v>
      </c>
      <c r="AK22" s="267">
        <v>0</v>
      </c>
      <c r="AL22" s="267">
        <v>0</v>
      </c>
      <c r="AM22" s="267">
        <v>0</v>
      </c>
      <c r="AN22" s="267">
        <v>0</v>
      </c>
      <c r="AO22" s="267">
        <v>0</v>
      </c>
      <c r="AP22" s="267">
        <v>0</v>
      </c>
      <c r="AQ22" s="267">
        <v>0</v>
      </c>
      <c r="AR22" s="267">
        <v>0</v>
      </c>
      <c r="AS22" s="267">
        <v>0</v>
      </c>
      <c r="AT22" s="267">
        <v>0</v>
      </c>
      <c r="AU22" s="267">
        <v>0</v>
      </c>
      <c r="AV22" s="267">
        <v>0</v>
      </c>
      <c r="AW22" s="267">
        <v>0</v>
      </c>
      <c r="AX22" s="267">
        <v>0</v>
      </c>
      <c r="AY22" s="267">
        <v>0</v>
      </c>
      <c r="AZ22" s="267">
        <v>0</v>
      </c>
      <c r="BA22" s="267">
        <v>0</v>
      </c>
      <c r="BB22" s="267">
        <v>0</v>
      </c>
      <c r="BC22" s="267">
        <v>0</v>
      </c>
      <c r="BD22" s="267">
        <v>0</v>
      </c>
      <c r="BE22" s="267">
        <v>0</v>
      </c>
      <c r="BF22" s="267">
        <v>0</v>
      </c>
      <c r="BG22" s="267">
        <v>0</v>
      </c>
      <c r="BH22" s="267">
        <v>0</v>
      </c>
      <c r="BI22" s="267">
        <v>0</v>
      </c>
      <c r="BJ22" s="267">
        <v>0</v>
      </c>
      <c r="BK22" s="267">
        <v>0</v>
      </c>
      <c r="BL22" s="267">
        <v>0</v>
      </c>
      <c r="BM22" s="267">
        <v>0</v>
      </c>
      <c r="BN22" s="267">
        <v>0</v>
      </c>
      <c r="BO22" s="267">
        <v>0</v>
      </c>
      <c r="BP22" s="267">
        <v>0</v>
      </c>
      <c r="BQ22" s="267">
        <v>0</v>
      </c>
      <c r="BR22" s="267">
        <v>0</v>
      </c>
      <c r="BS22" s="267">
        <v>0</v>
      </c>
      <c r="BT22" s="267">
        <v>0</v>
      </c>
      <c r="BU22" s="267">
        <v>0</v>
      </c>
      <c r="BV22" s="267">
        <v>0</v>
      </c>
      <c r="BW22" s="267">
        <v>0</v>
      </c>
      <c r="BX22" s="267">
        <v>0</v>
      </c>
      <c r="BY22" s="267">
        <v>0</v>
      </c>
      <c r="BZ22" s="267">
        <v>0</v>
      </c>
      <c r="CA22" s="267">
        <v>0</v>
      </c>
      <c r="CB22" s="267">
        <v>0</v>
      </c>
      <c r="CC22" s="267">
        <v>0</v>
      </c>
      <c r="CD22" s="267">
        <v>0</v>
      </c>
      <c r="CE22" s="267">
        <v>0</v>
      </c>
    </row>
    <row r="23" spans="1:83" x14ac:dyDescent="0.3">
      <c r="B23" s="267">
        <v>35</v>
      </c>
      <c r="C23" s="267" t="s">
        <v>624</v>
      </c>
      <c r="D23" s="267" t="s">
        <v>322</v>
      </c>
      <c r="E23" s="267">
        <v>0</v>
      </c>
      <c r="F23" s="267">
        <v>0</v>
      </c>
      <c r="G23" s="267">
        <v>0</v>
      </c>
      <c r="H23" s="267">
        <v>0</v>
      </c>
      <c r="I23" s="267">
        <v>0</v>
      </c>
      <c r="J23" s="267">
        <v>0</v>
      </c>
      <c r="K23" s="267">
        <v>0</v>
      </c>
      <c r="L23" s="267">
        <v>0</v>
      </c>
      <c r="M23" s="267">
        <v>0</v>
      </c>
      <c r="N23" s="267">
        <v>0</v>
      </c>
      <c r="O23" s="267">
        <v>0</v>
      </c>
      <c r="P23" s="267">
        <v>0</v>
      </c>
      <c r="Q23" s="267">
        <v>0</v>
      </c>
      <c r="R23" s="267">
        <v>0</v>
      </c>
      <c r="S23" s="267">
        <v>0</v>
      </c>
      <c r="T23" s="267">
        <v>0</v>
      </c>
      <c r="U23" s="267">
        <v>0</v>
      </c>
      <c r="V23" s="267">
        <v>0</v>
      </c>
      <c r="W23" s="267">
        <v>0</v>
      </c>
      <c r="X23" s="267">
        <v>0</v>
      </c>
      <c r="Y23" s="267">
        <v>0</v>
      </c>
      <c r="Z23" s="267">
        <v>0</v>
      </c>
      <c r="AA23" s="267">
        <v>0</v>
      </c>
      <c r="AB23" s="267">
        <v>0</v>
      </c>
      <c r="AC23" s="267">
        <v>0</v>
      </c>
      <c r="AD23" s="267">
        <v>0</v>
      </c>
      <c r="AE23" s="267">
        <v>0</v>
      </c>
      <c r="AF23" s="267">
        <v>0</v>
      </c>
      <c r="AG23" s="267">
        <v>0</v>
      </c>
      <c r="AH23" s="267">
        <v>0</v>
      </c>
      <c r="AI23" s="267">
        <v>0</v>
      </c>
      <c r="AJ23" s="267">
        <v>0</v>
      </c>
      <c r="AK23" s="267">
        <v>0</v>
      </c>
      <c r="AL23" s="267">
        <v>0</v>
      </c>
      <c r="AM23" s="267">
        <v>0</v>
      </c>
      <c r="AN23" s="267">
        <v>0</v>
      </c>
      <c r="AO23" s="267">
        <v>0</v>
      </c>
      <c r="AP23" s="267">
        <v>0</v>
      </c>
      <c r="AQ23" s="267">
        <v>0</v>
      </c>
      <c r="AR23" s="267">
        <v>0</v>
      </c>
      <c r="AS23" s="267">
        <v>0</v>
      </c>
      <c r="AT23" s="267">
        <v>0</v>
      </c>
      <c r="AU23" s="267">
        <v>0</v>
      </c>
      <c r="AV23" s="267">
        <v>0</v>
      </c>
      <c r="AW23" s="267">
        <v>0</v>
      </c>
      <c r="AX23" s="267">
        <v>0</v>
      </c>
      <c r="AY23" s="267">
        <v>0</v>
      </c>
      <c r="AZ23" s="267">
        <v>0</v>
      </c>
      <c r="BA23" s="267">
        <v>0</v>
      </c>
      <c r="BB23" s="267">
        <v>0</v>
      </c>
      <c r="BC23" s="267">
        <v>0</v>
      </c>
      <c r="BD23" s="267">
        <v>0</v>
      </c>
      <c r="BE23" s="267">
        <v>0</v>
      </c>
      <c r="BF23" s="267">
        <v>0</v>
      </c>
      <c r="BG23" s="267">
        <v>0</v>
      </c>
      <c r="BH23" s="267">
        <v>0</v>
      </c>
      <c r="BI23" s="267">
        <v>0</v>
      </c>
      <c r="BJ23" s="267">
        <v>0</v>
      </c>
      <c r="BK23" s="267">
        <v>0</v>
      </c>
      <c r="BL23" s="267">
        <v>0</v>
      </c>
      <c r="BM23" s="267">
        <v>0</v>
      </c>
      <c r="BN23" s="267">
        <v>0</v>
      </c>
      <c r="BO23" s="267">
        <v>0</v>
      </c>
      <c r="BP23" s="267">
        <v>0</v>
      </c>
      <c r="BQ23" s="267">
        <v>0</v>
      </c>
      <c r="BR23" s="267">
        <v>0</v>
      </c>
      <c r="BS23" s="267">
        <v>0</v>
      </c>
      <c r="BT23" s="267">
        <v>0</v>
      </c>
      <c r="BU23" s="267">
        <v>0</v>
      </c>
      <c r="BV23" s="267">
        <v>0</v>
      </c>
      <c r="BW23" s="267">
        <v>0</v>
      </c>
      <c r="BX23" s="267">
        <v>0</v>
      </c>
      <c r="BY23" s="267">
        <v>0</v>
      </c>
      <c r="BZ23" s="267">
        <v>0</v>
      </c>
      <c r="CA23" s="267">
        <v>0</v>
      </c>
      <c r="CB23" s="267">
        <v>0</v>
      </c>
      <c r="CC23" s="267">
        <v>0</v>
      </c>
      <c r="CD23" s="267">
        <v>0</v>
      </c>
      <c r="CE23" s="267">
        <v>0</v>
      </c>
    </row>
    <row r="24" spans="1:83" x14ac:dyDescent="0.3">
      <c r="B24" s="267">
        <v>36</v>
      </c>
      <c r="C24" s="267" t="s">
        <v>625</v>
      </c>
      <c r="D24" s="267" t="s">
        <v>323</v>
      </c>
      <c r="E24" s="267">
        <v>0</v>
      </c>
      <c r="F24" s="267">
        <v>0</v>
      </c>
      <c r="G24" s="267">
        <v>0</v>
      </c>
      <c r="H24" s="267">
        <v>0</v>
      </c>
      <c r="I24" s="267">
        <v>0</v>
      </c>
      <c r="J24" s="267">
        <v>0</v>
      </c>
      <c r="K24" s="267">
        <v>0</v>
      </c>
      <c r="L24" s="267">
        <v>0</v>
      </c>
      <c r="M24" s="267">
        <v>0</v>
      </c>
      <c r="N24" s="267">
        <v>0</v>
      </c>
      <c r="O24" s="267">
        <v>0</v>
      </c>
      <c r="P24" s="267">
        <v>0</v>
      </c>
      <c r="Q24" s="267">
        <v>0</v>
      </c>
      <c r="R24" s="267">
        <v>0</v>
      </c>
      <c r="S24" s="267">
        <v>0</v>
      </c>
      <c r="T24" s="267">
        <v>0</v>
      </c>
      <c r="U24" s="267">
        <v>0</v>
      </c>
      <c r="V24" s="267">
        <v>0</v>
      </c>
      <c r="W24" s="267">
        <v>0</v>
      </c>
      <c r="X24" s="267">
        <v>0</v>
      </c>
      <c r="Y24" s="267">
        <v>0</v>
      </c>
      <c r="Z24" s="267">
        <v>0</v>
      </c>
      <c r="AA24" s="267">
        <v>0</v>
      </c>
      <c r="AB24" s="267">
        <v>0</v>
      </c>
      <c r="AC24" s="267">
        <v>0</v>
      </c>
      <c r="AD24" s="267">
        <v>0</v>
      </c>
      <c r="AE24" s="267">
        <v>0</v>
      </c>
      <c r="AF24" s="267">
        <v>0</v>
      </c>
      <c r="AG24" s="267">
        <v>0</v>
      </c>
      <c r="AH24" s="267">
        <v>0</v>
      </c>
      <c r="AI24" s="267">
        <v>0</v>
      </c>
      <c r="AJ24" s="267">
        <v>0</v>
      </c>
      <c r="AK24" s="267">
        <v>0</v>
      </c>
      <c r="AL24" s="267">
        <v>0</v>
      </c>
      <c r="AM24" s="267">
        <v>0</v>
      </c>
      <c r="AN24" s="267">
        <v>0</v>
      </c>
      <c r="AO24" s="267">
        <v>0</v>
      </c>
      <c r="AP24" s="267">
        <v>0</v>
      </c>
      <c r="AQ24" s="267">
        <v>0</v>
      </c>
      <c r="AR24" s="267">
        <v>0</v>
      </c>
      <c r="AS24" s="267">
        <v>0</v>
      </c>
      <c r="AT24" s="267">
        <v>0</v>
      </c>
      <c r="AU24" s="267">
        <v>0</v>
      </c>
      <c r="AV24" s="267">
        <v>0</v>
      </c>
      <c r="AW24" s="267">
        <v>0</v>
      </c>
      <c r="AX24" s="267">
        <v>0</v>
      </c>
      <c r="AY24" s="267">
        <v>0</v>
      </c>
      <c r="AZ24" s="267">
        <v>0</v>
      </c>
      <c r="BA24" s="267">
        <v>0</v>
      </c>
      <c r="BB24" s="267">
        <v>0</v>
      </c>
      <c r="BC24" s="267">
        <v>0</v>
      </c>
      <c r="BD24" s="267">
        <v>0</v>
      </c>
      <c r="BE24" s="267">
        <v>0</v>
      </c>
      <c r="BF24" s="267">
        <v>0</v>
      </c>
      <c r="BG24" s="267">
        <v>0</v>
      </c>
      <c r="BH24" s="267">
        <v>0</v>
      </c>
      <c r="BI24" s="267">
        <v>0</v>
      </c>
      <c r="BJ24" s="267">
        <v>0</v>
      </c>
      <c r="BK24" s="267">
        <v>0</v>
      </c>
      <c r="BL24" s="267">
        <v>0</v>
      </c>
      <c r="BM24" s="267">
        <v>0</v>
      </c>
      <c r="BN24" s="267">
        <v>0</v>
      </c>
      <c r="BO24" s="267">
        <v>0</v>
      </c>
      <c r="BP24" s="267">
        <v>0</v>
      </c>
      <c r="BQ24" s="267">
        <v>0</v>
      </c>
      <c r="BR24" s="267">
        <v>0</v>
      </c>
      <c r="BS24" s="267">
        <v>0</v>
      </c>
      <c r="BT24" s="267">
        <v>0</v>
      </c>
      <c r="BU24" s="267">
        <v>0</v>
      </c>
      <c r="BV24" s="267">
        <v>0</v>
      </c>
      <c r="BW24" s="267">
        <v>0</v>
      </c>
      <c r="BX24" s="267">
        <v>0</v>
      </c>
      <c r="BY24" s="267">
        <v>0</v>
      </c>
      <c r="BZ24" s="267">
        <v>0</v>
      </c>
      <c r="CA24" s="267">
        <v>0</v>
      </c>
      <c r="CB24" s="267">
        <v>0</v>
      </c>
      <c r="CC24" s="267">
        <v>0</v>
      </c>
      <c r="CD24" s="267">
        <v>0</v>
      </c>
      <c r="CE24" s="267">
        <v>0</v>
      </c>
    </row>
    <row r="25" spans="1:83" x14ac:dyDescent="0.3">
      <c r="B25" s="267">
        <v>37</v>
      </c>
      <c r="C25" s="267" t="s">
        <v>324</v>
      </c>
      <c r="D25" s="267" t="s">
        <v>325</v>
      </c>
      <c r="E25" s="267">
        <v>0</v>
      </c>
      <c r="F25" s="267">
        <v>0</v>
      </c>
      <c r="G25" s="267">
        <v>0</v>
      </c>
      <c r="H25" s="267">
        <v>0</v>
      </c>
      <c r="I25" s="267">
        <v>0</v>
      </c>
      <c r="J25" s="267">
        <v>0</v>
      </c>
      <c r="K25" s="267">
        <v>0</v>
      </c>
      <c r="L25" s="267">
        <v>0</v>
      </c>
      <c r="M25" s="267">
        <v>0</v>
      </c>
      <c r="N25" s="267">
        <v>0</v>
      </c>
      <c r="O25" s="267">
        <v>0</v>
      </c>
      <c r="P25" s="267">
        <v>0</v>
      </c>
      <c r="Q25" s="267">
        <v>0</v>
      </c>
      <c r="R25" s="267">
        <v>0</v>
      </c>
      <c r="S25" s="267">
        <v>0</v>
      </c>
      <c r="T25" s="267">
        <v>0</v>
      </c>
      <c r="U25" s="267">
        <v>0</v>
      </c>
      <c r="V25" s="267">
        <v>0</v>
      </c>
      <c r="W25" s="267">
        <v>0</v>
      </c>
      <c r="X25" s="267">
        <v>0</v>
      </c>
      <c r="Y25" s="267">
        <v>0</v>
      </c>
      <c r="Z25" s="267">
        <v>0</v>
      </c>
      <c r="AA25" s="267">
        <v>0</v>
      </c>
      <c r="AB25" s="267">
        <v>0</v>
      </c>
      <c r="AC25" s="267">
        <v>0</v>
      </c>
      <c r="AD25" s="267">
        <v>0</v>
      </c>
      <c r="AE25" s="267">
        <v>0</v>
      </c>
      <c r="AF25" s="267">
        <v>0</v>
      </c>
      <c r="AG25" s="267">
        <v>0</v>
      </c>
      <c r="AH25" s="267">
        <v>0</v>
      </c>
      <c r="AI25" s="267">
        <v>0</v>
      </c>
      <c r="AJ25" s="267">
        <v>0</v>
      </c>
      <c r="AK25" s="267">
        <v>0</v>
      </c>
      <c r="AL25" s="267">
        <v>0</v>
      </c>
      <c r="AM25" s="267">
        <v>0</v>
      </c>
      <c r="AN25" s="267">
        <v>0</v>
      </c>
      <c r="AO25" s="267">
        <v>0</v>
      </c>
      <c r="AP25" s="267">
        <v>0</v>
      </c>
      <c r="AQ25" s="267">
        <v>0</v>
      </c>
      <c r="AR25" s="267">
        <v>0</v>
      </c>
      <c r="AS25" s="267">
        <v>0</v>
      </c>
      <c r="AT25" s="267">
        <v>0</v>
      </c>
      <c r="AU25" s="267">
        <v>0</v>
      </c>
      <c r="AV25" s="267">
        <v>0</v>
      </c>
      <c r="AW25" s="267">
        <v>0</v>
      </c>
      <c r="AX25" s="267">
        <v>0</v>
      </c>
      <c r="AY25" s="267">
        <v>0</v>
      </c>
      <c r="AZ25" s="267">
        <v>0</v>
      </c>
      <c r="BA25" s="267">
        <v>0</v>
      </c>
      <c r="BB25" s="267">
        <v>0</v>
      </c>
      <c r="BC25" s="267">
        <v>0</v>
      </c>
      <c r="BD25" s="267">
        <v>0</v>
      </c>
      <c r="BE25" s="267">
        <v>0</v>
      </c>
      <c r="BF25" s="267">
        <v>0</v>
      </c>
      <c r="BG25" s="267">
        <v>0</v>
      </c>
      <c r="BH25" s="267">
        <v>0</v>
      </c>
      <c r="BI25" s="267">
        <v>0</v>
      </c>
      <c r="BJ25" s="267">
        <v>0</v>
      </c>
      <c r="BK25" s="267">
        <v>0</v>
      </c>
      <c r="BL25" s="267">
        <v>0</v>
      </c>
      <c r="BM25" s="267">
        <v>0</v>
      </c>
      <c r="BN25" s="267">
        <v>0</v>
      </c>
      <c r="BO25" s="267">
        <v>0</v>
      </c>
      <c r="BP25" s="267">
        <v>0</v>
      </c>
      <c r="BQ25" s="267">
        <v>0</v>
      </c>
      <c r="BR25" s="267">
        <v>0</v>
      </c>
      <c r="BS25" s="267">
        <v>0</v>
      </c>
      <c r="BT25" s="267">
        <v>0</v>
      </c>
      <c r="BU25" s="267">
        <v>0</v>
      </c>
      <c r="BV25" s="267">
        <v>0</v>
      </c>
      <c r="BW25" s="267">
        <v>0</v>
      </c>
      <c r="BX25" s="267">
        <v>0</v>
      </c>
      <c r="BY25" s="267">
        <v>0</v>
      </c>
      <c r="BZ25" s="267">
        <v>0</v>
      </c>
      <c r="CA25" s="267">
        <v>0</v>
      </c>
      <c r="CB25" s="267">
        <v>0</v>
      </c>
      <c r="CC25" s="267">
        <v>0</v>
      </c>
      <c r="CD25" s="267">
        <v>0</v>
      </c>
      <c r="CE25" s="267">
        <v>0</v>
      </c>
    </row>
    <row r="26" spans="1:83" x14ac:dyDescent="0.3">
      <c r="B26" s="267">
        <v>38</v>
      </c>
      <c r="C26" s="267" t="s">
        <v>626</v>
      </c>
      <c r="D26" s="267" t="s">
        <v>326</v>
      </c>
      <c r="E26" s="267">
        <v>0</v>
      </c>
      <c r="F26" s="267">
        <v>0</v>
      </c>
      <c r="G26" s="267">
        <v>0</v>
      </c>
      <c r="H26" s="267">
        <v>0</v>
      </c>
      <c r="I26" s="267">
        <v>0</v>
      </c>
      <c r="J26" s="267">
        <v>0</v>
      </c>
      <c r="K26" s="267">
        <v>0</v>
      </c>
      <c r="L26" s="267">
        <v>0</v>
      </c>
      <c r="M26" s="267">
        <v>0</v>
      </c>
      <c r="N26" s="267">
        <v>0</v>
      </c>
      <c r="O26" s="267">
        <v>0</v>
      </c>
      <c r="P26" s="267">
        <v>0</v>
      </c>
      <c r="Q26" s="267">
        <v>0</v>
      </c>
      <c r="R26" s="267">
        <v>0</v>
      </c>
      <c r="S26" s="267">
        <v>0</v>
      </c>
      <c r="T26" s="267">
        <v>0</v>
      </c>
      <c r="U26" s="267">
        <v>0</v>
      </c>
      <c r="V26" s="267">
        <v>0</v>
      </c>
      <c r="W26" s="267">
        <v>0</v>
      </c>
      <c r="X26" s="267">
        <v>0</v>
      </c>
      <c r="Y26" s="267">
        <v>0</v>
      </c>
      <c r="Z26" s="267">
        <v>0</v>
      </c>
      <c r="AA26" s="267">
        <v>0</v>
      </c>
      <c r="AB26" s="267">
        <v>0</v>
      </c>
      <c r="AC26" s="267">
        <v>0</v>
      </c>
      <c r="AD26" s="267">
        <v>0</v>
      </c>
      <c r="AE26" s="267">
        <v>0</v>
      </c>
      <c r="AF26" s="267">
        <v>0</v>
      </c>
      <c r="AG26" s="267">
        <v>0</v>
      </c>
      <c r="AH26" s="267">
        <v>0</v>
      </c>
      <c r="AI26" s="267">
        <v>0</v>
      </c>
      <c r="AJ26" s="267">
        <v>0</v>
      </c>
      <c r="AK26" s="267">
        <v>0</v>
      </c>
      <c r="AL26" s="267">
        <v>0</v>
      </c>
      <c r="AM26" s="267">
        <v>0</v>
      </c>
      <c r="AN26" s="267">
        <v>0</v>
      </c>
      <c r="AO26" s="267">
        <v>0</v>
      </c>
      <c r="AP26" s="267">
        <v>0</v>
      </c>
      <c r="AQ26" s="267">
        <v>0</v>
      </c>
      <c r="AR26" s="267">
        <v>0</v>
      </c>
      <c r="AS26" s="267">
        <v>0</v>
      </c>
      <c r="AT26" s="267">
        <v>0</v>
      </c>
      <c r="AU26" s="267">
        <v>0</v>
      </c>
      <c r="AV26" s="267">
        <v>0</v>
      </c>
      <c r="AW26" s="267">
        <v>0</v>
      </c>
      <c r="AX26" s="267">
        <v>0</v>
      </c>
      <c r="AY26" s="267">
        <v>0</v>
      </c>
      <c r="AZ26" s="267">
        <v>0</v>
      </c>
      <c r="BA26" s="267">
        <v>0</v>
      </c>
      <c r="BB26" s="267">
        <v>0</v>
      </c>
      <c r="BC26" s="267">
        <v>0</v>
      </c>
      <c r="BD26" s="267">
        <v>0</v>
      </c>
      <c r="BE26" s="267">
        <v>0</v>
      </c>
      <c r="BF26" s="267">
        <v>0</v>
      </c>
      <c r="BG26" s="267">
        <v>0</v>
      </c>
      <c r="BH26" s="267">
        <v>0</v>
      </c>
      <c r="BI26" s="267">
        <v>0</v>
      </c>
      <c r="BJ26" s="267">
        <v>0</v>
      </c>
      <c r="BK26" s="267">
        <v>0</v>
      </c>
      <c r="BL26" s="267">
        <v>0</v>
      </c>
      <c r="BM26" s="267">
        <v>0</v>
      </c>
      <c r="BN26" s="267">
        <v>0</v>
      </c>
      <c r="BO26" s="267">
        <v>0</v>
      </c>
      <c r="BP26" s="267">
        <v>0</v>
      </c>
      <c r="BQ26" s="267">
        <v>0</v>
      </c>
      <c r="BR26" s="267">
        <v>0</v>
      </c>
      <c r="BS26" s="267">
        <v>0</v>
      </c>
      <c r="BT26" s="267">
        <v>0</v>
      </c>
      <c r="BU26" s="267">
        <v>0</v>
      </c>
      <c r="BV26" s="267">
        <v>0</v>
      </c>
      <c r="BW26" s="267">
        <v>0</v>
      </c>
      <c r="BX26" s="267">
        <v>0</v>
      </c>
      <c r="BY26" s="267">
        <v>0</v>
      </c>
      <c r="BZ26" s="267">
        <v>0</v>
      </c>
      <c r="CA26" s="267">
        <v>0</v>
      </c>
      <c r="CB26" s="267">
        <v>0</v>
      </c>
      <c r="CC26" s="267">
        <v>0</v>
      </c>
      <c r="CD26" s="267">
        <v>0</v>
      </c>
      <c r="CE26" s="267">
        <v>0</v>
      </c>
    </row>
    <row r="27" spans="1:83" x14ac:dyDescent="0.3">
      <c r="B27" s="267">
        <v>39</v>
      </c>
      <c r="C27" s="267" t="s">
        <v>327</v>
      </c>
      <c r="D27" s="267" t="s">
        <v>328</v>
      </c>
      <c r="E27" s="267">
        <v>0</v>
      </c>
      <c r="F27" s="267">
        <v>0</v>
      </c>
      <c r="G27" s="267">
        <v>0</v>
      </c>
      <c r="H27" s="267">
        <v>0</v>
      </c>
      <c r="I27" s="267">
        <v>0</v>
      </c>
      <c r="J27" s="267">
        <v>0</v>
      </c>
      <c r="K27" s="267">
        <v>0</v>
      </c>
      <c r="L27" s="267">
        <v>0</v>
      </c>
      <c r="M27" s="267">
        <v>0</v>
      </c>
      <c r="N27" s="267">
        <v>0</v>
      </c>
      <c r="O27" s="267">
        <v>0</v>
      </c>
      <c r="P27" s="267">
        <v>0</v>
      </c>
      <c r="Q27" s="267">
        <v>0</v>
      </c>
      <c r="R27" s="267">
        <v>0</v>
      </c>
      <c r="S27" s="267">
        <v>0</v>
      </c>
      <c r="T27" s="267">
        <v>0</v>
      </c>
      <c r="U27" s="267">
        <v>0</v>
      </c>
      <c r="V27" s="267">
        <v>0</v>
      </c>
      <c r="W27" s="267">
        <v>0</v>
      </c>
      <c r="X27" s="267">
        <v>0</v>
      </c>
      <c r="Y27" s="267">
        <v>0</v>
      </c>
      <c r="Z27" s="267">
        <v>0</v>
      </c>
      <c r="AA27" s="267">
        <v>0</v>
      </c>
      <c r="AB27" s="267">
        <v>0</v>
      </c>
      <c r="AC27" s="267">
        <v>0</v>
      </c>
      <c r="AD27" s="267">
        <v>0</v>
      </c>
      <c r="AE27" s="267">
        <v>0</v>
      </c>
      <c r="AF27" s="267">
        <v>0</v>
      </c>
      <c r="AG27" s="267">
        <v>0</v>
      </c>
      <c r="AH27" s="267">
        <v>0</v>
      </c>
      <c r="AI27" s="267">
        <v>0</v>
      </c>
      <c r="AJ27" s="267">
        <v>0</v>
      </c>
      <c r="AK27" s="267">
        <v>0</v>
      </c>
      <c r="AL27" s="267">
        <v>0</v>
      </c>
      <c r="AM27" s="267">
        <v>0</v>
      </c>
      <c r="AN27" s="267">
        <v>0</v>
      </c>
      <c r="AO27" s="267">
        <v>0</v>
      </c>
      <c r="AP27" s="267">
        <v>0</v>
      </c>
      <c r="AQ27" s="267">
        <v>0</v>
      </c>
      <c r="AR27" s="267">
        <v>0</v>
      </c>
      <c r="AS27" s="267">
        <v>0</v>
      </c>
      <c r="AT27" s="267">
        <v>0</v>
      </c>
      <c r="AU27" s="267">
        <v>0</v>
      </c>
      <c r="AV27" s="267">
        <v>0</v>
      </c>
      <c r="AW27" s="267">
        <v>0</v>
      </c>
      <c r="AX27" s="267">
        <v>0</v>
      </c>
      <c r="AY27" s="267">
        <v>0</v>
      </c>
      <c r="AZ27" s="267">
        <v>0</v>
      </c>
      <c r="BA27" s="267">
        <v>0</v>
      </c>
      <c r="BB27" s="267">
        <v>0</v>
      </c>
      <c r="BC27" s="267">
        <v>0</v>
      </c>
      <c r="BD27" s="267">
        <v>0</v>
      </c>
      <c r="BE27" s="267">
        <v>0</v>
      </c>
      <c r="BF27" s="267">
        <v>0</v>
      </c>
      <c r="BG27" s="267">
        <v>0</v>
      </c>
      <c r="BH27" s="267">
        <v>0</v>
      </c>
      <c r="BI27" s="267">
        <v>0</v>
      </c>
      <c r="BJ27" s="267">
        <v>0</v>
      </c>
      <c r="BK27" s="267">
        <v>0</v>
      </c>
      <c r="BL27" s="267">
        <v>0</v>
      </c>
      <c r="BM27" s="267">
        <v>0</v>
      </c>
      <c r="BN27" s="267">
        <v>0</v>
      </c>
      <c r="BO27" s="267">
        <v>0</v>
      </c>
      <c r="BP27" s="267">
        <v>0</v>
      </c>
      <c r="BQ27" s="267">
        <v>0</v>
      </c>
      <c r="BR27" s="267">
        <v>0</v>
      </c>
      <c r="BS27" s="267">
        <v>0</v>
      </c>
      <c r="BT27" s="267">
        <v>0</v>
      </c>
      <c r="BU27" s="267">
        <v>0</v>
      </c>
      <c r="BV27" s="267">
        <v>0</v>
      </c>
      <c r="BW27" s="267">
        <v>0</v>
      </c>
      <c r="BX27" s="267">
        <v>0</v>
      </c>
      <c r="BY27" s="267">
        <v>0</v>
      </c>
      <c r="BZ27" s="267">
        <v>0</v>
      </c>
      <c r="CA27" s="267">
        <v>0</v>
      </c>
      <c r="CB27" s="267">
        <v>0</v>
      </c>
      <c r="CC27" s="267">
        <v>0</v>
      </c>
      <c r="CD27" s="267">
        <v>0</v>
      </c>
      <c r="CE27" s="267">
        <v>0</v>
      </c>
    </row>
    <row r="28" spans="1:83" x14ac:dyDescent="0.3">
      <c r="B28" s="267">
        <v>40</v>
      </c>
      <c r="C28" s="267" t="s">
        <v>329</v>
      </c>
      <c r="D28" s="267" t="s">
        <v>330</v>
      </c>
      <c r="E28" s="267">
        <v>0</v>
      </c>
      <c r="F28" s="267">
        <v>0</v>
      </c>
      <c r="G28" s="267">
        <v>0</v>
      </c>
      <c r="H28" s="267">
        <v>0</v>
      </c>
      <c r="I28" s="267">
        <v>0</v>
      </c>
      <c r="J28" s="267">
        <v>0</v>
      </c>
      <c r="K28" s="267">
        <v>0</v>
      </c>
      <c r="L28" s="267">
        <v>0</v>
      </c>
      <c r="M28" s="267">
        <v>0</v>
      </c>
      <c r="N28" s="267">
        <v>0</v>
      </c>
      <c r="O28" s="267">
        <v>0</v>
      </c>
      <c r="P28" s="267">
        <v>0</v>
      </c>
      <c r="Q28" s="267">
        <v>0</v>
      </c>
      <c r="R28" s="267">
        <v>0</v>
      </c>
      <c r="S28" s="267">
        <v>0</v>
      </c>
      <c r="T28" s="267">
        <v>0</v>
      </c>
      <c r="U28" s="267">
        <v>0</v>
      </c>
      <c r="V28" s="267">
        <v>0</v>
      </c>
      <c r="W28" s="267">
        <v>0</v>
      </c>
      <c r="X28" s="267">
        <v>0</v>
      </c>
      <c r="Y28" s="267">
        <v>0</v>
      </c>
      <c r="Z28" s="267">
        <v>0</v>
      </c>
      <c r="AA28" s="267">
        <v>0</v>
      </c>
      <c r="AB28" s="267">
        <v>0</v>
      </c>
      <c r="AC28" s="267">
        <v>0</v>
      </c>
      <c r="AD28" s="267">
        <v>0</v>
      </c>
      <c r="AE28" s="267">
        <v>0</v>
      </c>
      <c r="AF28" s="267">
        <v>0</v>
      </c>
      <c r="AG28" s="267">
        <v>0</v>
      </c>
      <c r="AH28" s="267">
        <v>0</v>
      </c>
      <c r="AI28" s="267">
        <v>0</v>
      </c>
      <c r="AJ28" s="267">
        <v>0</v>
      </c>
      <c r="AK28" s="267">
        <v>0</v>
      </c>
      <c r="AL28" s="267">
        <v>0</v>
      </c>
      <c r="AM28" s="267">
        <v>0</v>
      </c>
      <c r="AN28" s="267">
        <v>0</v>
      </c>
      <c r="AO28" s="267">
        <v>0</v>
      </c>
      <c r="AP28" s="267">
        <v>0</v>
      </c>
      <c r="AQ28" s="267">
        <v>0</v>
      </c>
      <c r="AR28" s="267">
        <v>0</v>
      </c>
      <c r="AS28" s="267">
        <v>0</v>
      </c>
      <c r="AT28" s="267">
        <v>0</v>
      </c>
      <c r="AU28" s="267">
        <v>0</v>
      </c>
      <c r="AV28" s="267">
        <v>0</v>
      </c>
      <c r="AW28" s="267">
        <v>0</v>
      </c>
      <c r="AX28" s="267">
        <v>0</v>
      </c>
      <c r="AY28" s="267">
        <v>0</v>
      </c>
      <c r="AZ28" s="267">
        <v>0</v>
      </c>
      <c r="BA28" s="267">
        <v>0</v>
      </c>
      <c r="BB28" s="267">
        <v>0</v>
      </c>
      <c r="BC28" s="267">
        <v>0</v>
      </c>
      <c r="BD28" s="267">
        <v>0</v>
      </c>
      <c r="BE28" s="267">
        <v>0</v>
      </c>
      <c r="BF28" s="267">
        <v>0</v>
      </c>
      <c r="BG28" s="267">
        <v>0</v>
      </c>
      <c r="BH28" s="267">
        <v>0</v>
      </c>
      <c r="BI28" s="267">
        <v>0</v>
      </c>
      <c r="BJ28" s="267">
        <v>0</v>
      </c>
      <c r="BK28" s="267">
        <v>0</v>
      </c>
      <c r="BL28" s="267">
        <v>0</v>
      </c>
      <c r="BM28" s="267">
        <v>0</v>
      </c>
      <c r="BN28" s="267">
        <v>0</v>
      </c>
      <c r="BO28" s="267">
        <v>0</v>
      </c>
      <c r="BP28" s="267">
        <v>0</v>
      </c>
      <c r="BQ28" s="267">
        <v>0</v>
      </c>
      <c r="BR28" s="267">
        <v>0</v>
      </c>
      <c r="BS28" s="267">
        <v>0</v>
      </c>
      <c r="BT28" s="267">
        <v>0</v>
      </c>
      <c r="BU28" s="267">
        <v>0</v>
      </c>
      <c r="BV28" s="267">
        <v>0</v>
      </c>
      <c r="BW28" s="267">
        <v>0</v>
      </c>
      <c r="BX28" s="267">
        <v>0</v>
      </c>
      <c r="BY28" s="267">
        <v>0</v>
      </c>
      <c r="BZ28" s="267">
        <v>0</v>
      </c>
      <c r="CA28" s="267">
        <v>0</v>
      </c>
      <c r="CB28" s="267">
        <v>0</v>
      </c>
      <c r="CC28" s="267">
        <v>0</v>
      </c>
      <c r="CD28" s="267">
        <v>0</v>
      </c>
      <c r="CE28" s="267">
        <v>0</v>
      </c>
    </row>
    <row r="29" spans="1:83" x14ac:dyDescent="0.3">
      <c r="B29" s="267">
        <v>41</v>
      </c>
      <c r="C29" s="267" t="s">
        <v>331</v>
      </c>
      <c r="D29" s="267" t="s">
        <v>332</v>
      </c>
      <c r="E29" s="267">
        <v>0</v>
      </c>
      <c r="F29" s="267">
        <v>0</v>
      </c>
      <c r="G29" s="267">
        <v>0</v>
      </c>
      <c r="H29" s="267">
        <v>0</v>
      </c>
      <c r="I29" s="267">
        <v>0</v>
      </c>
      <c r="J29" s="267">
        <v>0</v>
      </c>
      <c r="K29" s="267">
        <v>0</v>
      </c>
      <c r="L29" s="267">
        <v>0</v>
      </c>
      <c r="M29" s="267">
        <v>0</v>
      </c>
      <c r="N29" s="267">
        <v>0</v>
      </c>
      <c r="O29" s="267">
        <v>0</v>
      </c>
      <c r="P29" s="267">
        <v>0</v>
      </c>
      <c r="Q29" s="267">
        <v>0</v>
      </c>
      <c r="R29" s="267">
        <v>0</v>
      </c>
      <c r="S29" s="267">
        <v>0</v>
      </c>
      <c r="T29" s="267">
        <v>0</v>
      </c>
      <c r="U29" s="267">
        <v>0</v>
      </c>
      <c r="V29" s="267">
        <v>0</v>
      </c>
      <c r="W29" s="267">
        <v>0</v>
      </c>
      <c r="X29" s="267">
        <v>0</v>
      </c>
      <c r="Y29" s="267">
        <v>0</v>
      </c>
      <c r="Z29" s="267">
        <v>0</v>
      </c>
      <c r="AA29" s="267">
        <v>0</v>
      </c>
      <c r="AB29" s="267">
        <v>0</v>
      </c>
      <c r="AC29" s="267">
        <v>0</v>
      </c>
      <c r="AD29" s="267">
        <v>0</v>
      </c>
      <c r="AE29" s="267">
        <v>0</v>
      </c>
      <c r="AF29" s="267">
        <v>0</v>
      </c>
      <c r="AG29" s="267">
        <v>0</v>
      </c>
      <c r="AH29" s="267">
        <v>0</v>
      </c>
      <c r="AI29" s="267">
        <v>0</v>
      </c>
      <c r="AJ29" s="267">
        <v>0</v>
      </c>
      <c r="AK29" s="267">
        <v>0</v>
      </c>
      <c r="AL29" s="267">
        <v>0</v>
      </c>
      <c r="AM29" s="267">
        <v>0</v>
      </c>
      <c r="AN29" s="267">
        <v>0</v>
      </c>
      <c r="AO29" s="267">
        <v>0</v>
      </c>
      <c r="AP29" s="267">
        <v>0</v>
      </c>
      <c r="AQ29" s="267">
        <v>0</v>
      </c>
      <c r="AR29" s="267">
        <v>0</v>
      </c>
      <c r="AS29" s="267">
        <v>0</v>
      </c>
      <c r="AT29" s="267">
        <v>0</v>
      </c>
      <c r="AU29" s="267">
        <v>0</v>
      </c>
      <c r="AV29" s="267">
        <v>0</v>
      </c>
      <c r="AW29" s="267">
        <v>0</v>
      </c>
      <c r="AX29" s="267">
        <v>0</v>
      </c>
      <c r="AY29" s="267">
        <v>0</v>
      </c>
      <c r="AZ29" s="267">
        <v>0</v>
      </c>
      <c r="BA29" s="267">
        <v>0</v>
      </c>
      <c r="BB29" s="267">
        <v>0</v>
      </c>
      <c r="BC29" s="267">
        <v>0</v>
      </c>
      <c r="BD29" s="267">
        <v>0</v>
      </c>
      <c r="BE29" s="267">
        <v>0</v>
      </c>
      <c r="BF29" s="267">
        <v>0</v>
      </c>
      <c r="BG29" s="267">
        <v>0</v>
      </c>
      <c r="BH29" s="267">
        <v>0</v>
      </c>
      <c r="BI29" s="267">
        <v>0</v>
      </c>
      <c r="BJ29" s="267">
        <v>0</v>
      </c>
      <c r="BK29" s="267">
        <v>0</v>
      </c>
      <c r="BL29" s="267">
        <v>0</v>
      </c>
      <c r="BM29" s="267">
        <v>0</v>
      </c>
      <c r="BN29" s="267">
        <v>0</v>
      </c>
      <c r="BO29" s="267">
        <v>0</v>
      </c>
      <c r="BP29" s="267">
        <v>0</v>
      </c>
      <c r="BQ29" s="267">
        <v>0</v>
      </c>
      <c r="BR29" s="267">
        <v>0</v>
      </c>
      <c r="BS29" s="267">
        <v>0</v>
      </c>
      <c r="BT29" s="267">
        <v>0</v>
      </c>
      <c r="BU29" s="267">
        <v>0</v>
      </c>
      <c r="BV29" s="267">
        <v>0</v>
      </c>
      <c r="BW29" s="267">
        <v>0</v>
      </c>
      <c r="BX29" s="267">
        <v>0</v>
      </c>
      <c r="BY29" s="267">
        <v>0</v>
      </c>
      <c r="BZ29" s="267">
        <v>0</v>
      </c>
      <c r="CA29" s="267">
        <v>0</v>
      </c>
      <c r="CB29" s="267">
        <v>0</v>
      </c>
      <c r="CC29" s="267">
        <v>0</v>
      </c>
      <c r="CD29" s="267">
        <v>0</v>
      </c>
      <c r="CE29" s="267">
        <v>0</v>
      </c>
    </row>
    <row r="30" spans="1:83" x14ac:dyDescent="0.3">
      <c r="B30" s="267">
        <v>43</v>
      </c>
      <c r="C30" s="267" t="s">
        <v>333</v>
      </c>
      <c r="D30" s="267" t="s">
        <v>334</v>
      </c>
    </row>
    <row r="31" spans="1:83" x14ac:dyDescent="0.3">
      <c r="A31" s="267">
        <v>44</v>
      </c>
      <c r="B31" s="267">
        <v>44</v>
      </c>
      <c r="C31" s="267" t="s">
        <v>627</v>
      </c>
      <c r="D31" s="267" t="s">
        <v>335</v>
      </c>
      <c r="E31" s="267">
        <v>0</v>
      </c>
      <c r="F31" s="267">
        <v>0</v>
      </c>
      <c r="G31" s="267">
        <v>637632</v>
      </c>
      <c r="H31" s="267">
        <v>0</v>
      </c>
      <c r="I31" s="267">
        <v>0</v>
      </c>
      <c r="J31" s="267">
        <v>0</v>
      </c>
      <c r="K31" s="267">
        <v>54999</v>
      </c>
      <c r="L31" s="267">
        <v>0</v>
      </c>
      <c r="M31" s="267">
        <v>0</v>
      </c>
      <c r="N31" s="267">
        <v>0</v>
      </c>
      <c r="O31" s="267">
        <v>0</v>
      </c>
      <c r="P31" s="267">
        <v>1141809</v>
      </c>
      <c r="Q31" s="267">
        <v>0</v>
      </c>
      <c r="R31" s="267">
        <v>42230574</v>
      </c>
      <c r="S31" s="267">
        <v>888219</v>
      </c>
      <c r="T31" s="267">
        <v>0</v>
      </c>
      <c r="U31" s="267">
        <v>41279804</v>
      </c>
      <c r="V31" s="267">
        <v>13910285</v>
      </c>
      <c r="W31" s="267">
        <v>15991183</v>
      </c>
      <c r="X31" s="267">
        <v>0</v>
      </c>
      <c r="Y31" s="267">
        <v>361090</v>
      </c>
      <c r="Z31" s="267">
        <v>6082821</v>
      </c>
      <c r="AA31" s="267">
        <v>1421516</v>
      </c>
      <c r="AB31" s="267">
        <v>13315961</v>
      </c>
      <c r="AC31" s="267">
        <v>509752</v>
      </c>
      <c r="AD31" s="267">
        <v>866783</v>
      </c>
      <c r="AE31" s="1232">
        <v>867464</v>
      </c>
      <c r="AF31" s="267">
        <v>2465500</v>
      </c>
      <c r="AG31" s="267">
        <v>3679001</v>
      </c>
      <c r="AH31" s="267">
        <v>2297888</v>
      </c>
      <c r="AI31" s="267">
        <v>200140</v>
      </c>
      <c r="AJ31" s="267">
        <v>16907809</v>
      </c>
      <c r="AK31" s="267">
        <v>804662</v>
      </c>
      <c r="AL31" s="267">
        <v>413112</v>
      </c>
      <c r="AM31" s="267">
        <v>0</v>
      </c>
      <c r="AN31" s="267">
        <v>3779364</v>
      </c>
      <c r="AO31" s="267">
        <v>0</v>
      </c>
      <c r="AP31" s="267">
        <v>0</v>
      </c>
      <c r="AQ31" s="267">
        <v>0</v>
      </c>
      <c r="AR31" s="267">
        <v>0</v>
      </c>
      <c r="AS31" s="267">
        <v>4091372</v>
      </c>
      <c r="AT31" s="267">
        <v>221820</v>
      </c>
      <c r="AU31" s="267">
        <v>950657</v>
      </c>
      <c r="AV31" s="267">
        <v>0</v>
      </c>
      <c r="AW31" s="267">
        <v>32520188</v>
      </c>
      <c r="AX31" s="267">
        <v>0</v>
      </c>
      <c r="AY31" s="267">
        <v>2114830</v>
      </c>
      <c r="AZ31" s="267">
        <v>6139443</v>
      </c>
      <c r="BA31" s="267">
        <v>984489</v>
      </c>
      <c r="BB31" s="267">
        <v>171889</v>
      </c>
      <c r="BC31" s="267">
        <v>0</v>
      </c>
      <c r="BD31" s="267">
        <v>0</v>
      </c>
      <c r="BE31" s="267">
        <v>9053796</v>
      </c>
      <c r="BF31" s="267">
        <v>0</v>
      </c>
      <c r="BG31" s="267">
        <v>218657</v>
      </c>
      <c r="BH31" s="267">
        <v>124403</v>
      </c>
      <c r="BI31" s="267">
        <v>0</v>
      </c>
      <c r="BJ31" s="267">
        <v>227536</v>
      </c>
      <c r="BK31" s="267">
        <v>0</v>
      </c>
      <c r="BL31" s="267">
        <v>2814895</v>
      </c>
      <c r="BM31" s="267">
        <v>0</v>
      </c>
      <c r="BN31" s="267">
        <v>387621</v>
      </c>
      <c r="BO31" s="267">
        <v>1030801</v>
      </c>
      <c r="BP31" s="267">
        <v>579798</v>
      </c>
      <c r="BQ31" s="267">
        <v>903072</v>
      </c>
      <c r="BR31" s="267">
        <v>0</v>
      </c>
      <c r="BS31" s="267">
        <v>257030</v>
      </c>
      <c r="BT31" s="267">
        <v>0</v>
      </c>
      <c r="BU31" s="267">
        <v>677548</v>
      </c>
      <c r="BV31" s="267">
        <v>3837122</v>
      </c>
      <c r="BW31" s="267">
        <v>0</v>
      </c>
      <c r="BX31" s="267">
        <v>1695729</v>
      </c>
      <c r="BY31" s="267">
        <v>1122567</v>
      </c>
      <c r="BZ31" s="267">
        <v>16333</v>
      </c>
      <c r="CA31" s="1232">
        <v>296176</v>
      </c>
      <c r="CB31" s="267">
        <v>14120</v>
      </c>
      <c r="CC31" s="267">
        <v>0</v>
      </c>
      <c r="CD31" s="267">
        <v>0</v>
      </c>
      <c r="CE31" s="267">
        <v>7036</v>
      </c>
    </row>
    <row r="32" spans="1:83" x14ac:dyDescent="0.3">
      <c r="A32" s="267">
        <v>45</v>
      </c>
      <c r="B32" s="267">
        <v>45</v>
      </c>
      <c r="C32" s="267" t="s">
        <v>628</v>
      </c>
      <c r="D32" s="267" t="s">
        <v>336</v>
      </c>
      <c r="E32" s="267">
        <v>0</v>
      </c>
      <c r="F32" s="267">
        <v>0</v>
      </c>
      <c r="G32" s="267">
        <v>75334</v>
      </c>
      <c r="H32" s="267">
        <v>0</v>
      </c>
      <c r="I32" s="267">
        <v>0</v>
      </c>
      <c r="J32" s="267">
        <v>0</v>
      </c>
      <c r="K32" s="267">
        <v>12857</v>
      </c>
      <c r="L32" s="267">
        <v>0</v>
      </c>
      <c r="M32" s="267">
        <v>0</v>
      </c>
      <c r="N32" s="267">
        <v>0</v>
      </c>
      <c r="O32" s="267">
        <v>0</v>
      </c>
      <c r="P32" s="267">
        <v>148177</v>
      </c>
      <c r="Q32" s="267">
        <v>0</v>
      </c>
      <c r="R32" s="267">
        <v>2526804</v>
      </c>
      <c r="S32" s="267">
        <v>72550</v>
      </c>
      <c r="T32" s="267">
        <v>0</v>
      </c>
      <c r="U32" s="267">
        <v>7816503</v>
      </c>
      <c r="V32" s="267">
        <v>2277992</v>
      </c>
      <c r="W32" s="267">
        <v>3075013</v>
      </c>
      <c r="X32" s="267">
        <v>0</v>
      </c>
      <c r="Y32" s="267">
        <v>26498</v>
      </c>
      <c r="Z32" s="267">
        <v>1669567</v>
      </c>
      <c r="AA32" s="267">
        <v>86013</v>
      </c>
      <c r="AB32" s="267">
        <v>383333</v>
      </c>
      <c r="AC32" s="267">
        <v>802505</v>
      </c>
      <c r="AD32" s="267">
        <v>155390</v>
      </c>
      <c r="AE32" s="1232">
        <v>461876</v>
      </c>
      <c r="AF32" s="267">
        <v>451515</v>
      </c>
      <c r="AG32" s="267">
        <v>177415</v>
      </c>
      <c r="AH32" s="267">
        <v>47060</v>
      </c>
      <c r="AI32" s="267">
        <v>245294</v>
      </c>
      <c r="AJ32" s="267">
        <v>4931715</v>
      </c>
      <c r="AK32" s="267">
        <v>13055</v>
      </c>
      <c r="AL32" s="267">
        <v>16300</v>
      </c>
      <c r="AM32" s="267">
        <v>0</v>
      </c>
      <c r="AN32" s="267">
        <v>1523398</v>
      </c>
      <c r="AO32" s="267">
        <v>0</v>
      </c>
      <c r="AP32" s="267">
        <v>0</v>
      </c>
      <c r="AQ32" s="267">
        <v>0</v>
      </c>
      <c r="AR32" s="267">
        <v>0</v>
      </c>
      <c r="AS32" s="267">
        <v>947528</v>
      </c>
      <c r="AT32" s="267">
        <v>173061</v>
      </c>
      <c r="AU32" s="267">
        <v>356768</v>
      </c>
      <c r="AV32" s="267">
        <v>0</v>
      </c>
      <c r="AW32" s="267">
        <v>4418090</v>
      </c>
      <c r="AX32" s="267">
        <v>0</v>
      </c>
      <c r="AY32" s="267">
        <v>156068</v>
      </c>
      <c r="AZ32" s="267">
        <v>122929</v>
      </c>
      <c r="BA32" s="267">
        <v>80223</v>
      </c>
      <c r="BB32" s="267">
        <v>10027</v>
      </c>
      <c r="BC32" s="267">
        <v>0</v>
      </c>
      <c r="BD32" s="267">
        <v>0</v>
      </c>
      <c r="BE32" s="267">
        <v>2333551</v>
      </c>
      <c r="BF32" s="267">
        <v>0</v>
      </c>
      <c r="BG32" s="267">
        <v>125040</v>
      </c>
      <c r="BH32" s="267">
        <v>12212</v>
      </c>
      <c r="BI32" s="267">
        <v>0</v>
      </c>
      <c r="BJ32" s="267">
        <v>9632</v>
      </c>
      <c r="BK32" s="267">
        <v>0</v>
      </c>
      <c r="BL32" s="267">
        <v>327292</v>
      </c>
      <c r="BM32" s="267">
        <v>0</v>
      </c>
      <c r="BN32" s="267">
        <v>649730</v>
      </c>
      <c r="BO32" s="267">
        <v>109647</v>
      </c>
      <c r="BP32" s="267">
        <v>58495</v>
      </c>
      <c r="BQ32" s="267">
        <v>10822</v>
      </c>
      <c r="BR32" s="267">
        <v>0</v>
      </c>
      <c r="BS32" s="267">
        <v>3969</v>
      </c>
      <c r="BT32" s="267">
        <v>0</v>
      </c>
      <c r="BU32" s="267">
        <v>53292</v>
      </c>
      <c r="BV32" s="267">
        <v>316466</v>
      </c>
      <c r="BW32" s="267">
        <v>0</v>
      </c>
      <c r="BX32" s="267">
        <v>1201899</v>
      </c>
      <c r="BY32" s="267">
        <v>37651</v>
      </c>
      <c r="BZ32" s="267">
        <v>9017</v>
      </c>
      <c r="CA32" s="1232">
        <v>169154</v>
      </c>
      <c r="CB32" s="267">
        <v>7775</v>
      </c>
      <c r="CC32" s="267">
        <v>0</v>
      </c>
      <c r="CD32" s="267">
        <v>0</v>
      </c>
      <c r="CE32" s="267">
        <v>237</v>
      </c>
    </row>
    <row r="33" spans="1:83" x14ac:dyDescent="0.3">
      <c r="B33" s="267">
        <v>46</v>
      </c>
      <c r="C33" s="267" t="s">
        <v>629</v>
      </c>
      <c r="D33" s="267" t="s">
        <v>337</v>
      </c>
    </row>
    <row r="34" spans="1:83" x14ac:dyDescent="0.3">
      <c r="A34" s="267">
        <v>47</v>
      </c>
      <c r="B34" s="267">
        <v>47</v>
      </c>
      <c r="C34" s="267" t="s">
        <v>630</v>
      </c>
      <c r="D34" s="267" t="s">
        <v>338</v>
      </c>
      <c r="E34" s="267">
        <v>0</v>
      </c>
      <c r="F34" s="267">
        <v>0</v>
      </c>
      <c r="G34" s="267">
        <v>0</v>
      </c>
      <c r="H34" s="267">
        <v>0</v>
      </c>
      <c r="I34" s="267">
        <v>0</v>
      </c>
      <c r="J34" s="267">
        <v>0</v>
      </c>
      <c r="K34" s="267">
        <v>0</v>
      </c>
      <c r="L34" s="267">
        <v>0</v>
      </c>
      <c r="M34" s="267">
        <v>0</v>
      </c>
      <c r="N34" s="267">
        <v>0</v>
      </c>
      <c r="O34" s="267">
        <v>0</v>
      </c>
      <c r="P34" s="267">
        <v>0</v>
      </c>
      <c r="Q34" s="267">
        <v>0</v>
      </c>
      <c r="R34" s="267">
        <v>64133640</v>
      </c>
      <c r="S34" s="267">
        <v>0</v>
      </c>
      <c r="T34" s="267">
        <v>0</v>
      </c>
      <c r="U34" s="267">
        <v>0</v>
      </c>
      <c r="V34" s="267">
        <v>0</v>
      </c>
      <c r="W34" s="267">
        <v>13628652</v>
      </c>
      <c r="X34" s="267">
        <v>0</v>
      </c>
      <c r="Y34" s="267">
        <v>0</v>
      </c>
      <c r="Z34" s="267">
        <v>0</v>
      </c>
      <c r="AA34" s="267">
        <v>0</v>
      </c>
      <c r="AB34" s="267">
        <v>0</v>
      </c>
      <c r="AC34" s="267">
        <v>0</v>
      </c>
      <c r="AD34" s="267">
        <v>0</v>
      </c>
      <c r="AE34" s="267">
        <v>0</v>
      </c>
      <c r="AF34" s="267">
        <v>0</v>
      </c>
      <c r="AG34" s="267">
        <v>0</v>
      </c>
      <c r="AH34" s="267">
        <v>0</v>
      </c>
      <c r="AI34" s="267">
        <v>0</v>
      </c>
      <c r="AJ34" s="267">
        <v>27769217</v>
      </c>
      <c r="AK34" s="267">
        <v>0</v>
      </c>
      <c r="AL34" s="267">
        <v>0</v>
      </c>
      <c r="AM34" s="267">
        <v>0</v>
      </c>
      <c r="AN34" s="267">
        <v>8415418</v>
      </c>
      <c r="AO34" s="267">
        <v>0</v>
      </c>
      <c r="AP34" s="267">
        <v>0</v>
      </c>
      <c r="AQ34" s="267">
        <v>0</v>
      </c>
      <c r="AR34" s="267">
        <v>0</v>
      </c>
      <c r="AS34" s="267">
        <v>0</v>
      </c>
      <c r="AT34" s="267">
        <v>0</v>
      </c>
      <c r="AU34" s="267">
        <v>0</v>
      </c>
      <c r="AV34" s="267">
        <v>0</v>
      </c>
      <c r="AW34" s="267">
        <v>0</v>
      </c>
      <c r="AX34" s="267">
        <v>0</v>
      </c>
      <c r="AY34" s="267">
        <v>0</v>
      </c>
      <c r="AZ34" s="267">
        <v>0</v>
      </c>
      <c r="BA34" s="267">
        <v>0</v>
      </c>
      <c r="BB34" s="267">
        <v>0</v>
      </c>
      <c r="BC34" s="267">
        <v>0</v>
      </c>
      <c r="BD34" s="267">
        <v>0</v>
      </c>
      <c r="BE34" s="267">
        <v>0</v>
      </c>
      <c r="BF34" s="267">
        <v>0</v>
      </c>
      <c r="BG34" s="267">
        <v>0</v>
      </c>
      <c r="BH34" s="267">
        <v>0</v>
      </c>
      <c r="BI34" s="267">
        <v>0</v>
      </c>
      <c r="BJ34" s="267">
        <v>0</v>
      </c>
      <c r="BK34" s="267">
        <v>0</v>
      </c>
      <c r="BL34" s="267">
        <v>0</v>
      </c>
      <c r="BM34" s="267">
        <v>0</v>
      </c>
      <c r="BN34" s="267">
        <v>0</v>
      </c>
      <c r="BO34" s="267">
        <v>0</v>
      </c>
      <c r="BP34" s="267">
        <v>0</v>
      </c>
      <c r="BQ34" s="267">
        <v>0</v>
      </c>
      <c r="BR34" s="267">
        <v>0</v>
      </c>
      <c r="BS34" s="267">
        <v>858529</v>
      </c>
      <c r="BT34" s="267">
        <v>4260402</v>
      </c>
      <c r="BU34" s="267">
        <v>0</v>
      </c>
      <c r="BV34" s="267">
        <v>0</v>
      </c>
      <c r="BW34" s="267">
        <v>0</v>
      </c>
      <c r="BX34" s="267">
        <v>0</v>
      </c>
      <c r="BY34" s="267">
        <v>0</v>
      </c>
      <c r="BZ34" s="267">
        <v>0</v>
      </c>
      <c r="CA34" s="267">
        <v>0</v>
      </c>
      <c r="CB34" s="267">
        <v>0</v>
      </c>
      <c r="CC34" s="267">
        <v>0</v>
      </c>
      <c r="CD34" s="267">
        <v>0</v>
      </c>
      <c r="CE34" s="267">
        <v>0</v>
      </c>
    </row>
    <row r="35" spans="1:83" x14ac:dyDescent="0.3">
      <c r="A35" s="267">
        <v>48</v>
      </c>
      <c r="B35" s="267">
        <v>48</v>
      </c>
      <c r="C35" s="267" t="s">
        <v>123</v>
      </c>
      <c r="D35" s="267" t="s">
        <v>339</v>
      </c>
      <c r="E35" s="267">
        <v>0</v>
      </c>
      <c r="F35" s="267">
        <v>0</v>
      </c>
      <c r="G35" s="267">
        <v>0</v>
      </c>
      <c r="H35" s="267">
        <v>0</v>
      </c>
      <c r="I35" s="267">
        <v>0</v>
      </c>
      <c r="J35" s="267">
        <v>0</v>
      </c>
      <c r="K35" s="267">
        <v>0</v>
      </c>
      <c r="L35" s="267">
        <v>0</v>
      </c>
      <c r="M35" s="267">
        <v>0</v>
      </c>
      <c r="N35" s="267">
        <v>0</v>
      </c>
      <c r="O35" s="267">
        <v>0</v>
      </c>
      <c r="P35" s="267">
        <v>0</v>
      </c>
      <c r="Q35" s="267">
        <v>0</v>
      </c>
      <c r="R35" s="267">
        <v>5887523</v>
      </c>
      <c r="S35" s="267">
        <v>0</v>
      </c>
      <c r="T35" s="267">
        <v>0</v>
      </c>
      <c r="U35" s="267">
        <v>0</v>
      </c>
      <c r="V35" s="267">
        <v>0</v>
      </c>
      <c r="W35" s="267">
        <v>2688448</v>
      </c>
      <c r="X35" s="267">
        <v>0</v>
      </c>
      <c r="Y35" s="267">
        <v>0</v>
      </c>
      <c r="Z35" s="267">
        <v>0</v>
      </c>
      <c r="AA35" s="267">
        <v>0</v>
      </c>
      <c r="AB35" s="267">
        <v>0</v>
      </c>
      <c r="AC35" s="267">
        <v>0</v>
      </c>
      <c r="AD35" s="267">
        <v>0</v>
      </c>
      <c r="AE35" s="267">
        <v>0</v>
      </c>
      <c r="AF35" s="267">
        <v>0</v>
      </c>
      <c r="AG35" s="267">
        <v>0</v>
      </c>
      <c r="AH35" s="267">
        <v>0</v>
      </c>
      <c r="AI35" s="267">
        <v>0</v>
      </c>
      <c r="AJ35" s="267">
        <v>5460352</v>
      </c>
      <c r="AK35" s="267">
        <v>0</v>
      </c>
      <c r="AL35" s="267">
        <v>0</v>
      </c>
      <c r="AM35" s="267">
        <v>0</v>
      </c>
      <c r="AN35" s="267">
        <v>1880285</v>
      </c>
      <c r="AO35" s="267">
        <v>0</v>
      </c>
      <c r="AP35" s="267">
        <v>0</v>
      </c>
      <c r="AQ35" s="267">
        <v>0</v>
      </c>
      <c r="AR35" s="267">
        <v>0</v>
      </c>
      <c r="AS35" s="267">
        <v>0</v>
      </c>
      <c r="AT35" s="267">
        <v>0</v>
      </c>
      <c r="AU35" s="267">
        <v>0</v>
      </c>
      <c r="AV35" s="267">
        <v>0</v>
      </c>
      <c r="AW35" s="267">
        <v>0</v>
      </c>
      <c r="AX35" s="267">
        <v>0</v>
      </c>
      <c r="AY35" s="267">
        <v>0</v>
      </c>
      <c r="AZ35" s="267">
        <v>0</v>
      </c>
      <c r="BA35" s="267">
        <v>0</v>
      </c>
      <c r="BB35" s="267">
        <v>0</v>
      </c>
      <c r="BC35" s="267">
        <v>0</v>
      </c>
      <c r="BD35" s="267">
        <v>0</v>
      </c>
      <c r="BE35" s="267">
        <v>0</v>
      </c>
      <c r="BF35" s="267">
        <v>0</v>
      </c>
      <c r="BG35" s="267">
        <v>0</v>
      </c>
      <c r="BH35" s="267">
        <v>0</v>
      </c>
      <c r="BI35" s="267">
        <v>0</v>
      </c>
      <c r="BJ35" s="267">
        <v>0</v>
      </c>
      <c r="BK35" s="267">
        <v>0</v>
      </c>
      <c r="BL35" s="267">
        <v>0</v>
      </c>
      <c r="BM35" s="267">
        <v>0</v>
      </c>
      <c r="BN35" s="267">
        <v>0</v>
      </c>
      <c r="BO35" s="267">
        <v>0</v>
      </c>
      <c r="BP35" s="267">
        <v>0</v>
      </c>
      <c r="BQ35" s="267">
        <v>0</v>
      </c>
      <c r="BR35" s="267">
        <v>0</v>
      </c>
      <c r="BS35" s="267">
        <v>42111</v>
      </c>
      <c r="BT35" s="267">
        <v>989845</v>
      </c>
      <c r="BU35" s="267">
        <v>0</v>
      </c>
      <c r="BV35" s="267">
        <v>0</v>
      </c>
      <c r="BW35" s="267">
        <v>0</v>
      </c>
      <c r="BX35" s="267">
        <v>0</v>
      </c>
      <c r="BY35" s="267">
        <v>0</v>
      </c>
      <c r="BZ35" s="267">
        <v>0</v>
      </c>
      <c r="CA35" s="267">
        <v>0</v>
      </c>
      <c r="CB35" s="267">
        <v>0</v>
      </c>
      <c r="CC35" s="267">
        <v>0</v>
      </c>
      <c r="CD35" s="267">
        <v>0</v>
      </c>
      <c r="CE35" s="267">
        <v>0</v>
      </c>
    </row>
    <row r="36" spans="1:83" x14ac:dyDescent="0.3">
      <c r="A36" s="267">
        <v>49</v>
      </c>
      <c r="B36" s="267">
        <v>49</v>
      </c>
      <c r="C36" s="267" t="s">
        <v>228</v>
      </c>
      <c r="D36" s="267" t="s">
        <v>340</v>
      </c>
      <c r="E36" s="267">
        <v>0</v>
      </c>
      <c r="F36" s="267">
        <v>0</v>
      </c>
      <c r="G36" s="267">
        <v>173350</v>
      </c>
      <c r="H36" s="267">
        <v>0</v>
      </c>
      <c r="I36" s="267">
        <v>0</v>
      </c>
      <c r="J36" s="267">
        <v>0</v>
      </c>
      <c r="K36" s="267">
        <v>65344</v>
      </c>
      <c r="L36" s="267">
        <v>0</v>
      </c>
      <c r="M36" s="267">
        <v>0</v>
      </c>
      <c r="N36" s="267">
        <v>0</v>
      </c>
      <c r="O36" s="267">
        <v>0</v>
      </c>
      <c r="P36" s="267">
        <v>751203</v>
      </c>
      <c r="Q36" s="267">
        <v>0</v>
      </c>
      <c r="R36" s="267">
        <v>3105088</v>
      </c>
      <c r="S36" s="267">
        <v>77356</v>
      </c>
      <c r="T36" s="267">
        <v>0</v>
      </c>
      <c r="U36" s="267">
        <v>4708534</v>
      </c>
      <c r="V36" s="267">
        <v>1661430</v>
      </c>
      <c r="W36" s="267">
        <v>2580860</v>
      </c>
      <c r="X36" s="267">
        <v>0</v>
      </c>
      <c r="Y36" s="267">
        <v>89591</v>
      </c>
      <c r="Z36" s="267">
        <v>1872211</v>
      </c>
      <c r="AA36" s="267">
        <v>412764</v>
      </c>
      <c r="AB36" s="267">
        <v>1130136</v>
      </c>
      <c r="AC36" s="267">
        <v>583237</v>
      </c>
      <c r="AD36" s="267">
        <v>127742</v>
      </c>
      <c r="AE36" s="1232">
        <v>221972</v>
      </c>
      <c r="AF36" s="267">
        <v>702826</v>
      </c>
      <c r="AG36" s="267">
        <v>353073</v>
      </c>
      <c r="AH36" s="267">
        <v>311407</v>
      </c>
      <c r="AI36" s="267">
        <v>146339</v>
      </c>
      <c r="AJ36" s="267">
        <v>3785637</v>
      </c>
      <c r="AK36" s="267">
        <v>67226</v>
      </c>
      <c r="AL36" s="267">
        <v>224848</v>
      </c>
      <c r="AM36" s="267">
        <v>0</v>
      </c>
      <c r="AN36" s="267">
        <v>1991362</v>
      </c>
      <c r="AO36" s="267">
        <v>0</v>
      </c>
      <c r="AP36" s="267">
        <v>0</v>
      </c>
      <c r="AQ36" s="267">
        <v>0</v>
      </c>
      <c r="AR36" s="267">
        <v>0</v>
      </c>
      <c r="AS36" s="267">
        <v>791856</v>
      </c>
      <c r="AT36" s="267">
        <v>175158</v>
      </c>
      <c r="AU36" s="267">
        <v>377061</v>
      </c>
      <c r="AV36" s="267">
        <v>0</v>
      </c>
      <c r="AW36" s="267">
        <v>4778796</v>
      </c>
      <c r="AX36" s="267">
        <v>0</v>
      </c>
      <c r="AY36" s="267">
        <v>259605</v>
      </c>
      <c r="AZ36" s="267">
        <v>122256</v>
      </c>
      <c r="BA36" s="267">
        <v>205460</v>
      </c>
      <c r="BB36" s="267">
        <v>45679</v>
      </c>
      <c r="BC36" s="267">
        <v>0</v>
      </c>
      <c r="BD36" s="267">
        <v>0</v>
      </c>
      <c r="BE36" s="267">
        <v>1123184</v>
      </c>
      <c r="BF36" s="267">
        <v>0</v>
      </c>
      <c r="BG36" s="267">
        <v>66384</v>
      </c>
      <c r="BH36" s="267">
        <v>74120</v>
      </c>
      <c r="BI36" s="267">
        <v>0</v>
      </c>
      <c r="BJ36" s="267">
        <v>92496</v>
      </c>
      <c r="BK36" s="267">
        <v>0</v>
      </c>
      <c r="BL36" s="267">
        <v>483379</v>
      </c>
      <c r="BM36" s="267">
        <v>0</v>
      </c>
      <c r="BN36" s="267">
        <v>384041</v>
      </c>
      <c r="BO36" s="267">
        <v>163828</v>
      </c>
      <c r="BP36" s="267">
        <v>100402</v>
      </c>
      <c r="BQ36" s="267">
        <v>43680</v>
      </c>
      <c r="BR36" s="267">
        <v>0</v>
      </c>
      <c r="BS36" s="267">
        <v>200445</v>
      </c>
      <c r="BT36" s="267">
        <v>0</v>
      </c>
      <c r="BU36" s="267">
        <v>265097</v>
      </c>
      <c r="BV36" s="267">
        <v>605431</v>
      </c>
      <c r="BW36" s="267">
        <v>0</v>
      </c>
      <c r="BX36" s="267">
        <v>387563</v>
      </c>
      <c r="BY36" s="267">
        <v>67550</v>
      </c>
      <c r="BZ36" s="267">
        <v>18215</v>
      </c>
      <c r="CA36" s="1232">
        <v>168792</v>
      </c>
      <c r="CB36" s="267">
        <v>112109</v>
      </c>
      <c r="CC36" s="267">
        <v>0</v>
      </c>
      <c r="CD36" s="267">
        <v>0</v>
      </c>
      <c r="CE36" s="267">
        <v>30020</v>
      </c>
    </row>
    <row r="37" spans="1:83" x14ac:dyDescent="0.3">
      <c r="A37" s="267">
        <v>50</v>
      </c>
      <c r="B37" s="267">
        <v>50</v>
      </c>
      <c r="C37" s="267" t="s">
        <v>100</v>
      </c>
      <c r="D37" s="267" t="s">
        <v>341</v>
      </c>
      <c r="E37" s="267">
        <v>0</v>
      </c>
      <c r="F37" s="267">
        <v>0</v>
      </c>
      <c r="G37" s="267">
        <v>-24308</v>
      </c>
      <c r="H37" s="267">
        <v>0</v>
      </c>
      <c r="I37" s="267">
        <v>0</v>
      </c>
      <c r="J37" s="267">
        <v>0</v>
      </c>
      <c r="K37" s="267">
        <v>52976</v>
      </c>
      <c r="L37" s="267">
        <v>0</v>
      </c>
      <c r="M37" s="267">
        <v>0</v>
      </c>
      <c r="N37" s="267">
        <v>0</v>
      </c>
      <c r="O37" s="267">
        <v>0</v>
      </c>
      <c r="P37" s="267">
        <v>146241</v>
      </c>
      <c r="Q37" s="267">
        <v>0</v>
      </c>
      <c r="R37" s="267">
        <v>11474081</v>
      </c>
      <c r="S37" s="267">
        <v>33908</v>
      </c>
      <c r="T37" s="267">
        <v>0</v>
      </c>
      <c r="U37" s="267">
        <v>9777472</v>
      </c>
      <c r="V37" s="267">
        <v>903937</v>
      </c>
      <c r="W37" s="267">
        <v>2567846</v>
      </c>
      <c r="X37" s="267">
        <v>0</v>
      </c>
      <c r="Y37" s="267">
        <v>33475</v>
      </c>
      <c r="Z37" s="267">
        <v>286408</v>
      </c>
      <c r="AA37" s="267">
        <v>-225043</v>
      </c>
      <c r="AB37" s="267">
        <v>1536754</v>
      </c>
      <c r="AC37" s="267">
        <v>166335</v>
      </c>
      <c r="AD37" s="267">
        <v>202393</v>
      </c>
      <c r="AE37" s="1232">
        <v>16386</v>
      </c>
      <c r="AF37" s="267">
        <v>735608</v>
      </c>
      <c r="AG37" s="267">
        <v>-152308</v>
      </c>
      <c r="AH37" s="267">
        <v>-88047</v>
      </c>
      <c r="AI37" s="267">
        <v>142171</v>
      </c>
      <c r="AJ37" s="267">
        <v>5545116</v>
      </c>
      <c r="AK37" s="267">
        <v>-33718</v>
      </c>
      <c r="AL37" s="267">
        <v>-166544</v>
      </c>
      <c r="AM37" s="267">
        <v>0</v>
      </c>
      <c r="AN37" s="267">
        <v>305287</v>
      </c>
      <c r="AO37" s="267">
        <v>0</v>
      </c>
      <c r="AP37" s="267">
        <v>0</v>
      </c>
      <c r="AQ37" s="267">
        <v>0</v>
      </c>
      <c r="AR37" s="267">
        <v>0</v>
      </c>
      <c r="AS37" s="267">
        <v>-956233</v>
      </c>
      <c r="AT37" s="267">
        <v>-110316</v>
      </c>
      <c r="AU37" s="267">
        <v>-119062</v>
      </c>
      <c r="AV37" s="267">
        <v>0</v>
      </c>
      <c r="AW37" s="267">
        <v>5306516</v>
      </c>
      <c r="AX37" s="267">
        <v>0</v>
      </c>
      <c r="AY37" s="267">
        <v>39773</v>
      </c>
      <c r="AZ37" s="267">
        <v>466353</v>
      </c>
      <c r="BA37" s="267">
        <v>-74804</v>
      </c>
      <c r="BB37" s="267">
        <v>-60398</v>
      </c>
      <c r="BC37" s="267">
        <v>0</v>
      </c>
      <c r="BD37" s="267">
        <v>0</v>
      </c>
      <c r="BE37" s="267">
        <v>2158616</v>
      </c>
      <c r="BF37" s="267">
        <v>0</v>
      </c>
      <c r="BG37" s="267">
        <v>88408</v>
      </c>
      <c r="BH37" s="267">
        <v>-60087</v>
      </c>
      <c r="BI37" s="267">
        <v>0</v>
      </c>
      <c r="BJ37" s="267">
        <v>-31726</v>
      </c>
      <c r="BK37" s="267">
        <v>0</v>
      </c>
      <c r="BL37" s="267">
        <v>1002476</v>
      </c>
      <c r="BM37" s="267">
        <v>0</v>
      </c>
      <c r="BN37" s="267">
        <v>-59006</v>
      </c>
      <c r="BO37" s="267">
        <v>163717</v>
      </c>
      <c r="BP37" s="267">
        <v>-62196</v>
      </c>
      <c r="BQ37" s="267">
        <v>123162</v>
      </c>
      <c r="BR37" s="267">
        <v>0</v>
      </c>
      <c r="BS37" s="267">
        <v>-251275</v>
      </c>
      <c r="BT37" s="267">
        <v>0</v>
      </c>
      <c r="BU37" s="267">
        <v>-127648</v>
      </c>
      <c r="BV37" s="267">
        <v>-261943</v>
      </c>
      <c r="BW37" s="267">
        <v>0</v>
      </c>
      <c r="BX37" s="267">
        <v>194022</v>
      </c>
      <c r="BY37" s="267">
        <v>46418</v>
      </c>
      <c r="BZ37" s="267">
        <v>-22452</v>
      </c>
      <c r="CA37" s="1232">
        <v>-66121</v>
      </c>
      <c r="CB37" s="267">
        <v>-134499</v>
      </c>
      <c r="CC37" s="267">
        <v>0</v>
      </c>
      <c r="CD37" s="267">
        <v>0</v>
      </c>
      <c r="CE37" s="267">
        <v>-27421</v>
      </c>
    </row>
    <row r="38" spans="1:83" x14ac:dyDescent="0.3">
      <c r="A38" s="267">
        <v>51</v>
      </c>
      <c r="B38" s="267">
        <v>51</v>
      </c>
      <c r="C38" s="267" t="s">
        <v>246</v>
      </c>
      <c r="D38" s="267" t="s">
        <v>342</v>
      </c>
      <c r="E38" s="267">
        <v>0</v>
      </c>
      <c r="F38" s="267">
        <v>0</v>
      </c>
      <c r="G38" s="267">
        <v>95881</v>
      </c>
      <c r="H38" s="267">
        <v>0</v>
      </c>
      <c r="I38" s="267">
        <v>0</v>
      </c>
      <c r="J38" s="267">
        <v>0</v>
      </c>
      <c r="K38" s="267">
        <v>16260</v>
      </c>
      <c r="L38" s="267">
        <v>0</v>
      </c>
      <c r="M38" s="267">
        <v>0</v>
      </c>
      <c r="N38" s="267">
        <v>0</v>
      </c>
      <c r="O38" s="267">
        <v>0</v>
      </c>
      <c r="P38" s="267">
        <v>427054</v>
      </c>
      <c r="Q38" s="267">
        <v>0</v>
      </c>
      <c r="R38" s="267">
        <v>12180176</v>
      </c>
      <c r="S38" s="267">
        <v>106469</v>
      </c>
      <c r="T38" s="267">
        <v>0</v>
      </c>
      <c r="U38" s="267">
        <v>12074493</v>
      </c>
      <c r="V38" s="267">
        <v>3344908</v>
      </c>
      <c r="W38" s="267">
        <v>5369063</v>
      </c>
      <c r="X38" s="267">
        <v>0</v>
      </c>
      <c r="Y38" s="267">
        <v>-116413</v>
      </c>
      <c r="Z38" s="267">
        <v>2233793</v>
      </c>
      <c r="AA38" s="267">
        <v>232720</v>
      </c>
      <c r="AB38" s="267">
        <v>2296554</v>
      </c>
      <c r="AC38" s="267">
        <v>670578</v>
      </c>
      <c r="AD38" s="267">
        <v>311179</v>
      </c>
      <c r="AE38" s="1232">
        <v>344960</v>
      </c>
      <c r="AF38" s="267">
        <v>134672</v>
      </c>
      <c r="AG38" s="267">
        <v>1996</v>
      </c>
      <c r="AH38" s="267">
        <v>130968</v>
      </c>
      <c r="AI38" s="267">
        <v>343761</v>
      </c>
      <c r="AJ38" s="267">
        <v>7193777</v>
      </c>
      <c r="AK38" s="267">
        <v>39414</v>
      </c>
      <c r="AL38" s="267">
        <v>111546</v>
      </c>
      <c r="AM38" s="267">
        <v>0</v>
      </c>
      <c r="AN38" s="267">
        <v>1936401</v>
      </c>
      <c r="AO38" s="267">
        <v>0</v>
      </c>
      <c r="AP38" s="267">
        <v>0</v>
      </c>
      <c r="AQ38" s="267">
        <v>0</v>
      </c>
      <c r="AR38" s="267">
        <v>0</v>
      </c>
      <c r="AS38" s="267">
        <v>1011915</v>
      </c>
      <c r="AT38" s="267">
        <v>78320</v>
      </c>
      <c r="AU38" s="267">
        <v>349099</v>
      </c>
      <c r="AV38" s="267">
        <v>0</v>
      </c>
      <c r="AW38" s="267">
        <v>8489354</v>
      </c>
      <c r="AX38" s="267">
        <v>0</v>
      </c>
      <c r="AY38" s="267">
        <v>304262</v>
      </c>
      <c r="AZ38" s="267">
        <v>379127</v>
      </c>
      <c r="BA38" s="267">
        <v>-108063</v>
      </c>
      <c r="BB38" s="267">
        <v>-35481</v>
      </c>
      <c r="BC38" s="267">
        <v>0</v>
      </c>
      <c r="BD38" s="267">
        <v>0</v>
      </c>
      <c r="BE38" s="267">
        <v>2153259</v>
      </c>
      <c r="BF38" s="267">
        <v>0</v>
      </c>
      <c r="BG38" s="267">
        <v>44333</v>
      </c>
      <c r="BH38" s="267">
        <v>35756</v>
      </c>
      <c r="BI38" s="267">
        <v>0</v>
      </c>
      <c r="BJ38" s="267">
        <v>60827</v>
      </c>
      <c r="BK38" s="267">
        <v>0</v>
      </c>
      <c r="BL38" s="267">
        <v>1040906</v>
      </c>
      <c r="BM38" s="267">
        <v>0</v>
      </c>
      <c r="BN38" s="267">
        <v>31778</v>
      </c>
      <c r="BO38" s="267">
        <v>333999</v>
      </c>
      <c r="BP38" s="267">
        <v>73463</v>
      </c>
      <c r="BQ38" s="267">
        <v>169290</v>
      </c>
      <c r="BR38" s="267">
        <v>0</v>
      </c>
      <c r="BS38" s="267">
        <v>-206492</v>
      </c>
      <c r="BT38" s="267">
        <v>0</v>
      </c>
      <c r="BU38" s="267">
        <v>53728</v>
      </c>
      <c r="BV38" s="267">
        <v>341223</v>
      </c>
      <c r="BW38" s="267">
        <v>0</v>
      </c>
      <c r="BX38" s="267">
        <v>272009</v>
      </c>
      <c r="BY38" s="267">
        <v>-39343</v>
      </c>
      <c r="BZ38" s="267">
        <v>0</v>
      </c>
      <c r="CA38" s="1232">
        <v>-200434</v>
      </c>
      <c r="CB38" s="267">
        <v>19244</v>
      </c>
      <c r="CC38" s="267">
        <v>0</v>
      </c>
      <c r="CD38" s="267">
        <v>0</v>
      </c>
      <c r="CE38" s="267">
        <v>2599</v>
      </c>
    </row>
    <row r="39" spans="1:83" x14ac:dyDescent="0.3">
      <c r="A39" s="267">
        <v>52</v>
      </c>
      <c r="B39" s="267">
        <v>52</v>
      </c>
      <c r="C39" s="267" t="s">
        <v>239</v>
      </c>
      <c r="D39" s="267" t="s">
        <v>343</v>
      </c>
      <c r="E39" s="267">
        <v>0</v>
      </c>
      <c r="F39" s="267">
        <v>0</v>
      </c>
      <c r="G39" s="267">
        <v>0</v>
      </c>
      <c r="H39" s="267">
        <v>0</v>
      </c>
      <c r="I39" s="267">
        <v>0</v>
      </c>
      <c r="J39" s="267">
        <v>0</v>
      </c>
      <c r="K39" s="267">
        <v>0</v>
      </c>
      <c r="L39" s="267">
        <v>0</v>
      </c>
      <c r="M39" s="267">
        <v>0</v>
      </c>
      <c r="N39" s="267">
        <v>0</v>
      </c>
      <c r="O39" s="267">
        <v>0</v>
      </c>
      <c r="P39" s="267">
        <v>0</v>
      </c>
      <c r="Q39" s="267">
        <v>0</v>
      </c>
      <c r="R39" s="267">
        <v>2699443</v>
      </c>
      <c r="S39" s="267">
        <v>0</v>
      </c>
      <c r="T39" s="267">
        <v>0</v>
      </c>
      <c r="U39" s="267">
        <v>0</v>
      </c>
      <c r="V39" s="267">
        <v>0</v>
      </c>
      <c r="W39" s="267">
        <v>882857</v>
      </c>
      <c r="X39" s="267">
        <v>0</v>
      </c>
      <c r="Y39" s="267">
        <v>0</v>
      </c>
      <c r="Z39" s="267">
        <v>0</v>
      </c>
      <c r="AA39" s="267">
        <v>0</v>
      </c>
      <c r="AB39" s="267">
        <v>0</v>
      </c>
      <c r="AC39" s="267">
        <v>0</v>
      </c>
      <c r="AD39" s="267">
        <v>0</v>
      </c>
      <c r="AE39" s="267">
        <v>0</v>
      </c>
      <c r="AF39" s="267">
        <v>0</v>
      </c>
      <c r="AG39" s="267">
        <v>0</v>
      </c>
      <c r="AH39" s="267">
        <v>0</v>
      </c>
      <c r="AI39" s="267">
        <v>0</v>
      </c>
      <c r="AJ39" s="267">
        <v>2324812</v>
      </c>
      <c r="AK39" s="267">
        <v>0</v>
      </c>
      <c r="AL39" s="267">
        <v>0</v>
      </c>
      <c r="AM39" s="267">
        <v>0</v>
      </c>
      <c r="AN39" s="267">
        <v>1150268</v>
      </c>
      <c r="AO39" s="267">
        <v>0</v>
      </c>
      <c r="AP39" s="267">
        <v>0</v>
      </c>
      <c r="AQ39" s="267">
        <v>0</v>
      </c>
      <c r="AR39" s="267">
        <v>0</v>
      </c>
      <c r="AS39" s="267">
        <v>0</v>
      </c>
      <c r="AT39" s="267">
        <v>0</v>
      </c>
      <c r="AU39" s="267">
        <v>0</v>
      </c>
      <c r="AV39" s="267">
        <v>0</v>
      </c>
      <c r="AW39" s="267">
        <v>0</v>
      </c>
      <c r="AX39" s="267">
        <v>0</v>
      </c>
      <c r="AY39" s="267">
        <v>0</v>
      </c>
      <c r="AZ39" s="267">
        <v>0</v>
      </c>
      <c r="BA39" s="267">
        <v>0</v>
      </c>
      <c r="BB39" s="267">
        <v>0</v>
      </c>
      <c r="BC39" s="267">
        <v>0</v>
      </c>
      <c r="BD39" s="267">
        <v>0</v>
      </c>
      <c r="BE39" s="267">
        <v>0</v>
      </c>
      <c r="BF39" s="267">
        <v>0</v>
      </c>
      <c r="BG39" s="267">
        <v>0</v>
      </c>
      <c r="BH39" s="267">
        <v>0</v>
      </c>
      <c r="BI39" s="267">
        <v>0</v>
      </c>
      <c r="BJ39" s="267">
        <v>0</v>
      </c>
      <c r="BK39" s="267">
        <v>0</v>
      </c>
      <c r="BL39" s="267">
        <v>0</v>
      </c>
      <c r="BM39" s="267">
        <v>0</v>
      </c>
      <c r="BN39" s="267">
        <v>0</v>
      </c>
      <c r="BO39" s="267">
        <v>0</v>
      </c>
      <c r="BP39" s="267">
        <v>0</v>
      </c>
      <c r="BQ39" s="267">
        <v>0</v>
      </c>
      <c r="BR39" s="267">
        <v>0</v>
      </c>
      <c r="BS39" s="267">
        <v>86983</v>
      </c>
      <c r="BT39" s="267">
        <v>503964</v>
      </c>
      <c r="BU39" s="267">
        <v>0</v>
      </c>
      <c r="BV39" s="267">
        <v>0</v>
      </c>
      <c r="BW39" s="267">
        <v>0</v>
      </c>
      <c r="BX39" s="267">
        <v>0</v>
      </c>
      <c r="BY39" s="267">
        <v>0</v>
      </c>
      <c r="BZ39" s="267">
        <v>0</v>
      </c>
      <c r="CA39" s="267">
        <v>0</v>
      </c>
      <c r="CB39" s="267">
        <v>0</v>
      </c>
      <c r="CC39" s="267">
        <v>0</v>
      </c>
      <c r="CD39" s="267">
        <v>0</v>
      </c>
      <c r="CE39" s="267">
        <v>0</v>
      </c>
    </row>
    <row r="40" spans="1:83" x14ac:dyDescent="0.3">
      <c r="A40" s="267">
        <v>53</v>
      </c>
      <c r="B40" s="267">
        <v>53</v>
      </c>
      <c r="C40" s="267" t="s">
        <v>101</v>
      </c>
      <c r="D40" s="267" t="s">
        <v>344</v>
      </c>
      <c r="E40" s="267">
        <v>0</v>
      </c>
      <c r="F40" s="267">
        <v>0</v>
      </c>
      <c r="G40" s="267">
        <v>0</v>
      </c>
      <c r="H40" s="267">
        <v>0</v>
      </c>
      <c r="I40" s="267">
        <v>0</v>
      </c>
      <c r="J40" s="267">
        <v>0</v>
      </c>
      <c r="K40" s="267">
        <v>0</v>
      </c>
      <c r="L40" s="267">
        <v>0</v>
      </c>
      <c r="M40" s="267">
        <v>0</v>
      </c>
      <c r="N40" s="267">
        <v>0</v>
      </c>
      <c r="O40" s="267">
        <v>0</v>
      </c>
      <c r="P40" s="267">
        <v>0</v>
      </c>
      <c r="Q40" s="267">
        <v>0</v>
      </c>
      <c r="R40" s="267">
        <v>8714122</v>
      </c>
      <c r="S40" s="267">
        <v>0</v>
      </c>
      <c r="T40" s="267">
        <v>0</v>
      </c>
      <c r="U40" s="267">
        <v>0</v>
      </c>
      <c r="V40" s="267">
        <v>0</v>
      </c>
      <c r="W40" s="267">
        <v>2554402</v>
      </c>
      <c r="X40" s="267">
        <v>0</v>
      </c>
      <c r="Y40" s="267">
        <v>0</v>
      </c>
      <c r="Z40" s="267">
        <v>0</v>
      </c>
      <c r="AA40" s="267">
        <v>0</v>
      </c>
      <c r="AB40" s="267">
        <v>0</v>
      </c>
      <c r="AC40" s="267">
        <v>0</v>
      </c>
      <c r="AD40" s="267">
        <v>0</v>
      </c>
      <c r="AE40" s="267">
        <v>0</v>
      </c>
      <c r="AF40" s="267">
        <v>0</v>
      </c>
      <c r="AG40" s="267">
        <v>0</v>
      </c>
      <c r="AH40" s="267">
        <v>0</v>
      </c>
      <c r="AI40" s="267">
        <v>0</v>
      </c>
      <c r="AJ40" s="267">
        <v>1032366</v>
      </c>
      <c r="AK40" s="267">
        <v>0</v>
      </c>
      <c r="AL40" s="267">
        <v>0</v>
      </c>
      <c r="AM40" s="267">
        <v>0</v>
      </c>
      <c r="AN40" s="267">
        <v>1313075</v>
      </c>
      <c r="AO40" s="267">
        <v>0</v>
      </c>
      <c r="AP40" s="267">
        <v>0</v>
      </c>
      <c r="AQ40" s="267">
        <v>0</v>
      </c>
      <c r="AR40" s="267">
        <v>0</v>
      </c>
      <c r="AS40" s="267">
        <v>0</v>
      </c>
      <c r="AT40" s="267">
        <v>0</v>
      </c>
      <c r="AU40" s="267">
        <v>0</v>
      </c>
      <c r="AV40" s="267">
        <v>0</v>
      </c>
      <c r="AW40" s="267">
        <v>0</v>
      </c>
      <c r="AX40" s="267">
        <v>0</v>
      </c>
      <c r="AY40" s="267">
        <v>0</v>
      </c>
      <c r="AZ40" s="267">
        <v>0</v>
      </c>
      <c r="BA40" s="267">
        <v>0</v>
      </c>
      <c r="BB40" s="267">
        <v>0</v>
      </c>
      <c r="BC40" s="267">
        <v>0</v>
      </c>
      <c r="BD40" s="267">
        <v>0</v>
      </c>
      <c r="BE40" s="267">
        <v>0</v>
      </c>
      <c r="BF40" s="267">
        <v>0</v>
      </c>
      <c r="BG40" s="267">
        <v>0</v>
      </c>
      <c r="BH40" s="267">
        <v>0</v>
      </c>
      <c r="BI40" s="267">
        <v>0</v>
      </c>
      <c r="BJ40" s="267">
        <v>0</v>
      </c>
      <c r="BK40" s="267">
        <v>0</v>
      </c>
      <c r="BL40" s="267">
        <v>0</v>
      </c>
      <c r="BM40" s="267">
        <v>0</v>
      </c>
      <c r="BN40" s="267">
        <v>0</v>
      </c>
      <c r="BO40" s="267">
        <v>0</v>
      </c>
      <c r="BP40" s="267">
        <v>0</v>
      </c>
      <c r="BQ40" s="267">
        <v>0</v>
      </c>
      <c r="BR40" s="267">
        <v>0</v>
      </c>
      <c r="BS40" s="267">
        <v>500818</v>
      </c>
      <c r="BT40" s="267">
        <v>1059495</v>
      </c>
      <c r="BU40" s="267">
        <v>0</v>
      </c>
      <c r="BV40" s="267">
        <v>0</v>
      </c>
      <c r="BW40" s="267">
        <v>0</v>
      </c>
      <c r="BX40" s="267">
        <v>0</v>
      </c>
      <c r="BY40" s="267">
        <v>0</v>
      </c>
      <c r="BZ40" s="267">
        <v>0</v>
      </c>
      <c r="CA40" s="267">
        <v>0</v>
      </c>
      <c r="CB40" s="267">
        <v>0</v>
      </c>
      <c r="CC40" s="267">
        <v>0</v>
      </c>
      <c r="CD40" s="267">
        <v>0</v>
      </c>
      <c r="CE40" s="267">
        <v>0</v>
      </c>
    </row>
    <row r="41" spans="1:83" x14ac:dyDescent="0.3">
      <c r="A41" s="267">
        <v>55</v>
      </c>
      <c r="B41" s="267">
        <v>54</v>
      </c>
      <c r="C41" s="267" t="s">
        <v>631</v>
      </c>
      <c r="D41" s="267" t="s">
        <v>345</v>
      </c>
      <c r="E41" s="267">
        <v>0</v>
      </c>
      <c r="F41" s="267">
        <v>0</v>
      </c>
      <c r="G41" s="267">
        <v>0</v>
      </c>
      <c r="H41" s="267">
        <v>0</v>
      </c>
      <c r="I41" s="267">
        <v>0</v>
      </c>
      <c r="J41" s="267">
        <v>0</v>
      </c>
      <c r="K41" s="267">
        <v>0</v>
      </c>
      <c r="L41" s="267">
        <v>0</v>
      </c>
      <c r="M41" s="267">
        <v>0</v>
      </c>
      <c r="N41" s="267">
        <v>0</v>
      </c>
      <c r="O41" s="267">
        <v>0</v>
      </c>
      <c r="P41" s="267">
        <v>0</v>
      </c>
      <c r="Q41" s="267">
        <v>0</v>
      </c>
      <c r="R41" s="267">
        <v>0</v>
      </c>
      <c r="S41" s="267">
        <v>0</v>
      </c>
      <c r="T41" s="267">
        <v>0</v>
      </c>
      <c r="U41" s="267">
        <v>0</v>
      </c>
      <c r="V41" s="267">
        <v>0</v>
      </c>
      <c r="W41" s="267">
        <v>0</v>
      </c>
      <c r="X41" s="267">
        <v>0</v>
      </c>
      <c r="Y41" s="267">
        <v>0</v>
      </c>
      <c r="Z41" s="267">
        <v>0</v>
      </c>
      <c r="AA41" s="267">
        <v>0</v>
      </c>
      <c r="AB41" s="267">
        <v>0</v>
      </c>
      <c r="AC41" s="267">
        <v>0</v>
      </c>
      <c r="AD41" s="267">
        <v>0</v>
      </c>
      <c r="AE41" s="267">
        <v>0</v>
      </c>
      <c r="AF41" s="267">
        <v>0</v>
      </c>
      <c r="AG41" s="267">
        <v>0</v>
      </c>
      <c r="AH41" s="267">
        <v>0</v>
      </c>
      <c r="AI41" s="267">
        <v>0</v>
      </c>
      <c r="AJ41" s="267">
        <v>0</v>
      </c>
      <c r="AK41" s="267">
        <v>0</v>
      </c>
      <c r="AL41" s="267">
        <v>0</v>
      </c>
      <c r="AM41" s="267">
        <v>0</v>
      </c>
      <c r="AN41" s="267">
        <v>0</v>
      </c>
      <c r="AO41" s="267">
        <v>0</v>
      </c>
      <c r="AP41" s="267">
        <v>0</v>
      </c>
      <c r="AQ41" s="267">
        <v>0</v>
      </c>
      <c r="AR41" s="267">
        <v>0</v>
      </c>
      <c r="AS41" s="267">
        <v>0</v>
      </c>
      <c r="AT41" s="267">
        <v>0</v>
      </c>
      <c r="AU41" s="267">
        <v>0</v>
      </c>
      <c r="AV41" s="267">
        <v>0</v>
      </c>
      <c r="AW41" s="267">
        <v>0</v>
      </c>
      <c r="AX41" s="267">
        <v>0</v>
      </c>
      <c r="AY41" s="267">
        <v>0</v>
      </c>
      <c r="AZ41" s="267">
        <v>0</v>
      </c>
      <c r="BA41" s="267">
        <v>0</v>
      </c>
      <c r="BB41" s="267">
        <v>0</v>
      </c>
      <c r="BC41" s="267">
        <v>0</v>
      </c>
      <c r="BD41" s="267">
        <v>0</v>
      </c>
      <c r="BE41" s="267">
        <v>0</v>
      </c>
      <c r="BF41" s="267">
        <v>0</v>
      </c>
      <c r="BG41" s="267">
        <v>0</v>
      </c>
      <c r="BH41" s="267">
        <v>0</v>
      </c>
      <c r="BI41" s="267">
        <v>0</v>
      </c>
      <c r="BJ41" s="267">
        <v>0</v>
      </c>
      <c r="BK41" s="267">
        <v>0</v>
      </c>
      <c r="BL41" s="267">
        <v>0</v>
      </c>
      <c r="BM41" s="267">
        <v>0</v>
      </c>
      <c r="BN41" s="267">
        <v>0</v>
      </c>
      <c r="BO41" s="267">
        <v>0</v>
      </c>
      <c r="BP41" s="267">
        <v>0</v>
      </c>
      <c r="BQ41" s="267">
        <v>0</v>
      </c>
      <c r="BR41" s="267">
        <v>0</v>
      </c>
      <c r="BS41" s="267">
        <v>0</v>
      </c>
      <c r="BT41" s="267">
        <v>0</v>
      </c>
      <c r="BU41" s="267">
        <v>0</v>
      </c>
      <c r="BV41" s="267">
        <v>0</v>
      </c>
      <c r="BW41" s="267">
        <v>0</v>
      </c>
      <c r="BX41" s="267">
        <v>0</v>
      </c>
      <c r="BY41" s="267">
        <v>0</v>
      </c>
      <c r="BZ41" s="267">
        <v>0</v>
      </c>
      <c r="CA41" s="267">
        <v>0</v>
      </c>
      <c r="CB41" s="267">
        <v>0</v>
      </c>
      <c r="CC41" s="267">
        <v>0</v>
      </c>
      <c r="CD41" s="267">
        <v>0</v>
      </c>
      <c r="CE41" s="267">
        <v>0</v>
      </c>
    </row>
    <row r="42" spans="1:83" x14ac:dyDescent="0.3">
      <c r="B42" s="267">
        <v>55</v>
      </c>
      <c r="C42" s="267" t="s">
        <v>249</v>
      </c>
      <c r="D42" s="267" t="s">
        <v>346</v>
      </c>
      <c r="E42" s="267">
        <v>0</v>
      </c>
      <c r="F42" s="267">
        <v>0</v>
      </c>
      <c r="G42" s="267">
        <v>0</v>
      </c>
      <c r="H42" s="267">
        <v>0</v>
      </c>
      <c r="I42" s="267">
        <v>0</v>
      </c>
      <c r="J42" s="267">
        <v>0</v>
      </c>
      <c r="K42" s="267">
        <v>0</v>
      </c>
      <c r="L42" s="267">
        <v>0</v>
      </c>
      <c r="M42" s="267">
        <v>0</v>
      </c>
      <c r="N42" s="267">
        <v>0</v>
      </c>
      <c r="O42" s="267">
        <v>0</v>
      </c>
      <c r="P42" s="267">
        <v>0</v>
      </c>
      <c r="Q42" s="267">
        <v>0</v>
      </c>
      <c r="R42" s="267">
        <v>9009342</v>
      </c>
      <c r="S42" s="267">
        <v>0</v>
      </c>
      <c r="T42" s="267">
        <v>0</v>
      </c>
      <c r="U42" s="267">
        <v>0</v>
      </c>
      <c r="V42" s="267">
        <v>0</v>
      </c>
      <c r="W42" s="267">
        <v>3407032</v>
      </c>
      <c r="X42" s="267">
        <v>0</v>
      </c>
      <c r="Y42" s="267">
        <v>0</v>
      </c>
      <c r="Z42" s="267">
        <v>0</v>
      </c>
      <c r="AA42" s="267">
        <v>0</v>
      </c>
      <c r="AB42" s="267">
        <v>0</v>
      </c>
      <c r="AC42" s="267">
        <v>0</v>
      </c>
      <c r="AD42" s="267">
        <v>0</v>
      </c>
      <c r="AE42" s="267">
        <v>0</v>
      </c>
      <c r="AF42" s="267">
        <v>0</v>
      </c>
      <c r="AG42" s="267">
        <v>0</v>
      </c>
      <c r="AH42" s="267">
        <v>0</v>
      </c>
      <c r="AI42" s="267">
        <v>0</v>
      </c>
      <c r="AJ42" s="267">
        <v>4820092</v>
      </c>
      <c r="AK42" s="267">
        <v>0</v>
      </c>
      <c r="AL42" s="267">
        <v>0</v>
      </c>
      <c r="AM42" s="267">
        <v>0</v>
      </c>
      <c r="AN42" s="267">
        <v>1559170</v>
      </c>
      <c r="AO42" s="267">
        <v>0</v>
      </c>
      <c r="AP42" s="267">
        <v>0</v>
      </c>
      <c r="AQ42" s="267">
        <v>0</v>
      </c>
      <c r="AR42" s="267">
        <v>0</v>
      </c>
      <c r="AS42" s="267">
        <v>0</v>
      </c>
      <c r="AT42" s="267">
        <v>0</v>
      </c>
      <c r="AU42" s="267">
        <v>0</v>
      </c>
      <c r="AV42" s="267">
        <v>0</v>
      </c>
      <c r="AW42" s="267">
        <v>0</v>
      </c>
      <c r="AX42" s="267">
        <v>0</v>
      </c>
      <c r="AY42" s="267">
        <v>0</v>
      </c>
      <c r="AZ42" s="267">
        <v>0</v>
      </c>
      <c r="BA42" s="267">
        <v>0</v>
      </c>
      <c r="BB42" s="267">
        <v>0</v>
      </c>
      <c r="BC42" s="267">
        <v>0</v>
      </c>
      <c r="BD42" s="267">
        <v>0</v>
      </c>
      <c r="BE42" s="267">
        <v>0</v>
      </c>
      <c r="BF42" s="267">
        <v>0</v>
      </c>
      <c r="BG42" s="267">
        <v>0</v>
      </c>
      <c r="BH42" s="267">
        <v>0</v>
      </c>
      <c r="BI42" s="267">
        <v>0</v>
      </c>
      <c r="BJ42" s="267">
        <v>0</v>
      </c>
      <c r="BK42" s="267">
        <v>0</v>
      </c>
      <c r="BL42" s="267">
        <v>0</v>
      </c>
      <c r="BM42" s="267">
        <v>0</v>
      </c>
      <c r="BN42" s="267">
        <v>0</v>
      </c>
      <c r="BO42" s="267">
        <v>0</v>
      </c>
      <c r="BP42" s="267">
        <v>0</v>
      </c>
      <c r="BQ42" s="267">
        <v>0</v>
      </c>
      <c r="BR42" s="267">
        <v>0</v>
      </c>
      <c r="BS42" s="267">
        <v>594808</v>
      </c>
      <c r="BT42" s="267">
        <v>1602241</v>
      </c>
      <c r="BU42" s="267">
        <v>0</v>
      </c>
      <c r="BV42" s="267">
        <v>0</v>
      </c>
      <c r="BW42" s="267">
        <v>0</v>
      </c>
      <c r="BX42" s="267">
        <v>0</v>
      </c>
      <c r="BY42" s="267">
        <v>0</v>
      </c>
      <c r="BZ42" s="267">
        <v>0</v>
      </c>
      <c r="CA42" s="267">
        <v>0</v>
      </c>
      <c r="CB42" s="267">
        <v>0</v>
      </c>
      <c r="CC42" s="267">
        <v>0</v>
      </c>
      <c r="CD42" s="267">
        <v>0</v>
      </c>
      <c r="CE42" s="267">
        <v>0</v>
      </c>
    </row>
    <row r="43" spans="1:83" x14ac:dyDescent="0.3">
      <c r="A43" s="267">
        <v>61</v>
      </c>
      <c r="B43" s="267">
        <v>61</v>
      </c>
      <c r="C43" s="267" t="s">
        <v>268</v>
      </c>
      <c r="D43" s="267" t="s">
        <v>347</v>
      </c>
      <c r="E43" s="267">
        <v>0</v>
      </c>
      <c r="F43" s="267">
        <v>99.12</v>
      </c>
      <c r="G43" s="267">
        <v>98.04</v>
      </c>
      <c r="H43" s="267">
        <v>98.29</v>
      </c>
      <c r="I43" s="267">
        <v>97.29</v>
      </c>
      <c r="J43" s="267">
        <v>99.15</v>
      </c>
      <c r="K43" s="267">
        <v>96.39</v>
      </c>
      <c r="L43" s="267">
        <v>99.58</v>
      </c>
      <c r="M43" s="267">
        <v>98.52</v>
      </c>
      <c r="N43" s="267">
        <v>99.6</v>
      </c>
      <c r="O43" s="267">
        <v>96.21</v>
      </c>
      <c r="P43" s="267">
        <v>98.91</v>
      </c>
      <c r="Q43" s="267">
        <v>99.28</v>
      </c>
      <c r="R43" s="267">
        <v>99.2</v>
      </c>
      <c r="S43" s="267">
        <v>99.99</v>
      </c>
      <c r="T43" s="267">
        <v>0</v>
      </c>
      <c r="U43" s="267">
        <v>99.22</v>
      </c>
      <c r="V43" s="267">
        <v>99.32</v>
      </c>
      <c r="W43" s="267">
        <v>98.46</v>
      </c>
      <c r="X43" s="267">
        <v>99.92</v>
      </c>
      <c r="Y43" s="267">
        <v>82.06</v>
      </c>
      <c r="Z43" s="267">
        <v>98.47</v>
      </c>
      <c r="AA43" s="267">
        <v>95.19</v>
      </c>
      <c r="AB43" s="267">
        <v>99.41</v>
      </c>
      <c r="AC43" s="267">
        <v>97.33</v>
      </c>
      <c r="AD43" s="267">
        <v>98.45</v>
      </c>
      <c r="AE43" s="267">
        <v>97.4</v>
      </c>
      <c r="AF43" s="267">
        <v>92.74</v>
      </c>
      <c r="AG43" s="267">
        <v>99.98</v>
      </c>
      <c r="AH43" s="267">
        <v>98.13</v>
      </c>
      <c r="AI43" s="267">
        <v>93.23</v>
      </c>
      <c r="AJ43" s="267">
        <v>99.34</v>
      </c>
      <c r="AK43" s="267">
        <v>99.72</v>
      </c>
      <c r="AL43" s="267">
        <v>94.18</v>
      </c>
      <c r="AM43" s="267">
        <v>0</v>
      </c>
      <c r="AN43" s="267">
        <v>98.48</v>
      </c>
      <c r="AO43" s="267">
        <v>0</v>
      </c>
      <c r="AP43" s="267">
        <v>0</v>
      </c>
      <c r="AQ43" s="267">
        <v>0</v>
      </c>
      <c r="AR43" s="267">
        <v>99.36</v>
      </c>
      <c r="AS43" s="267">
        <v>96.61</v>
      </c>
      <c r="AT43" s="267">
        <v>94.22</v>
      </c>
      <c r="AU43" s="267">
        <v>97.94</v>
      </c>
      <c r="AV43" s="267">
        <v>0</v>
      </c>
      <c r="AW43" s="267">
        <v>99.17</v>
      </c>
      <c r="AX43" s="267">
        <v>99.49</v>
      </c>
      <c r="AY43" s="267">
        <v>98.29</v>
      </c>
      <c r="AZ43" s="267">
        <v>97.06</v>
      </c>
      <c r="BA43" s="267">
        <v>98.53</v>
      </c>
      <c r="BB43" s="267">
        <v>94.57</v>
      </c>
      <c r="BC43" s="267">
        <v>0</v>
      </c>
      <c r="BD43" s="267">
        <v>0</v>
      </c>
      <c r="BE43" s="267">
        <v>98.47</v>
      </c>
      <c r="BF43" s="267">
        <v>98.27</v>
      </c>
      <c r="BG43" s="267">
        <v>93.88</v>
      </c>
      <c r="BH43" s="267">
        <v>80.11</v>
      </c>
      <c r="BI43" s="267">
        <v>97.41</v>
      </c>
      <c r="BJ43" s="267">
        <v>95.65</v>
      </c>
      <c r="BK43" s="267">
        <v>96.35</v>
      </c>
      <c r="BL43" s="267">
        <v>95.4</v>
      </c>
      <c r="BM43" s="267">
        <v>0</v>
      </c>
      <c r="BN43" s="267">
        <v>99.12</v>
      </c>
      <c r="BO43" s="267">
        <v>99.9</v>
      </c>
      <c r="BP43" s="267">
        <v>99.86</v>
      </c>
      <c r="BQ43" s="267">
        <v>99.28</v>
      </c>
      <c r="BR43" s="267">
        <v>99.89</v>
      </c>
      <c r="BS43" s="267">
        <v>88.12</v>
      </c>
      <c r="BT43" s="267">
        <v>99.64</v>
      </c>
      <c r="BU43" s="267">
        <v>96.59</v>
      </c>
      <c r="BV43" s="267">
        <v>98.24</v>
      </c>
      <c r="BW43" s="267">
        <v>98.61</v>
      </c>
      <c r="BX43" s="267">
        <v>92.26</v>
      </c>
      <c r="BY43" s="267">
        <v>92.32</v>
      </c>
      <c r="BZ43" s="267">
        <v>99.62</v>
      </c>
      <c r="CA43" s="267">
        <v>78.58</v>
      </c>
      <c r="CB43" s="267">
        <v>97.33</v>
      </c>
      <c r="CC43" s="267">
        <v>0</v>
      </c>
      <c r="CD43" s="267">
        <v>0</v>
      </c>
      <c r="CE43" s="267">
        <v>91.45</v>
      </c>
    </row>
    <row r="44" spans="1:83" x14ac:dyDescent="0.3">
      <c r="A44" s="267">
        <v>80</v>
      </c>
      <c r="B44" s="267">
        <v>80</v>
      </c>
      <c r="C44" s="267" t="s">
        <v>218</v>
      </c>
      <c r="D44" s="267" t="s">
        <v>348</v>
      </c>
      <c r="E44" s="267">
        <v>0</v>
      </c>
      <c r="F44" s="267">
        <v>0</v>
      </c>
      <c r="G44" s="267">
        <v>591592</v>
      </c>
      <c r="H44" s="267">
        <v>0</v>
      </c>
      <c r="I44" s="267">
        <v>0</v>
      </c>
      <c r="J44" s="267">
        <v>0</v>
      </c>
      <c r="K44" s="267">
        <v>0</v>
      </c>
      <c r="L44" s="267">
        <v>0</v>
      </c>
      <c r="M44" s="267">
        <v>0</v>
      </c>
      <c r="N44" s="267">
        <v>0</v>
      </c>
      <c r="O44" s="267">
        <v>0</v>
      </c>
      <c r="P44" s="267">
        <v>702127</v>
      </c>
      <c r="Q44" s="267">
        <v>0</v>
      </c>
      <c r="R44" s="267">
        <v>39064951</v>
      </c>
      <c r="S44" s="267">
        <v>822124</v>
      </c>
      <c r="T44" s="267">
        <v>0</v>
      </c>
      <c r="U44" s="267">
        <v>36446756</v>
      </c>
      <c r="V44" s="267">
        <v>11987746</v>
      </c>
      <c r="W44" s="267">
        <v>14587826</v>
      </c>
      <c r="X44" s="267">
        <v>0</v>
      </c>
      <c r="Y44" s="267">
        <v>280586</v>
      </c>
      <c r="Z44" s="267">
        <v>4961795</v>
      </c>
      <c r="AA44" s="267">
        <v>1206170</v>
      </c>
      <c r="AB44" s="267">
        <v>12081965</v>
      </c>
      <c r="AC44" s="267">
        <v>4323</v>
      </c>
      <c r="AD44" s="267">
        <v>724499</v>
      </c>
      <c r="AE44" s="1232">
        <v>735372</v>
      </c>
      <c r="AF44" s="267">
        <v>1897725</v>
      </c>
      <c r="AG44" s="267">
        <v>2948672</v>
      </c>
      <c r="AH44" s="267">
        <v>1916485</v>
      </c>
      <c r="AI44" s="267">
        <v>125076</v>
      </c>
      <c r="AJ44" s="267">
        <v>14364611</v>
      </c>
      <c r="AK44" s="267">
        <v>771698</v>
      </c>
      <c r="AL44" s="267">
        <v>336351</v>
      </c>
      <c r="AM44" s="267">
        <v>0</v>
      </c>
      <c r="AN44" s="267">
        <v>2450213</v>
      </c>
      <c r="AO44" s="267">
        <v>0</v>
      </c>
      <c r="AP44" s="267">
        <v>0</v>
      </c>
      <c r="AQ44" s="267">
        <v>0</v>
      </c>
      <c r="AR44" s="267">
        <v>0</v>
      </c>
      <c r="AS44" s="267">
        <v>3398666</v>
      </c>
      <c r="AT44" s="267">
        <v>163723</v>
      </c>
      <c r="AU44" s="267">
        <v>615062</v>
      </c>
      <c r="AV44" s="267">
        <v>0</v>
      </c>
      <c r="AW44" s="267">
        <v>29416549</v>
      </c>
      <c r="AX44" s="267">
        <v>0</v>
      </c>
      <c r="AY44" s="267">
        <v>1765596</v>
      </c>
      <c r="AZ44" s="267">
        <v>5456373</v>
      </c>
      <c r="BA44" s="267">
        <v>845844</v>
      </c>
      <c r="BB44" s="267">
        <v>126808</v>
      </c>
      <c r="BC44" s="267">
        <v>0</v>
      </c>
      <c r="BD44" s="267">
        <v>0</v>
      </c>
      <c r="BE44" s="267">
        <v>6489455</v>
      </c>
      <c r="BF44" s="267">
        <v>0</v>
      </c>
      <c r="BG44" s="267">
        <v>161716</v>
      </c>
      <c r="BH44" s="267">
        <v>101889</v>
      </c>
      <c r="BI44" s="267">
        <v>0</v>
      </c>
      <c r="BJ44" s="267">
        <v>207211</v>
      </c>
      <c r="BK44" s="267">
        <v>0</v>
      </c>
      <c r="BL44" s="267">
        <v>2486039</v>
      </c>
      <c r="BM44" s="267">
        <v>0</v>
      </c>
      <c r="BN44" s="267">
        <v>20976</v>
      </c>
      <c r="BO44" s="267">
        <v>812808</v>
      </c>
      <c r="BP44" s="267">
        <v>464780</v>
      </c>
      <c r="BQ44" s="267">
        <v>888622</v>
      </c>
      <c r="BR44" s="267">
        <v>0</v>
      </c>
      <c r="BS44" s="267">
        <v>75655</v>
      </c>
      <c r="BT44" s="267">
        <v>0</v>
      </c>
      <c r="BU44" s="267">
        <v>582110</v>
      </c>
      <c r="BV44" s="267">
        <v>3438081</v>
      </c>
      <c r="BW44" s="267">
        <v>0</v>
      </c>
      <c r="BX44" s="267">
        <v>0</v>
      </c>
      <c r="BY44" s="267">
        <v>1060063</v>
      </c>
      <c r="BZ44" s="267">
        <v>3129</v>
      </c>
      <c r="CA44" s="1232">
        <v>138117</v>
      </c>
      <c r="CB44" s="267">
        <v>956</v>
      </c>
      <c r="CC44" s="267">
        <v>0</v>
      </c>
      <c r="CD44" s="267">
        <v>0</v>
      </c>
      <c r="CE44" s="267">
        <v>7036</v>
      </c>
    </row>
    <row r="45" spans="1:83" x14ac:dyDescent="0.3">
      <c r="A45" s="267">
        <v>81</v>
      </c>
      <c r="B45" s="267">
        <v>81</v>
      </c>
      <c r="C45" s="267" t="s">
        <v>219</v>
      </c>
      <c r="D45" s="267" t="s">
        <v>349</v>
      </c>
      <c r="E45" s="267">
        <v>0</v>
      </c>
      <c r="F45" s="267">
        <v>0</v>
      </c>
      <c r="G45" s="267">
        <v>46040</v>
      </c>
      <c r="H45" s="267">
        <v>0</v>
      </c>
      <c r="I45" s="267">
        <v>0</v>
      </c>
      <c r="J45" s="267">
        <v>0</v>
      </c>
      <c r="K45" s="267">
        <v>24569</v>
      </c>
      <c r="L45" s="267">
        <v>0</v>
      </c>
      <c r="M45" s="267">
        <v>0</v>
      </c>
      <c r="N45" s="267">
        <v>0</v>
      </c>
      <c r="O45" s="267">
        <v>0</v>
      </c>
      <c r="P45" s="267">
        <v>276089</v>
      </c>
      <c r="Q45" s="267">
        <v>0</v>
      </c>
      <c r="R45" s="267">
        <v>2869845</v>
      </c>
      <c r="S45" s="267">
        <v>49250</v>
      </c>
      <c r="T45" s="267">
        <v>0</v>
      </c>
      <c r="U45" s="267">
        <v>3988479</v>
      </c>
      <c r="V45" s="267">
        <v>1326936</v>
      </c>
      <c r="W45" s="267">
        <v>1195465</v>
      </c>
      <c r="X45" s="267">
        <v>0</v>
      </c>
      <c r="Y45" s="267">
        <v>22406</v>
      </c>
      <c r="Z45" s="267">
        <v>782769</v>
      </c>
      <c r="AA45" s="267">
        <v>143186</v>
      </c>
      <c r="AB45" s="267">
        <v>1156590</v>
      </c>
      <c r="AC45" s="267">
        <v>352381</v>
      </c>
      <c r="AD45" s="267">
        <v>138376</v>
      </c>
      <c r="AE45" s="1232">
        <v>101674</v>
      </c>
      <c r="AF45" s="267">
        <v>157060</v>
      </c>
      <c r="AG45" s="267">
        <v>603914</v>
      </c>
      <c r="AH45" s="267">
        <v>305840</v>
      </c>
      <c r="AI45" s="267">
        <v>75064</v>
      </c>
      <c r="AJ45" s="267">
        <v>2543198</v>
      </c>
      <c r="AK45" s="267">
        <v>19839</v>
      </c>
      <c r="AL45" s="267">
        <v>61543</v>
      </c>
      <c r="AM45" s="267">
        <v>0</v>
      </c>
      <c r="AN45" s="267">
        <v>1050128</v>
      </c>
      <c r="AO45" s="267">
        <v>0</v>
      </c>
      <c r="AP45" s="267">
        <v>0</v>
      </c>
      <c r="AQ45" s="267">
        <v>0</v>
      </c>
      <c r="AR45" s="267">
        <v>0</v>
      </c>
      <c r="AS45" s="267">
        <v>493447</v>
      </c>
      <c r="AT45" s="267">
        <v>58097</v>
      </c>
      <c r="AU45" s="267">
        <v>153766</v>
      </c>
      <c r="AV45" s="267">
        <v>0</v>
      </c>
      <c r="AW45" s="267">
        <v>2594377</v>
      </c>
      <c r="AX45" s="267">
        <v>0</v>
      </c>
      <c r="AY45" s="267">
        <v>137523</v>
      </c>
      <c r="AZ45" s="267">
        <v>612293</v>
      </c>
      <c r="BA45" s="267">
        <v>30450</v>
      </c>
      <c r="BB45" s="267">
        <v>28150</v>
      </c>
      <c r="BC45" s="267">
        <v>0</v>
      </c>
      <c r="BD45" s="267">
        <v>0</v>
      </c>
      <c r="BE45" s="267">
        <v>1568500</v>
      </c>
      <c r="BF45" s="267">
        <v>0</v>
      </c>
      <c r="BG45" s="267">
        <v>29291</v>
      </c>
      <c r="BH45" s="267">
        <v>3297</v>
      </c>
      <c r="BI45" s="267">
        <v>0</v>
      </c>
      <c r="BJ45" s="267">
        <v>19592</v>
      </c>
      <c r="BK45" s="267">
        <v>0</v>
      </c>
      <c r="BL45" s="267">
        <v>123403</v>
      </c>
      <c r="BM45" s="267">
        <v>0</v>
      </c>
      <c r="BN45" s="267">
        <v>154035</v>
      </c>
      <c r="BO45" s="267">
        <v>217993</v>
      </c>
      <c r="BP45" s="267">
        <v>105097</v>
      </c>
      <c r="BQ45" s="267">
        <v>14450</v>
      </c>
      <c r="BR45" s="267">
        <v>0</v>
      </c>
      <c r="BS45" s="267">
        <v>143102</v>
      </c>
      <c r="BT45" s="267">
        <v>0</v>
      </c>
      <c r="BU45" s="267">
        <v>80544</v>
      </c>
      <c r="BV45" s="267">
        <v>342733</v>
      </c>
      <c r="BW45" s="267">
        <v>0</v>
      </c>
      <c r="BX45" s="267">
        <v>435152</v>
      </c>
      <c r="BY45" s="267">
        <v>32691</v>
      </c>
      <c r="BZ45" s="267">
        <v>851</v>
      </c>
      <c r="CA45" s="1232">
        <v>21679</v>
      </c>
      <c r="CB45" s="267">
        <v>13164</v>
      </c>
      <c r="CC45" s="267">
        <v>0</v>
      </c>
      <c r="CD45" s="267">
        <v>0</v>
      </c>
      <c r="CE45" s="267">
        <v>0</v>
      </c>
    </row>
    <row r="46" spans="1:83" x14ac:dyDescent="0.3">
      <c r="A46" s="267">
        <v>82</v>
      </c>
      <c r="B46" s="267">
        <v>82</v>
      </c>
      <c r="C46" s="267" t="s">
        <v>554</v>
      </c>
      <c r="D46" s="267" t="s">
        <v>350</v>
      </c>
      <c r="E46" s="267">
        <v>0</v>
      </c>
      <c r="F46" s="267">
        <v>0</v>
      </c>
      <c r="G46" s="267">
        <v>76800</v>
      </c>
      <c r="H46" s="267">
        <v>0</v>
      </c>
      <c r="I46" s="267">
        <v>0</v>
      </c>
      <c r="J46" s="267">
        <v>0</v>
      </c>
      <c r="K46" s="267">
        <v>432500</v>
      </c>
      <c r="L46" s="267">
        <v>0</v>
      </c>
      <c r="M46" s="267">
        <v>0</v>
      </c>
      <c r="N46" s="267">
        <v>0</v>
      </c>
      <c r="O46" s="267">
        <v>0</v>
      </c>
      <c r="P46" s="267">
        <v>0</v>
      </c>
      <c r="Q46" s="267">
        <v>0</v>
      </c>
      <c r="R46" s="267">
        <v>23856918</v>
      </c>
      <c r="S46" s="267">
        <v>484447</v>
      </c>
      <c r="T46" s="267">
        <v>0</v>
      </c>
      <c r="U46" s="267">
        <v>57887563</v>
      </c>
      <c r="V46" s="267">
        <v>16708250</v>
      </c>
      <c r="W46" s="267">
        <v>18124494</v>
      </c>
      <c r="X46" s="267">
        <v>0</v>
      </c>
      <c r="Y46" s="267">
        <v>0</v>
      </c>
      <c r="Z46" s="267">
        <v>7674705</v>
      </c>
      <c r="AA46" s="267">
        <v>1157000</v>
      </c>
      <c r="AB46" s="267">
        <v>3682279</v>
      </c>
      <c r="AC46" s="267">
        <v>7159864</v>
      </c>
      <c r="AD46" s="267">
        <v>753616</v>
      </c>
      <c r="AE46" s="1232">
        <v>2019434</v>
      </c>
      <c r="AF46" s="267">
        <v>362120</v>
      </c>
      <c r="AG46" s="267">
        <v>34371</v>
      </c>
      <c r="AH46" s="267">
        <v>213633</v>
      </c>
      <c r="AI46" s="267">
        <v>470088</v>
      </c>
      <c r="AJ46" s="267">
        <v>31611986</v>
      </c>
      <c r="AK46" s="267">
        <v>0</v>
      </c>
      <c r="AL46" s="267">
        <v>839900</v>
      </c>
      <c r="AM46" s="267">
        <v>0</v>
      </c>
      <c r="AN46" s="267">
        <v>8946261</v>
      </c>
      <c r="AO46" s="267">
        <v>0</v>
      </c>
      <c r="AP46" s="267">
        <v>0</v>
      </c>
      <c r="AQ46" s="267">
        <v>0</v>
      </c>
      <c r="AR46" s="267">
        <v>0</v>
      </c>
      <c r="AS46" s="267">
        <v>1462998</v>
      </c>
      <c r="AT46" s="267">
        <v>1045569</v>
      </c>
      <c r="AU46" s="267">
        <v>1942202</v>
      </c>
      <c r="AV46" s="267">
        <v>0</v>
      </c>
      <c r="AW46" s="267">
        <v>86795777</v>
      </c>
      <c r="AX46" s="267">
        <v>0</v>
      </c>
      <c r="AY46" s="267">
        <v>985181</v>
      </c>
      <c r="AZ46" s="267">
        <v>0</v>
      </c>
      <c r="BA46" s="267">
        <v>745000</v>
      </c>
      <c r="BB46" s="267">
        <v>0</v>
      </c>
      <c r="BC46" s="267">
        <v>0</v>
      </c>
      <c r="BD46" s="267">
        <v>0</v>
      </c>
      <c r="BE46" s="267">
        <v>9972272</v>
      </c>
      <c r="BF46" s="267">
        <v>0</v>
      </c>
      <c r="BG46" s="267">
        <v>496827</v>
      </c>
      <c r="BH46" s="267">
        <v>0</v>
      </c>
      <c r="BI46" s="267">
        <v>0</v>
      </c>
      <c r="BJ46" s="267">
        <v>83362</v>
      </c>
      <c r="BK46" s="267">
        <v>0</v>
      </c>
      <c r="BL46" s="267">
        <v>926498</v>
      </c>
      <c r="BM46" s="267">
        <v>0</v>
      </c>
      <c r="BN46" s="267">
        <v>582304</v>
      </c>
      <c r="BO46" s="267">
        <v>2705000</v>
      </c>
      <c r="BP46" s="267">
        <v>927161</v>
      </c>
      <c r="BQ46" s="267">
        <v>0</v>
      </c>
      <c r="BR46" s="267">
        <v>0</v>
      </c>
      <c r="BS46" s="267">
        <v>0</v>
      </c>
      <c r="BT46" s="267">
        <v>0</v>
      </c>
      <c r="BU46" s="267">
        <v>1011520</v>
      </c>
      <c r="BV46" s="267">
        <v>1477589</v>
      </c>
      <c r="BW46" s="267">
        <v>0</v>
      </c>
      <c r="BX46" s="267">
        <v>676319</v>
      </c>
      <c r="BY46" s="267">
        <v>0</v>
      </c>
      <c r="BZ46" s="267">
        <v>0</v>
      </c>
      <c r="CA46" s="1232">
        <v>622909</v>
      </c>
      <c r="CB46" s="267">
        <v>401000</v>
      </c>
      <c r="CC46" s="267">
        <v>0</v>
      </c>
      <c r="CD46" s="267">
        <v>0</v>
      </c>
      <c r="CE46" s="267">
        <v>0</v>
      </c>
    </row>
    <row r="47" spans="1:83" x14ac:dyDescent="0.3">
      <c r="A47" s="267">
        <v>83</v>
      </c>
      <c r="B47" s="267">
        <v>83</v>
      </c>
      <c r="C47" s="267" t="s">
        <v>102</v>
      </c>
      <c r="D47" s="267" t="s">
        <v>351</v>
      </c>
      <c r="E47" s="267">
        <v>0</v>
      </c>
      <c r="F47" s="267">
        <v>0</v>
      </c>
      <c r="G47" s="267">
        <v>4094091</v>
      </c>
      <c r="H47" s="267">
        <v>0</v>
      </c>
      <c r="I47" s="267">
        <v>0</v>
      </c>
      <c r="J47" s="267">
        <v>0</v>
      </c>
      <c r="K47" s="267">
        <v>2072818</v>
      </c>
      <c r="L47" s="267">
        <v>0</v>
      </c>
      <c r="M47" s="267">
        <v>0</v>
      </c>
      <c r="N47" s="267">
        <v>0</v>
      </c>
      <c r="O47" s="267">
        <v>0</v>
      </c>
      <c r="P47" s="267">
        <v>13894666</v>
      </c>
      <c r="Q47" s="267">
        <v>0</v>
      </c>
      <c r="R47" s="267">
        <v>106783239</v>
      </c>
      <c r="S47" s="267">
        <v>1954458</v>
      </c>
      <c r="T47" s="267">
        <v>0</v>
      </c>
      <c r="U47" s="267">
        <v>124322211</v>
      </c>
      <c r="V47" s="267">
        <v>47137866</v>
      </c>
      <c r="W47" s="267">
        <v>58659205</v>
      </c>
      <c r="X47" s="267">
        <v>0</v>
      </c>
      <c r="Y47" s="267">
        <v>3503998</v>
      </c>
      <c r="Z47" s="267">
        <v>37653329</v>
      </c>
      <c r="AA47" s="267">
        <v>9974824</v>
      </c>
      <c r="AB47" s="267">
        <v>31026933</v>
      </c>
      <c r="AC47" s="267">
        <v>17111592</v>
      </c>
      <c r="AD47" s="267">
        <v>3537402</v>
      </c>
      <c r="AE47" s="1232">
        <v>5032473</v>
      </c>
      <c r="AF47" s="267">
        <v>13397773</v>
      </c>
      <c r="AG47" s="267">
        <v>9009448</v>
      </c>
      <c r="AH47" s="267">
        <v>10087426</v>
      </c>
      <c r="AI47" s="267">
        <v>3551885</v>
      </c>
      <c r="AJ47" s="267">
        <v>101543246</v>
      </c>
      <c r="AK47" s="267">
        <v>2354181</v>
      </c>
      <c r="AL47" s="267">
        <v>3909003</v>
      </c>
      <c r="AM47" s="267">
        <v>0</v>
      </c>
      <c r="AN47" s="267">
        <v>23273934</v>
      </c>
      <c r="AO47" s="267">
        <v>0</v>
      </c>
      <c r="AP47" s="267">
        <v>0</v>
      </c>
      <c r="AQ47" s="267">
        <v>0</v>
      </c>
      <c r="AR47" s="267">
        <v>0</v>
      </c>
      <c r="AS47" s="267">
        <v>18737237</v>
      </c>
      <c r="AT47" s="267">
        <v>6027338</v>
      </c>
      <c r="AU47" s="267">
        <v>9852420</v>
      </c>
      <c r="AV47" s="267">
        <v>0</v>
      </c>
      <c r="AW47" s="267">
        <v>53355977</v>
      </c>
      <c r="AX47" s="267">
        <v>0</v>
      </c>
      <c r="AY47" s="267">
        <v>7032414</v>
      </c>
      <c r="AZ47" s="267">
        <v>10615778</v>
      </c>
      <c r="BA47" s="267">
        <v>6043356</v>
      </c>
      <c r="BB47" s="267">
        <v>1282245</v>
      </c>
      <c r="BC47" s="267">
        <v>0</v>
      </c>
      <c r="BD47" s="267">
        <v>0</v>
      </c>
      <c r="BE47" s="267">
        <v>27290247</v>
      </c>
      <c r="BF47" s="267">
        <v>0</v>
      </c>
      <c r="BG47" s="267">
        <v>2632146</v>
      </c>
      <c r="BH47" s="267">
        <v>2442072</v>
      </c>
      <c r="BI47" s="267">
        <v>0</v>
      </c>
      <c r="BJ47" s="267">
        <v>3166836</v>
      </c>
      <c r="BK47" s="267">
        <v>0</v>
      </c>
      <c r="BL47" s="267">
        <v>14803609</v>
      </c>
      <c r="BM47" s="267">
        <v>0</v>
      </c>
      <c r="BN47" s="267">
        <v>5597876</v>
      </c>
      <c r="BO47" s="267">
        <v>1536619</v>
      </c>
      <c r="BP47" s="267">
        <v>1813195</v>
      </c>
      <c r="BQ47" s="267">
        <v>1414674</v>
      </c>
      <c r="BR47" s="267">
        <v>0</v>
      </c>
      <c r="BS47" s="267">
        <v>4954315</v>
      </c>
      <c r="BT47" s="267">
        <v>0</v>
      </c>
      <c r="BU47" s="267">
        <v>6355001</v>
      </c>
      <c r="BV47" s="267">
        <v>14197473</v>
      </c>
      <c r="BW47" s="267">
        <v>0</v>
      </c>
      <c r="BX47" s="267">
        <v>10544969</v>
      </c>
      <c r="BY47" s="267">
        <v>3156368</v>
      </c>
      <c r="BZ47" s="267">
        <v>656834</v>
      </c>
      <c r="CA47" s="1232">
        <v>3834108</v>
      </c>
      <c r="CB47" s="267">
        <v>4451734</v>
      </c>
      <c r="CC47" s="267">
        <v>0</v>
      </c>
      <c r="CD47" s="267">
        <v>0</v>
      </c>
      <c r="CE47" s="267">
        <v>829164</v>
      </c>
    </row>
    <row r="48" spans="1:83" x14ac:dyDescent="0.3">
      <c r="A48" s="267">
        <v>84</v>
      </c>
      <c r="B48" s="267">
        <v>84</v>
      </c>
      <c r="C48" s="267" t="s">
        <v>227</v>
      </c>
      <c r="D48" s="267" t="s">
        <v>352</v>
      </c>
      <c r="E48" s="267">
        <v>0</v>
      </c>
      <c r="F48" s="267">
        <v>0</v>
      </c>
      <c r="G48" s="267">
        <v>547358</v>
      </c>
      <c r="H48" s="267">
        <v>0</v>
      </c>
      <c r="I48" s="267">
        <v>0</v>
      </c>
      <c r="J48" s="267">
        <v>0</v>
      </c>
      <c r="K48" s="267">
        <v>112309</v>
      </c>
      <c r="L48" s="267">
        <v>0</v>
      </c>
      <c r="M48" s="267">
        <v>0</v>
      </c>
      <c r="N48" s="267">
        <v>0</v>
      </c>
      <c r="O48" s="267">
        <v>0</v>
      </c>
      <c r="P48" s="267">
        <v>2909363</v>
      </c>
      <c r="Q48" s="267">
        <v>0</v>
      </c>
      <c r="R48" s="267">
        <v>18682595</v>
      </c>
      <c r="S48" s="267">
        <v>346654</v>
      </c>
      <c r="T48" s="267">
        <v>0</v>
      </c>
      <c r="U48" s="267">
        <v>24279085</v>
      </c>
      <c r="V48" s="267">
        <v>7604095</v>
      </c>
      <c r="W48" s="267">
        <v>12061175</v>
      </c>
      <c r="X48" s="267">
        <v>0</v>
      </c>
      <c r="Y48" s="267">
        <v>178424</v>
      </c>
      <c r="Z48" s="267">
        <v>6109810</v>
      </c>
      <c r="AA48" s="267">
        <v>1134415</v>
      </c>
      <c r="AB48" s="267">
        <v>7889644</v>
      </c>
      <c r="AC48" s="267">
        <v>2987379</v>
      </c>
      <c r="AD48" s="267">
        <v>1141247</v>
      </c>
      <c r="AE48" s="1232">
        <v>1336823</v>
      </c>
      <c r="AF48" s="267">
        <v>1640112</v>
      </c>
      <c r="AG48" s="267">
        <v>3090414</v>
      </c>
      <c r="AH48" s="267">
        <v>4112704</v>
      </c>
      <c r="AI48" s="267">
        <v>381557</v>
      </c>
      <c r="AJ48" s="267">
        <v>21969143</v>
      </c>
      <c r="AK48" s="267">
        <v>257164</v>
      </c>
      <c r="AL48" s="267">
        <v>501048</v>
      </c>
      <c r="AM48" s="267">
        <v>0</v>
      </c>
      <c r="AN48" s="267">
        <v>7547889</v>
      </c>
      <c r="AO48" s="267">
        <v>0</v>
      </c>
      <c r="AP48" s="267">
        <v>0</v>
      </c>
      <c r="AQ48" s="267">
        <v>0</v>
      </c>
      <c r="AR48" s="267">
        <v>0</v>
      </c>
      <c r="AS48" s="267">
        <v>3000919</v>
      </c>
      <c r="AT48" s="267">
        <v>299291</v>
      </c>
      <c r="AU48" s="267">
        <v>1405157</v>
      </c>
      <c r="AV48" s="267">
        <v>0</v>
      </c>
      <c r="AW48" s="267">
        <v>16417840</v>
      </c>
      <c r="AX48" s="267">
        <v>0</v>
      </c>
      <c r="AY48" s="267">
        <v>1061364</v>
      </c>
      <c r="AZ48" s="267">
        <v>2856626</v>
      </c>
      <c r="BA48" s="267">
        <v>549466</v>
      </c>
      <c r="BB48" s="267">
        <v>302447</v>
      </c>
      <c r="BC48" s="267">
        <v>0</v>
      </c>
      <c r="BD48" s="267">
        <v>0</v>
      </c>
      <c r="BE48" s="267">
        <v>7001881</v>
      </c>
      <c r="BF48" s="267">
        <v>0</v>
      </c>
      <c r="BG48" s="267">
        <v>230045</v>
      </c>
      <c r="BH48" s="267">
        <v>109019</v>
      </c>
      <c r="BI48" s="267">
        <v>0</v>
      </c>
      <c r="BJ48" s="267">
        <v>164295</v>
      </c>
      <c r="BK48" s="267">
        <v>0</v>
      </c>
      <c r="BL48" s="267">
        <v>3022075</v>
      </c>
      <c r="BM48" s="267">
        <v>0</v>
      </c>
      <c r="BN48" s="267">
        <v>907038</v>
      </c>
      <c r="BO48" s="267">
        <v>766884</v>
      </c>
      <c r="BP48" s="267">
        <v>875674</v>
      </c>
      <c r="BQ48" s="267">
        <v>474696</v>
      </c>
      <c r="BR48" s="267">
        <v>0</v>
      </c>
      <c r="BS48" s="267">
        <v>657025</v>
      </c>
      <c r="BT48" s="267">
        <v>0</v>
      </c>
      <c r="BU48" s="267">
        <v>584973</v>
      </c>
      <c r="BV48" s="267">
        <v>2930155</v>
      </c>
      <c r="BW48" s="267">
        <v>0</v>
      </c>
      <c r="BX48" s="267">
        <v>1907067</v>
      </c>
      <c r="BY48" s="267">
        <v>292770</v>
      </c>
      <c r="BZ48" s="267">
        <v>10486</v>
      </c>
      <c r="CA48" s="1232">
        <v>244229</v>
      </c>
      <c r="CB48" s="267">
        <v>179583</v>
      </c>
      <c r="CC48" s="267">
        <v>0</v>
      </c>
      <c r="CD48" s="267">
        <v>0</v>
      </c>
      <c r="CE48" s="267">
        <v>22373</v>
      </c>
    </row>
    <row r="49" spans="1:83" x14ac:dyDescent="0.3">
      <c r="A49" s="267">
        <v>85</v>
      </c>
      <c r="B49" s="267">
        <v>85</v>
      </c>
      <c r="C49" s="267" t="s">
        <v>229</v>
      </c>
      <c r="D49" s="267" t="s">
        <v>353</v>
      </c>
      <c r="E49" s="267">
        <v>0</v>
      </c>
      <c r="F49" s="267">
        <v>0</v>
      </c>
      <c r="G49" s="267">
        <v>628335</v>
      </c>
      <c r="H49" s="267">
        <v>0</v>
      </c>
      <c r="I49" s="267">
        <v>0</v>
      </c>
      <c r="J49" s="267">
        <v>0</v>
      </c>
      <c r="K49" s="267">
        <v>163964</v>
      </c>
      <c r="L49" s="267">
        <v>0</v>
      </c>
      <c r="M49" s="267">
        <v>0</v>
      </c>
      <c r="N49" s="267">
        <v>0</v>
      </c>
      <c r="O49" s="267">
        <v>0</v>
      </c>
      <c r="P49" s="267">
        <v>3173242</v>
      </c>
      <c r="Q49" s="267">
        <v>0</v>
      </c>
      <c r="R49" s="267">
        <v>9057827</v>
      </c>
      <c r="S49" s="267">
        <v>302227</v>
      </c>
      <c r="T49" s="267">
        <v>0</v>
      </c>
      <c r="U49" s="267">
        <v>18182804</v>
      </c>
      <c r="V49" s="267">
        <v>5550511</v>
      </c>
      <c r="W49" s="267">
        <v>9583276</v>
      </c>
      <c r="X49" s="267">
        <v>0</v>
      </c>
      <c r="Y49" s="267">
        <v>325755</v>
      </c>
      <c r="Z49" s="267">
        <v>5625880</v>
      </c>
      <c r="AA49" s="267">
        <v>1293861</v>
      </c>
      <c r="AB49" s="267">
        <v>6739496</v>
      </c>
      <c r="AC49" s="267">
        <v>2899522</v>
      </c>
      <c r="AD49" s="267">
        <v>927157</v>
      </c>
      <c r="AE49" s="1232">
        <v>1273122</v>
      </c>
      <c r="AF49" s="267">
        <v>2231278</v>
      </c>
      <c r="AG49" s="267">
        <v>3379372</v>
      </c>
      <c r="AH49" s="267">
        <v>4121796</v>
      </c>
      <c r="AI49" s="267">
        <v>643773</v>
      </c>
      <c r="AJ49" s="267">
        <v>18145311</v>
      </c>
      <c r="AK49" s="267">
        <v>294106</v>
      </c>
      <c r="AL49" s="267">
        <v>630413</v>
      </c>
      <c r="AM49" s="267">
        <v>0</v>
      </c>
      <c r="AN49" s="267">
        <v>7529542</v>
      </c>
      <c r="AO49" s="267">
        <v>0</v>
      </c>
      <c r="AP49" s="267">
        <v>0</v>
      </c>
      <c r="AQ49" s="267">
        <v>0</v>
      </c>
      <c r="AR49" s="267">
        <v>0</v>
      </c>
      <c r="AS49" s="267">
        <v>2760166</v>
      </c>
      <c r="AT49" s="267">
        <v>384336</v>
      </c>
      <c r="AU49" s="267">
        <v>1520879</v>
      </c>
      <c r="AV49" s="267">
        <v>0</v>
      </c>
      <c r="AW49" s="267">
        <v>13067631</v>
      </c>
      <c r="AX49" s="267">
        <v>0</v>
      </c>
      <c r="AY49" s="267">
        <v>1026424</v>
      </c>
      <c r="AZ49" s="267">
        <v>2515064</v>
      </c>
      <c r="BA49" s="267">
        <v>814362</v>
      </c>
      <c r="BB49" s="267">
        <v>363966</v>
      </c>
      <c r="BC49" s="267">
        <v>0</v>
      </c>
      <c r="BD49" s="267">
        <v>0</v>
      </c>
      <c r="BE49" s="267">
        <v>4811919</v>
      </c>
      <c r="BF49" s="267">
        <v>0</v>
      </c>
      <c r="BG49" s="267">
        <v>260616</v>
      </c>
      <c r="BH49" s="267">
        <v>169151</v>
      </c>
      <c r="BI49" s="267">
        <v>0</v>
      </c>
      <c r="BJ49" s="267">
        <v>196304</v>
      </c>
      <c r="BK49" s="267">
        <v>0</v>
      </c>
      <c r="BL49" s="267">
        <v>2923641</v>
      </c>
      <c r="BM49" s="267">
        <v>0</v>
      </c>
      <c r="BN49" s="267">
        <v>1156437</v>
      </c>
      <c r="BO49" s="267">
        <v>580657</v>
      </c>
      <c r="BP49" s="267">
        <v>906104</v>
      </c>
      <c r="BQ49" s="267">
        <v>352627</v>
      </c>
      <c r="BR49" s="267">
        <v>0</v>
      </c>
      <c r="BS49" s="267">
        <v>981259</v>
      </c>
      <c r="BT49" s="267">
        <v>0</v>
      </c>
      <c r="BU49" s="267">
        <v>825902</v>
      </c>
      <c r="BV49" s="267">
        <v>3257982</v>
      </c>
      <c r="BW49" s="267">
        <v>0</v>
      </c>
      <c r="BX49" s="267">
        <v>2027406</v>
      </c>
      <c r="BY49" s="267">
        <v>422812</v>
      </c>
      <c r="BZ49" s="267">
        <v>32938</v>
      </c>
      <c r="CA49" s="1232">
        <v>622496</v>
      </c>
      <c r="CB49" s="267">
        <v>321317</v>
      </c>
      <c r="CC49" s="267">
        <v>0</v>
      </c>
      <c r="CD49" s="267">
        <v>0</v>
      </c>
      <c r="CE49" s="267">
        <v>49794</v>
      </c>
    </row>
    <row r="50" spans="1:83" x14ac:dyDescent="0.3">
      <c r="A50" s="267">
        <v>88</v>
      </c>
      <c r="B50" s="267">
        <v>88</v>
      </c>
      <c r="C50" s="267" t="s">
        <v>226</v>
      </c>
      <c r="D50" s="267" t="s">
        <v>354</v>
      </c>
      <c r="E50" s="267">
        <v>0</v>
      </c>
      <c r="F50" s="267">
        <v>0</v>
      </c>
      <c r="G50" s="267">
        <v>504977</v>
      </c>
      <c r="H50" s="267">
        <v>0</v>
      </c>
      <c r="I50" s="267">
        <v>0</v>
      </c>
      <c r="J50" s="267">
        <v>0</v>
      </c>
      <c r="K50" s="267">
        <v>110959</v>
      </c>
      <c r="L50" s="267">
        <v>0</v>
      </c>
      <c r="M50" s="267">
        <v>0</v>
      </c>
      <c r="N50" s="267">
        <v>0</v>
      </c>
      <c r="O50" s="267">
        <v>0</v>
      </c>
      <c r="P50" s="267">
        <v>2676211</v>
      </c>
      <c r="Q50" s="267">
        <v>0</v>
      </c>
      <c r="R50" s="267">
        <v>17961501</v>
      </c>
      <c r="S50" s="267">
        <v>293315</v>
      </c>
      <c r="T50" s="267">
        <v>0</v>
      </c>
      <c r="U50" s="267">
        <v>23547737</v>
      </c>
      <c r="V50" s="267">
        <v>7284789</v>
      </c>
      <c r="W50" s="267">
        <v>12061175</v>
      </c>
      <c r="X50" s="267">
        <v>0</v>
      </c>
      <c r="Y50" s="267">
        <v>178424</v>
      </c>
      <c r="Z50" s="267">
        <v>6062842</v>
      </c>
      <c r="AA50" s="267">
        <v>1107770</v>
      </c>
      <c r="AB50" s="267">
        <v>5804414</v>
      </c>
      <c r="AC50" s="267">
        <v>2983679</v>
      </c>
      <c r="AD50" s="267">
        <v>1085598</v>
      </c>
      <c r="AE50" s="1232">
        <v>1300866</v>
      </c>
      <c r="AF50" s="267">
        <v>1587686</v>
      </c>
      <c r="AG50" s="267">
        <v>3028910</v>
      </c>
      <c r="AH50" s="267">
        <v>3999485</v>
      </c>
      <c r="AI50" s="267">
        <v>343212</v>
      </c>
      <c r="AJ50" s="267">
        <v>20882048</v>
      </c>
      <c r="AK50" s="267">
        <v>255514</v>
      </c>
      <c r="AL50" s="267">
        <v>501048</v>
      </c>
      <c r="AM50" s="267">
        <v>0</v>
      </c>
      <c r="AN50" s="267">
        <v>6862966</v>
      </c>
      <c r="AO50" s="267">
        <v>0</v>
      </c>
      <c r="AP50" s="267">
        <v>0</v>
      </c>
      <c r="AQ50" s="267">
        <v>0</v>
      </c>
      <c r="AR50" s="267">
        <v>0</v>
      </c>
      <c r="AS50" s="267">
        <v>2953309</v>
      </c>
      <c r="AT50" s="267">
        <v>299291</v>
      </c>
      <c r="AU50" s="267">
        <v>1279046</v>
      </c>
      <c r="AV50" s="267">
        <v>0</v>
      </c>
      <c r="AW50" s="267">
        <v>16093126</v>
      </c>
      <c r="AX50" s="267">
        <v>0</v>
      </c>
      <c r="AY50" s="267">
        <v>992842</v>
      </c>
      <c r="AZ50" s="267">
        <v>2567199</v>
      </c>
      <c r="BA50" s="267">
        <v>429825</v>
      </c>
      <c r="BB50" s="267">
        <v>289995</v>
      </c>
      <c r="BC50" s="267">
        <v>0</v>
      </c>
      <c r="BD50" s="267">
        <v>0</v>
      </c>
      <c r="BE50" s="267">
        <v>5947911</v>
      </c>
      <c r="BF50" s="267">
        <v>0</v>
      </c>
      <c r="BG50" s="267">
        <v>225360</v>
      </c>
      <c r="BH50" s="267">
        <v>109019</v>
      </c>
      <c r="BI50" s="267">
        <v>0</v>
      </c>
      <c r="BJ50" s="267">
        <v>164295</v>
      </c>
      <c r="BK50" s="267">
        <v>0</v>
      </c>
      <c r="BL50" s="267">
        <v>3022075</v>
      </c>
      <c r="BM50" s="267">
        <v>0</v>
      </c>
      <c r="BN50" s="267">
        <v>818117</v>
      </c>
      <c r="BO50" s="267">
        <v>757281</v>
      </c>
      <c r="BP50" s="267">
        <v>795246</v>
      </c>
      <c r="BQ50" s="267">
        <v>474696</v>
      </c>
      <c r="BR50" s="267">
        <v>0</v>
      </c>
      <c r="BS50" s="267">
        <v>655522</v>
      </c>
      <c r="BT50" s="267">
        <v>0</v>
      </c>
      <c r="BU50" s="267">
        <v>580098</v>
      </c>
      <c r="BV50" s="267">
        <v>2827757</v>
      </c>
      <c r="BW50" s="267">
        <v>0</v>
      </c>
      <c r="BX50" s="267">
        <v>1907067</v>
      </c>
      <c r="BY50" s="267">
        <v>285797</v>
      </c>
      <c r="BZ50" s="267">
        <v>10486</v>
      </c>
      <c r="CA50" s="1232">
        <v>242976</v>
      </c>
      <c r="CB50" s="267">
        <v>179443</v>
      </c>
      <c r="CC50" s="267">
        <v>0</v>
      </c>
      <c r="CD50" s="267">
        <v>0</v>
      </c>
      <c r="CE50" s="267">
        <v>22373</v>
      </c>
    </row>
    <row r="51" spans="1:83" x14ac:dyDescent="0.3">
      <c r="A51" s="267">
        <v>89</v>
      </c>
      <c r="B51" s="267">
        <v>89</v>
      </c>
      <c r="C51" s="267" t="s">
        <v>230</v>
      </c>
      <c r="D51" s="267" t="s">
        <v>355</v>
      </c>
      <c r="E51" s="267">
        <v>0</v>
      </c>
      <c r="F51" s="267">
        <v>0</v>
      </c>
      <c r="G51" s="267">
        <v>2269</v>
      </c>
      <c r="H51" s="267">
        <v>0</v>
      </c>
      <c r="I51" s="267">
        <v>0</v>
      </c>
      <c r="J51" s="267">
        <v>0</v>
      </c>
      <c r="K51" s="267">
        <v>8178</v>
      </c>
      <c r="L51" s="267">
        <v>0</v>
      </c>
      <c r="M51" s="267">
        <v>0</v>
      </c>
      <c r="N51" s="267">
        <v>0</v>
      </c>
      <c r="O51" s="267">
        <v>0</v>
      </c>
      <c r="P51" s="267">
        <v>0</v>
      </c>
      <c r="Q51" s="267">
        <v>0</v>
      </c>
      <c r="R51" s="267">
        <v>860757</v>
      </c>
      <c r="S51" s="267">
        <v>10840</v>
      </c>
      <c r="T51" s="267">
        <v>0</v>
      </c>
      <c r="U51" s="267">
        <v>2651509</v>
      </c>
      <c r="V51" s="267">
        <v>408145</v>
      </c>
      <c r="W51" s="267">
        <v>405801</v>
      </c>
      <c r="X51" s="267">
        <v>0</v>
      </c>
      <c r="Y51" s="267">
        <v>0</v>
      </c>
      <c r="Z51" s="267">
        <v>277039</v>
      </c>
      <c r="AA51" s="267">
        <v>39741</v>
      </c>
      <c r="AB51" s="267">
        <v>113786</v>
      </c>
      <c r="AC51" s="267">
        <v>276100</v>
      </c>
      <c r="AD51" s="267">
        <v>23663</v>
      </c>
      <c r="AE51" s="1232">
        <v>51815</v>
      </c>
      <c r="AF51" s="267">
        <v>0</v>
      </c>
      <c r="AG51" s="267">
        <v>2662</v>
      </c>
      <c r="AH51" s="267">
        <v>3734</v>
      </c>
      <c r="AI51" s="267">
        <v>13111</v>
      </c>
      <c r="AJ51" s="267">
        <v>771475</v>
      </c>
      <c r="AK51" s="267">
        <v>0</v>
      </c>
      <c r="AL51" s="267">
        <v>38695</v>
      </c>
      <c r="AM51" s="267">
        <v>0</v>
      </c>
      <c r="AN51" s="267">
        <v>248896</v>
      </c>
      <c r="AO51" s="267">
        <v>0</v>
      </c>
      <c r="AP51" s="267">
        <v>0</v>
      </c>
      <c r="AQ51" s="267">
        <v>0</v>
      </c>
      <c r="AR51" s="267">
        <v>0</v>
      </c>
      <c r="AS51" s="267">
        <v>27038</v>
      </c>
      <c r="AT51" s="267">
        <v>25793</v>
      </c>
      <c r="AU51" s="267">
        <v>38793</v>
      </c>
      <c r="AV51" s="267">
        <v>0</v>
      </c>
      <c r="AW51" s="267">
        <v>3386629</v>
      </c>
      <c r="AX51" s="267">
        <v>0</v>
      </c>
      <c r="AY51" s="267">
        <v>0</v>
      </c>
      <c r="AZ51" s="267">
        <v>0</v>
      </c>
      <c r="BA51" s="267">
        <v>34764</v>
      </c>
      <c r="BB51" s="267">
        <v>0</v>
      </c>
      <c r="BC51" s="267">
        <v>0</v>
      </c>
      <c r="BD51" s="267">
        <v>0</v>
      </c>
      <c r="BE51" s="267">
        <v>86162</v>
      </c>
      <c r="BF51" s="267">
        <v>0</v>
      </c>
      <c r="BG51" s="267">
        <v>139</v>
      </c>
      <c r="BH51" s="267">
        <v>0</v>
      </c>
      <c r="BI51" s="267">
        <v>0</v>
      </c>
      <c r="BJ51" s="267">
        <v>0</v>
      </c>
      <c r="BK51" s="267">
        <v>0</v>
      </c>
      <c r="BL51" s="267">
        <v>49856</v>
      </c>
      <c r="BM51" s="267">
        <v>0</v>
      </c>
      <c r="BN51" s="267">
        <v>17888</v>
      </c>
      <c r="BO51" s="267">
        <v>114378</v>
      </c>
      <c r="BP51" s="267">
        <v>32197</v>
      </c>
      <c r="BQ51" s="267">
        <v>330</v>
      </c>
      <c r="BR51" s="267">
        <v>0</v>
      </c>
      <c r="BS51" s="267">
        <v>0</v>
      </c>
      <c r="BT51" s="267">
        <v>0</v>
      </c>
      <c r="BU51" s="267">
        <v>27673</v>
      </c>
      <c r="BV51" s="267">
        <v>18325</v>
      </c>
      <c r="BW51" s="267">
        <v>0</v>
      </c>
      <c r="BX51" s="267">
        <v>20325</v>
      </c>
      <c r="BY51" s="267">
        <v>0</v>
      </c>
      <c r="BZ51" s="267">
        <v>0</v>
      </c>
      <c r="CA51" s="1232">
        <v>31718</v>
      </c>
      <c r="CB51" s="267">
        <v>9690</v>
      </c>
      <c r="CC51" s="267">
        <v>0</v>
      </c>
      <c r="CD51" s="267">
        <v>0</v>
      </c>
      <c r="CE51" s="267">
        <v>0</v>
      </c>
    </row>
    <row r="52" spans="1:83" x14ac:dyDescent="0.3">
      <c r="A52" s="267">
        <v>90</v>
      </c>
      <c r="B52" s="267">
        <v>90</v>
      </c>
      <c r="C52" s="267" t="s">
        <v>223</v>
      </c>
      <c r="D52" s="267" t="s">
        <v>356</v>
      </c>
      <c r="E52" s="267">
        <v>0</v>
      </c>
      <c r="F52" s="267">
        <v>0</v>
      </c>
      <c r="G52" s="267">
        <v>0</v>
      </c>
      <c r="H52" s="267">
        <v>0</v>
      </c>
      <c r="I52" s="267">
        <v>0</v>
      </c>
      <c r="J52" s="267">
        <v>0</v>
      </c>
      <c r="K52" s="267">
        <v>0</v>
      </c>
      <c r="L52" s="267">
        <v>0</v>
      </c>
      <c r="M52" s="267">
        <v>0</v>
      </c>
      <c r="N52" s="267">
        <v>0</v>
      </c>
      <c r="O52" s="267">
        <v>0</v>
      </c>
      <c r="P52" s="267">
        <v>0</v>
      </c>
      <c r="Q52" s="267">
        <v>0</v>
      </c>
      <c r="R52" s="267">
        <v>51534815</v>
      </c>
      <c r="S52" s="267">
        <v>0</v>
      </c>
      <c r="T52" s="267">
        <v>0</v>
      </c>
      <c r="U52" s="267">
        <v>0</v>
      </c>
      <c r="V52" s="267">
        <v>0</v>
      </c>
      <c r="W52" s="267">
        <v>9402255</v>
      </c>
      <c r="X52" s="267">
        <v>0</v>
      </c>
      <c r="Y52" s="267">
        <v>0</v>
      </c>
      <c r="Z52" s="267">
        <v>0</v>
      </c>
      <c r="AA52" s="267">
        <v>0</v>
      </c>
      <c r="AB52" s="267">
        <v>0</v>
      </c>
      <c r="AC52" s="267">
        <v>0</v>
      </c>
      <c r="AD52" s="267">
        <v>0</v>
      </c>
      <c r="AE52" s="267">
        <v>0</v>
      </c>
      <c r="AF52" s="267">
        <v>0</v>
      </c>
      <c r="AG52" s="267">
        <v>0</v>
      </c>
      <c r="AH52" s="267">
        <v>0</v>
      </c>
      <c r="AI52" s="267">
        <v>0</v>
      </c>
      <c r="AJ52" s="267">
        <v>18793028</v>
      </c>
      <c r="AK52" s="267">
        <v>0</v>
      </c>
      <c r="AL52" s="267">
        <v>0</v>
      </c>
      <c r="AM52" s="267">
        <v>0</v>
      </c>
      <c r="AN52" s="267">
        <v>6147009</v>
      </c>
      <c r="AO52" s="267">
        <v>0</v>
      </c>
      <c r="AP52" s="267">
        <v>0</v>
      </c>
      <c r="AQ52" s="267">
        <v>0</v>
      </c>
      <c r="AR52" s="267">
        <v>0</v>
      </c>
      <c r="AS52" s="267">
        <v>0</v>
      </c>
      <c r="AT52" s="267">
        <v>0</v>
      </c>
      <c r="AU52" s="267">
        <v>0</v>
      </c>
      <c r="AV52" s="267">
        <v>0</v>
      </c>
      <c r="AW52" s="267">
        <v>0</v>
      </c>
      <c r="AX52" s="267">
        <v>0</v>
      </c>
      <c r="AY52" s="267">
        <v>0</v>
      </c>
      <c r="AZ52" s="267">
        <v>0</v>
      </c>
      <c r="BA52" s="267">
        <v>0</v>
      </c>
      <c r="BB52" s="267">
        <v>0</v>
      </c>
      <c r="BC52" s="267">
        <v>0</v>
      </c>
      <c r="BD52" s="267">
        <v>0</v>
      </c>
      <c r="BE52" s="267">
        <v>0</v>
      </c>
      <c r="BF52" s="267">
        <v>0</v>
      </c>
      <c r="BG52" s="267">
        <v>0</v>
      </c>
      <c r="BH52" s="267">
        <v>0</v>
      </c>
      <c r="BI52" s="267">
        <v>0</v>
      </c>
      <c r="BJ52" s="267">
        <v>0</v>
      </c>
      <c r="BK52" s="267">
        <v>0</v>
      </c>
      <c r="BL52" s="267">
        <v>0</v>
      </c>
      <c r="BM52" s="267">
        <v>0</v>
      </c>
      <c r="BN52" s="267">
        <v>0</v>
      </c>
      <c r="BO52" s="267">
        <v>0</v>
      </c>
      <c r="BP52" s="267">
        <v>0</v>
      </c>
      <c r="BQ52" s="267">
        <v>0</v>
      </c>
      <c r="BR52" s="267">
        <v>0</v>
      </c>
      <c r="BS52" s="267">
        <v>626582</v>
      </c>
      <c r="BT52" s="267">
        <v>1964171</v>
      </c>
      <c r="BU52" s="267">
        <v>0</v>
      </c>
      <c r="BV52" s="267">
        <v>0</v>
      </c>
      <c r="BW52" s="267">
        <v>0</v>
      </c>
      <c r="BX52" s="267">
        <v>0</v>
      </c>
      <c r="BY52" s="267">
        <v>0</v>
      </c>
      <c r="BZ52" s="267">
        <v>0</v>
      </c>
      <c r="CA52" s="267">
        <v>0</v>
      </c>
      <c r="CB52" s="267">
        <v>0</v>
      </c>
      <c r="CC52" s="267">
        <v>0</v>
      </c>
      <c r="CD52" s="267">
        <v>0</v>
      </c>
      <c r="CE52" s="267">
        <v>0</v>
      </c>
    </row>
    <row r="53" spans="1:83" x14ac:dyDescent="0.3">
      <c r="A53" s="267">
        <v>91</v>
      </c>
      <c r="B53" s="267">
        <v>91</v>
      </c>
      <c r="C53" s="267" t="s">
        <v>224</v>
      </c>
      <c r="D53" s="267" t="s">
        <v>357</v>
      </c>
      <c r="E53" s="267">
        <v>0</v>
      </c>
      <c r="F53" s="267">
        <v>0</v>
      </c>
      <c r="G53" s="267">
        <v>0</v>
      </c>
      <c r="H53" s="267">
        <v>0</v>
      </c>
      <c r="I53" s="267">
        <v>0</v>
      </c>
      <c r="J53" s="267">
        <v>0</v>
      </c>
      <c r="K53" s="267">
        <v>0</v>
      </c>
      <c r="L53" s="267">
        <v>0</v>
      </c>
      <c r="M53" s="267">
        <v>0</v>
      </c>
      <c r="N53" s="267">
        <v>0</v>
      </c>
      <c r="O53" s="267">
        <v>0</v>
      </c>
      <c r="P53" s="267">
        <v>0</v>
      </c>
      <c r="Q53" s="267">
        <v>0</v>
      </c>
      <c r="R53" s="267">
        <v>9141282</v>
      </c>
      <c r="S53" s="267">
        <v>0</v>
      </c>
      <c r="T53" s="267">
        <v>0</v>
      </c>
      <c r="U53" s="267">
        <v>0</v>
      </c>
      <c r="V53" s="267">
        <v>0</v>
      </c>
      <c r="W53" s="267">
        <v>4130264</v>
      </c>
      <c r="X53" s="267">
        <v>0</v>
      </c>
      <c r="Y53" s="267">
        <v>0</v>
      </c>
      <c r="Z53" s="267">
        <v>0</v>
      </c>
      <c r="AA53" s="267">
        <v>0</v>
      </c>
      <c r="AB53" s="267">
        <v>0</v>
      </c>
      <c r="AC53" s="267">
        <v>0</v>
      </c>
      <c r="AD53" s="267">
        <v>0</v>
      </c>
      <c r="AE53" s="267">
        <v>0</v>
      </c>
      <c r="AF53" s="267">
        <v>0</v>
      </c>
      <c r="AG53" s="267">
        <v>0</v>
      </c>
      <c r="AH53" s="267">
        <v>0</v>
      </c>
      <c r="AI53" s="267">
        <v>0</v>
      </c>
      <c r="AJ53" s="267">
        <v>6934735</v>
      </c>
      <c r="AK53" s="267">
        <v>0</v>
      </c>
      <c r="AL53" s="267">
        <v>0</v>
      </c>
      <c r="AM53" s="267">
        <v>0</v>
      </c>
      <c r="AN53" s="267">
        <v>1526482</v>
      </c>
      <c r="AO53" s="267">
        <v>0</v>
      </c>
      <c r="AP53" s="267">
        <v>0</v>
      </c>
      <c r="AQ53" s="267">
        <v>0</v>
      </c>
      <c r="AR53" s="267">
        <v>0</v>
      </c>
      <c r="AS53" s="267">
        <v>0</v>
      </c>
      <c r="AT53" s="267">
        <v>0</v>
      </c>
      <c r="AU53" s="267">
        <v>0</v>
      </c>
      <c r="AV53" s="267">
        <v>0</v>
      </c>
      <c r="AW53" s="267">
        <v>0</v>
      </c>
      <c r="AX53" s="267">
        <v>0</v>
      </c>
      <c r="AY53" s="267">
        <v>0</v>
      </c>
      <c r="AZ53" s="267">
        <v>0</v>
      </c>
      <c r="BA53" s="267">
        <v>0</v>
      </c>
      <c r="BB53" s="267">
        <v>0</v>
      </c>
      <c r="BC53" s="267">
        <v>0</v>
      </c>
      <c r="BD53" s="267">
        <v>0</v>
      </c>
      <c r="BE53" s="267">
        <v>0</v>
      </c>
      <c r="BF53" s="267">
        <v>0</v>
      </c>
      <c r="BG53" s="267">
        <v>0</v>
      </c>
      <c r="BH53" s="267">
        <v>0</v>
      </c>
      <c r="BI53" s="267">
        <v>0</v>
      </c>
      <c r="BJ53" s="267">
        <v>0</v>
      </c>
      <c r="BK53" s="267">
        <v>0</v>
      </c>
      <c r="BL53" s="267">
        <v>0</v>
      </c>
      <c r="BM53" s="267">
        <v>0</v>
      </c>
      <c r="BN53" s="267">
        <v>0</v>
      </c>
      <c r="BO53" s="267">
        <v>0</v>
      </c>
      <c r="BP53" s="267">
        <v>0</v>
      </c>
      <c r="BQ53" s="267">
        <v>0</v>
      </c>
      <c r="BR53" s="267">
        <v>0</v>
      </c>
      <c r="BS53" s="267">
        <v>162639</v>
      </c>
      <c r="BT53" s="267">
        <v>1846946</v>
      </c>
      <c r="BU53" s="267">
        <v>0</v>
      </c>
      <c r="BV53" s="267">
        <v>0</v>
      </c>
      <c r="BW53" s="267">
        <v>0</v>
      </c>
      <c r="BX53" s="267">
        <v>0</v>
      </c>
      <c r="BY53" s="267">
        <v>0</v>
      </c>
      <c r="BZ53" s="267">
        <v>0</v>
      </c>
      <c r="CA53" s="267">
        <v>0</v>
      </c>
      <c r="CB53" s="267">
        <v>0</v>
      </c>
      <c r="CC53" s="267">
        <v>0</v>
      </c>
      <c r="CD53" s="267">
        <v>0</v>
      </c>
      <c r="CE53" s="267">
        <v>0</v>
      </c>
    </row>
    <row r="54" spans="1:83" x14ac:dyDescent="0.3">
      <c r="B54" s="267">
        <v>92</v>
      </c>
      <c r="C54" s="267" t="s">
        <v>632</v>
      </c>
      <c r="D54" s="267" t="s">
        <v>358</v>
      </c>
      <c r="E54" s="267">
        <v>0</v>
      </c>
      <c r="F54" s="267">
        <v>0</v>
      </c>
      <c r="G54" s="267">
        <v>0</v>
      </c>
      <c r="H54" s="267">
        <v>0</v>
      </c>
      <c r="I54" s="267">
        <v>0</v>
      </c>
      <c r="J54" s="267">
        <v>0</v>
      </c>
      <c r="K54" s="267">
        <v>0</v>
      </c>
      <c r="L54" s="267">
        <v>0</v>
      </c>
      <c r="M54" s="267">
        <v>0</v>
      </c>
      <c r="N54" s="267">
        <v>0</v>
      </c>
      <c r="O54" s="267">
        <v>0</v>
      </c>
      <c r="P54" s="267">
        <v>0</v>
      </c>
      <c r="Q54" s="267">
        <v>0</v>
      </c>
      <c r="R54" s="267">
        <v>0</v>
      </c>
      <c r="S54" s="267">
        <v>0</v>
      </c>
      <c r="T54" s="267">
        <v>0</v>
      </c>
      <c r="U54" s="267">
        <v>0</v>
      </c>
      <c r="V54" s="267">
        <v>0</v>
      </c>
      <c r="W54" s="267">
        <v>0</v>
      </c>
      <c r="X54" s="267">
        <v>0</v>
      </c>
      <c r="Y54" s="267">
        <v>0</v>
      </c>
      <c r="Z54" s="267">
        <v>0</v>
      </c>
      <c r="AA54" s="267">
        <v>0</v>
      </c>
      <c r="AB54" s="267">
        <v>0</v>
      </c>
      <c r="AC54" s="267">
        <v>0</v>
      </c>
      <c r="AD54" s="267">
        <v>0</v>
      </c>
      <c r="AE54" s="267">
        <v>0</v>
      </c>
      <c r="AF54" s="267">
        <v>0</v>
      </c>
      <c r="AG54" s="267">
        <v>0</v>
      </c>
      <c r="AH54" s="267">
        <v>0</v>
      </c>
      <c r="AI54" s="267">
        <v>0</v>
      </c>
      <c r="AJ54" s="267">
        <v>0</v>
      </c>
      <c r="AK54" s="267">
        <v>0</v>
      </c>
      <c r="AL54" s="267">
        <v>0</v>
      </c>
      <c r="AM54" s="267">
        <v>0</v>
      </c>
      <c r="AN54" s="267">
        <v>0</v>
      </c>
      <c r="AO54" s="267">
        <v>0</v>
      </c>
      <c r="AP54" s="267">
        <v>0</v>
      </c>
      <c r="AQ54" s="267">
        <v>0</v>
      </c>
      <c r="AR54" s="267">
        <v>0</v>
      </c>
      <c r="AS54" s="267">
        <v>0</v>
      </c>
      <c r="AT54" s="267">
        <v>0</v>
      </c>
      <c r="AU54" s="267">
        <v>0</v>
      </c>
      <c r="AV54" s="267">
        <v>0</v>
      </c>
      <c r="AW54" s="267">
        <v>0</v>
      </c>
      <c r="AX54" s="267">
        <v>0</v>
      </c>
      <c r="AY54" s="267">
        <v>0</v>
      </c>
      <c r="AZ54" s="267">
        <v>0</v>
      </c>
      <c r="BA54" s="267">
        <v>0</v>
      </c>
      <c r="BB54" s="267">
        <v>0</v>
      </c>
      <c r="BC54" s="267">
        <v>0</v>
      </c>
      <c r="BD54" s="267">
        <v>0</v>
      </c>
      <c r="BE54" s="267">
        <v>0</v>
      </c>
      <c r="BF54" s="267">
        <v>0</v>
      </c>
      <c r="BG54" s="267">
        <v>0</v>
      </c>
      <c r="BH54" s="267">
        <v>0</v>
      </c>
      <c r="BI54" s="267">
        <v>0</v>
      </c>
      <c r="BJ54" s="267">
        <v>0</v>
      </c>
      <c r="BK54" s="267">
        <v>0</v>
      </c>
      <c r="BL54" s="267">
        <v>0</v>
      </c>
      <c r="BM54" s="267">
        <v>0</v>
      </c>
      <c r="BN54" s="267">
        <v>0</v>
      </c>
      <c r="BO54" s="267">
        <v>0</v>
      </c>
      <c r="BP54" s="267">
        <v>0</v>
      </c>
      <c r="BQ54" s="267">
        <v>0</v>
      </c>
      <c r="BR54" s="267">
        <v>0</v>
      </c>
      <c r="BS54" s="267">
        <v>0</v>
      </c>
      <c r="BT54" s="267">
        <v>0</v>
      </c>
      <c r="BU54" s="267">
        <v>0</v>
      </c>
      <c r="BV54" s="267">
        <v>0</v>
      </c>
      <c r="BW54" s="267">
        <v>0</v>
      </c>
      <c r="BX54" s="267">
        <v>0</v>
      </c>
      <c r="BY54" s="267">
        <v>0</v>
      </c>
      <c r="BZ54" s="267">
        <v>0</v>
      </c>
      <c r="CA54" s="267">
        <v>0</v>
      </c>
      <c r="CB54" s="267">
        <v>0</v>
      </c>
      <c r="CC54" s="267">
        <v>0</v>
      </c>
      <c r="CD54" s="267">
        <v>0</v>
      </c>
      <c r="CE54" s="267">
        <v>0</v>
      </c>
    </row>
    <row r="55" spans="1:83" x14ac:dyDescent="0.3">
      <c r="A55" s="267">
        <v>93</v>
      </c>
      <c r="B55" s="267">
        <v>93</v>
      </c>
      <c r="C55" s="267" t="s">
        <v>237</v>
      </c>
      <c r="D55" s="267" t="s">
        <v>359</v>
      </c>
      <c r="E55" s="267">
        <v>0</v>
      </c>
      <c r="F55" s="267">
        <v>0</v>
      </c>
      <c r="G55" s="267">
        <v>0</v>
      </c>
      <c r="H55" s="267">
        <v>0</v>
      </c>
      <c r="I55" s="267">
        <v>0</v>
      </c>
      <c r="J55" s="267">
        <v>0</v>
      </c>
      <c r="K55" s="267">
        <v>0</v>
      </c>
      <c r="L55" s="267">
        <v>0</v>
      </c>
      <c r="M55" s="267">
        <v>0</v>
      </c>
      <c r="N55" s="267">
        <v>0</v>
      </c>
      <c r="O55" s="267">
        <v>0</v>
      </c>
      <c r="P55" s="267">
        <v>0</v>
      </c>
      <c r="Q55" s="267">
        <v>0</v>
      </c>
      <c r="R55" s="267">
        <v>63762708</v>
      </c>
      <c r="S55" s="267">
        <v>0</v>
      </c>
      <c r="T55" s="267">
        <v>0</v>
      </c>
      <c r="U55" s="267">
        <v>0</v>
      </c>
      <c r="V55" s="267">
        <v>0</v>
      </c>
      <c r="W55" s="267">
        <v>31910830</v>
      </c>
      <c r="X55" s="267">
        <v>0</v>
      </c>
      <c r="Y55" s="267">
        <v>0</v>
      </c>
      <c r="Z55" s="267">
        <v>0</v>
      </c>
      <c r="AA55" s="267">
        <v>0</v>
      </c>
      <c r="AB55" s="267">
        <v>0</v>
      </c>
      <c r="AC55" s="267">
        <v>0</v>
      </c>
      <c r="AD55" s="267">
        <v>0</v>
      </c>
      <c r="AE55" s="267">
        <v>0</v>
      </c>
      <c r="AF55" s="267">
        <v>0</v>
      </c>
      <c r="AG55" s="267">
        <v>0</v>
      </c>
      <c r="AH55" s="267">
        <v>0</v>
      </c>
      <c r="AI55" s="267">
        <v>0</v>
      </c>
      <c r="AJ55" s="267">
        <v>52023283</v>
      </c>
      <c r="AK55" s="267">
        <v>0</v>
      </c>
      <c r="AL55" s="267">
        <v>0</v>
      </c>
      <c r="AM55" s="267">
        <v>0</v>
      </c>
      <c r="AN55" s="267">
        <v>16052920</v>
      </c>
      <c r="AO55" s="267">
        <v>0</v>
      </c>
      <c r="AP55" s="267">
        <v>0</v>
      </c>
      <c r="AQ55" s="267">
        <v>0</v>
      </c>
      <c r="AR55" s="267">
        <v>0</v>
      </c>
      <c r="AS55" s="267">
        <v>0</v>
      </c>
      <c r="AT55" s="267">
        <v>0</v>
      </c>
      <c r="AU55" s="267">
        <v>0</v>
      </c>
      <c r="AV55" s="267">
        <v>0</v>
      </c>
      <c r="AW55" s="267">
        <v>0</v>
      </c>
      <c r="AX55" s="267">
        <v>0</v>
      </c>
      <c r="AY55" s="267">
        <v>0</v>
      </c>
      <c r="AZ55" s="267">
        <v>0</v>
      </c>
      <c r="BA55" s="267">
        <v>0</v>
      </c>
      <c r="BB55" s="267">
        <v>0</v>
      </c>
      <c r="BC55" s="267">
        <v>0</v>
      </c>
      <c r="BD55" s="267">
        <v>0</v>
      </c>
      <c r="BE55" s="267">
        <v>0</v>
      </c>
      <c r="BF55" s="267">
        <v>0</v>
      </c>
      <c r="BG55" s="267">
        <v>0</v>
      </c>
      <c r="BH55" s="267">
        <v>0</v>
      </c>
      <c r="BI55" s="267">
        <v>0</v>
      </c>
      <c r="BJ55" s="267">
        <v>0</v>
      </c>
      <c r="BK55" s="267">
        <v>0</v>
      </c>
      <c r="BL55" s="267">
        <v>0</v>
      </c>
      <c r="BM55" s="267">
        <v>0</v>
      </c>
      <c r="BN55" s="267">
        <v>0</v>
      </c>
      <c r="BO55" s="267">
        <v>0</v>
      </c>
      <c r="BP55" s="267">
        <v>0</v>
      </c>
      <c r="BQ55" s="267">
        <v>0</v>
      </c>
      <c r="BR55" s="267">
        <v>0</v>
      </c>
      <c r="BS55" s="267">
        <v>2781725</v>
      </c>
      <c r="BT55" s="267">
        <v>12324642</v>
      </c>
      <c r="BU55" s="267">
        <v>0</v>
      </c>
      <c r="BV55" s="267">
        <v>0</v>
      </c>
      <c r="BW55" s="267">
        <v>0</v>
      </c>
      <c r="BX55" s="267">
        <v>0</v>
      </c>
      <c r="BY55" s="267">
        <v>0</v>
      </c>
      <c r="BZ55" s="267">
        <v>0</v>
      </c>
      <c r="CA55" s="267">
        <v>0</v>
      </c>
      <c r="CB55" s="267">
        <v>0</v>
      </c>
      <c r="CC55" s="267">
        <v>0</v>
      </c>
      <c r="CD55" s="267">
        <v>0</v>
      </c>
      <c r="CE55" s="267">
        <v>0</v>
      </c>
    </row>
    <row r="56" spans="1:83" x14ac:dyDescent="0.3">
      <c r="A56" s="267">
        <v>94</v>
      </c>
      <c r="B56" s="267">
        <v>94</v>
      </c>
      <c r="C56" s="267" t="s">
        <v>240</v>
      </c>
      <c r="D56" s="267" t="s">
        <v>360</v>
      </c>
      <c r="E56" s="267">
        <v>0</v>
      </c>
      <c r="F56" s="267">
        <v>0</v>
      </c>
      <c r="G56" s="267">
        <v>0</v>
      </c>
      <c r="H56" s="267">
        <v>0</v>
      </c>
      <c r="I56" s="267">
        <v>0</v>
      </c>
      <c r="J56" s="267">
        <v>0</v>
      </c>
      <c r="K56" s="267">
        <v>0</v>
      </c>
      <c r="L56" s="267">
        <v>0</v>
      </c>
      <c r="M56" s="267">
        <v>0</v>
      </c>
      <c r="N56" s="267">
        <v>0</v>
      </c>
      <c r="O56" s="267">
        <v>0</v>
      </c>
      <c r="P56" s="267">
        <v>0</v>
      </c>
      <c r="Q56" s="267">
        <v>0</v>
      </c>
      <c r="R56" s="267">
        <v>57399167</v>
      </c>
      <c r="S56" s="267">
        <v>0</v>
      </c>
      <c r="T56" s="267">
        <v>0</v>
      </c>
      <c r="U56" s="267">
        <v>0</v>
      </c>
      <c r="V56" s="267">
        <v>0</v>
      </c>
      <c r="W56" s="267">
        <v>28877512</v>
      </c>
      <c r="X56" s="267">
        <v>0</v>
      </c>
      <c r="Y56" s="267">
        <v>0</v>
      </c>
      <c r="Z56" s="267">
        <v>0</v>
      </c>
      <c r="AA56" s="267">
        <v>0</v>
      </c>
      <c r="AB56" s="267">
        <v>0</v>
      </c>
      <c r="AC56" s="267">
        <v>0</v>
      </c>
      <c r="AD56" s="267">
        <v>0</v>
      </c>
      <c r="AE56" s="267">
        <v>0</v>
      </c>
      <c r="AF56" s="267">
        <v>0</v>
      </c>
      <c r="AG56" s="267">
        <v>0</v>
      </c>
      <c r="AH56" s="267">
        <v>0</v>
      </c>
      <c r="AI56" s="267">
        <v>0</v>
      </c>
      <c r="AJ56" s="267">
        <v>49182764</v>
      </c>
      <c r="AK56" s="267">
        <v>0</v>
      </c>
      <c r="AL56" s="267">
        <v>0</v>
      </c>
      <c r="AM56" s="267">
        <v>0</v>
      </c>
      <c r="AN56" s="267">
        <v>15628859</v>
      </c>
      <c r="AO56" s="267">
        <v>0</v>
      </c>
      <c r="AP56" s="267">
        <v>0</v>
      </c>
      <c r="AQ56" s="267">
        <v>0</v>
      </c>
      <c r="AR56" s="267">
        <v>0</v>
      </c>
      <c r="AS56" s="267">
        <v>0</v>
      </c>
      <c r="AT56" s="267">
        <v>0</v>
      </c>
      <c r="AU56" s="267">
        <v>0</v>
      </c>
      <c r="AV56" s="267">
        <v>0</v>
      </c>
      <c r="AW56" s="267">
        <v>0</v>
      </c>
      <c r="AX56" s="267">
        <v>0</v>
      </c>
      <c r="AY56" s="267">
        <v>0</v>
      </c>
      <c r="AZ56" s="267">
        <v>0</v>
      </c>
      <c r="BA56" s="267">
        <v>0</v>
      </c>
      <c r="BB56" s="267">
        <v>0</v>
      </c>
      <c r="BC56" s="267">
        <v>0</v>
      </c>
      <c r="BD56" s="267">
        <v>0</v>
      </c>
      <c r="BE56" s="267">
        <v>0</v>
      </c>
      <c r="BF56" s="267">
        <v>0</v>
      </c>
      <c r="BG56" s="267">
        <v>0</v>
      </c>
      <c r="BH56" s="267">
        <v>0</v>
      </c>
      <c r="BI56" s="267">
        <v>0</v>
      </c>
      <c r="BJ56" s="267">
        <v>0</v>
      </c>
      <c r="BK56" s="267">
        <v>0</v>
      </c>
      <c r="BL56" s="267">
        <v>0</v>
      </c>
      <c r="BM56" s="267">
        <v>0</v>
      </c>
      <c r="BN56" s="267">
        <v>0</v>
      </c>
      <c r="BO56" s="267">
        <v>0</v>
      </c>
      <c r="BP56" s="267">
        <v>0</v>
      </c>
      <c r="BQ56" s="267">
        <v>0</v>
      </c>
      <c r="BR56" s="267">
        <v>0</v>
      </c>
      <c r="BS56" s="267">
        <v>2247019</v>
      </c>
      <c r="BT56" s="267">
        <v>11271522</v>
      </c>
      <c r="BU56" s="267">
        <v>0</v>
      </c>
      <c r="BV56" s="267">
        <v>0</v>
      </c>
      <c r="BW56" s="267">
        <v>0</v>
      </c>
      <c r="BX56" s="267">
        <v>0</v>
      </c>
      <c r="BY56" s="267">
        <v>0</v>
      </c>
      <c r="BZ56" s="267">
        <v>0</v>
      </c>
      <c r="CA56" s="267">
        <v>0</v>
      </c>
      <c r="CB56" s="267">
        <v>0</v>
      </c>
      <c r="CC56" s="267">
        <v>0</v>
      </c>
      <c r="CD56" s="267">
        <v>0</v>
      </c>
      <c r="CE56" s="267">
        <v>0</v>
      </c>
    </row>
    <row r="57" spans="1:83" x14ac:dyDescent="0.3">
      <c r="A57" s="267">
        <v>97</v>
      </c>
      <c r="B57" s="267">
        <v>97</v>
      </c>
      <c r="C57" s="267" t="s">
        <v>236</v>
      </c>
      <c r="D57" s="267" t="s">
        <v>361</v>
      </c>
      <c r="E57" s="267">
        <v>0</v>
      </c>
      <c r="F57" s="267">
        <v>0</v>
      </c>
      <c r="G57" s="267">
        <v>0</v>
      </c>
      <c r="H57" s="267">
        <v>0</v>
      </c>
      <c r="I57" s="267">
        <v>0</v>
      </c>
      <c r="J57" s="267">
        <v>0</v>
      </c>
      <c r="K57" s="267">
        <v>0</v>
      </c>
      <c r="L57" s="267">
        <v>0</v>
      </c>
      <c r="M57" s="267">
        <v>0</v>
      </c>
      <c r="N57" s="267">
        <v>0</v>
      </c>
      <c r="O57" s="267">
        <v>0</v>
      </c>
      <c r="P57" s="267">
        <v>0</v>
      </c>
      <c r="Q57" s="267">
        <v>0</v>
      </c>
      <c r="R57" s="267">
        <v>63358356</v>
      </c>
      <c r="S57" s="267">
        <v>0</v>
      </c>
      <c r="T57" s="267">
        <v>0</v>
      </c>
      <c r="U57" s="267">
        <v>0</v>
      </c>
      <c r="V57" s="267">
        <v>0</v>
      </c>
      <c r="W57" s="267">
        <v>31910830</v>
      </c>
      <c r="X57" s="267">
        <v>0</v>
      </c>
      <c r="Y57" s="267">
        <v>0</v>
      </c>
      <c r="Z57" s="267">
        <v>0</v>
      </c>
      <c r="AA57" s="267">
        <v>0</v>
      </c>
      <c r="AB57" s="267">
        <v>0</v>
      </c>
      <c r="AC57" s="267">
        <v>0</v>
      </c>
      <c r="AD57" s="267">
        <v>0</v>
      </c>
      <c r="AE57" s="267">
        <v>0</v>
      </c>
      <c r="AF57" s="267">
        <v>0</v>
      </c>
      <c r="AG57" s="267">
        <v>0</v>
      </c>
      <c r="AH57" s="267">
        <v>0</v>
      </c>
      <c r="AI57" s="267">
        <v>0</v>
      </c>
      <c r="AJ57" s="267">
        <v>51974494</v>
      </c>
      <c r="AK57" s="267">
        <v>0</v>
      </c>
      <c r="AL57" s="267">
        <v>0</v>
      </c>
      <c r="AM57" s="267">
        <v>0</v>
      </c>
      <c r="AN57" s="267">
        <v>15147919</v>
      </c>
      <c r="AO57" s="267">
        <v>0</v>
      </c>
      <c r="AP57" s="267">
        <v>0</v>
      </c>
      <c r="AQ57" s="267">
        <v>0</v>
      </c>
      <c r="AR57" s="267">
        <v>0</v>
      </c>
      <c r="AS57" s="267">
        <v>0</v>
      </c>
      <c r="AT57" s="267">
        <v>0</v>
      </c>
      <c r="AU57" s="267">
        <v>0</v>
      </c>
      <c r="AV57" s="267">
        <v>0</v>
      </c>
      <c r="AW57" s="267">
        <v>0</v>
      </c>
      <c r="AX57" s="267">
        <v>0</v>
      </c>
      <c r="AY57" s="267">
        <v>0</v>
      </c>
      <c r="AZ57" s="267">
        <v>0</v>
      </c>
      <c r="BA57" s="267">
        <v>0</v>
      </c>
      <c r="BB57" s="267">
        <v>0</v>
      </c>
      <c r="BC57" s="267">
        <v>0</v>
      </c>
      <c r="BD57" s="267">
        <v>0</v>
      </c>
      <c r="BE57" s="267">
        <v>0</v>
      </c>
      <c r="BF57" s="267">
        <v>0</v>
      </c>
      <c r="BG57" s="267">
        <v>0</v>
      </c>
      <c r="BH57" s="267">
        <v>0</v>
      </c>
      <c r="BI57" s="267">
        <v>0</v>
      </c>
      <c r="BJ57" s="267">
        <v>0</v>
      </c>
      <c r="BK57" s="267">
        <v>0</v>
      </c>
      <c r="BL57" s="267">
        <v>0</v>
      </c>
      <c r="BM57" s="267">
        <v>0</v>
      </c>
      <c r="BN57" s="267">
        <v>0</v>
      </c>
      <c r="BO57" s="267">
        <v>0</v>
      </c>
      <c r="BP57" s="267">
        <v>0</v>
      </c>
      <c r="BQ57" s="267">
        <v>0</v>
      </c>
      <c r="BR57" s="267">
        <v>0</v>
      </c>
      <c r="BS57" s="267">
        <v>2676927</v>
      </c>
      <c r="BT57" s="267">
        <v>12065727</v>
      </c>
      <c r="BU57" s="267">
        <v>0</v>
      </c>
      <c r="BV57" s="267">
        <v>0</v>
      </c>
      <c r="BW57" s="267">
        <v>0</v>
      </c>
      <c r="BX57" s="267">
        <v>0</v>
      </c>
      <c r="BY57" s="267">
        <v>0</v>
      </c>
      <c r="BZ57" s="267">
        <v>0</v>
      </c>
      <c r="CA57" s="267">
        <v>0</v>
      </c>
      <c r="CB57" s="267">
        <v>0</v>
      </c>
      <c r="CC57" s="267">
        <v>0</v>
      </c>
      <c r="CD57" s="267">
        <v>0</v>
      </c>
      <c r="CE57" s="267">
        <v>0</v>
      </c>
    </row>
    <row r="58" spans="1:83" x14ac:dyDescent="0.3">
      <c r="A58" s="267">
        <v>98</v>
      </c>
      <c r="B58" s="267">
        <v>98</v>
      </c>
      <c r="C58" s="267" t="s">
        <v>241</v>
      </c>
      <c r="D58" s="267" t="s">
        <v>362</v>
      </c>
      <c r="E58" s="267">
        <v>0</v>
      </c>
      <c r="F58" s="267">
        <v>0</v>
      </c>
      <c r="G58" s="267">
        <v>0</v>
      </c>
      <c r="H58" s="267">
        <v>0</v>
      </c>
      <c r="I58" s="267">
        <v>0</v>
      </c>
      <c r="J58" s="267">
        <v>0</v>
      </c>
      <c r="K58" s="267">
        <v>0</v>
      </c>
      <c r="L58" s="267">
        <v>0</v>
      </c>
      <c r="M58" s="267">
        <v>0</v>
      </c>
      <c r="N58" s="267">
        <v>0</v>
      </c>
      <c r="O58" s="267">
        <v>0</v>
      </c>
      <c r="P58" s="267">
        <v>0</v>
      </c>
      <c r="Q58" s="267">
        <v>0</v>
      </c>
      <c r="R58" s="267">
        <v>670043</v>
      </c>
      <c r="S58" s="267">
        <v>0</v>
      </c>
      <c r="T58" s="267">
        <v>0</v>
      </c>
      <c r="U58" s="267">
        <v>0</v>
      </c>
      <c r="V58" s="267">
        <v>0</v>
      </c>
      <c r="W58" s="267">
        <v>9353</v>
      </c>
      <c r="X58" s="267">
        <v>0</v>
      </c>
      <c r="Y58" s="267">
        <v>0</v>
      </c>
      <c r="Z58" s="267">
        <v>0</v>
      </c>
      <c r="AA58" s="267">
        <v>0</v>
      </c>
      <c r="AB58" s="267">
        <v>0</v>
      </c>
      <c r="AC58" s="267">
        <v>0</v>
      </c>
      <c r="AD58" s="267">
        <v>0</v>
      </c>
      <c r="AE58" s="267">
        <v>0</v>
      </c>
      <c r="AF58" s="267">
        <v>0</v>
      </c>
      <c r="AG58" s="267">
        <v>0</v>
      </c>
      <c r="AH58" s="267">
        <v>0</v>
      </c>
      <c r="AI58" s="267">
        <v>0</v>
      </c>
      <c r="AJ58" s="267">
        <v>188594</v>
      </c>
      <c r="AK58" s="267">
        <v>0</v>
      </c>
      <c r="AL58" s="267">
        <v>0</v>
      </c>
      <c r="AM58" s="267">
        <v>0</v>
      </c>
      <c r="AN58" s="267">
        <v>145204</v>
      </c>
      <c r="AO58" s="267">
        <v>0</v>
      </c>
      <c r="AP58" s="267">
        <v>0</v>
      </c>
      <c r="AQ58" s="267">
        <v>0</v>
      </c>
      <c r="AR58" s="267">
        <v>0</v>
      </c>
      <c r="AS58" s="267">
        <v>0</v>
      </c>
      <c r="AT58" s="267">
        <v>0</v>
      </c>
      <c r="AU58" s="267">
        <v>0</v>
      </c>
      <c r="AV58" s="267">
        <v>0</v>
      </c>
      <c r="AW58" s="267">
        <v>0</v>
      </c>
      <c r="AX58" s="267">
        <v>0</v>
      </c>
      <c r="AY58" s="267">
        <v>0</v>
      </c>
      <c r="AZ58" s="267">
        <v>0</v>
      </c>
      <c r="BA58" s="267">
        <v>0</v>
      </c>
      <c r="BB58" s="267">
        <v>0</v>
      </c>
      <c r="BC58" s="267">
        <v>0</v>
      </c>
      <c r="BD58" s="267">
        <v>0</v>
      </c>
      <c r="BE58" s="267">
        <v>0</v>
      </c>
      <c r="BF58" s="267">
        <v>0</v>
      </c>
      <c r="BG58" s="267">
        <v>0</v>
      </c>
      <c r="BH58" s="267">
        <v>0</v>
      </c>
      <c r="BI58" s="267">
        <v>0</v>
      </c>
      <c r="BJ58" s="267">
        <v>0</v>
      </c>
      <c r="BK58" s="267">
        <v>0</v>
      </c>
      <c r="BL58" s="267">
        <v>0</v>
      </c>
      <c r="BM58" s="267">
        <v>0</v>
      </c>
      <c r="BN58" s="267">
        <v>0</v>
      </c>
      <c r="BO58" s="267">
        <v>0</v>
      </c>
      <c r="BP58" s="267">
        <v>0</v>
      </c>
      <c r="BQ58" s="267">
        <v>0</v>
      </c>
      <c r="BR58" s="267">
        <v>0</v>
      </c>
      <c r="BS58" s="267">
        <v>1498</v>
      </c>
      <c r="BT58" s="267">
        <v>0</v>
      </c>
      <c r="BU58" s="267">
        <v>0</v>
      </c>
      <c r="BV58" s="267">
        <v>0</v>
      </c>
      <c r="BW58" s="267">
        <v>0</v>
      </c>
      <c r="BX58" s="267">
        <v>0</v>
      </c>
      <c r="BY58" s="267">
        <v>0</v>
      </c>
      <c r="BZ58" s="267">
        <v>0</v>
      </c>
      <c r="CA58" s="267">
        <v>0</v>
      </c>
      <c r="CB58" s="267">
        <v>0</v>
      </c>
      <c r="CC58" s="267">
        <v>0</v>
      </c>
      <c r="CD58" s="267">
        <v>0</v>
      </c>
      <c r="CE58" s="267">
        <v>0</v>
      </c>
    </row>
    <row r="59" spans="1:83" x14ac:dyDescent="0.3">
      <c r="A59" s="267">
        <v>99</v>
      </c>
      <c r="B59" s="267">
        <v>99</v>
      </c>
      <c r="C59" s="267" t="s">
        <v>238</v>
      </c>
      <c r="D59" s="267" t="s">
        <v>363</v>
      </c>
      <c r="E59" s="267">
        <v>0</v>
      </c>
      <c r="F59" s="267">
        <v>0</v>
      </c>
      <c r="G59" s="267">
        <v>0</v>
      </c>
      <c r="H59" s="267">
        <v>0</v>
      </c>
      <c r="I59" s="267">
        <v>0</v>
      </c>
      <c r="J59" s="267">
        <v>0</v>
      </c>
      <c r="K59" s="267">
        <v>0</v>
      </c>
      <c r="L59" s="267">
        <v>0</v>
      </c>
      <c r="M59" s="267">
        <v>0</v>
      </c>
      <c r="N59" s="267">
        <v>0</v>
      </c>
      <c r="O59" s="267">
        <v>0</v>
      </c>
      <c r="P59" s="267">
        <v>0</v>
      </c>
      <c r="Q59" s="267">
        <v>0</v>
      </c>
      <c r="R59" s="267">
        <v>48855719</v>
      </c>
      <c r="S59" s="267">
        <v>0</v>
      </c>
      <c r="T59" s="267">
        <v>0</v>
      </c>
      <c r="U59" s="267">
        <v>0</v>
      </c>
      <c r="V59" s="267">
        <v>0</v>
      </c>
      <c r="W59" s="267">
        <v>24587343</v>
      </c>
      <c r="X59" s="267">
        <v>0</v>
      </c>
      <c r="Y59" s="267">
        <v>0</v>
      </c>
      <c r="Z59" s="267">
        <v>0</v>
      </c>
      <c r="AA59" s="267">
        <v>0</v>
      </c>
      <c r="AB59" s="267">
        <v>0</v>
      </c>
      <c r="AC59" s="267">
        <v>0</v>
      </c>
      <c r="AD59" s="267">
        <v>0</v>
      </c>
      <c r="AE59" s="267">
        <v>0</v>
      </c>
      <c r="AF59" s="267">
        <v>0</v>
      </c>
      <c r="AG59" s="267">
        <v>0</v>
      </c>
      <c r="AH59" s="267">
        <v>0</v>
      </c>
      <c r="AI59" s="267">
        <v>0</v>
      </c>
      <c r="AJ59" s="267">
        <v>38460381</v>
      </c>
      <c r="AK59" s="267">
        <v>0</v>
      </c>
      <c r="AL59" s="267">
        <v>0</v>
      </c>
      <c r="AM59" s="267">
        <v>0</v>
      </c>
      <c r="AN59" s="267">
        <v>10891901</v>
      </c>
      <c r="AO59" s="267">
        <v>0</v>
      </c>
      <c r="AP59" s="267">
        <v>0</v>
      </c>
      <c r="AQ59" s="267">
        <v>0</v>
      </c>
      <c r="AR59" s="267">
        <v>0</v>
      </c>
      <c r="AS59" s="267">
        <v>0</v>
      </c>
      <c r="AT59" s="267">
        <v>0</v>
      </c>
      <c r="AU59" s="267">
        <v>0</v>
      </c>
      <c r="AV59" s="267">
        <v>0</v>
      </c>
      <c r="AW59" s="267">
        <v>0</v>
      </c>
      <c r="AX59" s="267">
        <v>0</v>
      </c>
      <c r="AY59" s="267">
        <v>0</v>
      </c>
      <c r="AZ59" s="267">
        <v>0</v>
      </c>
      <c r="BA59" s="267">
        <v>0</v>
      </c>
      <c r="BB59" s="267">
        <v>0</v>
      </c>
      <c r="BC59" s="267">
        <v>0</v>
      </c>
      <c r="BD59" s="267">
        <v>0</v>
      </c>
      <c r="BE59" s="267">
        <v>0</v>
      </c>
      <c r="BF59" s="267">
        <v>0</v>
      </c>
      <c r="BG59" s="267">
        <v>0</v>
      </c>
      <c r="BH59" s="267">
        <v>0</v>
      </c>
      <c r="BI59" s="267">
        <v>0</v>
      </c>
      <c r="BJ59" s="267">
        <v>0</v>
      </c>
      <c r="BK59" s="267">
        <v>0</v>
      </c>
      <c r="BL59" s="267">
        <v>0</v>
      </c>
      <c r="BM59" s="267">
        <v>0</v>
      </c>
      <c r="BN59" s="267">
        <v>0</v>
      </c>
      <c r="BO59" s="267">
        <v>0</v>
      </c>
      <c r="BP59" s="267">
        <v>0</v>
      </c>
      <c r="BQ59" s="267">
        <v>0</v>
      </c>
      <c r="BR59" s="267">
        <v>0</v>
      </c>
      <c r="BS59" s="267">
        <v>1347928</v>
      </c>
      <c r="BT59" s="267">
        <v>9141594</v>
      </c>
      <c r="BU59" s="267">
        <v>0</v>
      </c>
      <c r="BV59" s="267">
        <v>0</v>
      </c>
      <c r="BW59" s="267">
        <v>0</v>
      </c>
      <c r="BX59" s="267">
        <v>0</v>
      </c>
      <c r="BY59" s="267">
        <v>0</v>
      </c>
      <c r="BZ59" s="267">
        <v>0</v>
      </c>
      <c r="CA59" s="267">
        <v>0</v>
      </c>
      <c r="CB59" s="267">
        <v>0</v>
      </c>
      <c r="CC59" s="267">
        <v>0</v>
      </c>
      <c r="CD59" s="267">
        <v>0</v>
      </c>
      <c r="CE59" s="267">
        <v>0</v>
      </c>
    </row>
    <row r="60" spans="1:83" x14ac:dyDescent="0.3">
      <c r="A60" s="267">
        <v>100</v>
      </c>
      <c r="B60" s="267">
        <v>100</v>
      </c>
      <c r="C60" s="267" t="s">
        <v>251</v>
      </c>
      <c r="D60" s="267" t="s">
        <v>364</v>
      </c>
      <c r="E60" s="267">
        <v>0</v>
      </c>
      <c r="F60" s="267">
        <v>0</v>
      </c>
      <c r="G60" s="267">
        <v>0</v>
      </c>
      <c r="H60" s="267">
        <v>0</v>
      </c>
      <c r="I60" s="267">
        <v>0</v>
      </c>
      <c r="J60" s="267">
        <v>0</v>
      </c>
      <c r="K60" s="267">
        <v>0</v>
      </c>
      <c r="L60" s="267">
        <v>0</v>
      </c>
      <c r="M60" s="267">
        <v>0</v>
      </c>
      <c r="N60" s="267">
        <v>0</v>
      </c>
      <c r="O60" s="267">
        <v>0</v>
      </c>
      <c r="P60" s="267">
        <v>0</v>
      </c>
      <c r="Q60" s="267">
        <v>0</v>
      </c>
      <c r="R60" s="267">
        <v>1008400</v>
      </c>
      <c r="S60" s="267">
        <v>0</v>
      </c>
      <c r="T60" s="267">
        <v>0</v>
      </c>
      <c r="U60" s="267">
        <v>0</v>
      </c>
      <c r="V60" s="267">
        <v>0</v>
      </c>
      <c r="W60" s="267">
        <v>166011</v>
      </c>
      <c r="X60" s="267">
        <v>0</v>
      </c>
      <c r="Y60" s="267">
        <v>0</v>
      </c>
      <c r="Z60" s="267">
        <v>0</v>
      </c>
      <c r="AA60" s="267">
        <v>0</v>
      </c>
      <c r="AB60" s="267">
        <v>0</v>
      </c>
      <c r="AC60" s="267">
        <v>0</v>
      </c>
      <c r="AD60" s="267">
        <v>0</v>
      </c>
      <c r="AE60" s="267">
        <v>0</v>
      </c>
      <c r="AF60" s="267">
        <v>0</v>
      </c>
      <c r="AG60" s="267">
        <v>0</v>
      </c>
      <c r="AH60" s="267">
        <v>0</v>
      </c>
      <c r="AI60" s="267">
        <v>0</v>
      </c>
      <c r="AJ60" s="267">
        <v>1808796</v>
      </c>
      <c r="AK60" s="267">
        <v>0</v>
      </c>
      <c r="AL60" s="267">
        <v>0</v>
      </c>
      <c r="AM60" s="267">
        <v>0</v>
      </c>
      <c r="AN60" s="267">
        <v>820126</v>
      </c>
      <c r="AO60" s="267">
        <v>0</v>
      </c>
      <c r="AP60" s="267">
        <v>0</v>
      </c>
      <c r="AQ60" s="267">
        <v>0</v>
      </c>
      <c r="AR60" s="267">
        <v>0</v>
      </c>
      <c r="AS60" s="267">
        <v>0</v>
      </c>
      <c r="AT60" s="267">
        <v>0</v>
      </c>
      <c r="AU60" s="267">
        <v>0</v>
      </c>
      <c r="AV60" s="267">
        <v>0</v>
      </c>
      <c r="AW60" s="267">
        <v>0</v>
      </c>
      <c r="AX60" s="267">
        <v>0</v>
      </c>
      <c r="AY60" s="267">
        <v>0</v>
      </c>
      <c r="AZ60" s="267">
        <v>0</v>
      </c>
      <c r="BA60" s="267">
        <v>0</v>
      </c>
      <c r="BB60" s="267">
        <v>0</v>
      </c>
      <c r="BC60" s="267">
        <v>0</v>
      </c>
      <c r="BD60" s="267">
        <v>0</v>
      </c>
      <c r="BE60" s="267">
        <v>0</v>
      </c>
      <c r="BF60" s="267">
        <v>0</v>
      </c>
      <c r="BG60" s="267">
        <v>0</v>
      </c>
      <c r="BH60" s="267">
        <v>0</v>
      </c>
      <c r="BI60" s="267">
        <v>0</v>
      </c>
      <c r="BJ60" s="267">
        <v>0</v>
      </c>
      <c r="BK60" s="267">
        <v>0</v>
      </c>
      <c r="BL60" s="267">
        <v>0</v>
      </c>
      <c r="BM60" s="267">
        <v>0</v>
      </c>
      <c r="BN60" s="267">
        <v>0</v>
      </c>
      <c r="BO60" s="267">
        <v>0</v>
      </c>
      <c r="BP60" s="267">
        <v>0</v>
      </c>
      <c r="BQ60" s="267">
        <v>0</v>
      </c>
      <c r="BR60" s="267">
        <v>0</v>
      </c>
      <c r="BS60" s="267">
        <v>0</v>
      </c>
      <c r="BT60" s="267">
        <v>0</v>
      </c>
      <c r="BU60" s="267">
        <v>0</v>
      </c>
      <c r="BV60" s="267">
        <v>0</v>
      </c>
      <c r="BW60" s="267">
        <v>0</v>
      </c>
      <c r="BX60" s="267">
        <v>0</v>
      </c>
      <c r="BY60" s="267">
        <v>0</v>
      </c>
      <c r="BZ60" s="267">
        <v>0</v>
      </c>
      <c r="CA60" s="267">
        <v>0</v>
      </c>
      <c r="CB60" s="267">
        <v>0</v>
      </c>
      <c r="CC60" s="267">
        <v>0</v>
      </c>
      <c r="CD60" s="267">
        <v>0</v>
      </c>
      <c r="CE60" s="267">
        <v>0</v>
      </c>
    </row>
    <row r="61" spans="1:83" x14ac:dyDescent="0.3">
      <c r="A61" s="267">
        <v>101</v>
      </c>
      <c r="B61" s="267">
        <v>101</v>
      </c>
      <c r="C61" s="267" t="s">
        <v>250</v>
      </c>
      <c r="D61" s="267" t="s">
        <v>365</v>
      </c>
      <c r="E61" s="267">
        <v>0</v>
      </c>
      <c r="F61" s="267">
        <v>0</v>
      </c>
      <c r="G61" s="267">
        <v>0</v>
      </c>
      <c r="H61" s="267">
        <v>0</v>
      </c>
      <c r="I61" s="267">
        <v>0</v>
      </c>
      <c r="J61" s="267">
        <v>0</v>
      </c>
      <c r="K61" s="267">
        <v>0</v>
      </c>
      <c r="L61" s="267">
        <v>0</v>
      </c>
      <c r="M61" s="267">
        <v>0</v>
      </c>
      <c r="N61" s="267">
        <v>0</v>
      </c>
      <c r="O61" s="267">
        <v>0</v>
      </c>
      <c r="P61" s="267">
        <v>0</v>
      </c>
      <c r="Q61" s="267">
        <v>0</v>
      </c>
      <c r="R61" s="267">
        <v>2698552</v>
      </c>
      <c r="S61" s="267">
        <v>0</v>
      </c>
      <c r="T61" s="267">
        <v>0</v>
      </c>
      <c r="U61" s="267">
        <v>0</v>
      </c>
      <c r="V61" s="267">
        <v>0</v>
      </c>
      <c r="W61" s="267">
        <v>747783</v>
      </c>
      <c r="X61" s="267">
        <v>0</v>
      </c>
      <c r="Y61" s="267">
        <v>0</v>
      </c>
      <c r="Z61" s="267">
        <v>0</v>
      </c>
      <c r="AA61" s="267">
        <v>0</v>
      </c>
      <c r="AB61" s="267">
        <v>0</v>
      </c>
      <c r="AC61" s="267">
        <v>0</v>
      </c>
      <c r="AD61" s="267">
        <v>0</v>
      </c>
      <c r="AE61" s="267">
        <v>0</v>
      </c>
      <c r="AF61" s="267">
        <v>0</v>
      </c>
      <c r="AG61" s="267">
        <v>0</v>
      </c>
      <c r="AH61" s="267">
        <v>0</v>
      </c>
      <c r="AI61" s="267">
        <v>0</v>
      </c>
      <c r="AJ61" s="267">
        <v>2232641</v>
      </c>
      <c r="AK61" s="267">
        <v>0</v>
      </c>
      <c r="AL61" s="267">
        <v>0</v>
      </c>
      <c r="AM61" s="267">
        <v>0</v>
      </c>
      <c r="AN61" s="267">
        <v>1106613</v>
      </c>
      <c r="AO61" s="267">
        <v>0</v>
      </c>
      <c r="AP61" s="267">
        <v>0</v>
      </c>
      <c r="AQ61" s="267">
        <v>0</v>
      </c>
      <c r="AR61" s="267">
        <v>0</v>
      </c>
      <c r="AS61" s="267">
        <v>0</v>
      </c>
      <c r="AT61" s="267">
        <v>0</v>
      </c>
      <c r="AU61" s="267">
        <v>0</v>
      </c>
      <c r="AV61" s="267">
        <v>0</v>
      </c>
      <c r="AW61" s="267">
        <v>0</v>
      </c>
      <c r="AX61" s="267">
        <v>0</v>
      </c>
      <c r="AY61" s="267">
        <v>0</v>
      </c>
      <c r="AZ61" s="267">
        <v>0</v>
      </c>
      <c r="BA61" s="267">
        <v>0</v>
      </c>
      <c r="BB61" s="267">
        <v>0</v>
      </c>
      <c r="BC61" s="267">
        <v>0</v>
      </c>
      <c r="BD61" s="267">
        <v>0</v>
      </c>
      <c r="BE61" s="267">
        <v>0</v>
      </c>
      <c r="BF61" s="267">
        <v>0</v>
      </c>
      <c r="BG61" s="267">
        <v>0</v>
      </c>
      <c r="BH61" s="267">
        <v>0</v>
      </c>
      <c r="BI61" s="267">
        <v>0</v>
      </c>
      <c r="BJ61" s="267">
        <v>0</v>
      </c>
      <c r="BK61" s="267">
        <v>0</v>
      </c>
      <c r="BL61" s="267">
        <v>0</v>
      </c>
      <c r="BM61" s="267">
        <v>0</v>
      </c>
      <c r="BN61" s="267">
        <v>0</v>
      </c>
      <c r="BO61" s="267">
        <v>0</v>
      </c>
      <c r="BP61" s="267">
        <v>0</v>
      </c>
      <c r="BQ61" s="267">
        <v>0</v>
      </c>
      <c r="BR61" s="267">
        <v>0</v>
      </c>
      <c r="BS61" s="267">
        <v>0</v>
      </c>
      <c r="BT61" s="267">
        <v>1255264</v>
      </c>
      <c r="BU61" s="267">
        <v>0</v>
      </c>
      <c r="BV61" s="267">
        <v>0</v>
      </c>
      <c r="BW61" s="267">
        <v>0</v>
      </c>
      <c r="BX61" s="267">
        <v>0</v>
      </c>
      <c r="BY61" s="267">
        <v>0</v>
      </c>
      <c r="BZ61" s="267">
        <v>0</v>
      </c>
      <c r="CA61" s="267">
        <v>0</v>
      </c>
      <c r="CB61" s="267">
        <v>0</v>
      </c>
      <c r="CC61" s="267">
        <v>0</v>
      </c>
      <c r="CD61" s="267">
        <v>0</v>
      </c>
      <c r="CE61" s="267">
        <v>0</v>
      </c>
    </row>
    <row r="62" spans="1:83" x14ac:dyDescent="0.3">
      <c r="A62" s="267">
        <v>102</v>
      </c>
      <c r="B62" s="267">
        <v>102</v>
      </c>
      <c r="C62" s="267" t="s">
        <v>269</v>
      </c>
      <c r="D62" s="267" t="s">
        <v>366</v>
      </c>
      <c r="E62" s="267">
        <v>0</v>
      </c>
      <c r="F62" s="267">
        <v>99</v>
      </c>
      <c r="G62" s="267">
        <v>97.78</v>
      </c>
      <c r="H62" s="267">
        <v>98.08</v>
      </c>
      <c r="I62" s="267">
        <v>96.93</v>
      </c>
      <c r="J62" s="267">
        <v>99.08</v>
      </c>
      <c r="K62" s="267">
        <v>96.05</v>
      </c>
      <c r="L62" s="267">
        <v>99.53</v>
      </c>
      <c r="M62" s="267">
        <v>98.41</v>
      </c>
      <c r="N62" s="267">
        <v>99.56</v>
      </c>
      <c r="O62" s="267">
        <v>95.52</v>
      </c>
      <c r="P62" s="267">
        <v>98.85</v>
      </c>
      <c r="Q62" s="267">
        <v>99.15</v>
      </c>
      <c r="R62" s="267">
        <v>99.14</v>
      </c>
      <c r="S62" s="267">
        <v>99.99</v>
      </c>
      <c r="T62" s="267">
        <v>0</v>
      </c>
      <c r="U62" s="267">
        <v>99.2</v>
      </c>
      <c r="V62" s="267">
        <v>99.29</v>
      </c>
      <c r="W62" s="267">
        <v>98.35</v>
      </c>
      <c r="X62" s="267">
        <v>99.92</v>
      </c>
      <c r="Y62" s="267">
        <v>79.37</v>
      </c>
      <c r="Z62" s="267">
        <v>98.37</v>
      </c>
      <c r="AA62" s="267">
        <v>94.75</v>
      </c>
      <c r="AB62" s="267">
        <v>99.34</v>
      </c>
      <c r="AC62" s="267">
        <v>97.15</v>
      </c>
      <c r="AD62" s="267">
        <v>98.29</v>
      </c>
      <c r="AE62" s="267">
        <v>96.99</v>
      </c>
      <c r="AF62" s="267">
        <v>92.37</v>
      </c>
      <c r="AG62" s="267">
        <v>99.98</v>
      </c>
      <c r="AH62" s="267">
        <v>97.88</v>
      </c>
      <c r="AI62" s="267">
        <v>92.65</v>
      </c>
      <c r="AJ62" s="267">
        <v>99.28</v>
      </c>
      <c r="AK62" s="267">
        <v>99.71</v>
      </c>
      <c r="AL62" s="267">
        <v>94.41</v>
      </c>
      <c r="AM62" s="267">
        <v>0</v>
      </c>
      <c r="AN62" s="267">
        <v>98.35</v>
      </c>
      <c r="AO62" s="267">
        <v>0</v>
      </c>
      <c r="AP62" s="267">
        <v>0</v>
      </c>
      <c r="AQ62" s="267">
        <v>0</v>
      </c>
      <c r="AR62" s="267">
        <v>99.35</v>
      </c>
      <c r="AS62" s="267">
        <v>96.35</v>
      </c>
      <c r="AT62" s="267">
        <v>93.64</v>
      </c>
      <c r="AU62" s="267">
        <v>97.81</v>
      </c>
      <c r="AV62" s="267">
        <v>0</v>
      </c>
      <c r="AW62" s="267">
        <v>99.13</v>
      </c>
      <c r="AX62" s="267">
        <v>99.44</v>
      </c>
      <c r="AY62" s="267">
        <v>98.09</v>
      </c>
      <c r="AZ62" s="267">
        <v>97.02</v>
      </c>
      <c r="BA62" s="267">
        <v>98.46</v>
      </c>
      <c r="BB62" s="267">
        <v>94.28</v>
      </c>
      <c r="BC62" s="267">
        <v>0</v>
      </c>
      <c r="BD62" s="267">
        <v>0</v>
      </c>
      <c r="BE62" s="267">
        <v>98.31</v>
      </c>
      <c r="BF62" s="267">
        <v>98.11</v>
      </c>
      <c r="BG62" s="267">
        <v>93.28</v>
      </c>
      <c r="BH62" s="267">
        <v>76.3</v>
      </c>
      <c r="BI62" s="267">
        <v>97.27</v>
      </c>
      <c r="BJ62" s="267">
        <v>94.91</v>
      </c>
      <c r="BK62" s="267">
        <v>96.1</v>
      </c>
      <c r="BL62" s="267">
        <v>95.27</v>
      </c>
      <c r="BM62" s="267">
        <v>0</v>
      </c>
      <c r="BN62" s="267">
        <v>99.05</v>
      </c>
      <c r="BO62" s="267">
        <v>99.91</v>
      </c>
      <c r="BP62" s="267">
        <v>99.84</v>
      </c>
      <c r="BQ62" s="267">
        <v>99.17</v>
      </c>
      <c r="BR62" s="267">
        <v>99.89</v>
      </c>
      <c r="BS62" s="267">
        <v>85.81</v>
      </c>
      <c r="BT62" s="267">
        <v>99.62</v>
      </c>
      <c r="BU62" s="267">
        <v>96.25</v>
      </c>
      <c r="BV62" s="267">
        <v>98.07</v>
      </c>
      <c r="BW62" s="267">
        <v>98.45</v>
      </c>
      <c r="BX62" s="267">
        <v>91.59</v>
      </c>
      <c r="BY62" s="267">
        <v>91.2</v>
      </c>
      <c r="BZ62" s="267">
        <v>99.57</v>
      </c>
      <c r="CA62" s="267">
        <v>75.64</v>
      </c>
      <c r="CB62" s="267">
        <v>96.83</v>
      </c>
      <c r="CC62" s="267">
        <v>0</v>
      </c>
      <c r="CD62" s="267">
        <v>0</v>
      </c>
      <c r="CE62" s="267">
        <v>87.01</v>
      </c>
    </row>
    <row r="63" spans="1:83" x14ac:dyDescent="0.3">
      <c r="A63" s="267">
        <v>103</v>
      </c>
      <c r="B63" s="267">
        <v>103</v>
      </c>
      <c r="C63" s="267" t="s">
        <v>270</v>
      </c>
      <c r="D63" s="267" t="s">
        <v>367</v>
      </c>
      <c r="E63" s="267">
        <v>0</v>
      </c>
      <c r="F63" s="267">
        <v>100</v>
      </c>
      <c r="G63" s="267">
        <v>100</v>
      </c>
      <c r="H63" s="267">
        <v>100</v>
      </c>
      <c r="I63" s="267">
        <v>100</v>
      </c>
      <c r="J63" s="267">
        <v>100</v>
      </c>
      <c r="K63" s="267">
        <v>100</v>
      </c>
      <c r="L63" s="267">
        <v>100</v>
      </c>
      <c r="M63" s="267">
        <v>100</v>
      </c>
      <c r="N63" s="267">
        <v>100</v>
      </c>
      <c r="O63" s="267">
        <v>100</v>
      </c>
      <c r="P63" s="267">
        <v>100</v>
      </c>
      <c r="Q63" s="267">
        <v>100</v>
      </c>
      <c r="R63" s="267">
        <v>100</v>
      </c>
      <c r="S63" s="267">
        <v>100</v>
      </c>
      <c r="T63" s="267">
        <v>0</v>
      </c>
      <c r="U63" s="267">
        <v>99.5</v>
      </c>
      <c r="V63" s="267">
        <v>100</v>
      </c>
      <c r="W63" s="267">
        <v>100</v>
      </c>
      <c r="X63" s="267">
        <v>99.83</v>
      </c>
      <c r="Y63" s="267">
        <v>100</v>
      </c>
      <c r="Z63" s="267">
        <v>99.69</v>
      </c>
      <c r="AA63" s="267">
        <v>100</v>
      </c>
      <c r="AB63" s="267">
        <v>100</v>
      </c>
      <c r="AC63" s="267">
        <v>99.02</v>
      </c>
      <c r="AD63" s="267">
        <v>100</v>
      </c>
      <c r="AE63" s="267">
        <v>100</v>
      </c>
      <c r="AF63" s="267">
        <v>100</v>
      </c>
      <c r="AG63" s="267">
        <v>100</v>
      </c>
      <c r="AH63" s="267">
        <v>100</v>
      </c>
      <c r="AI63" s="267">
        <v>100</v>
      </c>
      <c r="AJ63" s="267">
        <v>100</v>
      </c>
      <c r="AK63" s="267">
        <v>100</v>
      </c>
      <c r="AL63" s="267">
        <v>91.2</v>
      </c>
      <c r="AM63" s="267">
        <v>0</v>
      </c>
      <c r="AN63" s="267">
        <v>99.98</v>
      </c>
      <c r="AO63" s="267">
        <v>0</v>
      </c>
      <c r="AP63" s="267">
        <v>0</v>
      </c>
      <c r="AQ63" s="267">
        <v>0</v>
      </c>
      <c r="AR63" s="267">
        <v>100</v>
      </c>
      <c r="AS63" s="267">
        <v>100</v>
      </c>
      <c r="AT63" s="267">
        <v>100</v>
      </c>
      <c r="AU63" s="267">
        <v>99.8</v>
      </c>
      <c r="AV63" s="267">
        <v>0</v>
      </c>
      <c r="AW63" s="267">
        <v>100</v>
      </c>
      <c r="AX63" s="267">
        <v>100</v>
      </c>
      <c r="AY63" s="267">
        <v>100</v>
      </c>
      <c r="AZ63" s="267">
        <v>100</v>
      </c>
      <c r="BA63" s="267">
        <v>100</v>
      </c>
      <c r="BB63" s="267">
        <v>100</v>
      </c>
      <c r="BC63" s="267">
        <v>0</v>
      </c>
      <c r="BD63" s="267">
        <v>0</v>
      </c>
      <c r="BE63" s="267">
        <v>99.91</v>
      </c>
      <c r="BF63" s="267">
        <v>100</v>
      </c>
      <c r="BG63" s="267">
        <v>100</v>
      </c>
      <c r="BH63" s="267">
        <v>100</v>
      </c>
      <c r="BI63" s="267">
        <v>100</v>
      </c>
      <c r="BJ63" s="267">
        <v>100</v>
      </c>
      <c r="BK63" s="267">
        <v>100</v>
      </c>
      <c r="BL63" s="267">
        <v>97.24</v>
      </c>
      <c r="BM63" s="267">
        <v>0</v>
      </c>
      <c r="BN63" s="267">
        <v>100</v>
      </c>
      <c r="BO63" s="267">
        <v>99.33</v>
      </c>
      <c r="BP63" s="267">
        <v>100</v>
      </c>
      <c r="BQ63" s="267">
        <v>100</v>
      </c>
      <c r="BR63" s="267">
        <v>100</v>
      </c>
      <c r="BS63" s="267">
        <v>100</v>
      </c>
      <c r="BT63" s="267">
        <v>100</v>
      </c>
      <c r="BU63" s="267">
        <v>100</v>
      </c>
      <c r="BV63" s="267">
        <v>100</v>
      </c>
      <c r="BW63" s="267">
        <v>100</v>
      </c>
      <c r="BX63" s="267">
        <v>100</v>
      </c>
      <c r="BY63" s="267">
        <v>100</v>
      </c>
      <c r="BZ63" s="267">
        <v>100</v>
      </c>
      <c r="CA63" s="267">
        <v>100</v>
      </c>
      <c r="CB63" s="267">
        <v>100</v>
      </c>
      <c r="CC63" s="267">
        <v>0</v>
      </c>
      <c r="CD63" s="267">
        <v>0</v>
      </c>
      <c r="CE63" s="267">
        <v>100</v>
      </c>
    </row>
    <row r="64" spans="1:83" x14ac:dyDescent="0.3">
      <c r="B64" s="267">
        <v>104</v>
      </c>
      <c r="C64" s="267" t="s">
        <v>368</v>
      </c>
      <c r="D64" s="267" t="s">
        <v>369</v>
      </c>
      <c r="E64" s="267">
        <v>0</v>
      </c>
      <c r="F64" s="267">
        <v>0</v>
      </c>
      <c r="G64" s="267">
        <v>0</v>
      </c>
      <c r="H64" s="267">
        <v>0</v>
      </c>
      <c r="I64" s="267">
        <v>0</v>
      </c>
      <c r="J64" s="267">
        <v>0</v>
      </c>
      <c r="K64" s="267">
        <v>0</v>
      </c>
      <c r="L64" s="267">
        <v>0</v>
      </c>
      <c r="M64" s="267">
        <v>0</v>
      </c>
      <c r="N64" s="267">
        <v>0</v>
      </c>
      <c r="O64" s="267">
        <v>0</v>
      </c>
      <c r="P64" s="267">
        <v>0</v>
      </c>
      <c r="Q64" s="267">
        <v>0</v>
      </c>
      <c r="R64" s="267">
        <v>0</v>
      </c>
      <c r="S64" s="267">
        <v>0</v>
      </c>
      <c r="T64" s="267">
        <v>0</v>
      </c>
      <c r="U64" s="267">
        <v>0</v>
      </c>
      <c r="V64" s="267">
        <v>0</v>
      </c>
      <c r="W64" s="267">
        <v>0</v>
      </c>
      <c r="X64" s="267">
        <v>0</v>
      </c>
      <c r="Y64" s="267">
        <v>0</v>
      </c>
      <c r="Z64" s="267">
        <v>0</v>
      </c>
      <c r="AA64" s="267">
        <v>0</v>
      </c>
      <c r="AB64" s="267">
        <v>0</v>
      </c>
      <c r="AC64" s="267">
        <v>0</v>
      </c>
      <c r="AD64" s="267">
        <v>0</v>
      </c>
      <c r="AE64" s="267">
        <v>0</v>
      </c>
      <c r="AF64" s="267">
        <v>0</v>
      </c>
      <c r="AG64" s="267">
        <v>0</v>
      </c>
      <c r="AH64" s="267">
        <v>0</v>
      </c>
      <c r="AI64" s="267">
        <v>0</v>
      </c>
      <c r="AJ64" s="267">
        <v>0</v>
      </c>
      <c r="AK64" s="267">
        <v>0</v>
      </c>
      <c r="AL64" s="267">
        <v>0</v>
      </c>
      <c r="AM64" s="267">
        <v>0</v>
      </c>
      <c r="AN64" s="267">
        <v>0</v>
      </c>
      <c r="AO64" s="267">
        <v>0</v>
      </c>
      <c r="AP64" s="267">
        <v>0</v>
      </c>
      <c r="AQ64" s="267">
        <v>0</v>
      </c>
      <c r="AR64" s="267">
        <v>0</v>
      </c>
      <c r="AS64" s="267">
        <v>0</v>
      </c>
      <c r="AT64" s="267">
        <v>0</v>
      </c>
      <c r="AU64" s="267">
        <v>0</v>
      </c>
      <c r="AV64" s="267">
        <v>0</v>
      </c>
      <c r="AW64" s="267">
        <v>0</v>
      </c>
      <c r="AX64" s="267">
        <v>0</v>
      </c>
      <c r="AY64" s="267">
        <v>0</v>
      </c>
      <c r="AZ64" s="267">
        <v>0</v>
      </c>
      <c r="BA64" s="267">
        <v>0</v>
      </c>
      <c r="BB64" s="267">
        <v>0</v>
      </c>
      <c r="BC64" s="267">
        <v>0</v>
      </c>
      <c r="BD64" s="267">
        <v>0</v>
      </c>
      <c r="BE64" s="267">
        <v>0</v>
      </c>
      <c r="BF64" s="267">
        <v>0</v>
      </c>
      <c r="BG64" s="267">
        <v>0</v>
      </c>
      <c r="BH64" s="267">
        <v>0</v>
      </c>
      <c r="BI64" s="267">
        <v>0</v>
      </c>
      <c r="BJ64" s="267">
        <v>0</v>
      </c>
      <c r="BK64" s="267">
        <v>0</v>
      </c>
      <c r="BL64" s="267">
        <v>0</v>
      </c>
      <c r="BM64" s="267">
        <v>0</v>
      </c>
      <c r="BN64" s="267">
        <v>0</v>
      </c>
      <c r="BO64" s="267">
        <v>0</v>
      </c>
      <c r="BP64" s="267">
        <v>0</v>
      </c>
      <c r="BQ64" s="267">
        <v>0</v>
      </c>
      <c r="BR64" s="267">
        <v>0</v>
      </c>
      <c r="BS64" s="267">
        <v>0</v>
      </c>
      <c r="BT64" s="267">
        <v>0</v>
      </c>
      <c r="BU64" s="267">
        <v>0</v>
      </c>
      <c r="BV64" s="267">
        <v>0</v>
      </c>
      <c r="BW64" s="267">
        <v>0</v>
      </c>
      <c r="BX64" s="267">
        <v>0</v>
      </c>
      <c r="BY64" s="267">
        <v>0</v>
      </c>
      <c r="BZ64" s="267">
        <v>0</v>
      </c>
      <c r="CA64" s="267">
        <v>0</v>
      </c>
      <c r="CB64" s="267">
        <v>0</v>
      </c>
      <c r="CC64" s="267">
        <v>0</v>
      </c>
      <c r="CD64" s="267">
        <v>0</v>
      </c>
      <c r="CE64" s="267">
        <v>0</v>
      </c>
    </row>
    <row r="65" spans="1:83" x14ac:dyDescent="0.3">
      <c r="B65" s="267">
        <v>107</v>
      </c>
      <c r="C65" s="267" t="s">
        <v>633</v>
      </c>
      <c r="D65" s="267" t="s">
        <v>370</v>
      </c>
      <c r="E65" s="267">
        <v>0</v>
      </c>
      <c r="F65" s="267">
        <v>0</v>
      </c>
      <c r="G65" s="267">
        <v>0</v>
      </c>
      <c r="H65" s="267">
        <v>0</v>
      </c>
      <c r="I65" s="267">
        <v>0</v>
      </c>
      <c r="J65" s="267">
        <v>0</v>
      </c>
      <c r="K65" s="267">
        <v>0</v>
      </c>
      <c r="L65" s="267">
        <v>0</v>
      </c>
      <c r="M65" s="267">
        <v>0</v>
      </c>
      <c r="N65" s="267">
        <v>0</v>
      </c>
      <c r="O65" s="267">
        <v>0</v>
      </c>
      <c r="P65" s="267">
        <v>0</v>
      </c>
      <c r="Q65" s="267">
        <v>0</v>
      </c>
      <c r="R65" s="267">
        <v>0</v>
      </c>
      <c r="S65" s="267">
        <v>0</v>
      </c>
      <c r="T65" s="267">
        <v>0</v>
      </c>
      <c r="U65" s="267">
        <v>0</v>
      </c>
      <c r="V65" s="267">
        <v>0</v>
      </c>
      <c r="W65" s="267">
        <v>0</v>
      </c>
      <c r="X65" s="267">
        <v>0</v>
      </c>
      <c r="Y65" s="267">
        <v>0</v>
      </c>
      <c r="Z65" s="267">
        <v>0</v>
      </c>
      <c r="AA65" s="267">
        <v>0</v>
      </c>
      <c r="AB65" s="267">
        <v>0</v>
      </c>
      <c r="AC65" s="267">
        <v>0</v>
      </c>
      <c r="AD65" s="267">
        <v>0</v>
      </c>
      <c r="AE65" s="267">
        <v>0</v>
      </c>
      <c r="AF65" s="267">
        <v>0</v>
      </c>
      <c r="AG65" s="267">
        <v>0</v>
      </c>
      <c r="AH65" s="267">
        <v>0</v>
      </c>
      <c r="AI65" s="267">
        <v>0</v>
      </c>
      <c r="AJ65" s="267">
        <v>0</v>
      </c>
      <c r="AK65" s="267">
        <v>0</v>
      </c>
      <c r="AL65" s="267">
        <v>0</v>
      </c>
      <c r="AM65" s="267">
        <v>0</v>
      </c>
      <c r="AN65" s="267">
        <v>0</v>
      </c>
      <c r="AO65" s="267">
        <v>0</v>
      </c>
      <c r="AP65" s="267">
        <v>0</v>
      </c>
      <c r="AQ65" s="267">
        <v>0</v>
      </c>
      <c r="AR65" s="267">
        <v>0</v>
      </c>
      <c r="AS65" s="267">
        <v>0</v>
      </c>
      <c r="AT65" s="267">
        <v>0</v>
      </c>
      <c r="AU65" s="267">
        <v>0</v>
      </c>
      <c r="AV65" s="267">
        <v>0</v>
      </c>
      <c r="AW65" s="267">
        <v>0</v>
      </c>
      <c r="AX65" s="267">
        <v>0</v>
      </c>
      <c r="AY65" s="267">
        <v>0</v>
      </c>
      <c r="AZ65" s="267">
        <v>0</v>
      </c>
      <c r="BA65" s="267">
        <v>0</v>
      </c>
      <c r="BB65" s="267">
        <v>0</v>
      </c>
      <c r="BC65" s="267">
        <v>0</v>
      </c>
      <c r="BD65" s="267">
        <v>0</v>
      </c>
      <c r="BE65" s="267">
        <v>0</v>
      </c>
      <c r="BF65" s="267">
        <v>0</v>
      </c>
      <c r="BG65" s="267">
        <v>0</v>
      </c>
      <c r="BH65" s="267">
        <v>0</v>
      </c>
      <c r="BI65" s="267">
        <v>0</v>
      </c>
      <c r="BJ65" s="267">
        <v>0</v>
      </c>
      <c r="BK65" s="267">
        <v>0</v>
      </c>
      <c r="BL65" s="267">
        <v>0</v>
      </c>
      <c r="BM65" s="267">
        <v>0</v>
      </c>
      <c r="BN65" s="267">
        <v>0</v>
      </c>
      <c r="BO65" s="267">
        <v>0</v>
      </c>
      <c r="BP65" s="267">
        <v>0</v>
      </c>
      <c r="BQ65" s="267">
        <v>0</v>
      </c>
      <c r="BR65" s="267">
        <v>0</v>
      </c>
      <c r="BS65" s="267">
        <v>0</v>
      </c>
      <c r="BT65" s="267">
        <v>0</v>
      </c>
      <c r="BU65" s="267">
        <v>0</v>
      </c>
      <c r="BV65" s="267">
        <v>0</v>
      </c>
      <c r="BW65" s="267">
        <v>0</v>
      </c>
      <c r="BX65" s="267">
        <v>0</v>
      </c>
      <c r="BY65" s="267">
        <v>0</v>
      </c>
      <c r="BZ65" s="267">
        <v>0</v>
      </c>
      <c r="CA65" s="267">
        <v>0</v>
      </c>
      <c r="CB65" s="267">
        <v>0</v>
      </c>
      <c r="CC65" s="267">
        <v>0</v>
      </c>
      <c r="CD65" s="267">
        <v>0</v>
      </c>
      <c r="CE65" s="267">
        <v>0</v>
      </c>
    </row>
    <row r="66" spans="1:83" x14ac:dyDescent="0.3">
      <c r="B66" s="267">
        <v>108</v>
      </c>
      <c r="C66" s="267" t="s">
        <v>634</v>
      </c>
      <c r="D66" s="267" t="s">
        <v>371</v>
      </c>
      <c r="E66" s="267">
        <v>0</v>
      </c>
      <c r="F66" s="267">
        <v>0</v>
      </c>
      <c r="G66" s="267">
        <v>0</v>
      </c>
      <c r="H66" s="267">
        <v>0</v>
      </c>
      <c r="I66" s="267">
        <v>0</v>
      </c>
      <c r="J66" s="267">
        <v>0</v>
      </c>
      <c r="K66" s="267">
        <v>0</v>
      </c>
      <c r="L66" s="267">
        <v>0</v>
      </c>
      <c r="M66" s="267">
        <v>0</v>
      </c>
      <c r="N66" s="267">
        <v>0</v>
      </c>
      <c r="O66" s="267">
        <v>0</v>
      </c>
      <c r="P66" s="267">
        <v>0</v>
      </c>
      <c r="Q66" s="267">
        <v>0</v>
      </c>
      <c r="R66" s="267">
        <v>0</v>
      </c>
      <c r="S66" s="267">
        <v>0</v>
      </c>
      <c r="T66" s="267">
        <v>0</v>
      </c>
      <c r="U66" s="267">
        <v>0</v>
      </c>
      <c r="V66" s="267">
        <v>0</v>
      </c>
      <c r="W66" s="267">
        <v>0</v>
      </c>
      <c r="X66" s="267">
        <v>0</v>
      </c>
      <c r="Y66" s="267">
        <v>0</v>
      </c>
      <c r="Z66" s="267">
        <v>0</v>
      </c>
      <c r="AA66" s="267">
        <v>0</v>
      </c>
      <c r="AB66" s="267">
        <v>0</v>
      </c>
      <c r="AC66" s="267">
        <v>0</v>
      </c>
      <c r="AD66" s="267">
        <v>0</v>
      </c>
      <c r="AE66" s="267">
        <v>0</v>
      </c>
      <c r="AF66" s="267">
        <v>0</v>
      </c>
      <c r="AG66" s="267">
        <v>0</v>
      </c>
      <c r="AH66" s="267">
        <v>0</v>
      </c>
      <c r="AI66" s="267">
        <v>0</v>
      </c>
      <c r="AJ66" s="267">
        <v>0</v>
      </c>
      <c r="AK66" s="267">
        <v>0</v>
      </c>
      <c r="AL66" s="267">
        <v>0</v>
      </c>
      <c r="AM66" s="267">
        <v>0</v>
      </c>
      <c r="AN66" s="267">
        <v>0</v>
      </c>
      <c r="AO66" s="267">
        <v>0</v>
      </c>
      <c r="AP66" s="267">
        <v>0</v>
      </c>
      <c r="AQ66" s="267">
        <v>0</v>
      </c>
      <c r="AR66" s="267">
        <v>0</v>
      </c>
      <c r="AS66" s="267">
        <v>0</v>
      </c>
      <c r="AT66" s="267">
        <v>0</v>
      </c>
      <c r="AU66" s="267">
        <v>0</v>
      </c>
      <c r="AV66" s="267">
        <v>0</v>
      </c>
      <c r="AW66" s="267">
        <v>0</v>
      </c>
      <c r="AX66" s="267">
        <v>0</v>
      </c>
      <c r="AY66" s="267">
        <v>0</v>
      </c>
      <c r="AZ66" s="267">
        <v>0</v>
      </c>
      <c r="BA66" s="267">
        <v>0</v>
      </c>
      <c r="BB66" s="267">
        <v>0</v>
      </c>
      <c r="BC66" s="267">
        <v>0</v>
      </c>
      <c r="BD66" s="267">
        <v>0</v>
      </c>
      <c r="BE66" s="267">
        <v>0</v>
      </c>
      <c r="BF66" s="267">
        <v>0</v>
      </c>
      <c r="BG66" s="267">
        <v>0</v>
      </c>
      <c r="BH66" s="267">
        <v>0</v>
      </c>
      <c r="BI66" s="267">
        <v>0</v>
      </c>
      <c r="BJ66" s="267">
        <v>0</v>
      </c>
      <c r="BK66" s="267">
        <v>0</v>
      </c>
      <c r="BL66" s="267">
        <v>0</v>
      </c>
      <c r="BM66" s="267">
        <v>0</v>
      </c>
      <c r="BN66" s="267">
        <v>0</v>
      </c>
      <c r="BO66" s="267">
        <v>0</v>
      </c>
      <c r="BP66" s="267">
        <v>0</v>
      </c>
      <c r="BQ66" s="267">
        <v>0</v>
      </c>
      <c r="BR66" s="267">
        <v>0</v>
      </c>
      <c r="BS66" s="267">
        <v>0</v>
      </c>
      <c r="BT66" s="267">
        <v>0</v>
      </c>
      <c r="BU66" s="267">
        <v>0</v>
      </c>
      <c r="BV66" s="267">
        <v>0</v>
      </c>
      <c r="BW66" s="267">
        <v>0</v>
      </c>
      <c r="BX66" s="267">
        <v>0</v>
      </c>
      <c r="BY66" s="267">
        <v>0</v>
      </c>
      <c r="BZ66" s="267">
        <v>0</v>
      </c>
      <c r="CA66" s="267">
        <v>0</v>
      </c>
      <c r="CB66" s="267">
        <v>0</v>
      </c>
      <c r="CC66" s="267">
        <v>0</v>
      </c>
      <c r="CD66" s="267">
        <v>0</v>
      </c>
      <c r="CE66" s="267">
        <v>0</v>
      </c>
    </row>
    <row r="67" spans="1:83" x14ac:dyDescent="0.3">
      <c r="B67" s="267">
        <v>147</v>
      </c>
      <c r="C67" s="267" t="s">
        <v>372</v>
      </c>
      <c r="D67" s="267" t="s">
        <v>373</v>
      </c>
      <c r="E67" s="267">
        <v>0</v>
      </c>
      <c r="F67" s="267">
        <v>0</v>
      </c>
      <c r="G67" s="267">
        <v>0</v>
      </c>
      <c r="H67" s="267">
        <v>0</v>
      </c>
      <c r="I67" s="267">
        <v>0</v>
      </c>
      <c r="J67" s="267">
        <v>0</v>
      </c>
      <c r="K67" s="267">
        <v>0</v>
      </c>
      <c r="L67" s="267">
        <v>0</v>
      </c>
      <c r="M67" s="267">
        <v>0</v>
      </c>
      <c r="N67" s="267">
        <v>0</v>
      </c>
      <c r="O67" s="267">
        <v>0</v>
      </c>
      <c r="P67" s="267">
        <v>0</v>
      </c>
      <c r="Q67" s="267">
        <v>0</v>
      </c>
      <c r="R67" s="267">
        <v>0</v>
      </c>
      <c r="S67" s="267">
        <v>0</v>
      </c>
      <c r="T67" s="267">
        <v>0</v>
      </c>
      <c r="U67" s="267">
        <v>0</v>
      </c>
      <c r="V67" s="267">
        <v>0</v>
      </c>
      <c r="W67" s="267">
        <v>0</v>
      </c>
      <c r="X67" s="267">
        <v>0</v>
      </c>
      <c r="Y67" s="267">
        <v>0</v>
      </c>
      <c r="Z67" s="267">
        <v>0</v>
      </c>
      <c r="AA67" s="267">
        <v>0</v>
      </c>
      <c r="AB67" s="267">
        <v>0</v>
      </c>
      <c r="AC67" s="267">
        <v>0</v>
      </c>
      <c r="AD67" s="267">
        <v>0</v>
      </c>
      <c r="AE67" s="267">
        <v>0</v>
      </c>
      <c r="AF67" s="267">
        <v>0</v>
      </c>
      <c r="AG67" s="267">
        <v>0</v>
      </c>
      <c r="AH67" s="267">
        <v>0</v>
      </c>
      <c r="AI67" s="267">
        <v>0</v>
      </c>
      <c r="AJ67" s="267">
        <v>0</v>
      </c>
      <c r="AK67" s="267">
        <v>0</v>
      </c>
      <c r="AL67" s="267">
        <v>0</v>
      </c>
      <c r="AM67" s="267">
        <v>0</v>
      </c>
      <c r="AN67" s="267">
        <v>0</v>
      </c>
      <c r="AO67" s="267">
        <v>0</v>
      </c>
      <c r="AP67" s="267">
        <v>0</v>
      </c>
      <c r="AQ67" s="267">
        <v>0</v>
      </c>
      <c r="AR67" s="267">
        <v>0</v>
      </c>
      <c r="AS67" s="267">
        <v>0</v>
      </c>
      <c r="AT67" s="267">
        <v>0</v>
      </c>
      <c r="AU67" s="267">
        <v>0</v>
      </c>
      <c r="AV67" s="267">
        <v>0</v>
      </c>
      <c r="AW67" s="267">
        <v>0</v>
      </c>
      <c r="AX67" s="267">
        <v>0</v>
      </c>
      <c r="AY67" s="267">
        <v>0</v>
      </c>
      <c r="AZ67" s="267">
        <v>0</v>
      </c>
      <c r="BA67" s="267">
        <v>0</v>
      </c>
      <c r="BB67" s="267">
        <v>0</v>
      </c>
      <c r="BC67" s="267">
        <v>0</v>
      </c>
      <c r="BD67" s="267">
        <v>0</v>
      </c>
      <c r="BE67" s="267">
        <v>0</v>
      </c>
      <c r="BF67" s="267">
        <v>0</v>
      </c>
      <c r="BG67" s="267">
        <v>0</v>
      </c>
      <c r="BH67" s="267">
        <v>0</v>
      </c>
      <c r="BI67" s="267">
        <v>0</v>
      </c>
      <c r="BJ67" s="267">
        <v>0</v>
      </c>
      <c r="BK67" s="267">
        <v>0</v>
      </c>
      <c r="BL67" s="267">
        <v>0</v>
      </c>
      <c r="BM67" s="267">
        <v>0</v>
      </c>
      <c r="BN67" s="267">
        <v>0</v>
      </c>
      <c r="BO67" s="267">
        <v>0</v>
      </c>
      <c r="BP67" s="267">
        <v>0</v>
      </c>
      <c r="BQ67" s="267">
        <v>0</v>
      </c>
      <c r="BR67" s="267">
        <v>0</v>
      </c>
      <c r="BS67" s="267">
        <v>0</v>
      </c>
      <c r="BT67" s="267">
        <v>0</v>
      </c>
      <c r="BU67" s="267">
        <v>0</v>
      </c>
      <c r="BV67" s="267">
        <v>0</v>
      </c>
      <c r="BW67" s="267">
        <v>0</v>
      </c>
      <c r="BX67" s="267">
        <v>0</v>
      </c>
      <c r="BY67" s="267">
        <v>0</v>
      </c>
      <c r="BZ67" s="267">
        <v>0</v>
      </c>
      <c r="CA67" s="267">
        <v>0</v>
      </c>
      <c r="CB67" s="267">
        <v>0</v>
      </c>
      <c r="CC67" s="267">
        <v>0</v>
      </c>
      <c r="CD67" s="267">
        <v>0</v>
      </c>
      <c r="CE67" s="267">
        <v>0</v>
      </c>
    </row>
    <row r="68" spans="1:83" x14ac:dyDescent="0.3">
      <c r="B68" s="267">
        <v>148</v>
      </c>
      <c r="C68" s="267" t="s">
        <v>374</v>
      </c>
      <c r="D68" s="267" t="s">
        <v>375</v>
      </c>
      <c r="E68" s="267">
        <v>0</v>
      </c>
      <c r="F68" s="267">
        <v>0</v>
      </c>
      <c r="G68" s="267">
        <v>0</v>
      </c>
      <c r="H68" s="267">
        <v>0</v>
      </c>
      <c r="I68" s="267">
        <v>0</v>
      </c>
      <c r="J68" s="267">
        <v>0</v>
      </c>
      <c r="K68" s="267">
        <v>0</v>
      </c>
      <c r="L68" s="267">
        <v>0</v>
      </c>
      <c r="M68" s="267">
        <v>0</v>
      </c>
      <c r="N68" s="267">
        <v>0</v>
      </c>
      <c r="O68" s="267">
        <v>0</v>
      </c>
      <c r="P68" s="267">
        <v>0</v>
      </c>
      <c r="Q68" s="267">
        <v>0</v>
      </c>
      <c r="R68" s="267">
        <v>0</v>
      </c>
      <c r="S68" s="267">
        <v>0</v>
      </c>
      <c r="T68" s="267">
        <v>0</v>
      </c>
      <c r="U68" s="267">
        <v>0</v>
      </c>
      <c r="V68" s="267">
        <v>0</v>
      </c>
      <c r="W68" s="267">
        <v>0</v>
      </c>
      <c r="X68" s="267">
        <v>0</v>
      </c>
      <c r="Y68" s="267">
        <v>0</v>
      </c>
      <c r="Z68" s="267">
        <v>0</v>
      </c>
      <c r="AA68" s="267">
        <v>0</v>
      </c>
      <c r="AB68" s="267">
        <v>0</v>
      </c>
      <c r="AC68" s="267">
        <v>0</v>
      </c>
      <c r="AD68" s="267">
        <v>0</v>
      </c>
      <c r="AE68" s="267">
        <v>0</v>
      </c>
      <c r="AF68" s="267">
        <v>0</v>
      </c>
      <c r="AG68" s="267">
        <v>0</v>
      </c>
      <c r="AH68" s="267">
        <v>0</v>
      </c>
      <c r="AI68" s="267">
        <v>0</v>
      </c>
      <c r="AJ68" s="267">
        <v>0</v>
      </c>
      <c r="AK68" s="267">
        <v>0</v>
      </c>
      <c r="AL68" s="267">
        <v>0</v>
      </c>
      <c r="AM68" s="267">
        <v>0</v>
      </c>
      <c r="AN68" s="267">
        <v>0</v>
      </c>
      <c r="AO68" s="267">
        <v>0</v>
      </c>
      <c r="AP68" s="267">
        <v>0</v>
      </c>
      <c r="AQ68" s="267">
        <v>0</v>
      </c>
      <c r="AR68" s="267">
        <v>0</v>
      </c>
      <c r="AS68" s="267">
        <v>0</v>
      </c>
      <c r="AT68" s="267">
        <v>0</v>
      </c>
      <c r="AU68" s="267">
        <v>0</v>
      </c>
      <c r="AV68" s="267">
        <v>0</v>
      </c>
      <c r="AW68" s="267">
        <v>0</v>
      </c>
      <c r="AX68" s="267">
        <v>0</v>
      </c>
      <c r="AY68" s="267">
        <v>0</v>
      </c>
      <c r="AZ68" s="267">
        <v>0</v>
      </c>
      <c r="BA68" s="267">
        <v>0</v>
      </c>
      <c r="BB68" s="267">
        <v>0</v>
      </c>
      <c r="BC68" s="267">
        <v>0</v>
      </c>
      <c r="BD68" s="267">
        <v>0</v>
      </c>
      <c r="BE68" s="267">
        <v>0</v>
      </c>
      <c r="BF68" s="267">
        <v>0</v>
      </c>
      <c r="BG68" s="267">
        <v>0</v>
      </c>
      <c r="BH68" s="267">
        <v>0</v>
      </c>
      <c r="BI68" s="267">
        <v>0</v>
      </c>
      <c r="BJ68" s="267">
        <v>0</v>
      </c>
      <c r="BK68" s="267">
        <v>0</v>
      </c>
      <c r="BL68" s="267">
        <v>0</v>
      </c>
      <c r="BM68" s="267">
        <v>0</v>
      </c>
      <c r="BN68" s="267">
        <v>0</v>
      </c>
      <c r="BO68" s="267">
        <v>0</v>
      </c>
      <c r="BP68" s="267">
        <v>0</v>
      </c>
      <c r="BQ68" s="267">
        <v>0</v>
      </c>
      <c r="BR68" s="267">
        <v>0</v>
      </c>
      <c r="BS68" s="267">
        <v>0</v>
      </c>
      <c r="BT68" s="267">
        <v>0</v>
      </c>
      <c r="BU68" s="267">
        <v>0</v>
      </c>
      <c r="BV68" s="267">
        <v>0</v>
      </c>
      <c r="BW68" s="267">
        <v>0</v>
      </c>
      <c r="BX68" s="267">
        <v>0</v>
      </c>
      <c r="BY68" s="267">
        <v>0</v>
      </c>
      <c r="BZ68" s="267">
        <v>0</v>
      </c>
      <c r="CA68" s="267">
        <v>0</v>
      </c>
      <c r="CB68" s="267">
        <v>0</v>
      </c>
      <c r="CC68" s="267">
        <v>0</v>
      </c>
      <c r="CD68" s="267">
        <v>0</v>
      </c>
      <c r="CE68" s="267">
        <v>0</v>
      </c>
    </row>
    <row r="69" spans="1:83" x14ac:dyDescent="0.3">
      <c r="B69" s="267">
        <v>149</v>
      </c>
      <c r="C69" s="267" t="s">
        <v>376</v>
      </c>
      <c r="D69" s="267" t="s">
        <v>377</v>
      </c>
      <c r="E69" s="267">
        <v>0</v>
      </c>
      <c r="F69" s="267">
        <v>0</v>
      </c>
      <c r="G69" s="267">
        <v>0</v>
      </c>
      <c r="H69" s="267">
        <v>0</v>
      </c>
      <c r="I69" s="267">
        <v>0</v>
      </c>
      <c r="J69" s="267">
        <v>0</v>
      </c>
      <c r="K69" s="267">
        <v>0</v>
      </c>
      <c r="L69" s="267">
        <v>0</v>
      </c>
      <c r="M69" s="267">
        <v>0</v>
      </c>
      <c r="N69" s="267">
        <v>0</v>
      </c>
      <c r="O69" s="267">
        <v>0</v>
      </c>
      <c r="P69" s="267">
        <v>0</v>
      </c>
      <c r="Q69" s="267">
        <v>0</v>
      </c>
      <c r="R69" s="267">
        <v>0</v>
      </c>
      <c r="S69" s="267">
        <v>0</v>
      </c>
      <c r="T69" s="267">
        <v>0</v>
      </c>
      <c r="U69" s="267">
        <v>0</v>
      </c>
      <c r="V69" s="267">
        <v>0</v>
      </c>
      <c r="W69" s="267">
        <v>0</v>
      </c>
      <c r="X69" s="267">
        <v>0</v>
      </c>
      <c r="Y69" s="267">
        <v>0</v>
      </c>
      <c r="Z69" s="267">
        <v>0</v>
      </c>
      <c r="AA69" s="267">
        <v>0</v>
      </c>
      <c r="AB69" s="267">
        <v>0</v>
      </c>
      <c r="AC69" s="267">
        <v>0</v>
      </c>
      <c r="AD69" s="267">
        <v>0</v>
      </c>
      <c r="AE69" s="267">
        <v>0</v>
      </c>
      <c r="AF69" s="267">
        <v>0</v>
      </c>
      <c r="AG69" s="267">
        <v>0</v>
      </c>
      <c r="AH69" s="267">
        <v>0</v>
      </c>
      <c r="AI69" s="267">
        <v>0</v>
      </c>
      <c r="AJ69" s="267">
        <v>0</v>
      </c>
      <c r="AK69" s="267">
        <v>0</v>
      </c>
      <c r="AL69" s="267">
        <v>0</v>
      </c>
      <c r="AM69" s="267">
        <v>0</v>
      </c>
      <c r="AN69" s="267">
        <v>0</v>
      </c>
      <c r="AO69" s="267">
        <v>0</v>
      </c>
      <c r="AP69" s="267">
        <v>0</v>
      </c>
      <c r="AQ69" s="267">
        <v>0</v>
      </c>
      <c r="AR69" s="267">
        <v>0</v>
      </c>
      <c r="AS69" s="267">
        <v>0</v>
      </c>
      <c r="AT69" s="267">
        <v>0</v>
      </c>
      <c r="AU69" s="267">
        <v>0</v>
      </c>
      <c r="AV69" s="267">
        <v>0</v>
      </c>
      <c r="AW69" s="267">
        <v>0</v>
      </c>
      <c r="AX69" s="267">
        <v>0</v>
      </c>
      <c r="AY69" s="267">
        <v>0</v>
      </c>
      <c r="AZ69" s="267">
        <v>0</v>
      </c>
      <c r="BA69" s="267">
        <v>0</v>
      </c>
      <c r="BB69" s="267">
        <v>0</v>
      </c>
      <c r="BC69" s="267">
        <v>0</v>
      </c>
      <c r="BD69" s="267">
        <v>0</v>
      </c>
      <c r="BE69" s="267">
        <v>0</v>
      </c>
      <c r="BF69" s="267">
        <v>0</v>
      </c>
      <c r="BG69" s="267">
        <v>0</v>
      </c>
      <c r="BH69" s="267">
        <v>0</v>
      </c>
      <c r="BI69" s="267">
        <v>0</v>
      </c>
      <c r="BJ69" s="267">
        <v>0</v>
      </c>
      <c r="BK69" s="267">
        <v>0</v>
      </c>
      <c r="BL69" s="267">
        <v>0</v>
      </c>
      <c r="BM69" s="267">
        <v>0</v>
      </c>
      <c r="BN69" s="267">
        <v>0</v>
      </c>
      <c r="BO69" s="267">
        <v>0</v>
      </c>
      <c r="BP69" s="267">
        <v>0</v>
      </c>
      <c r="BQ69" s="267">
        <v>0</v>
      </c>
      <c r="BR69" s="267">
        <v>0</v>
      </c>
      <c r="BS69" s="267">
        <v>0</v>
      </c>
      <c r="BT69" s="267">
        <v>0</v>
      </c>
      <c r="BU69" s="267">
        <v>0</v>
      </c>
      <c r="BV69" s="267">
        <v>0</v>
      </c>
      <c r="BW69" s="267">
        <v>0</v>
      </c>
      <c r="BX69" s="267">
        <v>0</v>
      </c>
      <c r="BY69" s="267">
        <v>0</v>
      </c>
      <c r="BZ69" s="267">
        <v>0</v>
      </c>
      <c r="CA69" s="267">
        <v>0</v>
      </c>
      <c r="CB69" s="267">
        <v>0</v>
      </c>
      <c r="CC69" s="267">
        <v>0</v>
      </c>
      <c r="CD69" s="267">
        <v>0</v>
      </c>
      <c r="CE69" s="267">
        <v>0</v>
      </c>
    </row>
    <row r="70" spans="1:83" x14ac:dyDescent="0.3">
      <c r="B70" s="267">
        <v>150</v>
      </c>
      <c r="C70" s="267" t="s">
        <v>378</v>
      </c>
      <c r="D70" s="267" t="s">
        <v>379</v>
      </c>
      <c r="E70" s="267">
        <v>0</v>
      </c>
      <c r="F70" s="267">
        <v>0</v>
      </c>
      <c r="G70" s="267">
        <v>0</v>
      </c>
      <c r="H70" s="267">
        <v>0</v>
      </c>
      <c r="I70" s="267">
        <v>0</v>
      </c>
      <c r="J70" s="267">
        <v>0</v>
      </c>
      <c r="K70" s="267">
        <v>0</v>
      </c>
      <c r="L70" s="267">
        <v>0</v>
      </c>
      <c r="M70" s="267">
        <v>0</v>
      </c>
      <c r="N70" s="267">
        <v>0</v>
      </c>
      <c r="O70" s="267">
        <v>0</v>
      </c>
      <c r="P70" s="267">
        <v>0</v>
      </c>
      <c r="Q70" s="267">
        <v>0</v>
      </c>
      <c r="R70" s="267">
        <v>0</v>
      </c>
      <c r="S70" s="267">
        <v>0</v>
      </c>
      <c r="T70" s="267">
        <v>0</v>
      </c>
      <c r="U70" s="267">
        <v>0</v>
      </c>
      <c r="V70" s="267">
        <v>0</v>
      </c>
      <c r="W70" s="267">
        <v>0</v>
      </c>
      <c r="X70" s="267">
        <v>0</v>
      </c>
      <c r="Y70" s="267">
        <v>0</v>
      </c>
      <c r="Z70" s="267">
        <v>0</v>
      </c>
      <c r="AA70" s="267">
        <v>0</v>
      </c>
      <c r="AB70" s="267">
        <v>0</v>
      </c>
      <c r="AC70" s="267">
        <v>0</v>
      </c>
      <c r="AD70" s="267">
        <v>0</v>
      </c>
      <c r="AE70" s="267">
        <v>0</v>
      </c>
      <c r="AF70" s="267">
        <v>0</v>
      </c>
      <c r="AG70" s="267">
        <v>0</v>
      </c>
      <c r="AH70" s="267">
        <v>0</v>
      </c>
      <c r="AI70" s="267">
        <v>0</v>
      </c>
      <c r="AJ70" s="267">
        <v>0</v>
      </c>
      <c r="AK70" s="267">
        <v>0</v>
      </c>
      <c r="AL70" s="267">
        <v>0</v>
      </c>
      <c r="AM70" s="267">
        <v>0</v>
      </c>
      <c r="AN70" s="267">
        <v>0</v>
      </c>
      <c r="AO70" s="267">
        <v>0</v>
      </c>
      <c r="AP70" s="267">
        <v>0</v>
      </c>
      <c r="AQ70" s="267">
        <v>0</v>
      </c>
      <c r="AR70" s="267">
        <v>0</v>
      </c>
      <c r="AS70" s="267">
        <v>0</v>
      </c>
      <c r="AT70" s="267">
        <v>0</v>
      </c>
      <c r="AU70" s="267">
        <v>0</v>
      </c>
      <c r="AV70" s="267">
        <v>0</v>
      </c>
      <c r="AW70" s="267">
        <v>0</v>
      </c>
      <c r="AX70" s="267">
        <v>0</v>
      </c>
      <c r="AY70" s="267">
        <v>0</v>
      </c>
      <c r="AZ70" s="267">
        <v>0</v>
      </c>
      <c r="BA70" s="267">
        <v>0</v>
      </c>
      <c r="BB70" s="267">
        <v>0</v>
      </c>
      <c r="BC70" s="267">
        <v>0</v>
      </c>
      <c r="BD70" s="267">
        <v>0</v>
      </c>
      <c r="BE70" s="267">
        <v>0</v>
      </c>
      <c r="BF70" s="267">
        <v>0</v>
      </c>
      <c r="BG70" s="267">
        <v>0</v>
      </c>
      <c r="BH70" s="267">
        <v>0</v>
      </c>
      <c r="BI70" s="267">
        <v>0</v>
      </c>
      <c r="BJ70" s="267">
        <v>0</v>
      </c>
      <c r="BK70" s="267">
        <v>0</v>
      </c>
      <c r="BL70" s="267">
        <v>0</v>
      </c>
      <c r="BM70" s="267">
        <v>0</v>
      </c>
      <c r="BN70" s="267">
        <v>0</v>
      </c>
      <c r="BO70" s="267">
        <v>0</v>
      </c>
      <c r="BP70" s="267">
        <v>0</v>
      </c>
      <c r="BQ70" s="267">
        <v>0</v>
      </c>
      <c r="BR70" s="267">
        <v>0</v>
      </c>
      <c r="BS70" s="267">
        <v>0</v>
      </c>
      <c r="BT70" s="267">
        <v>0</v>
      </c>
      <c r="BU70" s="267">
        <v>0</v>
      </c>
      <c r="BV70" s="267">
        <v>0</v>
      </c>
      <c r="BW70" s="267">
        <v>0</v>
      </c>
      <c r="BX70" s="267">
        <v>0</v>
      </c>
      <c r="BY70" s="267">
        <v>0</v>
      </c>
      <c r="BZ70" s="267">
        <v>0</v>
      </c>
      <c r="CA70" s="267">
        <v>0</v>
      </c>
      <c r="CB70" s="267">
        <v>0</v>
      </c>
      <c r="CC70" s="267">
        <v>0</v>
      </c>
      <c r="CD70" s="267">
        <v>0</v>
      </c>
      <c r="CE70" s="267">
        <v>0</v>
      </c>
    </row>
    <row r="71" spans="1:83" x14ac:dyDescent="0.3">
      <c r="A71" s="267">
        <v>171</v>
      </c>
      <c r="B71" s="267">
        <v>171</v>
      </c>
      <c r="C71" s="267" t="s">
        <v>217</v>
      </c>
      <c r="D71" s="267" t="s">
        <v>380</v>
      </c>
      <c r="E71" s="267">
        <v>0</v>
      </c>
      <c r="F71" s="267">
        <v>3600</v>
      </c>
      <c r="G71" s="267">
        <v>3599</v>
      </c>
      <c r="H71" s="267">
        <v>52958</v>
      </c>
      <c r="I71" s="267">
        <v>0</v>
      </c>
      <c r="J71" s="267">
        <v>87015</v>
      </c>
      <c r="K71" s="267">
        <v>0</v>
      </c>
      <c r="L71" s="267">
        <v>0</v>
      </c>
      <c r="M71" s="267">
        <v>0</v>
      </c>
      <c r="N71" s="267">
        <v>704269</v>
      </c>
      <c r="O71" s="267">
        <v>24282</v>
      </c>
      <c r="P71" s="267">
        <v>230747</v>
      </c>
      <c r="Q71" s="267">
        <v>0</v>
      </c>
      <c r="R71" s="267">
        <v>1654750</v>
      </c>
      <c r="S71" s="267">
        <v>23578</v>
      </c>
      <c r="T71" s="267">
        <v>0</v>
      </c>
      <c r="U71" s="267">
        <v>12790185</v>
      </c>
      <c r="V71" s="267">
        <v>1484410</v>
      </c>
      <c r="W71" s="267">
        <v>1413821</v>
      </c>
      <c r="X71" s="267">
        <v>2130414</v>
      </c>
      <c r="Y71" s="267">
        <v>0</v>
      </c>
      <c r="Z71" s="267">
        <v>36000</v>
      </c>
      <c r="AA71" s="267">
        <v>27545</v>
      </c>
      <c r="AB71" s="267">
        <v>1398339</v>
      </c>
      <c r="AC71" s="267">
        <v>699323</v>
      </c>
      <c r="AD71" s="267">
        <v>57837</v>
      </c>
      <c r="AE71" s="1232">
        <v>9909</v>
      </c>
      <c r="AF71" s="267">
        <v>115405</v>
      </c>
      <c r="AG71" s="267">
        <v>1334661</v>
      </c>
      <c r="AH71" s="267">
        <v>0</v>
      </c>
      <c r="AI71" s="267">
        <v>30364</v>
      </c>
      <c r="AJ71" s="267">
        <v>2144331</v>
      </c>
      <c r="AK71" s="267">
        <v>0</v>
      </c>
      <c r="AL71" s="267">
        <v>0</v>
      </c>
      <c r="AM71" s="267">
        <v>0</v>
      </c>
      <c r="AN71" s="267">
        <v>1327221</v>
      </c>
      <c r="AO71" s="267">
        <v>0</v>
      </c>
      <c r="AP71" s="267">
        <v>0</v>
      </c>
      <c r="AQ71" s="267">
        <v>0</v>
      </c>
      <c r="AR71" s="267">
        <v>1034494</v>
      </c>
      <c r="AS71" s="267">
        <v>147173</v>
      </c>
      <c r="AT71" s="267">
        <v>5925</v>
      </c>
      <c r="AU71" s="267">
        <v>64542</v>
      </c>
      <c r="AV71" s="267">
        <v>0</v>
      </c>
      <c r="AW71" s="267">
        <v>1743951</v>
      </c>
      <c r="AX71" s="267">
        <v>0</v>
      </c>
      <c r="AY71" s="267">
        <v>0</v>
      </c>
      <c r="AZ71" s="267">
        <v>440743</v>
      </c>
      <c r="BA71" s="267">
        <v>8130</v>
      </c>
      <c r="BB71" s="267">
        <v>0</v>
      </c>
      <c r="BC71" s="267">
        <v>0</v>
      </c>
      <c r="BD71" s="267">
        <v>0</v>
      </c>
      <c r="BE71" s="267">
        <v>272888</v>
      </c>
      <c r="BF71" s="267">
        <v>0</v>
      </c>
      <c r="BG71" s="267">
        <v>0</v>
      </c>
      <c r="BH71" s="267">
        <v>0</v>
      </c>
      <c r="BI71" s="267">
        <v>0</v>
      </c>
      <c r="BJ71" s="267">
        <v>0</v>
      </c>
      <c r="BK71" s="267">
        <v>18940</v>
      </c>
      <c r="BL71" s="267">
        <v>282217</v>
      </c>
      <c r="BM71" s="267">
        <v>0</v>
      </c>
      <c r="BN71" s="267">
        <v>49614</v>
      </c>
      <c r="BO71" s="267">
        <v>189650</v>
      </c>
      <c r="BP71" s="267">
        <v>35279</v>
      </c>
      <c r="BQ71" s="267">
        <v>136978</v>
      </c>
      <c r="BR71" s="267">
        <v>319052</v>
      </c>
      <c r="BS71" s="267">
        <v>21521</v>
      </c>
      <c r="BT71" s="267">
        <v>834748</v>
      </c>
      <c r="BU71" s="267">
        <v>44286</v>
      </c>
      <c r="BV71" s="267">
        <v>104647</v>
      </c>
      <c r="BW71" s="267">
        <v>0</v>
      </c>
      <c r="BX71" s="267">
        <v>106351</v>
      </c>
      <c r="BY71" s="267">
        <v>0</v>
      </c>
      <c r="BZ71" s="267">
        <v>0</v>
      </c>
      <c r="CA71" s="267">
        <v>0</v>
      </c>
      <c r="CB71" s="267">
        <v>0</v>
      </c>
      <c r="CC71" s="267">
        <v>0</v>
      </c>
      <c r="CD71" s="267">
        <v>0</v>
      </c>
      <c r="CE71" s="267">
        <v>0</v>
      </c>
    </row>
    <row r="72" spans="1:83" x14ac:dyDescent="0.3">
      <c r="A72" s="267">
        <v>191</v>
      </c>
      <c r="B72" s="267">
        <v>191</v>
      </c>
      <c r="C72" s="267" t="s">
        <v>233</v>
      </c>
      <c r="D72" s="267" t="s">
        <v>381</v>
      </c>
      <c r="E72" s="267">
        <v>0</v>
      </c>
      <c r="F72" s="267">
        <v>0</v>
      </c>
      <c r="G72" s="267">
        <v>52750</v>
      </c>
      <c r="H72" s="267">
        <v>0</v>
      </c>
      <c r="I72" s="267">
        <v>0</v>
      </c>
      <c r="J72" s="267">
        <v>0</v>
      </c>
      <c r="K72" s="267">
        <v>0</v>
      </c>
      <c r="L72" s="267">
        <v>0</v>
      </c>
      <c r="M72" s="267">
        <v>0</v>
      </c>
      <c r="N72" s="267">
        <v>0</v>
      </c>
      <c r="O72" s="267">
        <v>0</v>
      </c>
      <c r="P72" s="267">
        <v>401725</v>
      </c>
      <c r="Q72" s="267">
        <v>0</v>
      </c>
      <c r="R72" s="267">
        <v>126680</v>
      </c>
      <c r="S72" s="267">
        <v>0</v>
      </c>
      <c r="T72" s="267">
        <v>0</v>
      </c>
      <c r="U72" s="267">
        <v>0</v>
      </c>
      <c r="V72" s="267">
        <v>232899</v>
      </c>
      <c r="W72" s="267">
        <v>0</v>
      </c>
      <c r="X72" s="267">
        <v>0</v>
      </c>
      <c r="Y72" s="267">
        <v>0</v>
      </c>
      <c r="Z72" s="267">
        <v>72260</v>
      </c>
      <c r="AA72" s="267">
        <v>0</v>
      </c>
      <c r="AB72" s="267">
        <v>0</v>
      </c>
      <c r="AC72" s="267">
        <v>391649</v>
      </c>
      <c r="AD72" s="267">
        <v>6476</v>
      </c>
      <c r="AE72" s="267">
        <v>0</v>
      </c>
      <c r="AF72" s="267">
        <v>1183771</v>
      </c>
      <c r="AG72" s="267">
        <v>22461</v>
      </c>
      <c r="AH72" s="267">
        <v>0</v>
      </c>
      <c r="AI72" s="267">
        <v>0</v>
      </c>
      <c r="AJ72" s="267">
        <v>2247452</v>
      </c>
      <c r="AK72" s="267">
        <v>0</v>
      </c>
      <c r="AL72" s="267">
        <v>0</v>
      </c>
      <c r="AM72" s="267">
        <v>0</v>
      </c>
      <c r="AN72" s="267">
        <v>387294</v>
      </c>
      <c r="AO72" s="267">
        <v>0</v>
      </c>
      <c r="AP72" s="267">
        <v>0</v>
      </c>
      <c r="AQ72" s="267">
        <v>0</v>
      </c>
      <c r="AR72" s="267">
        <v>0</v>
      </c>
      <c r="AS72" s="267">
        <v>0</v>
      </c>
      <c r="AT72" s="267">
        <v>0</v>
      </c>
      <c r="AU72" s="267">
        <v>0</v>
      </c>
      <c r="AV72" s="267">
        <v>0</v>
      </c>
      <c r="AW72" s="267">
        <v>4874459</v>
      </c>
      <c r="AX72" s="267">
        <v>0</v>
      </c>
      <c r="AY72" s="267">
        <v>0</v>
      </c>
      <c r="AZ72" s="267">
        <v>0</v>
      </c>
      <c r="BA72" s="267">
        <v>0</v>
      </c>
      <c r="BB72" s="267">
        <v>0</v>
      </c>
      <c r="BC72" s="267">
        <v>0</v>
      </c>
      <c r="BD72" s="267">
        <v>0</v>
      </c>
      <c r="BE72" s="267">
        <v>203965</v>
      </c>
      <c r="BF72" s="267">
        <v>0</v>
      </c>
      <c r="BG72" s="267">
        <v>101850</v>
      </c>
      <c r="BH72" s="267">
        <v>0</v>
      </c>
      <c r="BI72" s="267">
        <v>0</v>
      </c>
      <c r="BJ72" s="267">
        <v>0</v>
      </c>
      <c r="BK72" s="267">
        <v>0</v>
      </c>
      <c r="BL72" s="267">
        <v>927112</v>
      </c>
      <c r="BM72" s="267">
        <v>0</v>
      </c>
      <c r="BN72" s="267">
        <v>197450</v>
      </c>
      <c r="BO72" s="267">
        <v>0</v>
      </c>
      <c r="BP72" s="267">
        <v>0</v>
      </c>
      <c r="BQ72" s="267">
        <v>0</v>
      </c>
      <c r="BR72" s="267">
        <v>0</v>
      </c>
      <c r="BS72" s="267">
        <v>286522</v>
      </c>
      <c r="BT72" s="267">
        <v>0</v>
      </c>
      <c r="BU72" s="267">
        <v>98826</v>
      </c>
      <c r="BV72" s="267">
        <v>0</v>
      </c>
      <c r="BW72" s="267">
        <v>0</v>
      </c>
      <c r="BX72" s="267">
        <v>333753</v>
      </c>
      <c r="BY72" s="267">
        <v>0</v>
      </c>
      <c r="BZ72" s="267">
        <v>0</v>
      </c>
      <c r="CA72" s="1232">
        <v>20575</v>
      </c>
      <c r="CB72" s="267">
        <v>0</v>
      </c>
      <c r="CC72" s="267">
        <v>0</v>
      </c>
      <c r="CD72" s="267">
        <v>0</v>
      </c>
      <c r="CE72" s="267">
        <v>0</v>
      </c>
    </row>
    <row r="73" spans="1:83" x14ac:dyDescent="0.3">
      <c r="A73" s="267">
        <v>192</v>
      </c>
      <c r="B73" s="267">
        <v>192</v>
      </c>
      <c r="C73" s="267" t="s">
        <v>244</v>
      </c>
      <c r="D73" s="267" t="s">
        <v>382</v>
      </c>
      <c r="E73" s="267">
        <v>0</v>
      </c>
      <c r="F73" s="267">
        <v>0</v>
      </c>
      <c r="G73" s="267">
        <v>0</v>
      </c>
      <c r="H73" s="267">
        <v>0</v>
      </c>
      <c r="I73" s="267">
        <v>0</v>
      </c>
      <c r="J73" s="267">
        <v>0</v>
      </c>
      <c r="K73" s="267">
        <v>0</v>
      </c>
      <c r="L73" s="267">
        <v>0</v>
      </c>
      <c r="M73" s="267">
        <v>0</v>
      </c>
      <c r="N73" s="267">
        <v>0</v>
      </c>
      <c r="O73" s="267">
        <v>0</v>
      </c>
      <c r="P73" s="267">
        <v>0</v>
      </c>
      <c r="Q73" s="267">
        <v>0</v>
      </c>
      <c r="R73" s="267">
        <v>346474</v>
      </c>
      <c r="S73" s="267">
        <v>0</v>
      </c>
      <c r="T73" s="267">
        <v>0</v>
      </c>
      <c r="U73" s="267">
        <v>0</v>
      </c>
      <c r="V73" s="267">
        <v>0</v>
      </c>
      <c r="W73" s="267">
        <v>0</v>
      </c>
      <c r="X73" s="267">
        <v>0</v>
      </c>
      <c r="Y73" s="267">
        <v>0</v>
      </c>
      <c r="Z73" s="267">
        <v>0</v>
      </c>
      <c r="AA73" s="267">
        <v>0</v>
      </c>
      <c r="AB73" s="267">
        <v>0</v>
      </c>
      <c r="AC73" s="267">
        <v>0</v>
      </c>
      <c r="AD73" s="267">
        <v>0</v>
      </c>
      <c r="AE73" s="267">
        <v>0</v>
      </c>
      <c r="AF73" s="267">
        <v>0</v>
      </c>
      <c r="AG73" s="267">
        <v>0</v>
      </c>
      <c r="AH73" s="267">
        <v>0</v>
      </c>
      <c r="AI73" s="267">
        <v>0</v>
      </c>
      <c r="AJ73" s="267">
        <v>0</v>
      </c>
      <c r="AK73" s="267">
        <v>0</v>
      </c>
      <c r="AL73" s="267">
        <v>0</v>
      </c>
      <c r="AM73" s="267">
        <v>0</v>
      </c>
      <c r="AN73" s="267">
        <v>41750</v>
      </c>
      <c r="AO73" s="267">
        <v>0</v>
      </c>
      <c r="AP73" s="267">
        <v>0</v>
      </c>
      <c r="AQ73" s="267">
        <v>0</v>
      </c>
      <c r="AR73" s="267">
        <v>0</v>
      </c>
      <c r="AS73" s="267">
        <v>0</v>
      </c>
      <c r="AT73" s="267">
        <v>0</v>
      </c>
      <c r="AU73" s="267">
        <v>0</v>
      </c>
      <c r="AV73" s="267">
        <v>0</v>
      </c>
      <c r="AW73" s="267">
        <v>0</v>
      </c>
      <c r="AX73" s="267">
        <v>0</v>
      </c>
      <c r="AY73" s="267">
        <v>0</v>
      </c>
      <c r="AZ73" s="267">
        <v>0</v>
      </c>
      <c r="BA73" s="267">
        <v>0</v>
      </c>
      <c r="BB73" s="267">
        <v>0</v>
      </c>
      <c r="BC73" s="267">
        <v>0</v>
      </c>
      <c r="BD73" s="267">
        <v>0</v>
      </c>
      <c r="BE73" s="267">
        <v>0</v>
      </c>
      <c r="BF73" s="267">
        <v>0</v>
      </c>
      <c r="BG73" s="267">
        <v>0</v>
      </c>
      <c r="BH73" s="267">
        <v>0</v>
      </c>
      <c r="BI73" s="267">
        <v>0</v>
      </c>
      <c r="BJ73" s="267">
        <v>0</v>
      </c>
      <c r="BK73" s="267">
        <v>0</v>
      </c>
      <c r="BL73" s="267">
        <v>0</v>
      </c>
      <c r="BM73" s="267">
        <v>0</v>
      </c>
      <c r="BN73" s="267">
        <v>0</v>
      </c>
      <c r="BO73" s="267">
        <v>0</v>
      </c>
      <c r="BP73" s="267">
        <v>0</v>
      </c>
      <c r="BQ73" s="267">
        <v>0</v>
      </c>
      <c r="BR73" s="267">
        <v>0</v>
      </c>
      <c r="BS73" s="267">
        <v>0</v>
      </c>
      <c r="BT73" s="267">
        <v>0</v>
      </c>
      <c r="BU73" s="267">
        <v>0</v>
      </c>
      <c r="BV73" s="267">
        <v>0</v>
      </c>
      <c r="BW73" s="267">
        <v>0</v>
      </c>
      <c r="BX73" s="267">
        <v>0</v>
      </c>
      <c r="BY73" s="267">
        <v>0</v>
      </c>
      <c r="BZ73" s="267">
        <v>0</v>
      </c>
      <c r="CA73" s="267">
        <v>0</v>
      </c>
      <c r="CB73" s="267">
        <v>0</v>
      </c>
      <c r="CC73" s="267">
        <v>0</v>
      </c>
      <c r="CD73" s="267">
        <v>0</v>
      </c>
      <c r="CE73" s="267">
        <v>0</v>
      </c>
    </row>
    <row r="74" spans="1:83" x14ac:dyDescent="0.3">
      <c r="B74" s="267">
        <v>193</v>
      </c>
      <c r="C74" s="267" t="s">
        <v>383</v>
      </c>
      <c r="D74" s="267" t="s">
        <v>384</v>
      </c>
      <c r="E74" s="267">
        <v>0</v>
      </c>
      <c r="F74" s="267">
        <v>0</v>
      </c>
      <c r="G74" s="267">
        <v>0</v>
      </c>
      <c r="H74" s="267">
        <v>0</v>
      </c>
      <c r="I74" s="267">
        <v>0</v>
      </c>
      <c r="J74" s="267">
        <v>0</v>
      </c>
      <c r="K74" s="267">
        <v>0</v>
      </c>
      <c r="L74" s="267">
        <v>0</v>
      </c>
      <c r="M74" s="267">
        <v>0</v>
      </c>
      <c r="N74" s="267">
        <v>0</v>
      </c>
      <c r="O74" s="267">
        <v>0</v>
      </c>
      <c r="P74" s="267">
        <v>0</v>
      </c>
      <c r="Q74" s="267">
        <v>0</v>
      </c>
      <c r="R74" s="267">
        <v>0</v>
      </c>
      <c r="S74" s="267">
        <v>0</v>
      </c>
      <c r="T74" s="267">
        <v>0</v>
      </c>
      <c r="U74" s="267">
        <v>0</v>
      </c>
      <c r="V74" s="267">
        <v>0</v>
      </c>
      <c r="W74" s="267">
        <v>0</v>
      </c>
      <c r="X74" s="267">
        <v>0</v>
      </c>
      <c r="Y74" s="267">
        <v>0</v>
      </c>
      <c r="Z74" s="267">
        <v>0</v>
      </c>
      <c r="AA74" s="267">
        <v>0</v>
      </c>
      <c r="AB74" s="267">
        <v>0</v>
      </c>
      <c r="AC74" s="267">
        <v>0</v>
      </c>
      <c r="AD74" s="267">
        <v>0</v>
      </c>
      <c r="AE74" s="267">
        <v>0</v>
      </c>
      <c r="AF74" s="267">
        <v>0</v>
      </c>
      <c r="AG74" s="267">
        <v>0</v>
      </c>
      <c r="AH74" s="267">
        <v>0</v>
      </c>
      <c r="AI74" s="267">
        <v>0</v>
      </c>
      <c r="AJ74" s="267">
        <v>0</v>
      </c>
      <c r="AK74" s="267">
        <v>0</v>
      </c>
      <c r="AL74" s="267">
        <v>0</v>
      </c>
      <c r="AM74" s="267">
        <v>0</v>
      </c>
      <c r="AN74" s="267">
        <v>0</v>
      </c>
      <c r="AO74" s="267">
        <v>0</v>
      </c>
      <c r="AP74" s="267">
        <v>0</v>
      </c>
      <c r="AQ74" s="267">
        <v>0</v>
      </c>
      <c r="AR74" s="267">
        <v>0</v>
      </c>
      <c r="AS74" s="267">
        <v>0</v>
      </c>
      <c r="AT74" s="267">
        <v>0</v>
      </c>
      <c r="AU74" s="267">
        <v>0</v>
      </c>
      <c r="AV74" s="267">
        <v>0</v>
      </c>
      <c r="AW74" s="267">
        <v>0</v>
      </c>
      <c r="AX74" s="267">
        <v>0</v>
      </c>
      <c r="AY74" s="267">
        <v>0</v>
      </c>
      <c r="AZ74" s="267">
        <v>0</v>
      </c>
      <c r="BA74" s="267">
        <v>0</v>
      </c>
      <c r="BB74" s="267">
        <v>0</v>
      </c>
      <c r="BC74" s="267">
        <v>0</v>
      </c>
      <c r="BD74" s="267">
        <v>0</v>
      </c>
      <c r="BE74" s="267">
        <v>0</v>
      </c>
      <c r="BF74" s="267">
        <v>0</v>
      </c>
      <c r="BG74" s="267">
        <v>0</v>
      </c>
      <c r="BH74" s="267">
        <v>0</v>
      </c>
      <c r="BI74" s="267">
        <v>0</v>
      </c>
      <c r="BJ74" s="267">
        <v>0</v>
      </c>
      <c r="BK74" s="267">
        <v>0</v>
      </c>
      <c r="BL74" s="267">
        <v>0</v>
      </c>
      <c r="BM74" s="267">
        <v>0</v>
      </c>
      <c r="BN74" s="267">
        <v>0</v>
      </c>
      <c r="BO74" s="267">
        <v>0</v>
      </c>
      <c r="BP74" s="267">
        <v>0</v>
      </c>
      <c r="BQ74" s="267">
        <v>0</v>
      </c>
      <c r="BR74" s="267">
        <v>0</v>
      </c>
      <c r="BS74" s="267">
        <v>0</v>
      </c>
      <c r="BT74" s="267">
        <v>0</v>
      </c>
      <c r="BU74" s="267">
        <v>0</v>
      </c>
      <c r="BV74" s="267">
        <v>0</v>
      </c>
      <c r="BW74" s="267">
        <v>0</v>
      </c>
      <c r="BX74" s="267">
        <v>0</v>
      </c>
      <c r="BY74" s="267">
        <v>0</v>
      </c>
      <c r="BZ74" s="267">
        <v>0</v>
      </c>
      <c r="CA74" s="267">
        <v>0</v>
      </c>
      <c r="CB74" s="267">
        <v>0</v>
      </c>
      <c r="CC74" s="267">
        <v>0</v>
      </c>
      <c r="CD74" s="267">
        <v>0</v>
      </c>
      <c r="CE74" s="267">
        <v>0</v>
      </c>
    </row>
    <row r="75" spans="1:83" x14ac:dyDescent="0.3">
      <c r="B75" s="267">
        <v>194</v>
      </c>
      <c r="C75" s="267" t="s">
        <v>385</v>
      </c>
      <c r="D75" s="267" t="s">
        <v>386</v>
      </c>
      <c r="E75" s="267">
        <v>0</v>
      </c>
      <c r="F75" s="267">
        <v>0</v>
      </c>
      <c r="G75" s="267">
        <v>0</v>
      </c>
      <c r="H75" s="267">
        <v>0</v>
      </c>
      <c r="I75" s="267">
        <v>0</v>
      </c>
      <c r="J75" s="267">
        <v>0</v>
      </c>
      <c r="K75" s="267">
        <v>0</v>
      </c>
      <c r="L75" s="267">
        <v>0</v>
      </c>
      <c r="M75" s="267">
        <v>0</v>
      </c>
      <c r="N75" s="267">
        <v>0</v>
      </c>
      <c r="O75" s="267">
        <v>0</v>
      </c>
      <c r="P75" s="267">
        <v>0</v>
      </c>
      <c r="Q75" s="267">
        <v>0</v>
      </c>
      <c r="R75" s="267">
        <v>0</v>
      </c>
      <c r="S75" s="267">
        <v>0</v>
      </c>
      <c r="T75" s="267">
        <v>0</v>
      </c>
      <c r="U75" s="267">
        <v>0</v>
      </c>
      <c r="V75" s="267">
        <v>0</v>
      </c>
      <c r="W75" s="267">
        <v>0</v>
      </c>
      <c r="X75" s="267">
        <v>0</v>
      </c>
      <c r="Y75" s="267">
        <v>0</v>
      </c>
      <c r="Z75" s="267">
        <v>0</v>
      </c>
      <c r="AA75" s="267">
        <v>0</v>
      </c>
      <c r="AB75" s="267">
        <v>0</v>
      </c>
      <c r="AC75" s="267">
        <v>0</v>
      </c>
      <c r="AD75" s="267">
        <v>0</v>
      </c>
      <c r="AE75" s="267">
        <v>0</v>
      </c>
      <c r="AF75" s="267">
        <v>0</v>
      </c>
      <c r="AG75" s="267">
        <v>0</v>
      </c>
      <c r="AH75" s="267">
        <v>0</v>
      </c>
      <c r="AI75" s="267">
        <v>0</v>
      </c>
      <c r="AJ75" s="267">
        <v>0</v>
      </c>
      <c r="AK75" s="267">
        <v>0</v>
      </c>
      <c r="AL75" s="267">
        <v>0</v>
      </c>
      <c r="AM75" s="267">
        <v>0</v>
      </c>
      <c r="AN75" s="267">
        <v>0</v>
      </c>
      <c r="AO75" s="267">
        <v>0</v>
      </c>
      <c r="AP75" s="267">
        <v>0</v>
      </c>
      <c r="AQ75" s="267">
        <v>0</v>
      </c>
      <c r="AR75" s="267">
        <v>0</v>
      </c>
      <c r="AS75" s="267">
        <v>0</v>
      </c>
      <c r="AT75" s="267">
        <v>0</v>
      </c>
      <c r="AU75" s="267">
        <v>0</v>
      </c>
      <c r="AV75" s="267">
        <v>0</v>
      </c>
      <c r="AW75" s="267">
        <v>0</v>
      </c>
      <c r="AX75" s="267">
        <v>0</v>
      </c>
      <c r="AY75" s="267">
        <v>0</v>
      </c>
      <c r="AZ75" s="267">
        <v>0</v>
      </c>
      <c r="BA75" s="267">
        <v>0</v>
      </c>
      <c r="BB75" s="267">
        <v>0</v>
      </c>
      <c r="BC75" s="267">
        <v>0</v>
      </c>
      <c r="BD75" s="267">
        <v>0</v>
      </c>
      <c r="BE75" s="267">
        <v>0</v>
      </c>
      <c r="BF75" s="267">
        <v>0</v>
      </c>
      <c r="BG75" s="267">
        <v>0</v>
      </c>
      <c r="BH75" s="267">
        <v>0</v>
      </c>
      <c r="BI75" s="267">
        <v>0</v>
      </c>
      <c r="BJ75" s="267">
        <v>0</v>
      </c>
      <c r="BK75" s="267">
        <v>0</v>
      </c>
      <c r="BL75" s="267">
        <v>0</v>
      </c>
      <c r="BM75" s="267">
        <v>0</v>
      </c>
      <c r="BN75" s="267">
        <v>0</v>
      </c>
      <c r="BO75" s="267">
        <v>0</v>
      </c>
      <c r="BP75" s="267">
        <v>0</v>
      </c>
      <c r="BQ75" s="267">
        <v>0</v>
      </c>
      <c r="BR75" s="267">
        <v>0</v>
      </c>
      <c r="BS75" s="267">
        <v>0</v>
      </c>
      <c r="BT75" s="267">
        <v>0</v>
      </c>
      <c r="BU75" s="267">
        <v>0</v>
      </c>
      <c r="BV75" s="267">
        <v>0</v>
      </c>
      <c r="BW75" s="267">
        <v>0</v>
      </c>
      <c r="BX75" s="267">
        <v>0</v>
      </c>
      <c r="BY75" s="267">
        <v>0</v>
      </c>
      <c r="BZ75" s="267">
        <v>0</v>
      </c>
      <c r="CA75" s="267">
        <v>0</v>
      </c>
      <c r="CB75" s="267">
        <v>0</v>
      </c>
      <c r="CC75" s="267">
        <v>0</v>
      </c>
      <c r="CD75" s="267">
        <v>0</v>
      </c>
      <c r="CE75" s="267">
        <v>0</v>
      </c>
    </row>
    <row r="76" spans="1:83" x14ac:dyDescent="0.3">
      <c r="B76" s="267">
        <v>231</v>
      </c>
      <c r="C76" s="267" t="s">
        <v>387</v>
      </c>
      <c r="D76" s="267" t="s">
        <v>388</v>
      </c>
      <c r="E76" s="267">
        <v>0</v>
      </c>
      <c r="F76" s="267">
        <v>0</v>
      </c>
      <c r="G76" s="267">
        <v>0</v>
      </c>
      <c r="H76" s="267">
        <v>0</v>
      </c>
      <c r="I76" s="267">
        <v>0</v>
      </c>
      <c r="J76" s="267">
        <v>0</v>
      </c>
      <c r="K76" s="267">
        <v>0</v>
      </c>
      <c r="L76" s="267">
        <v>0</v>
      </c>
      <c r="M76" s="267">
        <v>0</v>
      </c>
      <c r="N76" s="267">
        <v>0</v>
      </c>
      <c r="O76" s="267">
        <v>0</v>
      </c>
      <c r="P76" s="267">
        <v>0</v>
      </c>
      <c r="Q76" s="267">
        <v>0</v>
      </c>
      <c r="R76" s="267">
        <v>0</v>
      </c>
      <c r="S76" s="267">
        <v>0</v>
      </c>
      <c r="T76" s="267">
        <v>0</v>
      </c>
      <c r="U76" s="267">
        <v>0</v>
      </c>
      <c r="V76" s="267">
        <v>0</v>
      </c>
      <c r="W76" s="267">
        <v>0</v>
      </c>
      <c r="X76" s="267">
        <v>0</v>
      </c>
      <c r="Y76" s="267">
        <v>0</v>
      </c>
      <c r="Z76" s="267">
        <v>0</v>
      </c>
      <c r="AA76" s="267">
        <v>0</v>
      </c>
      <c r="AB76" s="267">
        <v>0</v>
      </c>
      <c r="AC76" s="267">
        <v>0</v>
      </c>
      <c r="AD76" s="267">
        <v>0</v>
      </c>
      <c r="AE76" s="267">
        <v>0</v>
      </c>
      <c r="AF76" s="267">
        <v>0</v>
      </c>
      <c r="AG76" s="267">
        <v>0</v>
      </c>
      <c r="AH76" s="267">
        <v>0</v>
      </c>
      <c r="AI76" s="267">
        <v>0</v>
      </c>
      <c r="AJ76" s="267">
        <v>0</v>
      </c>
      <c r="AK76" s="267">
        <v>0</v>
      </c>
      <c r="AL76" s="267">
        <v>0</v>
      </c>
      <c r="AM76" s="267">
        <v>0</v>
      </c>
      <c r="AN76" s="267">
        <v>0</v>
      </c>
      <c r="AO76" s="267">
        <v>0</v>
      </c>
      <c r="AP76" s="267">
        <v>0</v>
      </c>
      <c r="AQ76" s="267">
        <v>0</v>
      </c>
      <c r="AR76" s="267">
        <v>0</v>
      </c>
      <c r="AS76" s="267">
        <v>0</v>
      </c>
      <c r="AT76" s="267">
        <v>0</v>
      </c>
      <c r="AU76" s="267">
        <v>0</v>
      </c>
      <c r="AV76" s="267">
        <v>0</v>
      </c>
      <c r="AW76" s="267">
        <v>0</v>
      </c>
      <c r="AX76" s="267">
        <v>0</v>
      </c>
      <c r="AY76" s="267">
        <v>0</v>
      </c>
      <c r="AZ76" s="267">
        <v>0</v>
      </c>
      <c r="BA76" s="267">
        <v>0</v>
      </c>
      <c r="BB76" s="267">
        <v>0</v>
      </c>
      <c r="BC76" s="267">
        <v>0</v>
      </c>
      <c r="BD76" s="267">
        <v>0</v>
      </c>
      <c r="BE76" s="267">
        <v>0</v>
      </c>
      <c r="BF76" s="267">
        <v>0</v>
      </c>
      <c r="BG76" s="267">
        <v>0</v>
      </c>
      <c r="BH76" s="267">
        <v>0</v>
      </c>
      <c r="BI76" s="267">
        <v>0</v>
      </c>
      <c r="BJ76" s="267">
        <v>0</v>
      </c>
      <c r="BK76" s="267">
        <v>0</v>
      </c>
      <c r="BL76" s="267">
        <v>0</v>
      </c>
      <c r="BM76" s="267">
        <v>0</v>
      </c>
      <c r="BN76" s="267">
        <v>0</v>
      </c>
      <c r="BO76" s="267">
        <v>0</v>
      </c>
      <c r="BP76" s="267">
        <v>0</v>
      </c>
      <c r="BQ76" s="267">
        <v>0</v>
      </c>
      <c r="BR76" s="267">
        <v>0</v>
      </c>
      <c r="BS76" s="267">
        <v>0</v>
      </c>
      <c r="BT76" s="267">
        <v>0</v>
      </c>
      <c r="BU76" s="267">
        <v>0</v>
      </c>
      <c r="BV76" s="267">
        <v>0</v>
      </c>
      <c r="BW76" s="267">
        <v>0</v>
      </c>
      <c r="BX76" s="267">
        <v>0</v>
      </c>
      <c r="BY76" s="267">
        <v>0</v>
      </c>
      <c r="BZ76" s="267">
        <v>0</v>
      </c>
      <c r="CA76" s="267">
        <v>0</v>
      </c>
      <c r="CB76" s="267">
        <v>0</v>
      </c>
      <c r="CC76" s="267">
        <v>0</v>
      </c>
      <c r="CD76" s="267">
        <v>0</v>
      </c>
      <c r="CE76" s="267">
        <v>0</v>
      </c>
    </row>
    <row r="77" spans="1:83" x14ac:dyDescent="0.3">
      <c r="B77" s="267">
        <v>251</v>
      </c>
      <c r="C77" s="267" t="s">
        <v>389</v>
      </c>
      <c r="D77" s="267" t="s">
        <v>390</v>
      </c>
      <c r="E77" s="267">
        <v>0</v>
      </c>
      <c r="F77" s="267">
        <v>0</v>
      </c>
      <c r="G77" s="267">
        <v>0</v>
      </c>
      <c r="H77" s="267">
        <v>0</v>
      </c>
      <c r="I77" s="267">
        <v>0</v>
      </c>
      <c r="J77" s="267">
        <v>0</v>
      </c>
      <c r="K77" s="267">
        <v>0</v>
      </c>
      <c r="L77" s="267">
        <v>0</v>
      </c>
      <c r="M77" s="267">
        <v>0</v>
      </c>
      <c r="N77" s="267">
        <v>0</v>
      </c>
      <c r="O77" s="267">
        <v>0</v>
      </c>
      <c r="P77" s="267">
        <v>0</v>
      </c>
      <c r="Q77" s="267">
        <v>0</v>
      </c>
      <c r="R77" s="267">
        <v>0</v>
      </c>
      <c r="S77" s="267">
        <v>0</v>
      </c>
      <c r="T77" s="267">
        <v>0</v>
      </c>
      <c r="U77" s="267">
        <v>0</v>
      </c>
      <c r="V77" s="267">
        <v>0</v>
      </c>
      <c r="W77" s="267">
        <v>0</v>
      </c>
      <c r="X77" s="267">
        <v>0</v>
      </c>
      <c r="Y77" s="267">
        <v>0</v>
      </c>
      <c r="Z77" s="267">
        <v>0</v>
      </c>
      <c r="AA77" s="267">
        <v>0</v>
      </c>
      <c r="AB77" s="267">
        <v>0</v>
      </c>
      <c r="AC77" s="267">
        <v>0</v>
      </c>
      <c r="AD77" s="267">
        <v>0</v>
      </c>
      <c r="AE77" s="267">
        <v>0</v>
      </c>
      <c r="AF77" s="267">
        <v>0</v>
      </c>
      <c r="AG77" s="267">
        <v>0</v>
      </c>
      <c r="AH77" s="267">
        <v>0</v>
      </c>
      <c r="AI77" s="267">
        <v>0</v>
      </c>
      <c r="AJ77" s="267">
        <v>0</v>
      </c>
      <c r="AK77" s="267">
        <v>0</v>
      </c>
      <c r="AL77" s="267">
        <v>0</v>
      </c>
      <c r="AM77" s="267">
        <v>0</v>
      </c>
      <c r="AN77" s="267">
        <v>0</v>
      </c>
      <c r="AO77" s="267">
        <v>0</v>
      </c>
      <c r="AP77" s="267">
        <v>0</v>
      </c>
      <c r="AQ77" s="267">
        <v>0</v>
      </c>
      <c r="AR77" s="267">
        <v>0</v>
      </c>
      <c r="AS77" s="267">
        <v>0</v>
      </c>
      <c r="AT77" s="267">
        <v>0</v>
      </c>
      <c r="AU77" s="267">
        <v>0</v>
      </c>
      <c r="AV77" s="267">
        <v>0</v>
      </c>
      <c r="AW77" s="267">
        <v>0</v>
      </c>
      <c r="AX77" s="267">
        <v>0</v>
      </c>
      <c r="AY77" s="267">
        <v>0</v>
      </c>
      <c r="AZ77" s="267">
        <v>0</v>
      </c>
      <c r="BA77" s="267">
        <v>0</v>
      </c>
      <c r="BB77" s="267">
        <v>0</v>
      </c>
      <c r="BC77" s="267">
        <v>0</v>
      </c>
      <c r="BD77" s="267">
        <v>0</v>
      </c>
      <c r="BE77" s="267">
        <v>0</v>
      </c>
      <c r="BF77" s="267">
        <v>0</v>
      </c>
      <c r="BG77" s="267">
        <v>0</v>
      </c>
      <c r="BH77" s="267">
        <v>0</v>
      </c>
      <c r="BI77" s="267">
        <v>0</v>
      </c>
      <c r="BJ77" s="267">
        <v>0</v>
      </c>
      <c r="BK77" s="267">
        <v>0</v>
      </c>
      <c r="BL77" s="267">
        <v>0</v>
      </c>
      <c r="BM77" s="267">
        <v>0</v>
      </c>
      <c r="BN77" s="267">
        <v>0</v>
      </c>
      <c r="BO77" s="267">
        <v>0</v>
      </c>
      <c r="BP77" s="267">
        <v>0</v>
      </c>
      <c r="BQ77" s="267">
        <v>0</v>
      </c>
      <c r="BR77" s="267">
        <v>0</v>
      </c>
      <c r="BS77" s="267">
        <v>0</v>
      </c>
      <c r="BT77" s="267">
        <v>0</v>
      </c>
      <c r="BU77" s="267">
        <v>0</v>
      </c>
      <c r="BV77" s="267">
        <v>0</v>
      </c>
      <c r="BW77" s="267">
        <v>0</v>
      </c>
      <c r="BX77" s="267">
        <v>0</v>
      </c>
      <c r="BY77" s="267">
        <v>0</v>
      </c>
      <c r="BZ77" s="267">
        <v>0</v>
      </c>
      <c r="CA77" s="267">
        <v>0</v>
      </c>
      <c r="CB77" s="267">
        <v>0</v>
      </c>
      <c r="CC77" s="267">
        <v>0</v>
      </c>
      <c r="CD77" s="267">
        <v>0</v>
      </c>
      <c r="CE77" s="267">
        <v>0</v>
      </c>
    </row>
    <row r="78" spans="1:83" x14ac:dyDescent="0.3">
      <c r="A78" s="267">
        <v>252</v>
      </c>
      <c r="B78" s="267">
        <v>252</v>
      </c>
      <c r="C78" s="267" t="s">
        <v>103</v>
      </c>
      <c r="D78" s="267" t="s">
        <v>391</v>
      </c>
      <c r="E78" s="267">
        <v>0</v>
      </c>
      <c r="F78" s="267">
        <v>160635</v>
      </c>
      <c r="G78" s="267">
        <v>684867</v>
      </c>
      <c r="H78" s="267">
        <v>5539748</v>
      </c>
      <c r="I78" s="267">
        <v>2232370</v>
      </c>
      <c r="J78" s="267">
        <v>4839765</v>
      </c>
      <c r="K78" s="267">
        <v>11234</v>
      </c>
      <c r="L78" s="267">
        <v>1714608</v>
      </c>
      <c r="M78" s="267">
        <v>331923</v>
      </c>
      <c r="N78" s="267">
        <v>57219935</v>
      </c>
      <c r="O78" s="267">
        <v>416071</v>
      </c>
      <c r="P78" s="267">
        <v>6094716</v>
      </c>
      <c r="Q78" s="267">
        <v>162719</v>
      </c>
      <c r="R78" s="267">
        <v>71001544</v>
      </c>
      <c r="S78" s="267">
        <v>4006692</v>
      </c>
      <c r="T78" s="267">
        <v>115848</v>
      </c>
      <c r="U78" s="267">
        <v>40957113</v>
      </c>
      <c r="V78" s="267">
        <v>33012289</v>
      </c>
      <c r="W78" s="267">
        <v>28528025</v>
      </c>
      <c r="X78" s="267">
        <v>132627138</v>
      </c>
      <c r="Y78" s="267">
        <v>230448</v>
      </c>
      <c r="Z78" s="267">
        <v>25662543</v>
      </c>
      <c r="AA78" s="267">
        <v>1494297</v>
      </c>
      <c r="AB78" s="267">
        <v>19050880</v>
      </c>
      <c r="AC78" s="267">
        <v>3294559</v>
      </c>
      <c r="AD78" s="267">
        <v>2620904</v>
      </c>
      <c r="AE78" s="1232">
        <v>1191772</v>
      </c>
      <c r="AF78" s="267">
        <v>1450043</v>
      </c>
      <c r="AG78" s="267">
        <v>25110090</v>
      </c>
      <c r="AH78" s="267">
        <v>6425468</v>
      </c>
      <c r="AI78" s="267">
        <v>2060723</v>
      </c>
      <c r="AJ78" s="267">
        <v>52140067</v>
      </c>
      <c r="AK78" s="267">
        <v>3526801</v>
      </c>
      <c r="AL78" s="267">
        <v>2739843</v>
      </c>
      <c r="AM78" s="267">
        <v>0</v>
      </c>
      <c r="AN78" s="267">
        <v>10642496</v>
      </c>
      <c r="AO78" s="267">
        <v>0</v>
      </c>
      <c r="AP78" s="267">
        <v>0</v>
      </c>
      <c r="AQ78" s="267">
        <v>103338</v>
      </c>
      <c r="AR78" s="267">
        <v>12774208</v>
      </c>
      <c r="AS78" s="267">
        <v>42843982</v>
      </c>
      <c r="AT78" s="267">
        <v>106916</v>
      </c>
      <c r="AU78" s="267">
        <v>1494695</v>
      </c>
      <c r="AV78" s="267">
        <v>0</v>
      </c>
      <c r="AW78" s="267">
        <v>23471325</v>
      </c>
      <c r="AX78" s="267">
        <v>6655246</v>
      </c>
      <c r="AY78" s="267">
        <v>3769864</v>
      </c>
      <c r="AZ78" s="267">
        <v>1949044</v>
      </c>
      <c r="BA78" s="267">
        <v>1908053</v>
      </c>
      <c r="BB78" s="267">
        <v>884567</v>
      </c>
      <c r="BC78" s="267">
        <v>52843</v>
      </c>
      <c r="BD78" s="267">
        <v>0</v>
      </c>
      <c r="BE78" s="267">
        <v>5673377</v>
      </c>
      <c r="BF78" s="267">
        <v>317406</v>
      </c>
      <c r="BG78" s="267">
        <v>151700</v>
      </c>
      <c r="BH78" s="267">
        <v>65631</v>
      </c>
      <c r="BI78" s="267">
        <v>85611</v>
      </c>
      <c r="BJ78" s="267">
        <v>260299</v>
      </c>
      <c r="BK78" s="267">
        <v>241501</v>
      </c>
      <c r="BL78" s="267">
        <v>4043314</v>
      </c>
      <c r="BM78" s="267">
        <v>0</v>
      </c>
      <c r="BN78" s="267">
        <v>2086531</v>
      </c>
      <c r="BO78" s="267">
        <v>5658491</v>
      </c>
      <c r="BP78" s="267">
        <v>296654</v>
      </c>
      <c r="BQ78" s="267">
        <v>1421080</v>
      </c>
      <c r="BR78" s="267">
        <v>24692614</v>
      </c>
      <c r="BS78" s="267">
        <v>586825</v>
      </c>
      <c r="BT78" s="267">
        <v>27891256</v>
      </c>
      <c r="BU78" s="267">
        <v>697585</v>
      </c>
      <c r="BV78" s="267">
        <v>4837458</v>
      </c>
      <c r="BW78" s="267">
        <v>3178886</v>
      </c>
      <c r="BX78" s="267">
        <v>2867808</v>
      </c>
      <c r="BY78" s="267">
        <v>267263</v>
      </c>
      <c r="BZ78" s="267">
        <v>342915</v>
      </c>
      <c r="CA78" s="1232">
        <v>276435</v>
      </c>
      <c r="CB78" s="267">
        <v>36504</v>
      </c>
      <c r="CC78" s="267">
        <v>0</v>
      </c>
      <c r="CD78" s="267">
        <v>0</v>
      </c>
      <c r="CE78" s="267">
        <v>69444</v>
      </c>
    </row>
    <row r="79" spans="1:83" x14ac:dyDescent="0.3">
      <c r="A79" s="267">
        <v>253</v>
      </c>
      <c r="B79" s="267">
        <v>253</v>
      </c>
      <c r="C79" s="267" t="s">
        <v>104</v>
      </c>
      <c r="D79" s="267" t="s">
        <v>392</v>
      </c>
      <c r="E79" s="267">
        <v>0</v>
      </c>
      <c r="F79" s="267">
        <v>38892</v>
      </c>
      <c r="G79" s="267">
        <v>181694</v>
      </c>
      <c r="H79" s="267">
        <v>610273</v>
      </c>
      <c r="I79" s="267">
        <v>209633</v>
      </c>
      <c r="J79" s="267">
        <v>437083</v>
      </c>
      <c r="K79" s="267">
        <v>635</v>
      </c>
      <c r="L79" s="267">
        <v>61222</v>
      </c>
      <c r="M79" s="267">
        <v>20036</v>
      </c>
      <c r="N79" s="267">
        <v>1825185</v>
      </c>
      <c r="O79" s="267">
        <v>192532</v>
      </c>
      <c r="P79" s="267">
        <v>2216516</v>
      </c>
      <c r="Q79" s="267">
        <v>11783</v>
      </c>
      <c r="R79" s="267">
        <v>16587539</v>
      </c>
      <c r="S79" s="267">
        <v>405906</v>
      </c>
      <c r="T79" s="267">
        <v>5483</v>
      </c>
      <c r="U79" s="267">
        <v>11851451</v>
      </c>
      <c r="V79" s="267">
        <v>5358178</v>
      </c>
      <c r="W79" s="267">
        <v>5829361</v>
      </c>
      <c r="X79" s="267">
        <v>25329902</v>
      </c>
      <c r="Y79" s="267">
        <v>182233</v>
      </c>
      <c r="Z79" s="267">
        <v>5523873</v>
      </c>
      <c r="AA79" s="267">
        <v>251195</v>
      </c>
      <c r="AB79" s="267">
        <v>3147236</v>
      </c>
      <c r="AC79" s="267">
        <v>868156</v>
      </c>
      <c r="AD79" s="267">
        <v>372776</v>
      </c>
      <c r="AE79" s="1232">
        <v>401537</v>
      </c>
      <c r="AF79" s="267">
        <v>932703</v>
      </c>
      <c r="AG79" s="267">
        <v>20760822</v>
      </c>
      <c r="AH79" s="267">
        <v>305224</v>
      </c>
      <c r="AI79" s="267">
        <v>172835</v>
      </c>
      <c r="AJ79" s="267">
        <v>21920878</v>
      </c>
      <c r="AK79" s="267">
        <v>225594</v>
      </c>
      <c r="AL79" s="267">
        <v>102517</v>
      </c>
      <c r="AM79" s="267">
        <v>0</v>
      </c>
      <c r="AN79" s="267">
        <v>2893020</v>
      </c>
      <c r="AO79" s="267">
        <v>0</v>
      </c>
      <c r="AP79" s="267">
        <v>0</v>
      </c>
      <c r="AQ79" s="267">
        <v>7573</v>
      </c>
      <c r="AR79" s="267">
        <v>6413744</v>
      </c>
      <c r="AS79" s="267">
        <v>947709</v>
      </c>
      <c r="AT79" s="267">
        <v>199235</v>
      </c>
      <c r="AU79" s="267">
        <v>731449</v>
      </c>
      <c r="AV79" s="267">
        <v>0</v>
      </c>
      <c r="AW79" s="267">
        <v>7035554</v>
      </c>
      <c r="AX79" s="267">
        <v>207893</v>
      </c>
      <c r="AY79" s="267">
        <v>1008497</v>
      </c>
      <c r="AZ79" s="267">
        <v>325779</v>
      </c>
      <c r="BA79" s="267">
        <v>89221</v>
      </c>
      <c r="BB79" s="267">
        <v>480534</v>
      </c>
      <c r="BC79" s="267">
        <v>0</v>
      </c>
      <c r="BD79" s="267">
        <v>0</v>
      </c>
      <c r="BE79" s="267">
        <v>1571729</v>
      </c>
      <c r="BF79" s="267">
        <v>50952</v>
      </c>
      <c r="BG79" s="267">
        <v>108597</v>
      </c>
      <c r="BH79" s="267">
        <v>26815</v>
      </c>
      <c r="BI79" s="267">
        <v>6360</v>
      </c>
      <c r="BJ79" s="267">
        <v>90445</v>
      </c>
      <c r="BK79" s="267">
        <v>72219</v>
      </c>
      <c r="BL79" s="267">
        <v>417349</v>
      </c>
      <c r="BM79" s="267">
        <v>0</v>
      </c>
      <c r="BN79" s="267">
        <v>912156</v>
      </c>
      <c r="BO79" s="267">
        <v>3704693</v>
      </c>
      <c r="BP79" s="267">
        <v>219085</v>
      </c>
      <c r="BQ79" s="267">
        <v>298305</v>
      </c>
      <c r="BR79" s="267">
        <v>1934446</v>
      </c>
      <c r="BS79" s="267">
        <v>177077</v>
      </c>
      <c r="BT79" s="267">
        <v>1664231</v>
      </c>
      <c r="BU79" s="267">
        <v>498586</v>
      </c>
      <c r="BV79" s="267">
        <v>799643</v>
      </c>
      <c r="BW79" s="267">
        <v>1457710</v>
      </c>
      <c r="BX79" s="267">
        <v>441651</v>
      </c>
      <c r="BY79" s="267">
        <v>544295</v>
      </c>
      <c r="BZ79" s="267">
        <v>187028</v>
      </c>
      <c r="CA79" s="1232">
        <v>62467</v>
      </c>
      <c r="CB79" s="267">
        <v>25652</v>
      </c>
      <c r="CC79" s="267">
        <v>0</v>
      </c>
      <c r="CD79" s="267">
        <v>0</v>
      </c>
      <c r="CE79" s="267">
        <v>21254</v>
      </c>
    </row>
    <row r="80" spans="1:83" x14ac:dyDescent="0.3">
      <c r="A80" s="267">
        <v>254</v>
      </c>
      <c r="B80" s="267">
        <v>254</v>
      </c>
      <c r="C80" s="267" t="s">
        <v>105</v>
      </c>
      <c r="D80" s="267" t="s">
        <v>393</v>
      </c>
      <c r="E80" s="267">
        <v>0</v>
      </c>
      <c r="F80" s="267">
        <v>103513</v>
      </c>
      <c r="G80" s="267">
        <v>729057</v>
      </c>
      <c r="H80" s="267">
        <v>3552270</v>
      </c>
      <c r="I80" s="267">
        <v>5011615</v>
      </c>
      <c r="J80" s="267">
        <v>4653221</v>
      </c>
      <c r="K80" s="267">
        <v>113741</v>
      </c>
      <c r="L80" s="267">
        <v>837962</v>
      </c>
      <c r="M80" s="267">
        <v>956984</v>
      </c>
      <c r="N80" s="267">
        <v>1310303</v>
      </c>
      <c r="O80" s="267">
        <v>396881</v>
      </c>
      <c r="P80" s="267">
        <v>2837903</v>
      </c>
      <c r="Q80" s="267">
        <v>279135</v>
      </c>
      <c r="R80" s="267">
        <v>-12946449</v>
      </c>
      <c r="S80" s="267">
        <v>1393124</v>
      </c>
      <c r="T80" s="267">
        <v>206623</v>
      </c>
      <c r="U80" s="267">
        <v>-9500476</v>
      </c>
      <c r="V80" s="267">
        <v>1685300</v>
      </c>
      <c r="W80" s="267">
        <v>-1052265</v>
      </c>
      <c r="X80" s="267">
        <v>17169229</v>
      </c>
      <c r="Y80" s="267">
        <v>155028</v>
      </c>
      <c r="Z80" s="267">
        <v>6960922</v>
      </c>
      <c r="AA80" s="267">
        <v>1233582</v>
      </c>
      <c r="AB80" s="267">
        <v>4990662</v>
      </c>
      <c r="AC80" s="267">
        <v>257152</v>
      </c>
      <c r="AD80" s="267">
        <v>1756964</v>
      </c>
      <c r="AE80" s="1232">
        <v>701246</v>
      </c>
      <c r="AF80" s="267">
        <v>2715101</v>
      </c>
      <c r="AG80" s="267">
        <v>6504243</v>
      </c>
      <c r="AH80" s="267">
        <v>4562688</v>
      </c>
      <c r="AI80" s="267">
        <v>731144</v>
      </c>
      <c r="AJ80" s="267">
        <v>-47350282</v>
      </c>
      <c r="AK80" s="267">
        <v>3208540</v>
      </c>
      <c r="AL80" s="267">
        <v>507602</v>
      </c>
      <c r="AM80" s="267">
        <v>0</v>
      </c>
      <c r="AN80" s="267">
        <v>5246623</v>
      </c>
      <c r="AO80" s="267">
        <v>0</v>
      </c>
      <c r="AP80" s="267">
        <v>0</v>
      </c>
      <c r="AQ80" s="267">
        <v>90008</v>
      </c>
      <c r="AR80" s="267">
        <v>5137198</v>
      </c>
      <c r="AS80" s="267">
        <v>1837138</v>
      </c>
      <c r="AT80" s="267">
        <v>502698</v>
      </c>
      <c r="AU80" s="267">
        <v>569350</v>
      </c>
      <c r="AV80" s="267">
        <v>0</v>
      </c>
      <c r="AW80" s="267">
        <v>8449478</v>
      </c>
      <c r="AX80" s="267">
        <v>3355097</v>
      </c>
      <c r="AY80" s="267">
        <v>-85874</v>
      </c>
      <c r="AZ80" s="267">
        <v>24309812</v>
      </c>
      <c r="BA80" s="267">
        <v>1803594</v>
      </c>
      <c r="BB80" s="267">
        <v>496356</v>
      </c>
      <c r="BC80" s="267">
        <v>101867</v>
      </c>
      <c r="BD80" s="267">
        <v>0</v>
      </c>
      <c r="BE80" s="267">
        <v>-2190878</v>
      </c>
      <c r="BF80" s="267">
        <v>482194</v>
      </c>
      <c r="BG80" s="267">
        <v>685685</v>
      </c>
      <c r="BH80" s="267">
        <v>162753</v>
      </c>
      <c r="BI80" s="267">
        <v>293387</v>
      </c>
      <c r="BJ80" s="267">
        <v>465081</v>
      </c>
      <c r="BK80" s="267">
        <v>208779</v>
      </c>
      <c r="BL80" s="267">
        <v>34478</v>
      </c>
      <c r="BM80" s="267">
        <v>0</v>
      </c>
      <c r="BN80" s="267">
        <v>-438654</v>
      </c>
      <c r="BO80" s="267">
        <v>2475077</v>
      </c>
      <c r="BP80" s="267">
        <v>571895</v>
      </c>
      <c r="BQ80" s="267">
        <v>1492356</v>
      </c>
      <c r="BR80" s="267">
        <v>6276224</v>
      </c>
      <c r="BS80" s="267">
        <v>205700</v>
      </c>
      <c r="BT80" s="267">
        <v>13360155</v>
      </c>
      <c r="BU80" s="267">
        <v>432439</v>
      </c>
      <c r="BV80" s="267">
        <v>2872775</v>
      </c>
      <c r="BW80" s="267">
        <v>1003311</v>
      </c>
      <c r="BX80" s="267">
        <v>1077949</v>
      </c>
      <c r="BY80" s="267">
        <v>1127038</v>
      </c>
      <c r="BZ80" s="267">
        <v>196245</v>
      </c>
      <c r="CA80" s="1232">
        <v>530850</v>
      </c>
      <c r="CB80" s="267">
        <v>153471</v>
      </c>
      <c r="CC80" s="267">
        <v>0</v>
      </c>
      <c r="CD80" s="267">
        <v>0</v>
      </c>
      <c r="CE80" s="267">
        <v>351704</v>
      </c>
    </row>
    <row r="81" spans="1:83" x14ac:dyDescent="0.3">
      <c r="A81" s="267">
        <v>255</v>
      </c>
      <c r="B81" s="267">
        <v>255</v>
      </c>
      <c r="C81" s="267" t="s">
        <v>197</v>
      </c>
      <c r="D81" s="267" t="s">
        <v>394</v>
      </c>
      <c r="E81" s="267">
        <v>0</v>
      </c>
      <c r="F81" s="267">
        <v>19488</v>
      </c>
      <c r="G81" s="267">
        <v>122501</v>
      </c>
      <c r="H81" s="267">
        <v>84835</v>
      </c>
      <c r="I81" s="267">
        <v>818700</v>
      </c>
      <c r="J81" s="267">
        <v>743200</v>
      </c>
      <c r="K81" s="267">
        <v>-104427</v>
      </c>
      <c r="L81" s="267">
        <v>52479</v>
      </c>
      <c r="M81" s="267">
        <v>61034</v>
      </c>
      <c r="N81" s="267">
        <v>-1825206</v>
      </c>
      <c r="O81" s="267">
        <v>52705</v>
      </c>
      <c r="P81" s="267">
        <v>-407484</v>
      </c>
      <c r="Q81" s="267">
        <v>19597</v>
      </c>
      <c r="R81" s="267">
        <v>3308380</v>
      </c>
      <c r="S81" s="267">
        <v>192487</v>
      </c>
      <c r="T81" s="267">
        <v>-6436</v>
      </c>
      <c r="U81" s="267">
        <v>10964112</v>
      </c>
      <c r="V81" s="267">
        <v>1079012</v>
      </c>
      <c r="W81" s="267">
        <v>1474705</v>
      </c>
      <c r="X81" s="267">
        <v>11830213</v>
      </c>
      <c r="Y81" s="267">
        <v>31127</v>
      </c>
      <c r="Z81" s="267">
        <v>-8813</v>
      </c>
      <c r="AA81" s="267">
        <v>79102</v>
      </c>
      <c r="AB81" s="267">
        <v>2663683</v>
      </c>
      <c r="AC81" s="267">
        <v>502942</v>
      </c>
      <c r="AD81" s="267">
        <v>236735</v>
      </c>
      <c r="AE81" s="1232">
        <v>488441</v>
      </c>
      <c r="AF81" s="267">
        <v>261559</v>
      </c>
      <c r="AG81" s="267">
        <v>17076944</v>
      </c>
      <c r="AH81" s="267">
        <v>792513</v>
      </c>
      <c r="AI81" s="267">
        <v>-377223</v>
      </c>
      <c r="AJ81" s="267">
        <v>-10491716</v>
      </c>
      <c r="AK81" s="267">
        <v>222852</v>
      </c>
      <c r="AL81" s="267">
        <v>9970</v>
      </c>
      <c r="AM81" s="267">
        <v>0</v>
      </c>
      <c r="AN81" s="267">
        <v>1535972</v>
      </c>
      <c r="AO81" s="267">
        <v>0</v>
      </c>
      <c r="AP81" s="267">
        <v>0</v>
      </c>
      <c r="AQ81" s="267">
        <v>4150</v>
      </c>
      <c r="AR81" s="267">
        <v>3397537</v>
      </c>
      <c r="AS81" s="267">
        <v>-92733</v>
      </c>
      <c r="AT81" s="267">
        <v>35730</v>
      </c>
      <c r="AU81" s="267">
        <v>-105929</v>
      </c>
      <c r="AV81" s="267">
        <v>0</v>
      </c>
      <c r="AW81" s="267">
        <v>291387</v>
      </c>
      <c r="AX81" s="267">
        <v>436198</v>
      </c>
      <c r="AY81" s="267">
        <v>279619</v>
      </c>
      <c r="AZ81" s="267">
        <v>4344152</v>
      </c>
      <c r="BA81" s="267">
        <v>-16529</v>
      </c>
      <c r="BB81" s="267">
        <v>-19940</v>
      </c>
      <c r="BC81" s="267">
        <v>11981</v>
      </c>
      <c r="BD81" s="267">
        <v>0</v>
      </c>
      <c r="BE81" s="267">
        <v>999550</v>
      </c>
      <c r="BF81" s="267">
        <v>27493</v>
      </c>
      <c r="BG81" s="267">
        <v>-21355</v>
      </c>
      <c r="BH81" s="267">
        <v>32562</v>
      </c>
      <c r="BI81" s="267">
        <v>30517</v>
      </c>
      <c r="BJ81" s="267">
        <v>-4683</v>
      </c>
      <c r="BK81" s="267">
        <v>21488</v>
      </c>
      <c r="BL81" s="267">
        <v>426543</v>
      </c>
      <c r="BM81" s="267">
        <v>0</v>
      </c>
      <c r="BN81" s="267">
        <v>156652</v>
      </c>
      <c r="BO81" s="267">
        <v>1371721</v>
      </c>
      <c r="BP81" s="267">
        <v>-84533</v>
      </c>
      <c r="BQ81" s="267">
        <v>322930</v>
      </c>
      <c r="BR81" s="267">
        <v>1407045</v>
      </c>
      <c r="BS81" s="267">
        <v>-276259</v>
      </c>
      <c r="BT81" s="267">
        <v>3403819</v>
      </c>
      <c r="BU81" s="267">
        <v>36727</v>
      </c>
      <c r="BV81" s="267">
        <v>430991</v>
      </c>
      <c r="BW81" s="267">
        <v>244965</v>
      </c>
      <c r="BX81" s="267">
        <v>55866</v>
      </c>
      <c r="BY81" s="267">
        <v>81158</v>
      </c>
      <c r="BZ81" s="267">
        <v>55677</v>
      </c>
      <c r="CA81" s="1232">
        <v>85237</v>
      </c>
      <c r="CB81" s="267">
        <v>55754</v>
      </c>
      <c r="CC81" s="267">
        <v>0</v>
      </c>
      <c r="CD81" s="267">
        <v>0</v>
      </c>
      <c r="CE81" s="267">
        <v>-5912</v>
      </c>
    </row>
    <row r="82" spans="1:83" x14ac:dyDescent="0.3">
      <c r="B82" s="267">
        <v>274</v>
      </c>
      <c r="C82" s="267" t="s">
        <v>395</v>
      </c>
      <c r="D82" s="267" t="s">
        <v>396</v>
      </c>
    </row>
    <row r="83" spans="1:83" x14ac:dyDescent="0.3">
      <c r="B83" s="267">
        <v>294</v>
      </c>
      <c r="C83" s="267" t="s">
        <v>845</v>
      </c>
      <c r="D83" s="267" t="s">
        <v>397</v>
      </c>
    </row>
    <row r="84" spans="1:83" x14ac:dyDescent="0.3">
      <c r="B84" s="267">
        <v>314</v>
      </c>
      <c r="C84" s="267" t="s">
        <v>398</v>
      </c>
      <c r="D84" s="267" t="s">
        <v>399</v>
      </c>
    </row>
    <row r="85" spans="1:83" x14ac:dyDescent="0.3">
      <c r="B85" s="267">
        <v>315</v>
      </c>
      <c r="C85" s="267" t="s">
        <v>400</v>
      </c>
      <c r="D85" s="267" t="s">
        <v>401</v>
      </c>
    </row>
    <row r="86" spans="1:83" x14ac:dyDescent="0.3">
      <c r="B86" s="267">
        <v>316</v>
      </c>
      <c r="C86" s="267" t="s">
        <v>402</v>
      </c>
      <c r="D86" s="267" t="s">
        <v>403</v>
      </c>
    </row>
    <row r="87" spans="1:83" x14ac:dyDescent="0.3">
      <c r="B87" s="267">
        <v>320</v>
      </c>
      <c r="C87" s="267" t="s">
        <v>258</v>
      </c>
      <c r="D87" s="267" t="s">
        <v>404</v>
      </c>
    </row>
    <row r="88" spans="1:83" x14ac:dyDescent="0.3">
      <c r="B88" s="267">
        <v>321</v>
      </c>
      <c r="C88" s="267" t="s">
        <v>846</v>
      </c>
      <c r="D88" s="267" t="s">
        <v>405</v>
      </c>
    </row>
    <row r="89" spans="1:83" x14ac:dyDescent="0.3">
      <c r="B89" s="267">
        <v>322</v>
      </c>
      <c r="C89" s="267" t="s">
        <v>260</v>
      </c>
      <c r="D89" s="267" t="s">
        <v>406</v>
      </c>
    </row>
    <row r="90" spans="1:83" x14ac:dyDescent="0.3">
      <c r="B90" s="267">
        <v>323</v>
      </c>
      <c r="C90" s="267" t="s">
        <v>259</v>
      </c>
      <c r="D90" s="267" t="s">
        <v>407</v>
      </c>
    </row>
    <row r="91" spans="1:83" x14ac:dyDescent="0.3">
      <c r="B91" s="267">
        <v>324</v>
      </c>
      <c r="C91" s="267" t="s">
        <v>257</v>
      </c>
      <c r="D91" s="267" t="s">
        <v>408</v>
      </c>
    </row>
    <row r="92" spans="1:83" x14ac:dyDescent="0.3">
      <c r="B92" s="267">
        <v>325</v>
      </c>
      <c r="C92" s="267" t="s">
        <v>261</v>
      </c>
      <c r="D92" s="267" t="s">
        <v>409</v>
      </c>
    </row>
    <row r="93" spans="1:83" x14ac:dyDescent="0.3">
      <c r="B93" s="267">
        <v>326</v>
      </c>
      <c r="C93" s="267" t="s">
        <v>704</v>
      </c>
      <c r="D93" s="267" t="s">
        <v>410</v>
      </c>
    </row>
    <row r="94" spans="1:83" x14ac:dyDescent="0.3">
      <c r="A94" s="267">
        <v>327</v>
      </c>
      <c r="B94" s="267">
        <v>327</v>
      </c>
      <c r="C94" s="267" t="s">
        <v>635</v>
      </c>
      <c r="D94" s="267" t="s">
        <v>411</v>
      </c>
      <c r="E94" s="267">
        <v>0</v>
      </c>
      <c r="F94" s="267">
        <v>0</v>
      </c>
      <c r="G94" s="267">
        <v>0</v>
      </c>
      <c r="H94" s="267">
        <v>0</v>
      </c>
      <c r="I94" s="267">
        <v>0</v>
      </c>
      <c r="J94" s="267">
        <v>0</v>
      </c>
      <c r="K94" s="267">
        <v>53983</v>
      </c>
      <c r="L94" s="267">
        <v>0</v>
      </c>
      <c r="M94" s="267">
        <v>0</v>
      </c>
      <c r="N94" s="267">
        <v>0</v>
      </c>
      <c r="O94" s="267">
        <v>0</v>
      </c>
      <c r="P94" s="267">
        <v>46446</v>
      </c>
      <c r="Q94" s="267">
        <v>0</v>
      </c>
      <c r="R94" s="267">
        <v>5609034</v>
      </c>
      <c r="S94" s="267">
        <v>367968</v>
      </c>
      <c r="T94" s="267">
        <v>0</v>
      </c>
      <c r="U94" s="267">
        <v>3881259</v>
      </c>
      <c r="V94" s="267">
        <v>1342991</v>
      </c>
      <c r="W94" s="267">
        <v>14979085</v>
      </c>
      <c r="X94" s="267">
        <v>0</v>
      </c>
      <c r="Y94" s="267">
        <v>0</v>
      </c>
      <c r="Z94" s="267">
        <v>745155</v>
      </c>
      <c r="AA94" s="267">
        <v>4000</v>
      </c>
      <c r="AB94" s="267">
        <v>569712</v>
      </c>
      <c r="AC94" s="267">
        <v>23252</v>
      </c>
      <c r="AD94" s="267">
        <v>0</v>
      </c>
      <c r="AE94" s="1232">
        <v>882432</v>
      </c>
      <c r="AF94" s="267">
        <v>0</v>
      </c>
      <c r="AG94" s="267">
        <v>1779717</v>
      </c>
      <c r="AH94" s="267">
        <v>514809</v>
      </c>
      <c r="AI94" s="267">
        <v>19050</v>
      </c>
      <c r="AJ94" s="267">
        <v>13241990</v>
      </c>
      <c r="AK94" s="267">
        <v>6500</v>
      </c>
      <c r="AL94" s="267">
        <v>63005</v>
      </c>
      <c r="AM94" s="267">
        <v>0</v>
      </c>
      <c r="AN94" s="267">
        <v>210332</v>
      </c>
      <c r="AO94" s="267">
        <v>0</v>
      </c>
      <c r="AP94" s="267">
        <v>0</v>
      </c>
      <c r="AQ94" s="267">
        <v>0</v>
      </c>
      <c r="AR94" s="267">
        <v>0</v>
      </c>
      <c r="AS94" s="267">
        <v>44618</v>
      </c>
      <c r="AT94" s="267">
        <v>0</v>
      </c>
      <c r="AU94" s="267">
        <v>552989</v>
      </c>
      <c r="AV94" s="267">
        <v>0</v>
      </c>
      <c r="AW94" s="267">
        <v>3735076</v>
      </c>
      <c r="AX94" s="267">
        <v>0</v>
      </c>
      <c r="AY94" s="267">
        <v>76640</v>
      </c>
      <c r="AZ94" s="267">
        <v>1346936</v>
      </c>
      <c r="BA94" s="267">
        <v>5006</v>
      </c>
      <c r="BB94" s="267">
        <v>0</v>
      </c>
      <c r="BC94" s="267">
        <v>0</v>
      </c>
      <c r="BD94" s="267">
        <v>0</v>
      </c>
      <c r="BE94" s="267">
        <v>217472</v>
      </c>
      <c r="BF94" s="267">
        <v>0</v>
      </c>
      <c r="BG94" s="267">
        <v>0</v>
      </c>
      <c r="BH94" s="267">
        <v>0</v>
      </c>
      <c r="BI94" s="267">
        <v>0</v>
      </c>
      <c r="BJ94" s="267">
        <v>474</v>
      </c>
      <c r="BK94" s="267">
        <v>0</v>
      </c>
      <c r="BL94" s="267">
        <v>140972</v>
      </c>
      <c r="BM94" s="267">
        <v>0</v>
      </c>
      <c r="BN94" s="267">
        <v>168864</v>
      </c>
      <c r="BO94" s="267">
        <v>0</v>
      </c>
      <c r="BP94" s="267">
        <v>39115</v>
      </c>
      <c r="BQ94" s="267">
        <v>12100</v>
      </c>
      <c r="BR94" s="267">
        <v>0</v>
      </c>
      <c r="BS94" s="267">
        <v>25500</v>
      </c>
      <c r="BT94" s="267">
        <v>0</v>
      </c>
      <c r="BU94" s="267">
        <v>341062</v>
      </c>
      <c r="BV94" s="267">
        <v>10200</v>
      </c>
      <c r="BW94" s="267">
        <v>0</v>
      </c>
      <c r="BX94" s="267">
        <v>107630</v>
      </c>
      <c r="BY94" s="267">
        <v>81232</v>
      </c>
      <c r="BZ94" s="267">
        <v>0</v>
      </c>
      <c r="CA94" s="1232">
        <v>21695</v>
      </c>
      <c r="CB94" s="267">
        <v>49000</v>
      </c>
      <c r="CC94" s="267">
        <v>0</v>
      </c>
      <c r="CD94" s="267">
        <v>0</v>
      </c>
      <c r="CE94" s="267">
        <v>0</v>
      </c>
    </row>
    <row r="95" spans="1:83" x14ac:dyDescent="0.3">
      <c r="A95" s="267">
        <v>328</v>
      </c>
      <c r="B95" s="267">
        <v>328</v>
      </c>
      <c r="C95" s="267" t="s">
        <v>551</v>
      </c>
      <c r="D95" s="267" t="s">
        <v>412</v>
      </c>
      <c r="E95" s="267">
        <v>0</v>
      </c>
      <c r="F95" s="267">
        <v>0</v>
      </c>
      <c r="G95" s="267">
        <v>0</v>
      </c>
      <c r="H95" s="267">
        <v>0</v>
      </c>
      <c r="I95" s="267">
        <v>0</v>
      </c>
      <c r="J95" s="267">
        <v>0</v>
      </c>
      <c r="K95" s="267">
        <v>0</v>
      </c>
      <c r="L95" s="267">
        <v>0</v>
      </c>
      <c r="M95" s="267">
        <v>0</v>
      </c>
      <c r="N95" s="267">
        <v>0</v>
      </c>
      <c r="O95" s="267">
        <v>0</v>
      </c>
      <c r="P95" s="267">
        <v>76571</v>
      </c>
      <c r="Q95" s="267">
        <v>0</v>
      </c>
      <c r="R95" s="267">
        <v>7352276</v>
      </c>
      <c r="S95" s="267">
        <v>0</v>
      </c>
      <c r="T95" s="267">
        <v>0</v>
      </c>
      <c r="U95" s="267">
        <v>20764812</v>
      </c>
      <c r="V95" s="267">
        <v>0</v>
      </c>
      <c r="W95" s="267">
        <v>0</v>
      </c>
      <c r="X95" s="267">
        <v>0</v>
      </c>
      <c r="Y95" s="267">
        <v>0</v>
      </c>
      <c r="Z95" s="267">
        <v>291871</v>
      </c>
      <c r="AA95" s="267">
        <v>300379</v>
      </c>
      <c r="AB95" s="267">
        <v>0</v>
      </c>
      <c r="AC95" s="267">
        <v>4075556</v>
      </c>
      <c r="AD95" s="267">
        <v>0</v>
      </c>
      <c r="AE95" s="267">
        <v>0</v>
      </c>
      <c r="AF95" s="267">
        <v>1452661</v>
      </c>
      <c r="AG95" s="267">
        <v>0</v>
      </c>
      <c r="AH95" s="267">
        <v>2701021</v>
      </c>
      <c r="AI95" s="267">
        <v>0</v>
      </c>
      <c r="AJ95" s="267">
        <v>4141704</v>
      </c>
      <c r="AK95" s="267">
        <v>0</v>
      </c>
      <c r="AL95" s="267">
        <v>0</v>
      </c>
      <c r="AM95" s="267">
        <v>0</v>
      </c>
      <c r="AN95" s="267">
        <v>1937234</v>
      </c>
      <c r="AO95" s="267">
        <v>0</v>
      </c>
      <c r="AP95" s="267">
        <v>0</v>
      </c>
      <c r="AQ95" s="267">
        <v>0</v>
      </c>
      <c r="AR95" s="267">
        <v>0</v>
      </c>
      <c r="AS95" s="267">
        <v>313404</v>
      </c>
      <c r="AT95" s="267">
        <v>0</v>
      </c>
      <c r="AU95" s="267">
        <v>95675</v>
      </c>
      <c r="AV95" s="267">
        <v>0</v>
      </c>
      <c r="AW95" s="267">
        <v>0</v>
      </c>
      <c r="AX95" s="267">
        <v>0</v>
      </c>
      <c r="AY95" s="267">
        <v>0</v>
      </c>
      <c r="AZ95" s="267">
        <v>0</v>
      </c>
      <c r="BA95" s="267">
        <v>0</v>
      </c>
      <c r="BB95" s="267">
        <v>0</v>
      </c>
      <c r="BC95" s="267">
        <v>0</v>
      </c>
      <c r="BD95" s="267">
        <v>0</v>
      </c>
      <c r="BE95" s="267">
        <v>6714039</v>
      </c>
      <c r="BF95" s="267">
        <v>0</v>
      </c>
      <c r="BG95" s="267">
        <v>24950</v>
      </c>
      <c r="BH95" s="267">
        <v>0</v>
      </c>
      <c r="BI95" s="267">
        <v>0</v>
      </c>
      <c r="BJ95" s="267">
        <v>54000</v>
      </c>
      <c r="BK95" s="267">
        <v>0</v>
      </c>
      <c r="BL95" s="267">
        <v>0</v>
      </c>
      <c r="BM95" s="267">
        <v>0</v>
      </c>
      <c r="BN95" s="267">
        <v>671267</v>
      </c>
      <c r="BO95" s="267">
        <v>35980</v>
      </c>
      <c r="BP95" s="267">
        <v>0</v>
      </c>
      <c r="BQ95" s="267">
        <v>0</v>
      </c>
      <c r="BR95" s="267">
        <v>0</v>
      </c>
      <c r="BS95" s="267">
        <v>108520</v>
      </c>
      <c r="BT95" s="267">
        <v>0</v>
      </c>
      <c r="BU95" s="267">
        <v>116380</v>
      </c>
      <c r="BV95" s="267">
        <v>1432820</v>
      </c>
      <c r="BW95" s="267">
        <v>0</v>
      </c>
      <c r="BX95" s="267">
        <v>207553</v>
      </c>
      <c r="BY95" s="267">
        <v>40000</v>
      </c>
      <c r="BZ95" s="267">
        <v>0</v>
      </c>
      <c r="CA95" s="267">
        <v>0</v>
      </c>
      <c r="CB95" s="267">
        <v>0</v>
      </c>
      <c r="CC95" s="267">
        <v>0</v>
      </c>
      <c r="CD95" s="267">
        <v>0</v>
      </c>
      <c r="CE95" s="267">
        <v>0</v>
      </c>
    </row>
    <row r="96" spans="1:83" x14ac:dyDescent="0.3">
      <c r="B96" s="267">
        <v>330</v>
      </c>
      <c r="C96" s="267" t="s">
        <v>636</v>
      </c>
      <c r="D96" s="267" t="s">
        <v>413</v>
      </c>
    </row>
    <row r="97" spans="1:83" x14ac:dyDescent="0.3">
      <c r="A97" s="267">
        <v>331</v>
      </c>
      <c r="B97" s="267">
        <v>331</v>
      </c>
      <c r="C97" s="267" t="s">
        <v>247</v>
      </c>
      <c r="D97" s="267" t="s">
        <v>414</v>
      </c>
      <c r="E97" s="267">
        <v>0</v>
      </c>
      <c r="F97" s="267">
        <v>0</v>
      </c>
      <c r="G97" s="267">
        <v>63000</v>
      </c>
      <c r="H97" s="267">
        <v>0</v>
      </c>
      <c r="I97" s="267">
        <v>0</v>
      </c>
      <c r="J97" s="267">
        <v>0</v>
      </c>
      <c r="K97" s="267">
        <v>12500</v>
      </c>
      <c r="L97" s="267">
        <v>0</v>
      </c>
      <c r="M97" s="267">
        <v>0</v>
      </c>
      <c r="N97" s="267">
        <v>0</v>
      </c>
      <c r="O97" s="267">
        <v>0</v>
      </c>
      <c r="P97" s="267">
        <v>0</v>
      </c>
      <c r="Q97" s="267">
        <v>0</v>
      </c>
      <c r="R97" s="267">
        <v>1381692</v>
      </c>
      <c r="S97" s="267">
        <v>68322</v>
      </c>
      <c r="T97" s="267">
        <v>0</v>
      </c>
      <c r="U97" s="267">
        <v>4004782</v>
      </c>
      <c r="V97" s="267">
        <v>1562188</v>
      </c>
      <c r="W97" s="267">
        <v>1762390</v>
      </c>
      <c r="X97" s="267">
        <v>0</v>
      </c>
      <c r="Y97" s="267">
        <v>0</v>
      </c>
      <c r="Z97" s="267">
        <v>1164948</v>
      </c>
      <c r="AA97" s="267">
        <v>27000</v>
      </c>
      <c r="AB97" s="267">
        <v>294424</v>
      </c>
      <c r="AC97" s="267">
        <v>996181</v>
      </c>
      <c r="AD97" s="267">
        <v>155390</v>
      </c>
      <c r="AE97" s="1232">
        <v>290110</v>
      </c>
      <c r="AF97" s="267">
        <v>32920</v>
      </c>
      <c r="AG97" s="267">
        <v>112412</v>
      </c>
      <c r="AH97" s="267">
        <v>45500</v>
      </c>
      <c r="AI97" s="267">
        <v>32016</v>
      </c>
      <c r="AJ97" s="267">
        <v>4745912</v>
      </c>
      <c r="AK97" s="267">
        <v>0</v>
      </c>
      <c r="AL97" s="267">
        <v>40250</v>
      </c>
      <c r="AM97" s="267">
        <v>0</v>
      </c>
      <c r="AN97" s="267">
        <v>1536607</v>
      </c>
      <c r="AO97" s="267">
        <v>0</v>
      </c>
      <c r="AP97" s="267">
        <v>0</v>
      </c>
      <c r="AQ97" s="267">
        <v>0</v>
      </c>
      <c r="AR97" s="267">
        <v>0</v>
      </c>
      <c r="AS97" s="267">
        <v>547504</v>
      </c>
      <c r="AT97" s="267">
        <v>62052</v>
      </c>
      <c r="AU97" s="267">
        <v>189806</v>
      </c>
      <c r="AV97" s="267">
        <v>0</v>
      </c>
      <c r="AW97" s="267">
        <v>3632441</v>
      </c>
      <c r="AX97" s="267">
        <v>0</v>
      </c>
      <c r="AY97" s="267">
        <v>70376</v>
      </c>
      <c r="AZ97" s="267">
        <v>0</v>
      </c>
      <c r="BA97" s="267">
        <v>30000</v>
      </c>
      <c r="BB97" s="267">
        <v>0</v>
      </c>
      <c r="BC97" s="267">
        <v>0</v>
      </c>
      <c r="BD97" s="267">
        <v>0</v>
      </c>
      <c r="BE97" s="267">
        <v>727495</v>
      </c>
      <c r="BF97" s="267">
        <v>0</v>
      </c>
      <c r="BG97" s="267">
        <v>27752</v>
      </c>
      <c r="BH97" s="267">
        <v>0</v>
      </c>
      <c r="BI97" s="267">
        <v>0</v>
      </c>
      <c r="BJ97" s="267">
        <v>5557</v>
      </c>
      <c r="BK97" s="267">
        <v>0</v>
      </c>
      <c r="BL97" s="267">
        <v>125825</v>
      </c>
      <c r="BM97" s="267">
        <v>0</v>
      </c>
      <c r="BN97" s="267">
        <v>113791</v>
      </c>
      <c r="BO97" s="267">
        <v>171000</v>
      </c>
      <c r="BP97" s="267">
        <v>49467</v>
      </c>
      <c r="BQ97" s="267">
        <v>14331</v>
      </c>
      <c r="BR97" s="267">
        <v>0</v>
      </c>
      <c r="BS97" s="267">
        <v>0</v>
      </c>
      <c r="BT97" s="267">
        <v>0</v>
      </c>
      <c r="BU97" s="267">
        <v>18406</v>
      </c>
      <c r="BV97" s="267">
        <v>144258</v>
      </c>
      <c r="BW97" s="267">
        <v>0</v>
      </c>
      <c r="BX97" s="267">
        <v>162160</v>
      </c>
      <c r="BY97" s="267">
        <v>0</v>
      </c>
      <c r="BZ97" s="267">
        <v>0</v>
      </c>
      <c r="CA97" s="1232">
        <v>32583</v>
      </c>
      <c r="CB97" s="267">
        <v>7000</v>
      </c>
      <c r="CC97" s="267">
        <v>0</v>
      </c>
      <c r="CD97" s="267">
        <v>0</v>
      </c>
      <c r="CE97" s="267">
        <v>0</v>
      </c>
    </row>
    <row r="98" spans="1:83" x14ac:dyDescent="0.3">
      <c r="A98" s="267">
        <v>332</v>
      </c>
      <c r="B98" s="267">
        <v>332</v>
      </c>
      <c r="C98" s="267" t="s">
        <v>248</v>
      </c>
      <c r="D98" s="267" t="s">
        <v>415</v>
      </c>
      <c r="E98" s="267">
        <v>0</v>
      </c>
      <c r="F98" s="267">
        <v>0</v>
      </c>
      <c r="G98" s="267">
        <v>41453</v>
      </c>
      <c r="H98" s="267">
        <v>0</v>
      </c>
      <c r="I98" s="267">
        <v>0</v>
      </c>
      <c r="J98" s="267">
        <v>0</v>
      </c>
      <c r="K98" s="267">
        <v>0</v>
      </c>
      <c r="L98" s="267">
        <v>0</v>
      </c>
      <c r="M98" s="267">
        <v>0</v>
      </c>
      <c r="N98" s="267">
        <v>0</v>
      </c>
      <c r="O98" s="267">
        <v>0</v>
      </c>
      <c r="P98" s="267">
        <v>951222</v>
      </c>
      <c r="Q98" s="267">
        <v>0</v>
      </c>
      <c r="R98" s="267">
        <v>18650763</v>
      </c>
      <c r="S98" s="267">
        <v>40819</v>
      </c>
      <c r="T98" s="267">
        <v>0</v>
      </c>
      <c r="U98" s="267">
        <v>11873434</v>
      </c>
      <c r="V98" s="267">
        <v>1225070</v>
      </c>
      <c r="W98" s="267">
        <v>6580201</v>
      </c>
      <c r="X98" s="267">
        <v>0</v>
      </c>
      <c r="Y98" s="267">
        <v>31398</v>
      </c>
      <c r="Z98" s="267">
        <v>820299</v>
      </c>
      <c r="AA98" s="267">
        <v>162101</v>
      </c>
      <c r="AB98" s="267">
        <v>834185</v>
      </c>
      <c r="AC98" s="267">
        <v>415437</v>
      </c>
      <c r="AD98" s="267">
        <v>25966</v>
      </c>
      <c r="AE98" s="267">
        <v>0</v>
      </c>
      <c r="AF98" s="267">
        <v>1353989</v>
      </c>
      <c r="AG98" s="267">
        <v>205265</v>
      </c>
      <c r="AH98" s="267">
        <v>313884</v>
      </c>
      <c r="AI98" s="267">
        <v>0</v>
      </c>
      <c r="AJ98" s="267">
        <v>4396316</v>
      </c>
      <c r="AK98" s="267">
        <v>12970</v>
      </c>
      <c r="AL98" s="267">
        <v>0</v>
      </c>
      <c r="AM98" s="267">
        <v>0</v>
      </c>
      <c r="AN98" s="267">
        <v>2194552</v>
      </c>
      <c r="AO98" s="267">
        <v>0</v>
      </c>
      <c r="AP98" s="267">
        <v>0</v>
      </c>
      <c r="AQ98" s="267">
        <v>0</v>
      </c>
      <c r="AR98" s="267">
        <v>0</v>
      </c>
      <c r="AS98" s="267">
        <v>618234</v>
      </c>
      <c r="AT98" s="267">
        <v>0</v>
      </c>
      <c r="AU98" s="267">
        <v>235039</v>
      </c>
      <c r="AV98" s="267">
        <v>0</v>
      </c>
      <c r="AW98" s="267">
        <v>941825</v>
      </c>
      <c r="AX98" s="267">
        <v>0</v>
      </c>
      <c r="AY98" s="267">
        <v>231788</v>
      </c>
      <c r="AZ98" s="267">
        <v>36208</v>
      </c>
      <c r="BA98" s="267">
        <v>42415</v>
      </c>
      <c r="BB98" s="267">
        <v>0</v>
      </c>
      <c r="BC98" s="267">
        <v>0</v>
      </c>
      <c r="BD98" s="267">
        <v>0</v>
      </c>
      <c r="BE98" s="267">
        <v>5676091</v>
      </c>
      <c r="BF98" s="267">
        <v>0</v>
      </c>
      <c r="BG98" s="267">
        <v>200465</v>
      </c>
      <c r="BH98" s="267">
        <v>0</v>
      </c>
      <c r="BI98" s="267">
        <v>0</v>
      </c>
      <c r="BJ98" s="267">
        <v>1400</v>
      </c>
      <c r="BK98" s="267">
        <v>0</v>
      </c>
      <c r="BL98" s="267">
        <v>1215540</v>
      </c>
      <c r="BM98" s="267">
        <v>0</v>
      </c>
      <c r="BN98" s="267">
        <v>590941</v>
      </c>
      <c r="BO98" s="267">
        <v>19542</v>
      </c>
      <c r="BP98" s="267">
        <v>2000</v>
      </c>
      <c r="BQ98" s="267">
        <v>25250</v>
      </c>
      <c r="BR98" s="267">
        <v>0</v>
      </c>
      <c r="BS98" s="267">
        <v>286522</v>
      </c>
      <c r="BT98" s="267">
        <v>0</v>
      </c>
      <c r="BU98" s="267">
        <v>101788</v>
      </c>
      <c r="BV98" s="267">
        <v>198947</v>
      </c>
      <c r="BW98" s="267">
        <v>0</v>
      </c>
      <c r="BX98" s="267">
        <v>1043397</v>
      </c>
      <c r="BY98" s="267">
        <v>11809</v>
      </c>
      <c r="BZ98" s="267">
        <v>0</v>
      </c>
      <c r="CA98" s="1232">
        <v>119463</v>
      </c>
      <c r="CB98" s="267">
        <v>0</v>
      </c>
      <c r="CC98" s="267">
        <v>0</v>
      </c>
      <c r="CD98" s="267">
        <v>0</v>
      </c>
      <c r="CE98" s="267">
        <v>0</v>
      </c>
    </row>
    <row r="99" spans="1:83" x14ac:dyDescent="0.3">
      <c r="A99" s="267">
        <v>333</v>
      </c>
      <c r="B99" s="267">
        <v>333</v>
      </c>
      <c r="C99" s="267" t="s">
        <v>184</v>
      </c>
      <c r="D99" s="267" t="s">
        <v>416</v>
      </c>
      <c r="E99" s="267">
        <v>0</v>
      </c>
      <c r="F99" s="267">
        <v>102929</v>
      </c>
      <c r="G99" s="267">
        <v>775020</v>
      </c>
      <c r="H99" s="267">
        <v>3621262</v>
      </c>
      <c r="I99" s="267">
        <v>5125205</v>
      </c>
      <c r="J99" s="267">
        <v>4763513</v>
      </c>
      <c r="K99" s="267">
        <v>105791</v>
      </c>
      <c r="L99" s="267">
        <v>827716</v>
      </c>
      <c r="M99" s="267">
        <v>959120</v>
      </c>
      <c r="N99" s="267">
        <v>6872653</v>
      </c>
      <c r="O99" s="267">
        <v>501736</v>
      </c>
      <c r="P99" s="267">
        <v>4885397</v>
      </c>
      <c r="Q99" s="267">
        <v>278023</v>
      </c>
      <c r="R99" s="267">
        <v>39818383</v>
      </c>
      <c r="S99" s="267">
        <v>1685242</v>
      </c>
      <c r="T99" s="267">
        <v>210400</v>
      </c>
      <c r="U99" s="267">
        <v>32248785</v>
      </c>
      <c r="V99" s="267">
        <v>10364458</v>
      </c>
      <c r="W99" s="267">
        <v>18804265</v>
      </c>
      <c r="X99" s="267">
        <v>36399516</v>
      </c>
      <c r="Y99" s="267">
        <v>131108</v>
      </c>
      <c r="Z99" s="267">
        <v>13578780</v>
      </c>
      <c r="AA99" s="267">
        <v>1374686</v>
      </c>
      <c r="AB99" s="267">
        <v>13544234</v>
      </c>
      <c r="AC99" s="267">
        <v>958376</v>
      </c>
      <c r="AD99" s="267">
        <v>1935869</v>
      </c>
      <c r="AE99" s="1232">
        <v>1092240</v>
      </c>
      <c r="AF99" s="267">
        <v>3629543</v>
      </c>
      <c r="AG99" s="267">
        <v>11398944</v>
      </c>
      <c r="AH99" s="267">
        <v>5972444</v>
      </c>
      <c r="AI99" s="267">
        <v>715153</v>
      </c>
      <c r="AJ99" s="267">
        <v>7819014</v>
      </c>
      <c r="AK99" s="267">
        <v>3120020</v>
      </c>
      <c r="AL99" s="267">
        <v>724636</v>
      </c>
      <c r="AM99" s="267">
        <v>0</v>
      </c>
      <c r="AN99" s="267">
        <v>9464203</v>
      </c>
      <c r="AO99" s="267">
        <v>0</v>
      </c>
      <c r="AP99" s="267">
        <v>0</v>
      </c>
      <c r="AQ99" s="267">
        <v>90609</v>
      </c>
      <c r="AR99" s="267">
        <v>5587553</v>
      </c>
      <c r="AS99" s="267">
        <v>18007018</v>
      </c>
      <c r="AT99" s="267">
        <v>545467</v>
      </c>
      <c r="AU99" s="267">
        <v>1108850</v>
      </c>
      <c r="AV99" s="267">
        <v>0</v>
      </c>
      <c r="AW99" s="267">
        <v>18440274</v>
      </c>
      <c r="AX99" s="267">
        <v>3659147</v>
      </c>
      <c r="AY99" s="267">
        <v>714224</v>
      </c>
      <c r="AZ99" s="267">
        <v>19195816</v>
      </c>
      <c r="BA99" s="267">
        <v>1882828</v>
      </c>
      <c r="BB99" s="267">
        <v>545906</v>
      </c>
      <c r="BC99" s="267">
        <v>101867</v>
      </c>
      <c r="BD99" s="267">
        <v>0</v>
      </c>
      <c r="BE99" s="267">
        <v>5163229</v>
      </c>
      <c r="BF99" s="267">
        <v>487845</v>
      </c>
      <c r="BG99" s="267">
        <v>661790</v>
      </c>
      <c r="BH99" s="267">
        <v>137666</v>
      </c>
      <c r="BI99" s="267">
        <v>293122</v>
      </c>
      <c r="BJ99" s="267">
        <v>455841</v>
      </c>
      <c r="BK99" s="267">
        <v>205663</v>
      </c>
      <c r="BL99" s="267">
        <v>1540687</v>
      </c>
      <c r="BM99" s="267">
        <v>0</v>
      </c>
      <c r="BN99" s="267">
        <v>127435</v>
      </c>
      <c r="BO99" s="267">
        <v>5779864</v>
      </c>
      <c r="BP99" s="267">
        <v>771917</v>
      </c>
      <c r="BQ99" s="267">
        <v>1597350</v>
      </c>
      <c r="BR99" s="267">
        <v>10276467</v>
      </c>
      <c r="BS99" s="267">
        <v>321426</v>
      </c>
      <c r="BT99" s="267">
        <v>20621047</v>
      </c>
      <c r="BU99" s="267">
        <v>555905</v>
      </c>
      <c r="BV99" s="267">
        <v>4907686</v>
      </c>
      <c r="BW99" s="267">
        <v>2080694</v>
      </c>
      <c r="BX99" s="267">
        <v>1087077</v>
      </c>
      <c r="BY99" s="267">
        <v>1668344</v>
      </c>
      <c r="BZ99" s="267">
        <v>195462</v>
      </c>
      <c r="CA99" s="1232">
        <v>942182</v>
      </c>
      <c r="CB99" s="267">
        <v>156388</v>
      </c>
      <c r="CC99" s="267">
        <v>0</v>
      </c>
      <c r="CD99" s="267">
        <v>0</v>
      </c>
      <c r="CE99" s="267">
        <v>347794</v>
      </c>
    </row>
    <row r="100" spans="1:83" x14ac:dyDescent="0.3">
      <c r="A100" s="267">
        <v>334</v>
      </c>
      <c r="B100" s="267">
        <v>334</v>
      </c>
      <c r="C100" s="267" t="s">
        <v>276</v>
      </c>
      <c r="D100" s="267" t="s">
        <v>417</v>
      </c>
      <c r="E100" s="267">
        <v>0</v>
      </c>
      <c r="F100" s="267">
        <v>237086</v>
      </c>
      <c r="G100" s="267">
        <v>1683405</v>
      </c>
      <c r="H100" s="267">
        <v>6728628</v>
      </c>
      <c r="I100" s="267">
        <v>1858233</v>
      </c>
      <c r="J100" s="267">
        <v>4055698</v>
      </c>
      <c r="K100" s="267">
        <v>63968</v>
      </c>
      <c r="L100" s="267">
        <v>1142005</v>
      </c>
      <c r="M100" s="267">
        <v>579509</v>
      </c>
      <c r="N100" s="267">
        <v>72360009</v>
      </c>
      <c r="O100" s="267">
        <v>722874</v>
      </c>
      <c r="P100" s="267">
        <v>12981260</v>
      </c>
      <c r="Q100" s="267">
        <v>238647</v>
      </c>
      <c r="R100" s="267">
        <v>147847686</v>
      </c>
      <c r="S100" s="267">
        <v>3429731</v>
      </c>
      <c r="T100" s="267">
        <v>273576</v>
      </c>
      <c r="U100" s="267">
        <v>247587880</v>
      </c>
      <c r="V100" s="267">
        <v>41019476</v>
      </c>
      <c r="W100" s="267">
        <v>98525384</v>
      </c>
      <c r="X100" s="267">
        <v>141472765</v>
      </c>
      <c r="Y100" s="267">
        <v>415572</v>
      </c>
      <c r="Z100" s="267">
        <v>48098558</v>
      </c>
      <c r="AA100" s="267">
        <v>2777642</v>
      </c>
      <c r="AB100" s="267">
        <v>30280134</v>
      </c>
      <c r="AC100" s="267">
        <v>10635619</v>
      </c>
      <c r="AD100" s="267">
        <v>5342829</v>
      </c>
      <c r="AE100" s="1232">
        <v>4407054</v>
      </c>
      <c r="AF100" s="267">
        <v>6356747</v>
      </c>
      <c r="AG100" s="267">
        <v>88321453</v>
      </c>
      <c r="AH100" s="267">
        <v>10804707</v>
      </c>
      <c r="AI100" s="267">
        <v>3460690</v>
      </c>
      <c r="AJ100" s="267">
        <v>77674688</v>
      </c>
      <c r="AK100" s="267">
        <v>4168593</v>
      </c>
      <c r="AL100" s="267">
        <v>2628629</v>
      </c>
      <c r="AM100" s="267">
        <v>0</v>
      </c>
      <c r="AN100" s="267">
        <v>33441952</v>
      </c>
      <c r="AO100" s="267">
        <v>0</v>
      </c>
      <c r="AP100" s="267">
        <v>0</v>
      </c>
      <c r="AQ100" s="267">
        <v>147732</v>
      </c>
      <c r="AR100" s="267">
        <v>36942554</v>
      </c>
      <c r="AS100" s="267">
        <v>47505532</v>
      </c>
      <c r="AT100" s="267">
        <v>382022</v>
      </c>
      <c r="AU100" s="267">
        <v>4105363</v>
      </c>
      <c r="AV100" s="267">
        <v>0</v>
      </c>
      <c r="AW100" s="267">
        <v>31092236</v>
      </c>
      <c r="AX100" s="267">
        <v>6281186</v>
      </c>
      <c r="AY100" s="267">
        <v>4649268</v>
      </c>
      <c r="AZ100" s="267">
        <v>6228214</v>
      </c>
      <c r="BA100" s="267">
        <v>3259380</v>
      </c>
      <c r="BB100" s="267">
        <v>1135720</v>
      </c>
      <c r="BC100" s="267">
        <v>68878</v>
      </c>
      <c r="BD100" s="267">
        <v>0</v>
      </c>
      <c r="BE100" s="267">
        <v>15862157</v>
      </c>
      <c r="BF100" s="267">
        <v>519712</v>
      </c>
      <c r="BG100" s="267">
        <v>388338</v>
      </c>
      <c r="BH100" s="267">
        <v>265935</v>
      </c>
      <c r="BI100" s="267">
        <v>161599</v>
      </c>
      <c r="BJ100" s="267">
        <v>531961</v>
      </c>
      <c r="BK100" s="267">
        <v>144865</v>
      </c>
      <c r="BL100" s="267">
        <v>9584184</v>
      </c>
      <c r="BM100" s="267">
        <v>0</v>
      </c>
      <c r="BN100" s="267">
        <v>3203113</v>
      </c>
      <c r="BO100" s="267">
        <v>9034725</v>
      </c>
      <c r="BP100" s="267">
        <v>2362195</v>
      </c>
      <c r="BQ100" s="267">
        <v>4986145</v>
      </c>
      <c r="BR100" s="267">
        <v>38973015</v>
      </c>
      <c r="BS100" s="267">
        <v>2124841</v>
      </c>
      <c r="BT100" s="267">
        <v>38387028</v>
      </c>
      <c r="BU100" s="267">
        <v>2551598</v>
      </c>
      <c r="BV100" s="267">
        <v>6547896</v>
      </c>
      <c r="BW100" s="267">
        <v>2621649</v>
      </c>
      <c r="BX100" s="267">
        <v>6494326</v>
      </c>
      <c r="BY100" s="267">
        <v>834759</v>
      </c>
      <c r="BZ100" s="267">
        <v>190642</v>
      </c>
      <c r="CA100" s="1232">
        <v>451314</v>
      </c>
      <c r="CB100" s="267">
        <v>84874</v>
      </c>
      <c r="CC100" s="267">
        <v>0</v>
      </c>
      <c r="CD100" s="267">
        <v>0</v>
      </c>
      <c r="CE100" s="267">
        <v>199375</v>
      </c>
    </row>
    <row r="101" spans="1:83" x14ac:dyDescent="0.3">
      <c r="A101" s="267">
        <v>335</v>
      </c>
      <c r="B101" s="267">
        <v>335</v>
      </c>
      <c r="C101" s="267" t="s">
        <v>117</v>
      </c>
      <c r="D101" s="267" t="s">
        <v>418</v>
      </c>
      <c r="E101" s="267">
        <v>0</v>
      </c>
      <c r="F101" s="267">
        <v>0</v>
      </c>
      <c r="G101" s="267">
        <v>0</v>
      </c>
      <c r="H101" s="267">
        <v>0</v>
      </c>
      <c r="I101" s="267">
        <v>0</v>
      </c>
      <c r="J101" s="267">
        <v>0</v>
      </c>
      <c r="K101" s="267">
        <v>0</v>
      </c>
      <c r="L101" s="267">
        <v>0</v>
      </c>
      <c r="M101" s="267">
        <v>0</v>
      </c>
      <c r="N101" s="267">
        <v>0</v>
      </c>
      <c r="O101" s="267">
        <v>0</v>
      </c>
      <c r="P101" s="267">
        <v>0</v>
      </c>
      <c r="Q101" s="267">
        <v>0</v>
      </c>
      <c r="R101" s="267">
        <v>2236</v>
      </c>
      <c r="S101" s="267">
        <v>0</v>
      </c>
      <c r="T101" s="267">
        <v>0</v>
      </c>
      <c r="U101" s="267">
        <v>186770</v>
      </c>
      <c r="V101" s="267">
        <v>0</v>
      </c>
      <c r="W101" s="267">
        <v>0</v>
      </c>
      <c r="X101" s="267">
        <v>350000</v>
      </c>
      <c r="Y101" s="267">
        <v>0</v>
      </c>
      <c r="Z101" s="267">
        <v>91087</v>
      </c>
      <c r="AA101" s="267">
        <v>0</v>
      </c>
      <c r="AB101" s="267">
        <v>0</v>
      </c>
      <c r="AC101" s="267">
        <v>0</v>
      </c>
      <c r="AD101" s="267">
        <v>0</v>
      </c>
      <c r="AE101" s="267">
        <v>0</v>
      </c>
      <c r="AF101" s="267">
        <v>0</v>
      </c>
      <c r="AG101" s="267">
        <v>200</v>
      </c>
      <c r="AH101" s="267">
        <v>0</v>
      </c>
      <c r="AI101" s="267">
        <v>0</v>
      </c>
      <c r="AJ101" s="267">
        <v>0</v>
      </c>
      <c r="AK101" s="267">
        <v>0</v>
      </c>
      <c r="AL101" s="267">
        <v>0</v>
      </c>
      <c r="AM101" s="267">
        <v>0</v>
      </c>
      <c r="AN101" s="267">
        <v>0</v>
      </c>
      <c r="AO101" s="267">
        <v>0</v>
      </c>
      <c r="AP101" s="267">
        <v>0</v>
      </c>
      <c r="AQ101" s="267">
        <v>0</v>
      </c>
      <c r="AR101" s="267">
        <v>0</v>
      </c>
      <c r="AS101" s="267">
        <v>0</v>
      </c>
      <c r="AT101" s="267">
        <v>0</v>
      </c>
      <c r="AU101" s="267">
        <v>0</v>
      </c>
      <c r="AV101" s="267">
        <v>0</v>
      </c>
      <c r="AW101" s="267">
        <v>0</v>
      </c>
      <c r="AX101" s="267">
        <v>0</v>
      </c>
      <c r="AY101" s="267">
        <v>0</v>
      </c>
      <c r="AZ101" s="267">
        <v>0</v>
      </c>
      <c r="BA101" s="267">
        <v>0</v>
      </c>
      <c r="BB101" s="267">
        <v>0</v>
      </c>
      <c r="BC101" s="267">
        <v>0</v>
      </c>
      <c r="BD101" s="267">
        <v>0</v>
      </c>
      <c r="BE101" s="267">
        <v>0</v>
      </c>
      <c r="BF101" s="267">
        <v>0</v>
      </c>
      <c r="BG101" s="267">
        <v>0</v>
      </c>
      <c r="BH101" s="267">
        <v>0</v>
      </c>
      <c r="BI101" s="267">
        <v>0</v>
      </c>
      <c r="BJ101" s="267">
        <v>0</v>
      </c>
      <c r="BK101" s="267">
        <v>0</v>
      </c>
      <c r="BL101" s="267">
        <v>0</v>
      </c>
      <c r="BM101" s="267">
        <v>0</v>
      </c>
      <c r="BN101" s="267">
        <v>0</v>
      </c>
      <c r="BO101" s="267">
        <v>15298</v>
      </c>
      <c r="BP101" s="267">
        <v>0</v>
      </c>
      <c r="BQ101" s="267">
        <v>0</v>
      </c>
      <c r="BR101" s="267">
        <v>16016</v>
      </c>
      <c r="BS101" s="267">
        <v>0</v>
      </c>
      <c r="BT101" s="267">
        <v>0</v>
      </c>
      <c r="BU101" s="267">
        <v>0</v>
      </c>
      <c r="BV101" s="267">
        <v>0</v>
      </c>
      <c r="BW101" s="267">
        <v>0</v>
      </c>
      <c r="BX101" s="267">
        <v>0</v>
      </c>
      <c r="BY101" s="267">
        <v>0</v>
      </c>
      <c r="BZ101" s="267">
        <v>0</v>
      </c>
      <c r="CA101" s="267">
        <v>0</v>
      </c>
      <c r="CB101" s="267">
        <v>0</v>
      </c>
      <c r="CC101" s="267">
        <v>0</v>
      </c>
      <c r="CD101" s="267">
        <v>0</v>
      </c>
      <c r="CE101" s="267">
        <v>0</v>
      </c>
    </row>
    <row r="102" spans="1:83" x14ac:dyDescent="0.3">
      <c r="A102" s="267">
        <v>336</v>
      </c>
      <c r="B102" s="267">
        <v>336</v>
      </c>
      <c r="C102" s="267" t="s">
        <v>637</v>
      </c>
      <c r="D102" s="267" t="s">
        <v>419</v>
      </c>
      <c r="E102" s="267">
        <v>0</v>
      </c>
      <c r="F102" s="267">
        <v>4066</v>
      </c>
      <c r="G102" s="267">
        <v>32866</v>
      </c>
      <c r="H102" s="267">
        <v>143771</v>
      </c>
      <c r="I102" s="267">
        <v>126469</v>
      </c>
      <c r="J102" s="267">
        <v>151413</v>
      </c>
      <c r="K102" s="267">
        <v>674</v>
      </c>
      <c r="L102" s="267">
        <v>24989</v>
      </c>
      <c r="M102" s="267">
        <v>5048</v>
      </c>
      <c r="N102" s="267">
        <v>664206</v>
      </c>
      <c r="O102" s="267">
        <v>26891</v>
      </c>
      <c r="P102" s="267">
        <v>416610</v>
      </c>
      <c r="Q102" s="267">
        <v>876</v>
      </c>
      <c r="R102" s="267">
        <v>4802337</v>
      </c>
      <c r="S102" s="267">
        <v>137589</v>
      </c>
      <c r="T102" s="267">
        <v>3777</v>
      </c>
      <c r="U102" s="267">
        <v>14794337</v>
      </c>
      <c r="V102" s="267">
        <v>1698015</v>
      </c>
      <c r="W102" s="267">
        <v>2408676</v>
      </c>
      <c r="X102" s="267">
        <v>7541269</v>
      </c>
      <c r="Y102" s="267">
        <v>19828</v>
      </c>
      <c r="Z102" s="267">
        <v>1414873</v>
      </c>
      <c r="AA102" s="267">
        <v>76144</v>
      </c>
      <c r="AB102" s="267">
        <v>1495046</v>
      </c>
      <c r="AC102" s="267">
        <v>240172</v>
      </c>
      <c r="AD102" s="267">
        <v>98399</v>
      </c>
      <c r="AE102" s="1232">
        <v>32189</v>
      </c>
      <c r="AF102" s="267">
        <v>100817</v>
      </c>
      <c r="AG102" s="267">
        <v>5929099</v>
      </c>
      <c r="AH102" s="267">
        <v>295406</v>
      </c>
      <c r="AI102" s="267">
        <v>39958</v>
      </c>
      <c r="AJ102" s="267">
        <v>5620607</v>
      </c>
      <c r="AK102" s="267">
        <v>9533</v>
      </c>
      <c r="AL102" s="267">
        <v>93281</v>
      </c>
      <c r="AM102" s="267">
        <v>0</v>
      </c>
      <c r="AN102" s="267">
        <v>2160651</v>
      </c>
      <c r="AO102" s="267">
        <v>0</v>
      </c>
      <c r="AP102" s="267">
        <v>0</v>
      </c>
      <c r="AQ102" s="267">
        <v>601</v>
      </c>
      <c r="AR102" s="267">
        <v>685412</v>
      </c>
      <c r="AS102" s="267">
        <v>194214</v>
      </c>
      <c r="AT102" s="267">
        <v>44572</v>
      </c>
      <c r="AU102" s="267">
        <v>104693</v>
      </c>
      <c r="AV102" s="267">
        <v>0</v>
      </c>
      <c r="AW102" s="267">
        <v>2443298</v>
      </c>
      <c r="AX102" s="267">
        <v>456878</v>
      </c>
      <c r="AY102" s="267">
        <v>45548</v>
      </c>
      <c r="AZ102" s="267">
        <v>1090447</v>
      </c>
      <c r="BA102" s="267">
        <v>38048</v>
      </c>
      <c r="BB102" s="267">
        <v>77284</v>
      </c>
      <c r="BC102" s="267">
        <v>0</v>
      </c>
      <c r="BD102" s="267">
        <v>0</v>
      </c>
      <c r="BE102" s="267">
        <v>435865</v>
      </c>
      <c r="BF102" s="267">
        <v>11934</v>
      </c>
      <c r="BG102" s="267">
        <v>0</v>
      </c>
      <c r="BH102" s="267">
        <v>22713</v>
      </c>
      <c r="BI102" s="267">
        <v>848</v>
      </c>
      <c r="BJ102" s="267">
        <v>2418</v>
      </c>
      <c r="BK102" s="267">
        <v>19233</v>
      </c>
      <c r="BL102" s="267">
        <v>232447</v>
      </c>
      <c r="BM102" s="267">
        <v>0</v>
      </c>
      <c r="BN102" s="267">
        <v>55364</v>
      </c>
      <c r="BO102" s="267">
        <v>310472</v>
      </c>
      <c r="BP102" s="267">
        <v>45431</v>
      </c>
      <c r="BQ102" s="267">
        <v>75799</v>
      </c>
      <c r="BR102" s="267">
        <v>2089950</v>
      </c>
      <c r="BS102" s="267">
        <v>71287</v>
      </c>
      <c r="BT102" s="267">
        <v>1119537</v>
      </c>
      <c r="BU102" s="267">
        <v>33364</v>
      </c>
      <c r="BV102" s="267">
        <v>317057</v>
      </c>
      <c r="BW102" s="267">
        <v>23528</v>
      </c>
      <c r="BX102" s="267">
        <v>188339</v>
      </c>
      <c r="BY102" s="267">
        <v>62758</v>
      </c>
      <c r="BZ102" s="267">
        <v>2310</v>
      </c>
      <c r="CA102" s="1232">
        <v>10411</v>
      </c>
      <c r="CB102" s="267">
        <v>4527</v>
      </c>
      <c r="CC102" s="267">
        <v>0</v>
      </c>
      <c r="CD102" s="267">
        <v>0</v>
      </c>
      <c r="CE102" s="267">
        <v>1017</v>
      </c>
    </row>
    <row r="103" spans="1:83" x14ac:dyDescent="0.3">
      <c r="A103" s="267">
        <v>337</v>
      </c>
      <c r="B103" s="267">
        <v>337</v>
      </c>
      <c r="C103" s="267" t="s">
        <v>254</v>
      </c>
      <c r="D103" s="267" t="s">
        <v>420</v>
      </c>
      <c r="E103" s="267">
        <v>0</v>
      </c>
      <c r="F103" s="267">
        <v>9300</v>
      </c>
      <c r="G103" s="267">
        <v>51371</v>
      </c>
      <c r="H103" s="267">
        <v>632360</v>
      </c>
      <c r="I103" s="267">
        <v>0</v>
      </c>
      <c r="J103" s="267">
        <v>509397</v>
      </c>
      <c r="K103" s="267">
        <v>0</v>
      </c>
      <c r="L103" s="267">
        <v>0</v>
      </c>
      <c r="M103" s="267">
        <v>0</v>
      </c>
      <c r="N103" s="267">
        <v>827531</v>
      </c>
      <c r="O103" s="267">
        <v>72908</v>
      </c>
      <c r="P103" s="267">
        <v>1171744</v>
      </c>
      <c r="Q103" s="267">
        <v>0</v>
      </c>
      <c r="R103" s="267">
        <v>15014634</v>
      </c>
      <c r="S103" s="267">
        <v>1113400</v>
      </c>
      <c r="T103" s="267">
        <v>0</v>
      </c>
      <c r="U103" s="267">
        <v>121787557</v>
      </c>
      <c r="V103" s="267">
        <v>8753807</v>
      </c>
      <c r="W103" s="267">
        <v>4125565</v>
      </c>
      <c r="X103" s="267">
        <v>32476400</v>
      </c>
      <c r="Y103" s="267">
        <v>0</v>
      </c>
      <c r="Z103" s="267">
        <v>324000</v>
      </c>
      <c r="AA103" s="267">
        <v>8315</v>
      </c>
      <c r="AB103" s="267">
        <v>10715115</v>
      </c>
      <c r="AC103" s="267">
        <v>42514</v>
      </c>
      <c r="AD103" s="267">
        <v>266513</v>
      </c>
      <c r="AE103" s="267">
        <v>0</v>
      </c>
      <c r="AF103" s="267">
        <v>1673454</v>
      </c>
      <c r="AG103" s="267">
        <v>30641986</v>
      </c>
      <c r="AH103" s="267">
        <v>0</v>
      </c>
      <c r="AI103" s="267">
        <v>222326</v>
      </c>
      <c r="AJ103" s="267">
        <v>10249000</v>
      </c>
      <c r="AK103" s="267">
        <v>0</v>
      </c>
      <c r="AL103" s="267">
        <v>0</v>
      </c>
      <c r="AM103" s="267">
        <v>0</v>
      </c>
      <c r="AN103" s="267">
        <v>7644566</v>
      </c>
      <c r="AO103" s="267">
        <v>0</v>
      </c>
      <c r="AP103" s="267">
        <v>0</v>
      </c>
      <c r="AQ103" s="267">
        <v>0</v>
      </c>
      <c r="AR103" s="267">
        <v>15566306</v>
      </c>
      <c r="AS103" s="267">
        <v>431326</v>
      </c>
      <c r="AT103" s="267">
        <v>11334</v>
      </c>
      <c r="AU103" s="267">
        <v>342661</v>
      </c>
      <c r="AV103" s="267">
        <v>0</v>
      </c>
      <c r="AW103" s="267">
        <v>3267256</v>
      </c>
      <c r="AX103" s="267">
        <v>1620000</v>
      </c>
      <c r="AY103" s="267">
        <v>0</v>
      </c>
      <c r="AZ103" s="267">
        <v>9354295</v>
      </c>
      <c r="BA103" s="267">
        <v>42263</v>
      </c>
      <c r="BB103" s="267">
        <v>0</v>
      </c>
      <c r="BC103" s="267">
        <v>0</v>
      </c>
      <c r="BD103" s="267">
        <v>0</v>
      </c>
      <c r="BE103" s="267">
        <v>726379</v>
      </c>
      <c r="BF103" s="267">
        <v>0</v>
      </c>
      <c r="BG103" s="267">
        <v>0</v>
      </c>
      <c r="BH103" s="267">
        <v>13557</v>
      </c>
      <c r="BI103" s="267">
        <v>0</v>
      </c>
      <c r="BJ103" s="267">
        <v>0</v>
      </c>
      <c r="BK103" s="267">
        <v>71099</v>
      </c>
      <c r="BL103" s="267">
        <v>2175654</v>
      </c>
      <c r="BM103" s="267">
        <v>0</v>
      </c>
      <c r="BN103" s="267">
        <v>174933</v>
      </c>
      <c r="BO103" s="267">
        <v>1271858</v>
      </c>
      <c r="BP103" s="267">
        <v>672364</v>
      </c>
      <c r="BQ103" s="267">
        <v>1673646</v>
      </c>
      <c r="BR103" s="267">
        <v>440287</v>
      </c>
      <c r="BS103" s="267">
        <v>235384</v>
      </c>
      <c r="BT103" s="267">
        <v>844250</v>
      </c>
      <c r="BU103" s="267">
        <v>244593</v>
      </c>
      <c r="BV103" s="267">
        <v>248613</v>
      </c>
      <c r="BW103" s="267">
        <v>0</v>
      </c>
      <c r="BX103" s="267">
        <v>530161</v>
      </c>
      <c r="BY103" s="267">
        <v>4794</v>
      </c>
      <c r="BZ103" s="267">
        <v>0</v>
      </c>
      <c r="CA103" s="267">
        <v>0</v>
      </c>
      <c r="CB103" s="267">
        <v>0</v>
      </c>
      <c r="CC103" s="267">
        <v>0</v>
      </c>
      <c r="CD103" s="267">
        <v>0</v>
      </c>
      <c r="CE103" s="267">
        <v>0</v>
      </c>
    </row>
    <row r="104" spans="1:83" x14ac:dyDescent="0.3">
      <c r="A104" s="267">
        <v>338</v>
      </c>
      <c r="B104" s="267">
        <v>338</v>
      </c>
      <c r="C104" s="267" t="s">
        <v>116</v>
      </c>
      <c r="D104" s="267" t="s">
        <v>421</v>
      </c>
      <c r="E104" s="267">
        <v>0</v>
      </c>
      <c r="F104" s="267">
        <v>9766</v>
      </c>
      <c r="G104" s="267">
        <v>176893</v>
      </c>
      <c r="H104" s="267">
        <v>795938</v>
      </c>
      <c r="I104" s="267">
        <v>141868</v>
      </c>
      <c r="J104" s="267">
        <v>731464</v>
      </c>
      <c r="K104" s="267">
        <v>674</v>
      </c>
      <c r="L104" s="267">
        <v>48596</v>
      </c>
      <c r="M104" s="267">
        <v>5048</v>
      </c>
      <c r="N104" s="267">
        <v>8610234</v>
      </c>
      <c r="O104" s="267">
        <v>267089</v>
      </c>
      <c r="P104" s="267">
        <v>3166325</v>
      </c>
      <c r="Q104" s="267">
        <v>1878</v>
      </c>
      <c r="R104" s="267">
        <v>64936628</v>
      </c>
      <c r="S104" s="267">
        <v>1659991</v>
      </c>
      <c r="T104" s="267">
        <v>3777</v>
      </c>
      <c r="U104" s="267">
        <v>190958987</v>
      </c>
      <c r="V104" s="267">
        <v>17220721</v>
      </c>
      <c r="W104" s="267">
        <v>26444821</v>
      </c>
      <c r="X104" s="267">
        <v>49006548</v>
      </c>
      <c r="Y104" s="267">
        <v>38165</v>
      </c>
      <c r="Z104" s="267">
        <v>6010444</v>
      </c>
      <c r="AA104" s="267">
        <v>313432</v>
      </c>
      <c r="AB104" s="267">
        <v>21524601</v>
      </c>
      <c r="AC104" s="267">
        <v>1350249</v>
      </c>
      <c r="AD104" s="267">
        <v>392700</v>
      </c>
      <c r="AE104" s="1232">
        <v>634956</v>
      </c>
      <c r="AF104" s="267">
        <v>2326125</v>
      </c>
      <c r="AG104" s="267">
        <v>50394857</v>
      </c>
      <c r="AH104" s="267">
        <v>2260445</v>
      </c>
      <c r="AI104" s="267">
        <v>391952</v>
      </c>
      <c r="AJ104" s="267">
        <v>59926823</v>
      </c>
      <c r="AK104" s="267">
        <v>24079</v>
      </c>
      <c r="AL104" s="267">
        <v>382667</v>
      </c>
      <c r="AM104" s="267">
        <v>0</v>
      </c>
      <c r="AN104" s="267">
        <v>13938775</v>
      </c>
      <c r="AO104" s="267">
        <v>0</v>
      </c>
      <c r="AP104" s="267">
        <v>0</v>
      </c>
      <c r="AQ104" s="267">
        <v>601</v>
      </c>
      <c r="AR104" s="267">
        <v>16907916</v>
      </c>
      <c r="AS104" s="267">
        <v>53188931</v>
      </c>
      <c r="AT104" s="267">
        <v>116625</v>
      </c>
      <c r="AU104" s="267">
        <v>1077627</v>
      </c>
      <c r="AV104" s="267">
        <v>0</v>
      </c>
      <c r="AW104" s="267">
        <v>9628121</v>
      </c>
      <c r="AX104" s="267">
        <v>2024068</v>
      </c>
      <c r="AY104" s="267">
        <v>394227</v>
      </c>
      <c r="AZ104" s="267">
        <v>10760106</v>
      </c>
      <c r="BA104" s="267">
        <v>236814</v>
      </c>
      <c r="BB104" s="267">
        <v>219643</v>
      </c>
      <c r="BC104" s="267">
        <v>0</v>
      </c>
      <c r="BD104" s="267">
        <v>0</v>
      </c>
      <c r="BE104" s="267">
        <v>9571052</v>
      </c>
      <c r="BF104" s="267">
        <v>11934</v>
      </c>
      <c r="BG104" s="267">
        <v>34301</v>
      </c>
      <c r="BH104" s="267">
        <v>29492</v>
      </c>
      <c r="BI104" s="267">
        <v>848</v>
      </c>
      <c r="BJ104" s="267">
        <v>25748</v>
      </c>
      <c r="BK104" s="267">
        <v>73233</v>
      </c>
      <c r="BL104" s="267">
        <v>4114777</v>
      </c>
      <c r="BM104" s="267">
        <v>0</v>
      </c>
      <c r="BN104" s="267">
        <v>953468</v>
      </c>
      <c r="BO104" s="267">
        <v>2402084</v>
      </c>
      <c r="BP104" s="267">
        <v>987055</v>
      </c>
      <c r="BQ104" s="267">
        <v>1868643</v>
      </c>
      <c r="BR104" s="267">
        <v>6497792</v>
      </c>
      <c r="BS104" s="267">
        <v>577118</v>
      </c>
      <c r="BT104" s="267">
        <v>8977856</v>
      </c>
      <c r="BU104" s="267">
        <v>426462</v>
      </c>
      <c r="BV104" s="267">
        <v>2832380</v>
      </c>
      <c r="BW104" s="267">
        <v>23528</v>
      </c>
      <c r="BX104" s="267">
        <v>1022710</v>
      </c>
      <c r="BY104" s="267">
        <v>686253</v>
      </c>
      <c r="BZ104" s="267">
        <v>12183</v>
      </c>
      <c r="CA104" s="1232">
        <v>443689</v>
      </c>
      <c r="CB104" s="267">
        <v>4883</v>
      </c>
      <c r="CC104" s="267">
        <v>0</v>
      </c>
      <c r="CD104" s="267">
        <v>0</v>
      </c>
      <c r="CE104" s="267">
        <v>1017</v>
      </c>
    </row>
    <row r="105" spans="1:83" x14ac:dyDescent="0.3">
      <c r="A105" s="267">
        <v>339</v>
      </c>
      <c r="B105" s="267">
        <v>339</v>
      </c>
      <c r="C105" s="267" t="s">
        <v>190</v>
      </c>
      <c r="D105" s="267" t="s">
        <v>422</v>
      </c>
      <c r="E105" s="267">
        <v>0</v>
      </c>
      <c r="F105" s="267">
        <v>11625</v>
      </c>
      <c r="G105" s="267">
        <v>161561</v>
      </c>
      <c r="H105" s="267">
        <v>18823</v>
      </c>
      <c r="I105" s="267">
        <v>0</v>
      </c>
      <c r="J105" s="267">
        <v>7895</v>
      </c>
      <c r="K105" s="267">
        <v>0</v>
      </c>
      <c r="L105" s="267">
        <v>3794</v>
      </c>
      <c r="M105" s="267">
        <v>4199</v>
      </c>
      <c r="N105" s="267">
        <v>0</v>
      </c>
      <c r="O105" s="267">
        <v>265000</v>
      </c>
      <c r="P105" s="267">
        <v>179542</v>
      </c>
      <c r="Q105" s="267">
        <v>315</v>
      </c>
      <c r="R105" s="267">
        <v>8942541</v>
      </c>
      <c r="S105" s="267">
        <v>109992</v>
      </c>
      <c r="T105" s="267">
        <v>0</v>
      </c>
      <c r="U105" s="267">
        <v>6097258</v>
      </c>
      <c r="V105" s="267">
        <v>2492430</v>
      </c>
      <c r="W105" s="267">
        <v>2912503</v>
      </c>
      <c r="X105" s="267">
        <v>2764721</v>
      </c>
      <c r="Y105" s="267">
        <v>41525</v>
      </c>
      <c r="Z105" s="267">
        <v>1368463</v>
      </c>
      <c r="AA105" s="267">
        <v>111392</v>
      </c>
      <c r="AB105" s="267">
        <v>1055277</v>
      </c>
      <c r="AC105" s="267">
        <v>597769</v>
      </c>
      <c r="AD105" s="267">
        <v>30482</v>
      </c>
      <c r="AE105" s="1232">
        <v>322277</v>
      </c>
      <c r="AF105" s="267">
        <v>36276</v>
      </c>
      <c r="AG105" s="267">
        <v>366320</v>
      </c>
      <c r="AH105" s="267">
        <v>702921</v>
      </c>
      <c r="AI105" s="267">
        <v>30568</v>
      </c>
      <c r="AJ105" s="267">
        <v>1266591</v>
      </c>
      <c r="AK105" s="267">
        <v>1485</v>
      </c>
      <c r="AL105" s="267">
        <v>78502</v>
      </c>
      <c r="AM105" s="267">
        <v>0</v>
      </c>
      <c r="AN105" s="267">
        <v>1256353</v>
      </c>
      <c r="AO105" s="267">
        <v>0</v>
      </c>
      <c r="AP105" s="267">
        <v>0</v>
      </c>
      <c r="AQ105" s="267">
        <v>0</v>
      </c>
      <c r="AR105" s="267">
        <v>745066</v>
      </c>
      <c r="AS105" s="267">
        <v>502997</v>
      </c>
      <c r="AT105" s="267">
        <v>0</v>
      </c>
      <c r="AU105" s="267">
        <v>103611</v>
      </c>
      <c r="AV105" s="267">
        <v>0</v>
      </c>
      <c r="AW105" s="267">
        <v>3600800</v>
      </c>
      <c r="AX105" s="267">
        <v>83381</v>
      </c>
      <c r="AY105" s="267">
        <v>70582</v>
      </c>
      <c r="AZ105" s="267">
        <v>4933420</v>
      </c>
      <c r="BA105" s="267">
        <v>42993</v>
      </c>
      <c r="BB105" s="267">
        <v>128873</v>
      </c>
      <c r="BC105" s="267">
        <v>0</v>
      </c>
      <c r="BD105" s="267">
        <v>0</v>
      </c>
      <c r="BE105" s="267">
        <v>2766241</v>
      </c>
      <c r="BF105" s="267">
        <v>17555</v>
      </c>
      <c r="BG105" s="267">
        <v>33352</v>
      </c>
      <c r="BH105" s="267">
        <v>7782</v>
      </c>
      <c r="BI105" s="267">
        <v>0</v>
      </c>
      <c r="BJ105" s="267">
        <v>31507</v>
      </c>
      <c r="BK105" s="267">
        <v>2695</v>
      </c>
      <c r="BL105" s="267">
        <v>609835</v>
      </c>
      <c r="BM105" s="267">
        <v>0</v>
      </c>
      <c r="BN105" s="267">
        <v>271711</v>
      </c>
      <c r="BO105" s="267">
        <v>1288461</v>
      </c>
      <c r="BP105" s="267">
        <v>278957</v>
      </c>
      <c r="BQ105" s="267">
        <v>29314</v>
      </c>
      <c r="BR105" s="267">
        <v>1478263</v>
      </c>
      <c r="BS105" s="267">
        <v>108091</v>
      </c>
      <c r="BT105" s="267">
        <v>1097680</v>
      </c>
      <c r="BU105" s="267">
        <v>104016</v>
      </c>
      <c r="BV105" s="267">
        <v>577054</v>
      </c>
      <c r="BW105" s="267">
        <v>148662</v>
      </c>
      <c r="BX105" s="267">
        <v>163393</v>
      </c>
      <c r="BY105" s="267">
        <v>48956</v>
      </c>
      <c r="BZ105" s="267">
        <v>0</v>
      </c>
      <c r="CA105" s="267">
        <v>0</v>
      </c>
      <c r="CB105" s="267">
        <v>22017</v>
      </c>
      <c r="CC105" s="267">
        <v>0</v>
      </c>
      <c r="CD105" s="267">
        <v>0</v>
      </c>
      <c r="CE105" s="267">
        <v>0</v>
      </c>
    </row>
    <row r="106" spans="1:83" x14ac:dyDescent="0.3">
      <c r="B106" s="267">
        <v>340</v>
      </c>
      <c r="C106" s="267" t="s">
        <v>638</v>
      </c>
      <c r="D106" s="267" t="s">
        <v>423</v>
      </c>
    </row>
    <row r="107" spans="1:83" x14ac:dyDescent="0.3">
      <c r="A107" s="267">
        <v>341</v>
      </c>
      <c r="B107" s="267">
        <v>341</v>
      </c>
      <c r="C107" s="267" t="s">
        <v>193</v>
      </c>
      <c r="D107" s="267" t="s">
        <v>424</v>
      </c>
      <c r="E107" s="267">
        <v>0</v>
      </c>
      <c r="F107" s="267">
        <v>51391</v>
      </c>
      <c r="G107" s="267">
        <v>576659</v>
      </c>
      <c r="H107" s="267">
        <v>1758189</v>
      </c>
      <c r="I107" s="267">
        <v>1644375</v>
      </c>
      <c r="J107" s="267">
        <v>3446684</v>
      </c>
      <c r="K107" s="267">
        <v>73106</v>
      </c>
      <c r="L107" s="267">
        <v>358609</v>
      </c>
      <c r="M107" s="267">
        <v>206684</v>
      </c>
      <c r="N107" s="267">
        <v>13022918</v>
      </c>
      <c r="O107" s="267">
        <v>256117</v>
      </c>
      <c r="P107" s="267">
        <v>4570088</v>
      </c>
      <c r="Q107" s="267">
        <v>81675</v>
      </c>
      <c r="R107" s="267">
        <v>38313254</v>
      </c>
      <c r="S107" s="267">
        <v>1429552</v>
      </c>
      <c r="T107" s="267">
        <v>30047</v>
      </c>
      <c r="U107" s="267">
        <v>65179695</v>
      </c>
      <c r="V107" s="267">
        <v>12415372</v>
      </c>
      <c r="W107" s="267">
        <v>17766369</v>
      </c>
      <c r="X107" s="267">
        <v>32252773</v>
      </c>
      <c r="Y107" s="267">
        <v>213263</v>
      </c>
      <c r="Z107" s="267">
        <v>12383501</v>
      </c>
      <c r="AA107" s="267">
        <v>969424</v>
      </c>
      <c r="AB107" s="267">
        <v>12531489</v>
      </c>
      <c r="AC107" s="267">
        <v>4239495</v>
      </c>
      <c r="AD107" s="267">
        <v>1210516</v>
      </c>
      <c r="AE107" s="1232">
        <v>1978717</v>
      </c>
      <c r="AF107" s="267">
        <v>2450217</v>
      </c>
      <c r="AG107" s="267">
        <v>17272452</v>
      </c>
      <c r="AH107" s="267">
        <v>4810670</v>
      </c>
      <c r="AI107" s="267">
        <v>963809</v>
      </c>
      <c r="AJ107" s="267">
        <v>28037430</v>
      </c>
      <c r="AK107" s="267">
        <v>568378</v>
      </c>
      <c r="AL107" s="267">
        <v>811103</v>
      </c>
      <c r="AM107" s="267">
        <v>0</v>
      </c>
      <c r="AN107" s="267">
        <v>12083477</v>
      </c>
      <c r="AO107" s="267">
        <v>0</v>
      </c>
      <c r="AP107" s="267">
        <v>0</v>
      </c>
      <c r="AQ107" s="267">
        <v>40900</v>
      </c>
      <c r="AR107" s="267">
        <v>7050189</v>
      </c>
      <c r="AS107" s="267">
        <v>6063252</v>
      </c>
      <c r="AT107" s="267">
        <v>429120</v>
      </c>
      <c r="AU107" s="267">
        <v>2016729</v>
      </c>
      <c r="AV107" s="267">
        <v>0</v>
      </c>
      <c r="AW107" s="267">
        <v>13187794</v>
      </c>
      <c r="AX107" s="267">
        <v>1630422</v>
      </c>
      <c r="AY107" s="267">
        <v>1421999</v>
      </c>
      <c r="AZ107" s="267">
        <v>6581129</v>
      </c>
      <c r="BA107" s="267">
        <v>812476</v>
      </c>
      <c r="BB107" s="267">
        <v>862311</v>
      </c>
      <c r="BC107" s="267">
        <v>30007</v>
      </c>
      <c r="BD107" s="267">
        <v>0</v>
      </c>
      <c r="BE107" s="267">
        <v>6661331</v>
      </c>
      <c r="BF107" s="267">
        <v>106592</v>
      </c>
      <c r="BG107" s="267">
        <v>328836</v>
      </c>
      <c r="BH107" s="267">
        <v>114396</v>
      </c>
      <c r="BI107" s="267">
        <v>87807</v>
      </c>
      <c r="BJ107" s="267">
        <v>181208</v>
      </c>
      <c r="BK107" s="267">
        <v>114055</v>
      </c>
      <c r="BL107" s="267">
        <v>2802562</v>
      </c>
      <c r="BM107" s="267">
        <v>0</v>
      </c>
      <c r="BN107" s="267">
        <v>1471549</v>
      </c>
      <c r="BO107" s="267">
        <v>3433670</v>
      </c>
      <c r="BP107" s="267">
        <v>849804</v>
      </c>
      <c r="BQ107" s="267">
        <v>1274450</v>
      </c>
      <c r="BR107" s="267">
        <v>16956820</v>
      </c>
      <c r="BS107" s="267">
        <v>710819</v>
      </c>
      <c r="BT107" s="267">
        <v>10717856</v>
      </c>
      <c r="BU107" s="267">
        <v>381656</v>
      </c>
      <c r="BV107" s="267">
        <v>4193895</v>
      </c>
      <c r="BW107" s="267">
        <v>498543</v>
      </c>
      <c r="BX107" s="267">
        <v>1793148</v>
      </c>
      <c r="BY107" s="267">
        <v>869028</v>
      </c>
      <c r="BZ107" s="267">
        <v>52685</v>
      </c>
      <c r="CA107" s="1232">
        <v>148118</v>
      </c>
      <c r="CB107" s="267">
        <v>150995</v>
      </c>
      <c r="CC107" s="267">
        <v>0</v>
      </c>
      <c r="CD107" s="267">
        <v>0</v>
      </c>
      <c r="CE107" s="267">
        <v>54046</v>
      </c>
    </row>
    <row r="108" spans="1:83" x14ac:dyDescent="0.3">
      <c r="A108" s="267">
        <v>343</v>
      </c>
      <c r="B108" s="267">
        <v>342</v>
      </c>
      <c r="C108" s="267" t="s">
        <v>639</v>
      </c>
      <c r="D108" s="267" t="s">
        <v>425</v>
      </c>
    </row>
    <row r="109" spans="1:83" x14ac:dyDescent="0.3">
      <c r="A109" s="267">
        <v>344</v>
      </c>
      <c r="B109" s="267">
        <v>343</v>
      </c>
      <c r="C109" s="267" t="s">
        <v>255</v>
      </c>
      <c r="D109" s="267" t="s">
        <v>426</v>
      </c>
      <c r="E109" s="267">
        <v>0</v>
      </c>
      <c r="F109" s="267">
        <v>3600</v>
      </c>
      <c r="G109" s="267">
        <v>2829</v>
      </c>
      <c r="H109" s="267">
        <v>39522</v>
      </c>
      <c r="I109" s="267">
        <v>0</v>
      </c>
      <c r="J109" s="267">
        <v>64498</v>
      </c>
      <c r="K109" s="267">
        <v>0</v>
      </c>
      <c r="L109" s="267">
        <v>0</v>
      </c>
      <c r="M109" s="267">
        <v>0</v>
      </c>
      <c r="N109" s="267">
        <v>663789</v>
      </c>
      <c r="O109" s="267">
        <v>23005</v>
      </c>
      <c r="P109" s="267">
        <v>213256</v>
      </c>
      <c r="Q109" s="267">
        <v>0</v>
      </c>
      <c r="R109" s="267">
        <v>1186123</v>
      </c>
      <c r="S109" s="267">
        <v>23061</v>
      </c>
      <c r="T109" s="267">
        <v>0</v>
      </c>
      <c r="U109" s="267">
        <v>9179743</v>
      </c>
      <c r="V109" s="267">
        <v>1186469</v>
      </c>
      <c r="W109" s="267">
        <v>1302818</v>
      </c>
      <c r="X109" s="267">
        <v>1289145</v>
      </c>
      <c r="Y109" s="267">
        <v>0</v>
      </c>
      <c r="Z109" s="267">
        <v>36000</v>
      </c>
      <c r="AA109" s="267">
        <v>25687</v>
      </c>
      <c r="AB109" s="267">
        <v>1074474</v>
      </c>
      <c r="AC109" s="267">
        <v>666332</v>
      </c>
      <c r="AD109" s="267">
        <v>49581</v>
      </c>
      <c r="AE109" s="267">
        <v>0</v>
      </c>
      <c r="AF109" s="267">
        <v>40865</v>
      </c>
      <c r="AG109" s="267">
        <v>1293230</v>
      </c>
      <c r="AH109" s="267">
        <v>0</v>
      </c>
      <c r="AI109" s="267">
        <v>22949</v>
      </c>
      <c r="AJ109" s="267">
        <v>1943365</v>
      </c>
      <c r="AK109" s="267">
        <v>0</v>
      </c>
      <c r="AL109" s="267">
        <v>34358</v>
      </c>
      <c r="AM109" s="267">
        <v>0</v>
      </c>
      <c r="AN109" s="267">
        <v>1101359</v>
      </c>
      <c r="AO109" s="267">
        <v>0</v>
      </c>
      <c r="AP109" s="267">
        <v>0</v>
      </c>
      <c r="AQ109" s="267">
        <v>0</v>
      </c>
      <c r="AR109" s="267">
        <v>515772</v>
      </c>
      <c r="AS109" s="267">
        <v>134817</v>
      </c>
      <c r="AT109" s="267">
        <v>5417</v>
      </c>
      <c r="AU109" s="267">
        <v>54659</v>
      </c>
      <c r="AV109" s="267">
        <v>0</v>
      </c>
      <c r="AW109" s="267">
        <v>1633627</v>
      </c>
      <c r="AX109" s="267">
        <v>0</v>
      </c>
      <c r="AY109" s="267">
        <v>0</v>
      </c>
      <c r="AZ109" s="267">
        <v>367109</v>
      </c>
      <c r="BA109" s="267">
        <v>6737</v>
      </c>
      <c r="BB109" s="267">
        <v>0</v>
      </c>
      <c r="BC109" s="267">
        <v>0</v>
      </c>
      <c r="BD109" s="267">
        <v>0</v>
      </c>
      <c r="BE109" s="267">
        <v>272522</v>
      </c>
      <c r="BF109" s="267">
        <v>0</v>
      </c>
      <c r="BG109" s="267">
        <v>0</v>
      </c>
      <c r="BH109" s="267">
        <v>6799</v>
      </c>
      <c r="BI109" s="267">
        <v>0</v>
      </c>
      <c r="BJ109" s="267">
        <v>0</v>
      </c>
      <c r="BK109" s="267">
        <v>16667</v>
      </c>
      <c r="BL109" s="267">
        <v>210370</v>
      </c>
      <c r="BM109" s="267">
        <v>0</v>
      </c>
      <c r="BN109" s="267">
        <v>43484</v>
      </c>
      <c r="BO109" s="267">
        <v>162390</v>
      </c>
      <c r="BP109" s="267">
        <v>17630</v>
      </c>
      <c r="BQ109" s="267">
        <v>73303</v>
      </c>
      <c r="BR109" s="267">
        <v>297282</v>
      </c>
      <c r="BS109" s="267">
        <v>13175</v>
      </c>
      <c r="BT109" s="267">
        <v>788500</v>
      </c>
      <c r="BU109" s="267">
        <v>31918</v>
      </c>
      <c r="BV109" s="267">
        <v>101225</v>
      </c>
      <c r="BW109" s="267">
        <v>0</v>
      </c>
      <c r="BX109" s="267">
        <v>96793</v>
      </c>
      <c r="BY109" s="267">
        <v>0</v>
      </c>
      <c r="BZ109" s="267">
        <v>0</v>
      </c>
      <c r="CA109" s="267">
        <v>0</v>
      </c>
      <c r="CB109" s="267">
        <v>0</v>
      </c>
      <c r="CC109" s="267">
        <v>0</v>
      </c>
      <c r="CD109" s="267">
        <v>0</v>
      </c>
      <c r="CE109" s="267">
        <v>0</v>
      </c>
    </row>
    <row r="110" spans="1:83" x14ac:dyDescent="0.3">
      <c r="B110" s="267">
        <v>344</v>
      </c>
      <c r="C110" s="267" t="s">
        <v>188</v>
      </c>
      <c r="D110" s="267" t="s">
        <v>427</v>
      </c>
      <c r="E110" s="267">
        <v>0</v>
      </c>
      <c r="F110" s="267">
        <v>0</v>
      </c>
      <c r="G110" s="267">
        <v>770</v>
      </c>
      <c r="H110" s="267">
        <v>13570</v>
      </c>
      <c r="I110" s="267">
        <v>0</v>
      </c>
      <c r="J110" s="267">
        <v>22517</v>
      </c>
      <c r="K110" s="267">
        <v>0</v>
      </c>
      <c r="L110" s="267">
        <v>0</v>
      </c>
      <c r="M110" s="267">
        <v>0</v>
      </c>
      <c r="N110" s="267">
        <v>46638</v>
      </c>
      <c r="O110" s="267">
        <v>1278</v>
      </c>
      <c r="P110" s="267">
        <v>17491</v>
      </c>
      <c r="Q110" s="267">
        <v>0</v>
      </c>
      <c r="R110" s="267">
        <v>468627</v>
      </c>
      <c r="S110" s="267">
        <v>2021</v>
      </c>
      <c r="T110" s="267">
        <v>0</v>
      </c>
      <c r="U110" s="267">
        <v>3967464</v>
      </c>
      <c r="V110" s="267">
        <v>298219</v>
      </c>
      <c r="W110" s="267">
        <v>113873</v>
      </c>
      <c r="X110" s="267">
        <v>765140</v>
      </c>
      <c r="Y110" s="267">
        <v>0</v>
      </c>
      <c r="Z110" s="267">
        <v>0</v>
      </c>
      <c r="AA110" s="267">
        <v>1858</v>
      </c>
      <c r="AB110" s="267">
        <v>309488</v>
      </c>
      <c r="AC110" s="267">
        <v>20407</v>
      </c>
      <c r="AD110" s="267">
        <v>8115</v>
      </c>
      <c r="AE110" s="267">
        <v>0</v>
      </c>
      <c r="AF110" s="267">
        <v>73974</v>
      </c>
      <c r="AG110" s="267">
        <v>430674</v>
      </c>
      <c r="AH110" s="267">
        <v>0</v>
      </c>
      <c r="AI110" s="267">
        <v>7415</v>
      </c>
      <c r="AJ110" s="267">
        <v>215138</v>
      </c>
      <c r="AK110" s="267">
        <v>0</v>
      </c>
      <c r="AL110" s="267">
        <v>132</v>
      </c>
      <c r="AM110" s="267">
        <v>0</v>
      </c>
      <c r="AN110" s="267">
        <v>212893</v>
      </c>
      <c r="AO110" s="267">
        <v>0</v>
      </c>
      <c r="AP110" s="267">
        <v>0</v>
      </c>
      <c r="AQ110" s="267">
        <v>0</v>
      </c>
      <c r="AR110" s="267">
        <v>517191</v>
      </c>
      <c r="AS110" s="267">
        <v>12359</v>
      </c>
      <c r="AT110" s="267">
        <v>508</v>
      </c>
      <c r="AU110" s="267">
        <v>9883</v>
      </c>
      <c r="AV110" s="267">
        <v>0</v>
      </c>
      <c r="AW110" s="267">
        <v>104971</v>
      </c>
      <c r="AX110" s="267">
        <v>94230</v>
      </c>
      <c r="AY110" s="267">
        <v>0</v>
      </c>
      <c r="AZ110" s="267">
        <v>73634</v>
      </c>
      <c r="BA110" s="267">
        <v>1392</v>
      </c>
      <c r="BB110" s="267">
        <v>0</v>
      </c>
      <c r="BC110" s="267">
        <v>0</v>
      </c>
      <c r="BD110" s="267">
        <v>0</v>
      </c>
      <c r="BE110" s="267">
        <v>346</v>
      </c>
      <c r="BF110" s="267">
        <v>0</v>
      </c>
      <c r="BG110" s="267">
        <v>0</v>
      </c>
      <c r="BH110" s="267">
        <v>599</v>
      </c>
      <c r="BI110" s="267">
        <v>0</v>
      </c>
      <c r="BJ110" s="267">
        <v>0</v>
      </c>
      <c r="BK110" s="267">
        <v>2273</v>
      </c>
      <c r="BL110" s="267">
        <v>71847</v>
      </c>
      <c r="BM110" s="267">
        <v>0</v>
      </c>
      <c r="BN110" s="267">
        <v>6130</v>
      </c>
      <c r="BO110" s="267">
        <v>25419</v>
      </c>
      <c r="BP110" s="267">
        <v>25187</v>
      </c>
      <c r="BQ110" s="267">
        <v>63675</v>
      </c>
      <c r="BR110" s="267">
        <v>18838</v>
      </c>
      <c r="BS110" s="267">
        <v>8346</v>
      </c>
      <c r="BT110" s="267">
        <v>39044</v>
      </c>
      <c r="BU110" s="267">
        <v>4664</v>
      </c>
      <c r="BV110" s="267">
        <v>3422</v>
      </c>
      <c r="BW110" s="267">
        <v>0</v>
      </c>
      <c r="BX110" s="267">
        <v>9558</v>
      </c>
      <c r="BY110" s="267">
        <v>0</v>
      </c>
      <c r="BZ110" s="267">
        <v>0</v>
      </c>
      <c r="CA110" s="267">
        <v>0</v>
      </c>
      <c r="CB110" s="267">
        <v>0</v>
      </c>
      <c r="CC110" s="267">
        <v>0</v>
      </c>
      <c r="CD110" s="267">
        <v>0</v>
      </c>
      <c r="CE110" s="267">
        <v>0</v>
      </c>
    </row>
    <row r="111" spans="1:83" x14ac:dyDescent="0.3">
      <c r="B111" s="267">
        <v>346</v>
      </c>
      <c r="C111" s="267" t="s">
        <v>640</v>
      </c>
      <c r="D111" s="267" t="s">
        <v>428</v>
      </c>
    </row>
    <row r="112" spans="1:83" x14ac:dyDescent="0.3">
      <c r="B112" s="267">
        <v>347</v>
      </c>
      <c r="C112" s="267" t="s">
        <v>641</v>
      </c>
      <c r="D112" s="267" t="s">
        <v>429</v>
      </c>
    </row>
    <row r="113" spans="1:83" x14ac:dyDescent="0.3">
      <c r="A113" s="267">
        <v>349</v>
      </c>
      <c r="B113" s="267">
        <v>349</v>
      </c>
      <c r="C113" s="267" t="s">
        <v>122</v>
      </c>
      <c r="D113" s="267" t="s">
        <v>430</v>
      </c>
      <c r="E113" s="267">
        <v>0</v>
      </c>
      <c r="F113" s="267">
        <v>0</v>
      </c>
      <c r="G113" s="267">
        <v>179148</v>
      </c>
      <c r="H113" s="267">
        <v>0</v>
      </c>
      <c r="I113" s="267">
        <v>0</v>
      </c>
      <c r="J113" s="267">
        <v>0</v>
      </c>
      <c r="K113" s="267">
        <v>441451</v>
      </c>
      <c r="L113" s="267">
        <v>0</v>
      </c>
      <c r="M113" s="267">
        <v>0</v>
      </c>
      <c r="N113" s="267">
        <v>0</v>
      </c>
      <c r="O113" s="267">
        <v>0</v>
      </c>
      <c r="P113" s="267">
        <v>1702903</v>
      </c>
      <c r="Q113" s="267">
        <v>0</v>
      </c>
      <c r="R113" s="267">
        <v>32867864</v>
      </c>
      <c r="S113" s="267">
        <v>494455</v>
      </c>
      <c r="T113" s="267">
        <v>0</v>
      </c>
      <c r="U113" s="267">
        <v>72831408</v>
      </c>
      <c r="V113" s="267">
        <v>18839123</v>
      </c>
      <c r="W113" s="267">
        <v>23695236</v>
      </c>
      <c r="X113" s="267">
        <v>0</v>
      </c>
      <c r="Y113" s="267">
        <v>26498</v>
      </c>
      <c r="Z113" s="267">
        <v>8821917</v>
      </c>
      <c r="AA113" s="267">
        <v>1410481</v>
      </c>
      <c r="AB113" s="267">
        <v>7261219</v>
      </c>
      <c r="AC113" s="267">
        <v>8453958</v>
      </c>
      <c r="AD113" s="267">
        <v>917025</v>
      </c>
      <c r="AE113" s="1232">
        <v>2361893</v>
      </c>
      <c r="AF113" s="267">
        <v>1049391</v>
      </c>
      <c r="AG113" s="267">
        <v>1422099</v>
      </c>
      <c r="AH113" s="267">
        <v>643191</v>
      </c>
      <c r="AI113" s="267">
        <v>683254</v>
      </c>
      <c r="AJ113" s="267">
        <v>33288316</v>
      </c>
      <c r="AK113" s="267">
        <v>25860</v>
      </c>
      <c r="AL113" s="267">
        <v>878924</v>
      </c>
      <c r="AM113" s="267">
        <v>0</v>
      </c>
      <c r="AN113" s="267">
        <v>10221598</v>
      </c>
      <c r="AO113" s="267">
        <v>0</v>
      </c>
      <c r="AP113" s="267">
        <v>0</v>
      </c>
      <c r="AQ113" s="267">
        <v>0</v>
      </c>
      <c r="AR113" s="267">
        <v>0</v>
      </c>
      <c r="AS113" s="267">
        <v>2537384</v>
      </c>
      <c r="AT113" s="267">
        <v>1156578</v>
      </c>
      <c r="AU113" s="267">
        <v>2272659</v>
      </c>
      <c r="AV113" s="267">
        <v>0</v>
      </c>
      <c r="AW113" s="267">
        <v>89050911</v>
      </c>
      <c r="AX113" s="267">
        <v>0</v>
      </c>
      <c r="AY113" s="267">
        <v>1160868</v>
      </c>
      <c r="AZ113" s="267">
        <v>484417</v>
      </c>
      <c r="BA113" s="267">
        <v>809778</v>
      </c>
      <c r="BB113" s="267">
        <v>76627</v>
      </c>
      <c r="BC113" s="267">
        <v>0</v>
      </c>
      <c r="BD113" s="267">
        <v>0</v>
      </c>
      <c r="BE113" s="267">
        <v>14476744</v>
      </c>
      <c r="BF113" s="267">
        <v>0</v>
      </c>
      <c r="BG113" s="267">
        <v>594483</v>
      </c>
      <c r="BH113" s="267">
        <v>12212</v>
      </c>
      <c r="BI113" s="267">
        <v>0</v>
      </c>
      <c r="BJ113" s="267">
        <v>107247</v>
      </c>
      <c r="BK113" s="267">
        <v>0</v>
      </c>
      <c r="BL113" s="267">
        <v>2648236</v>
      </c>
      <c r="BM113" s="267">
        <v>0</v>
      </c>
      <c r="BN113" s="267">
        <v>1230155</v>
      </c>
      <c r="BO113" s="267">
        <v>2828176</v>
      </c>
      <c r="BP113" s="267">
        <v>1096243</v>
      </c>
      <c r="BQ113" s="267">
        <v>110191</v>
      </c>
      <c r="BR113" s="267">
        <v>0</v>
      </c>
      <c r="BS113" s="267">
        <v>91444</v>
      </c>
      <c r="BT113" s="267">
        <v>0</v>
      </c>
      <c r="BU113" s="267">
        <v>1182719</v>
      </c>
      <c r="BV113" s="267">
        <v>2549007</v>
      </c>
      <c r="BW113" s="267">
        <v>0</v>
      </c>
      <c r="BX113" s="267">
        <v>1932804</v>
      </c>
      <c r="BY113" s="267">
        <v>170535</v>
      </c>
      <c r="BZ113" s="267">
        <v>9017</v>
      </c>
      <c r="CA113" s="1232">
        <v>808597</v>
      </c>
      <c r="CB113" s="267">
        <v>409459</v>
      </c>
      <c r="CC113" s="267">
        <v>0</v>
      </c>
      <c r="CD113" s="267">
        <v>0</v>
      </c>
      <c r="CE113" s="267">
        <v>237</v>
      </c>
    </row>
    <row r="114" spans="1:83" x14ac:dyDescent="0.3">
      <c r="A114" s="267">
        <v>350</v>
      </c>
      <c r="B114" s="267">
        <v>350</v>
      </c>
      <c r="C114" s="267" t="s">
        <v>231</v>
      </c>
      <c r="D114" s="267" t="s">
        <v>431</v>
      </c>
      <c r="E114" s="267">
        <v>0</v>
      </c>
      <c r="F114" s="267">
        <v>0</v>
      </c>
      <c r="G114" s="267">
        <v>6188</v>
      </c>
      <c r="H114" s="267">
        <v>0</v>
      </c>
      <c r="I114" s="267">
        <v>0</v>
      </c>
      <c r="J114" s="267">
        <v>0</v>
      </c>
      <c r="K114" s="267">
        <v>0</v>
      </c>
      <c r="L114" s="267">
        <v>0</v>
      </c>
      <c r="M114" s="267">
        <v>0</v>
      </c>
      <c r="N114" s="267">
        <v>0</v>
      </c>
      <c r="O114" s="267">
        <v>0</v>
      </c>
      <c r="P114" s="267">
        <v>8395</v>
      </c>
      <c r="Q114" s="267">
        <v>0</v>
      </c>
      <c r="R114" s="267">
        <v>2657557</v>
      </c>
      <c r="S114" s="267">
        <v>321</v>
      </c>
      <c r="T114" s="267">
        <v>0</v>
      </c>
      <c r="U114" s="267">
        <v>6338640</v>
      </c>
      <c r="V114" s="267">
        <v>211493</v>
      </c>
      <c r="W114" s="267">
        <v>495748</v>
      </c>
      <c r="X114" s="267">
        <v>0</v>
      </c>
      <c r="Y114" s="267">
        <v>180806</v>
      </c>
      <c r="Z114" s="267">
        <v>101480</v>
      </c>
      <c r="AA114" s="267">
        <v>1754</v>
      </c>
      <c r="AB114" s="267">
        <v>500392</v>
      </c>
      <c r="AC114" s="267">
        <v>2431</v>
      </c>
      <c r="AD114" s="267">
        <v>5490</v>
      </c>
      <c r="AE114" s="1232">
        <v>4500</v>
      </c>
      <c r="AF114" s="267">
        <v>143003</v>
      </c>
      <c r="AG114" s="267">
        <v>116851</v>
      </c>
      <c r="AH114" s="267">
        <v>10086</v>
      </c>
      <c r="AI114" s="267">
        <v>417498</v>
      </c>
      <c r="AJ114" s="267">
        <v>255479</v>
      </c>
      <c r="AK114" s="267">
        <v>3224</v>
      </c>
      <c r="AL114" s="267">
        <v>1516</v>
      </c>
      <c r="AM114" s="267">
        <v>0</v>
      </c>
      <c r="AN114" s="267">
        <v>164893</v>
      </c>
      <c r="AO114" s="267">
        <v>0</v>
      </c>
      <c r="AP114" s="267">
        <v>0</v>
      </c>
      <c r="AQ114" s="267">
        <v>0</v>
      </c>
      <c r="AR114" s="267">
        <v>0</v>
      </c>
      <c r="AS114" s="267">
        <v>227380</v>
      </c>
      <c r="AT114" s="267">
        <v>522</v>
      </c>
      <c r="AU114" s="267">
        <v>35453</v>
      </c>
      <c r="AV114" s="267">
        <v>0</v>
      </c>
      <c r="AW114" s="267">
        <v>695772</v>
      </c>
      <c r="AX114" s="267">
        <v>0</v>
      </c>
      <c r="AY114" s="267">
        <v>4833</v>
      </c>
      <c r="AZ114" s="267">
        <v>124791</v>
      </c>
      <c r="BA114" s="267">
        <v>224856</v>
      </c>
      <c r="BB114" s="267">
        <v>1121</v>
      </c>
      <c r="BC114" s="267">
        <v>0</v>
      </c>
      <c r="BD114" s="267">
        <v>0</v>
      </c>
      <c r="BE114" s="267">
        <v>79187</v>
      </c>
      <c r="BF114" s="267">
        <v>0</v>
      </c>
      <c r="BG114" s="267">
        <v>17268</v>
      </c>
      <c r="BH114" s="267">
        <v>45</v>
      </c>
      <c r="BI114" s="267">
        <v>0</v>
      </c>
      <c r="BJ114" s="267">
        <v>283</v>
      </c>
      <c r="BK114" s="267">
        <v>0</v>
      </c>
      <c r="BL114" s="267">
        <v>26786</v>
      </c>
      <c r="BM114" s="267">
        <v>0</v>
      </c>
      <c r="BN114" s="267">
        <v>10831</v>
      </c>
      <c r="BO114" s="267">
        <v>91868</v>
      </c>
      <c r="BP114" s="267">
        <v>431</v>
      </c>
      <c r="BQ114" s="267">
        <v>1423</v>
      </c>
      <c r="BR114" s="267">
        <v>0</v>
      </c>
      <c r="BS114" s="267">
        <v>0</v>
      </c>
      <c r="BT114" s="267">
        <v>0</v>
      </c>
      <c r="BU114" s="267">
        <v>42128</v>
      </c>
      <c r="BV114" s="267">
        <v>84209</v>
      </c>
      <c r="BW114" s="267">
        <v>0</v>
      </c>
      <c r="BX114" s="267">
        <v>5000</v>
      </c>
      <c r="BY114" s="267">
        <v>4210</v>
      </c>
      <c r="BZ114" s="267">
        <v>0</v>
      </c>
      <c r="CA114" s="1232">
        <v>249339</v>
      </c>
      <c r="CB114" s="267">
        <v>16925</v>
      </c>
      <c r="CC114" s="267">
        <v>0</v>
      </c>
      <c r="CD114" s="267">
        <v>0</v>
      </c>
      <c r="CE114" s="267">
        <v>0</v>
      </c>
    </row>
    <row r="115" spans="1:83" x14ac:dyDescent="0.3">
      <c r="A115" s="267">
        <v>351</v>
      </c>
      <c r="B115" s="267">
        <v>351</v>
      </c>
      <c r="C115" s="267" t="s">
        <v>232</v>
      </c>
      <c r="D115" s="267" t="s">
        <v>432</v>
      </c>
      <c r="E115" s="267">
        <v>0</v>
      </c>
      <c r="F115" s="267">
        <v>0</v>
      </c>
      <c r="G115" s="267">
        <v>2269</v>
      </c>
      <c r="H115" s="267">
        <v>0</v>
      </c>
      <c r="I115" s="267">
        <v>0</v>
      </c>
      <c r="J115" s="267">
        <v>0</v>
      </c>
      <c r="K115" s="267">
        <v>8178</v>
      </c>
      <c r="L115" s="267">
        <v>0</v>
      </c>
      <c r="M115" s="267">
        <v>0</v>
      </c>
      <c r="N115" s="267">
        <v>0</v>
      </c>
      <c r="O115" s="267">
        <v>0</v>
      </c>
      <c r="P115" s="267">
        <v>0</v>
      </c>
      <c r="Q115" s="267">
        <v>0</v>
      </c>
      <c r="R115" s="267">
        <v>917515</v>
      </c>
      <c r="S115" s="267">
        <v>10840</v>
      </c>
      <c r="T115" s="267">
        <v>0</v>
      </c>
      <c r="U115" s="267">
        <v>2657449</v>
      </c>
      <c r="V115" s="267">
        <v>895439</v>
      </c>
      <c r="W115" s="267">
        <v>405801</v>
      </c>
      <c r="X115" s="267">
        <v>0</v>
      </c>
      <c r="Y115" s="267">
        <v>0</v>
      </c>
      <c r="Z115" s="267">
        <v>277039</v>
      </c>
      <c r="AA115" s="267">
        <v>64705</v>
      </c>
      <c r="AB115" s="267">
        <v>113786</v>
      </c>
      <c r="AC115" s="267">
        <v>276100</v>
      </c>
      <c r="AD115" s="267">
        <v>23663</v>
      </c>
      <c r="AE115" s="1232">
        <v>51815</v>
      </c>
      <c r="AF115" s="267">
        <v>0</v>
      </c>
      <c r="AG115" s="267">
        <v>2662</v>
      </c>
      <c r="AH115" s="267">
        <v>3734</v>
      </c>
      <c r="AI115" s="267">
        <v>13111</v>
      </c>
      <c r="AJ115" s="267">
        <v>781647</v>
      </c>
      <c r="AK115" s="267">
        <v>0</v>
      </c>
      <c r="AL115" s="267">
        <v>38695</v>
      </c>
      <c r="AM115" s="267">
        <v>0</v>
      </c>
      <c r="AN115" s="267">
        <v>265247</v>
      </c>
      <c r="AO115" s="267">
        <v>0</v>
      </c>
      <c r="AP115" s="267">
        <v>0</v>
      </c>
      <c r="AQ115" s="267">
        <v>0</v>
      </c>
      <c r="AR115" s="267">
        <v>0</v>
      </c>
      <c r="AS115" s="267">
        <v>1424366</v>
      </c>
      <c r="AT115" s="267">
        <v>25793</v>
      </c>
      <c r="AU115" s="267">
        <v>38793</v>
      </c>
      <c r="AV115" s="267">
        <v>0</v>
      </c>
      <c r="AW115" s="267">
        <v>3386629</v>
      </c>
      <c r="AX115" s="267">
        <v>0</v>
      </c>
      <c r="AY115" s="267">
        <v>0</v>
      </c>
      <c r="AZ115" s="267">
        <v>0</v>
      </c>
      <c r="BA115" s="267">
        <v>34764</v>
      </c>
      <c r="BB115" s="267">
        <v>0</v>
      </c>
      <c r="BC115" s="267">
        <v>0</v>
      </c>
      <c r="BD115" s="267">
        <v>0</v>
      </c>
      <c r="BE115" s="267">
        <v>88548</v>
      </c>
      <c r="BF115" s="267">
        <v>0</v>
      </c>
      <c r="BG115" s="267">
        <v>139</v>
      </c>
      <c r="BH115" s="267">
        <v>0</v>
      </c>
      <c r="BI115" s="267">
        <v>0</v>
      </c>
      <c r="BJ115" s="267">
        <v>0</v>
      </c>
      <c r="BK115" s="267">
        <v>0</v>
      </c>
      <c r="BL115" s="267">
        <v>49856</v>
      </c>
      <c r="BM115" s="267">
        <v>0</v>
      </c>
      <c r="BN115" s="267">
        <v>17888</v>
      </c>
      <c r="BO115" s="267">
        <v>114378</v>
      </c>
      <c r="BP115" s="267">
        <v>32197</v>
      </c>
      <c r="BQ115" s="267">
        <v>330</v>
      </c>
      <c r="BR115" s="267">
        <v>0</v>
      </c>
      <c r="BS115" s="267">
        <v>0</v>
      </c>
      <c r="BT115" s="267">
        <v>0</v>
      </c>
      <c r="BU115" s="267">
        <v>27673</v>
      </c>
      <c r="BV115" s="267">
        <v>18325</v>
      </c>
      <c r="BW115" s="267">
        <v>0</v>
      </c>
      <c r="BX115" s="267">
        <v>20325</v>
      </c>
      <c r="BY115" s="267">
        <v>0</v>
      </c>
      <c r="BZ115" s="267">
        <v>0</v>
      </c>
      <c r="CA115" s="1232">
        <v>41237</v>
      </c>
      <c r="CB115" s="267">
        <v>9690</v>
      </c>
      <c r="CC115" s="267">
        <v>0</v>
      </c>
      <c r="CD115" s="267">
        <v>0</v>
      </c>
      <c r="CE115" s="267">
        <v>0</v>
      </c>
    </row>
    <row r="116" spans="1:83" x14ac:dyDescent="0.3">
      <c r="A116" s="267">
        <v>352</v>
      </c>
      <c r="B116" s="267">
        <v>352</v>
      </c>
      <c r="C116" s="267" t="s">
        <v>234</v>
      </c>
      <c r="D116" s="267" t="s">
        <v>433</v>
      </c>
      <c r="E116" s="267">
        <v>0</v>
      </c>
      <c r="F116" s="267">
        <v>0</v>
      </c>
      <c r="G116" s="267">
        <v>0</v>
      </c>
      <c r="H116" s="267">
        <v>0</v>
      </c>
      <c r="I116" s="267">
        <v>0</v>
      </c>
      <c r="J116" s="267">
        <v>0</v>
      </c>
      <c r="K116" s="267">
        <v>112809</v>
      </c>
      <c r="L116" s="267">
        <v>0</v>
      </c>
      <c r="M116" s="267">
        <v>0</v>
      </c>
      <c r="N116" s="267">
        <v>0</v>
      </c>
      <c r="O116" s="267">
        <v>0</v>
      </c>
      <c r="P116" s="267">
        <v>0</v>
      </c>
      <c r="Q116" s="267">
        <v>0</v>
      </c>
      <c r="R116" s="267">
        <v>0</v>
      </c>
      <c r="S116" s="267">
        <v>0</v>
      </c>
      <c r="T116" s="267">
        <v>0</v>
      </c>
      <c r="U116" s="267">
        <v>0</v>
      </c>
      <c r="V116" s="267">
        <v>0</v>
      </c>
      <c r="W116" s="267">
        <v>0</v>
      </c>
      <c r="X116" s="267">
        <v>0</v>
      </c>
      <c r="Y116" s="267">
        <v>0</v>
      </c>
      <c r="Z116" s="267">
        <v>0</v>
      </c>
      <c r="AA116" s="267">
        <v>0</v>
      </c>
      <c r="AB116" s="267">
        <v>0</v>
      </c>
      <c r="AC116" s="267">
        <v>0</v>
      </c>
      <c r="AD116" s="267">
        <v>0</v>
      </c>
      <c r="AE116" s="267">
        <v>0</v>
      </c>
      <c r="AF116" s="267">
        <v>0</v>
      </c>
      <c r="AG116" s="267">
        <v>0</v>
      </c>
      <c r="AH116" s="267">
        <v>0</v>
      </c>
      <c r="AI116" s="267">
        <v>0</v>
      </c>
      <c r="AJ116" s="267">
        <v>0</v>
      </c>
      <c r="AK116" s="267">
        <v>0</v>
      </c>
      <c r="AL116" s="267">
        <v>0</v>
      </c>
      <c r="AM116" s="267">
        <v>0</v>
      </c>
      <c r="AN116" s="267">
        <v>0</v>
      </c>
      <c r="AO116" s="267">
        <v>0</v>
      </c>
      <c r="AP116" s="267">
        <v>0</v>
      </c>
      <c r="AQ116" s="267">
        <v>0</v>
      </c>
      <c r="AR116" s="267">
        <v>0</v>
      </c>
      <c r="AS116" s="267">
        <v>0</v>
      </c>
      <c r="AT116" s="267">
        <v>0</v>
      </c>
      <c r="AU116" s="267">
        <v>0</v>
      </c>
      <c r="AV116" s="267">
        <v>0</v>
      </c>
      <c r="AW116" s="267">
        <v>625614</v>
      </c>
      <c r="AX116" s="267">
        <v>0</v>
      </c>
      <c r="AY116" s="267">
        <v>0</v>
      </c>
      <c r="AZ116" s="267">
        <v>0</v>
      </c>
      <c r="BA116" s="267">
        <v>0</v>
      </c>
      <c r="BB116" s="267">
        <v>0</v>
      </c>
      <c r="BC116" s="267">
        <v>0</v>
      </c>
      <c r="BD116" s="267">
        <v>0</v>
      </c>
      <c r="BE116" s="267">
        <v>0</v>
      </c>
      <c r="BF116" s="267">
        <v>0</v>
      </c>
      <c r="BG116" s="267">
        <v>0</v>
      </c>
      <c r="BH116" s="267">
        <v>0</v>
      </c>
      <c r="BI116" s="267">
        <v>0</v>
      </c>
      <c r="BJ116" s="267">
        <v>0</v>
      </c>
      <c r="BK116" s="267">
        <v>0</v>
      </c>
      <c r="BL116" s="267">
        <v>0</v>
      </c>
      <c r="BM116" s="267">
        <v>0</v>
      </c>
      <c r="BN116" s="267">
        <v>0</v>
      </c>
      <c r="BO116" s="267">
        <v>0</v>
      </c>
      <c r="BP116" s="267">
        <v>0</v>
      </c>
      <c r="BQ116" s="267">
        <v>0</v>
      </c>
      <c r="BR116" s="267">
        <v>0</v>
      </c>
      <c r="BS116" s="267">
        <v>0</v>
      </c>
      <c r="BT116" s="267">
        <v>0</v>
      </c>
      <c r="BU116" s="267">
        <v>0</v>
      </c>
      <c r="BV116" s="267">
        <v>116300</v>
      </c>
      <c r="BW116" s="267">
        <v>0</v>
      </c>
      <c r="BX116" s="267">
        <v>0</v>
      </c>
      <c r="BY116" s="267">
        <v>172250</v>
      </c>
      <c r="BZ116" s="267">
        <v>0</v>
      </c>
      <c r="CA116" s="1232">
        <v>83469</v>
      </c>
      <c r="CB116" s="267">
        <v>0</v>
      </c>
      <c r="CC116" s="267">
        <v>0</v>
      </c>
      <c r="CD116" s="267">
        <v>0</v>
      </c>
      <c r="CE116" s="267">
        <v>0</v>
      </c>
    </row>
    <row r="117" spans="1:83" x14ac:dyDescent="0.3">
      <c r="A117" s="267">
        <v>353</v>
      </c>
      <c r="B117" s="267">
        <v>353</v>
      </c>
      <c r="C117" s="267" t="s">
        <v>235</v>
      </c>
      <c r="D117" s="267" t="s">
        <v>434</v>
      </c>
      <c r="E117" s="267">
        <v>0</v>
      </c>
      <c r="F117" s="267">
        <v>0</v>
      </c>
      <c r="G117" s="267">
        <v>0</v>
      </c>
      <c r="H117" s="267">
        <v>0</v>
      </c>
      <c r="I117" s="267">
        <v>0</v>
      </c>
      <c r="J117" s="267">
        <v>0</v>
      </c>
      <c r="K117" s="267">
        <v>0</v>
      </c>
      <c r="L117" s="267">
        <v>0</v>
      </c>
      <c r="M117" s="267">
        <v>0</v>
      </c>
      <c r="N117" s="267">
        <v>0</v>
      </c>
      <c r="O117" s="267">
        <v>0</v>
      </c>
      <c r="P117" s="267">
        <v>0</v>
      </c>
      <c r="Q117" s="267">
        <v>0</v>
      </c>
      <c r="R117" s="267">
        <v>17409</v>
      </c>
      <c r="S117" s="267">
        <v>0</v>
      </c>
      <c r="T117" s="267">
        <v>0</v>
      </c>
      <c r="U117" s="267">
        <v>0</v>
      </c>
      <c r="V117" s="267">
        <v>698600</v>
      </c>
      <c r="W117" s="267">
        <v>0</v>
      </c>
      <c r="X117" s="267">
        <v>0</v>
      </c>
      <c r="Y117" s="267">
        <v>0</v>
      </c>
      <c r="Z117" s="267">
        <v>94223</v>
      </c>
      <c r="AA117" s="267">
        <v>2646</v>
      </c>
      <c r="AB117" s="267">
        <v>0</v>
      </c>
      <c r="AC117" s="267">
        <v>39502</v>
      </c>
      <c r="AD117" s="267">
        <v>0</v>
      </c>
      <c r="AE117" s="267">
        <v>0</v>
      </c>
      <c r="AF117" s="267">
        <v>0</v>
      </c>
      <c r="AG117" s="267">
        <v>0</v>
      </c>
      <c r="AH117" s="267">
        <v>85307</v>
      </c>
      <c r="AI117" s="267">
        <v>0</v>
      </c>
      <c r="AJ117" s="267">
        <v>0</v>
      </c>
      <c r="AK117" s="267">
        <v>0</v>
      </c>
      <c r="AL117" s="267">
        <v>0</v>
      </c>
      <c r="AM117" s="267">
        <v>0</v>
      </c>
      <c r="AN117" s="267">
        <v>0</v>
      </c>
      <c r="AO117" s="267">
        <v>0</v>
      </c>
      <c r="AP117" s="267">
        <v>0</v>
      </c>
      <c r="AQ117" s="267">
        <v>0</v>
      </c>
      <c r="AR117" s="267">
        <v>0</v>
      </c>
      <c r="AS117" s="267">
        <v>0</v>
      </c>
      <c r="AT117" s="267">
        <v>0</v>
      </c>
      <c r="AU117" s="267">
        <v>0</v>
      </c>
      <c r="AV117" s="267">
        <v>0</v>
      </c>
      <c r="AW117" s="267">
        <v>852909</v>
      </c>
      <c r="AX117" s="267">
        <v>0</v>
      </c>
      <c r="AY117" s="267">
        <v>0</v>
      </c>
      <c r="AZ117" s="267">
        <v>0</v>
      </c>
      <c r="BA117" s="267">
        <v>0</v>
      </c>
      <c r="BB117" s="267">
        <v>0</v>
      </c>
      <c r="BC117" s="267">
        <v>0</v>
      </c>
      <c r="BD117" s="267">
        <v>0</v>
      </c>
      <c r="BE117" s="267">
        <v>225950</v>
      </c>
      <c r="BF117" s="267">
        <v>0</v>
      </c>
      <c r="BG117" s="267">
        <v>0</v>
      </c>
      <c r="BH117" s="267">
        <v>0</v>
      </c>
      <c r="BI117" s="267">
        <v>0</v>
      </c>
      <c r="BJ117" s="267">
        <v>0</v>
      </c>
      <c r="BK117" s="267">
        <v>0</v>
      </c>
      <c r="BL117" s="267">
        <v>0</v>
      </c>
      <c r="BM117" s="267">
        <v>0</v>
      </c>
      <c r="BN117" s="267">
        <v>0</v>
      </c>
      <c r="BO117" s="267">
        <v>0</v>
      </c>
      <c r="BP117" s="267">
        <v>0</v>
      </c>
      <c r="BQ117" s="267">
        <v>0</v>
      </c>
      <c r="BR117" s="267">
        <v>0</v>
      </c>
      <c r="BS117" s="267">
        <v>213563</v>
      </c>
      <c r="BT117" s="267">
        <v>0</v>
      </c>
      <c r="BU117" s="267">
        <v>0</v>
      </c>
      <c r="BV117" s="267">
        <v>116300</v>
      </c>
      <c r="BW117" s="267">
        <v>0</v>
      </c>
      <c r="BX117" s="267">
        <v>4067</v>
      </c>
      <c r="BY117" s="267">
        <v>0</v>
      </c>
      <c r="BZ117" s="267">
        <v>0</v>
      </c>
      <c r="CA117" s="267">
        <v>0</v>
      </c>
      <c r="CB117" s="267">
        <v>0</v>
      </c>
      <c r="CC117" s="267">
        <v>0</v>
      </c>
      <c r="CD117" s="267">
        <v>0</v>
      </c>
      <c r="CE117" s="267">
        <v>0</v>
      </c>
    </row>
    <row r="118" spans="1:83" x14ac:dyDescent="0.3">
      <c r="A118" s="267">
        <v>356</v>
      </c>
      <c r="B118" s="267">
        <v>356</v>
      </c>
      <c r="C118" s="267" t="s">
        <v>552</v>
      </c>
      <c r="D118" s="267" t="s">
        <v>435</v>
      </c>
      <c r="E118" s="267">
        <v>0</v>
      </c>
      <c r="F118" s="267">
        <v>0</v>
      </c>
      <c r="G118" s="267">
        <v>0</v>
      </c>
      <c r="H118" s="267">
        <v>0</v>
      </c>
      <c r="I118" s="267">
        <v>0</v>
      </c>
      <c r="J118" s="267">
        <v>0</v>
      </c>
      <c r="K118" s="267">
        <v>0</v>
      </c>
      <c r="L118" s="267">
        <v>0</v>
      </c>
      <c r="M118" s="267">
        <v>0</v>
      </c>
      <c r="N118" s="267">
        <v>0</v>
      </c>
      <c r="O118" s="267">
        <v>0</v>
      </c>
      <c r="P118" s="267">
        <v>0</v>
      </c>
      <c r="Q118" s="267">
        <v>0</v>
      </c>
      <c r="R118" s="267">
        <v>129747439</v>
      </c>
      <c r="S118" s="267">
        <v>0</v>
      </c>
      <c r="T118" s="267">
        <v>0</v>
      </c>
      <c r="U118" s="267">
        <v>0</v>
      </c>
      <c r="V118" s="267">
        <v>0</v>
      </c>
      <c r="W118" s="267">
        <v>25417339</v>
      </c>
      <c r="X118" s="267">
        <v>0</v>
      </c>
      <c r="Y118" s="267">
        <v>0</v>
      </c>
      <c r="Z118" s="267">
        <v>0</v>
      </c>
      <c r="AA118" s="267">
        <v>0</v>
      </c>
      <c r="AB118" s="267">
        <v>0</v>
      </c>
      <c r="AC118" s="267">
        <v>0</v>
      </c>
      <c r="AD118" s="267">
        <v>0</v>
      </c>
      <c r="AE118" s="267">
        <v>0</v>
      </c>
      <c r="AF118" s="267">
        <v>0</v>
      </c>
      <c r="AG118" s="267">
        <v>0</v>
      </c>
      <c r="AH118" s="267">
        <v>0</v>
      </c>
      <c r="AI118" s="267">
        <v>0</v>
      </c>
      <c r="AJ118" s="267">
        <v>73959793</v>
      </c>
      <c r="AK118" s="267">
        <v>0</v>
      </c>
      <c r="AL118" s="267">
        <v>0</v>
      </c>
      <c r="AM118" s="267">
        <v>0</v>
      </c>
      <c r="AN118" s="267">
        <v>26071330</v>
      </c>
      <c r="AO118" s="267">
        <v>0</v>
      </c>
      <c r="AP118" s="267">
        <v>0</v>
      </c>
      <c r="AQ118" s="267">
        <v>0</v>
      </c>
      <c r="AR118" s="267">
        <v>0</v>
      </c>
      <c r="AS118" s="267">
        <v>0</v>
      </c>
      <c r="AT118" s="267">
        <v>0</v>
      </c>
      <c r="AU118" s="267">
        <v>0</v>
      </c>
      <c r="AV118" s="267">
        <v>0</v>
      </c>
      <c r="AW118" s="267">
        <v>0</v>
      </c>
      <c r="AX118" s="267">
        <v>0</v>
      </c>
      <c r="AY118" s="267">
        <v>0</v>
      </c>
      <c r="AZ118" s="267">
        <v>0</v>
      </c>
      <c r="BA118" s="267">
        <v>0</v>
      </c>
      <c r="BB118" s="267">
        <v>0</v>
      </c>
      <c r="BC118" s="267">
        <v>0</v>
      </c>
      <c r="BD118" s="267">
        <v>0</v>
      </c>
      <c r="BE118" s="267">
        <v>0</v>
      </c>
      <c r="BF118" s="267">
        <v>0</v>
      </c>
      <c r="BG118" s="267">
        <v>0</v>
      </c>
      <c r="BH118" s="267">
        <v>0</v>
      </c>
      <c r="BI118" s="267">
        <v>0</v>
      </c>
      <c r="BJ118" s="267">
        <v>0</v>
      </c>
      <c r="BK118" s="267">
        <v>0</v>
      </c>
      <c r="BL118" s="267">
        <v>0</v>
      </c>
      <c r="BM118" s="267">
        <v>0</v>
      </c>
      <c r="BN118" s="267">
        <v>0</v>
      </c>
      <c r="BO118" s="267">
        <v>0</v>
      </c>
      <c r="BP118" s="267">
        <v>0</v>
      </c>
      <c r="BQ118" s="267">
        <v>0</v>
      </c>
      <c r="BR118" s="267">
        <v>0</v>
      </c>
      <c r="BS118" s="267">
        <v>1454713</v>
      </c>
      <c r="BT118" s="267">
        <v>18554874</v>
      </c>
      <c r="BU118" s="267">
        <v>0</v>
      </c>
      <c r="BV118" s="267">
        <v>0</v>
      </c>
      <c r="BW118" s="267">
        <v>0</v>
      </c>
      <c r="BX118" s="267">
        <v>0</v>
      </c>
      <c r="BY118" s="267">
        <v>0</v>
      </c>
      <c r="BZ118" s="267">
        <v>0</v>
      </c>
      <c r="CA118" s="267">
        <v>0</v>
      </c>
      <c r="CB118" s="267">
        <v>0</v>
      </c>
      <c r="CC118" s="267">
        <v>0</v>
      </c>
      <c r="CD118" s="267">
        <v>0</v>
      </c>
      <c r="CE118" s="267">
        <v>0</v>
      </c>
    </row>
    <row r="119" spans="1:83" x14ac:dyDescent="0.3">
      <c r="A119" s="267">
        <v>357</v>
      </c>
      <c r="B119" s="267">
        <v>357</v>
      </c>
      <c r="C119" s="267" t="s">
        <v>553</v>
      </c>
      <c r="D119" s="267" t="s">
        <v>436</v>
      </c>
      <c r="E119" s="267">
        <v>0</v>
      </c>
      <c r="F119" s="267">
        <v>0</v>
      </c>
      <c r="G119" s="267">
        <v>0</v>
      </c>
      <c r="H119" s="267">
        <v>0</v>
      </c>
      <c r="I119" s="267">
        <v>0</v>
      </c>
      <c r="J119" s="267">
        <v>0</v>
      </c>
      <c r="K119" s="267">
        <v>0</v>
      </c>
      <c r="L119" s="267">
        <v>0</v>
      </c>
      <c r="M119" s="267">
        <v>0</v>
      </c>
      <c r="N119" s="267">
        <v>0</v>
      </c>
      <c r="O119" s="267">
        <v>0</v>
      </c>
      <c r="P119" s="267">
        <v>0</v>
      </c>
      <c r="Q119" s="267">
        <v>0</v>
      </c>
      <c r="R119" s="267">
        <v>48840901</v>
      </c>
      <c r="S119" s="267">
        <v>0</v>
      </c>
      <c r="T119" s="267">
        <v>0</v>
      </c>
      <c r="U119" s="267">
        <v>0</v>
      </c>
      <c r="V119" s="267">
        <v>0</v>
      </c>
      <c r="W119" s="267">
        <v>15950388</v>
      </c>
      <c r="X119" s="267">
        <v>0</v>
      </c>
      <c r="Y119" s="267">
        <v>0</v>
      </c>
      <c r="Z119" s="267">
        <v>0</v>
      </c>
      <c r="AA119" s="267">
        <v>0</v>
      </c>
      <c r="AB119" s="267">
        <v>0</v>
      </c>
      <c r="AC119" s="267">
        <v>0</v>
      </c>
      <c r="AD119" s="267">
        <v>0</v>
      </c>
      <c r="AE119" s="267">
        <v>0</v>
      </c>
      <c r="AF119" s="267">
        <v>0</v>
      </c>
      <c r="AG119" s="267">
        <v>0</v>
      </c>
      <c r="AH119" s="267">
        <v>0</v>
      </c>
      <c r="AI119" s="267">
        <v>0</v>
      </c>
      <c r="AJ119" s="267">
        <v>46508429</v>
      </c>
      <c r="AK119" s="267">
        <v>0</v>
      </c>
      <c r="AL119" s="267">
        <v>0</v>
      </c>
      <c r="AM119" s="267">
        <v>0</v>
      </c>
      <c r="AN119" s="267">
        <v>13004308</v>
      </c>
      <c r="AO119" s="267">
        <v>0</v>
      </c>
      <c r="AP119" s="267">
        <v>0</v>
      </c>
      <c r="AQ119" s="267">
        <v>0</v>
      </c>
      <c r="AR119" s="267">
        <v>0</v>
      </c>
      <c r="AS119" s="267">
        <v>0</v>
      </c>
      <c r="AT119" s="267">
        <v>0</v>
      </c>
      <c r="AU119" s="267">
        <v>0</v>
      </c>
      <c r="AV119" s="267">
        <v>0</v>
      </c>
      <c r="AW119" s="267">
        <v>0</v>
      </c>
      <c r="AX119" s="267">
        <v>0</v>
      </c>
      <c r="AY119" s="267">
        <v>0</v>
      </c>
      <c r="AZ119" s="267">
        <v>0</v>
      </c>
      <c r="BA119" s="267">
        <v>0</v>
      </c>
      <c r="BB119" s="267">
        <v>0</v>
      </c>
      <c r="BC119" s="267">
        <v>0</v>
      </c>
      <c r="BD119" s="267">
        <v>0</v>
      </c>
      <c r="BE119" s="267">
        <v>0</v>
      </c>
      <c r="BF119" s="267">
        <v>0</v>
      </c>
      <c r="BG119" s="267">
        <v>0</v>
      </c>
      <c r="BH119" s="267">
        <v>0</v>
      </c>
      <c r="BI119" s="267">
        <v>0</v>
      </c>
      <c r="BJ119" s="267">
        <v>0</v>
      </c>
      <c r="BK119" s="267">
        <v>0</v>
      </c>
      <c r="BL119" s="267">
        <v>0</v>
      </c>
      <c r="BM119" s="267">
        <v>0</v>
      </c>
      <c r="BN119" s="267">
        <v>0</v>
      </c>
      <c r="BO119" s="267">
        <v>0</v>
      </c>
      <c r="BP119" s="267">
        <v>0</v>
      </c>
      <c r="BQ119" s="267">
        <v>0</v>
      </c>
      <c r="BR119" s="267">
        <v>0</v>
      </c>
      <c r="BS119" s="267">
        <v>1178581</v>
      </c>
      <c r="BT119" s="267">
        <v>9864897</v>
      </c>
      <c r="BU119" s="267">
        <v>0</v>
      </c>
      <c r="BV119" s="267">
        <v>0</v>
      </c>
      <c r="BW119" s="267">
        <v>0</v>
      </c>
      <c r="BX119" s="267">
        <v>0</v>
      </c>
      <c r="BY119" s="267">
        <v>0</v>
      </c>
      <c r="BZ119" s="267">
        <v>0</v>
      </c>
      <c r="CA119" s="267">
        <v>0</v>
      </c>
      <c r="CB119" s="267">
        <v>0</v>
      </c>
      <c r="CC119" s="267">
        <v>0</v>
      </c>
      <c r="CD119" s="267">
        <v>0</v>
      </c>
      <c r="CE119" s="267">
        <v>0</v>
      </c>
    </row>
    <row r="120" spans="1:83" x14ac:dyDescent="0.3">
      <c r="A120" s="267">
        <v>359</v>
      </c>
      <c r="B120" s="267">
        <v>359</v>
      </c>
      <c r="C120" s="267" t="s">
        <v>256</v>
      </c>
      <c r="D120" s="267" t="s">
        <v>437</v>
      </c>
      <c r="E120" s="267">
        <v>0</v>
      </c>
      <c r="F120" s="267">
        <v>0</v>
      </c>
      <c r="G120" s="267">
        <v>0</v>
      </c>
      <c r="H120" s="267">
        <v>0</v>
      </c>
      <c r="I120" s="267">
        <v>0</v>
      </c>
      <c r="J120" s="267">
        <v>0</v>
      </c>
      <c r="K120" s="267">
        <v>0</v>
      </c>
      <c r="L120" s="267">
        <v>0</v>
      </c>
      <c r="M120" s="267">
        <v>0</v>
      </c>
      <c r="N120" s="267">
        <v>0</v>
      </c>
      <c r="O120" s="267">
        <v>0</v>
      </c>
      <c r="P120" s="267">
        <v>0</v>
      </c>
      <c r="Q120" s="267">
        <v>0</v>
      </c>
      <c r="R120" s="267">
        <v>16263809</v>
      </c>
      <c r="S120" s="267">
        <v>0</v>
      </c>
      <c r="T120" s="267">
        <v>0</v>
      </c>
      <c r="U120" s="267">
        <v>0</v>
      </c>
      <c r="V120" s="267">
        <v>0</v>
      </c>
      <c r="W120" s="267">
        <v>377636</v>
      </c>
      <c r="X120" s="267">
        <v>0</v>
      </c>
      <c r="Y120" s="267">
        <v>0</v>
      </c>
      <c r="Z120" s="267">
        <v>0</v>
      </c>
      <c r="AA120" s="267">
        <v>0</v>
      </c>
      <c r="AB120" s="267">
        <v>0</v>
      </c>
      <c r="AC120" s="267">
        <v>0</v>
      </c>
      <c r="AD120" s="267">
        <v>0</v>
      </c>
      <c r="AE120" s="267">
        <v>0</v>
      </c>
      <c r="AF120" s="267">
        <v>0</v>
      </c>
      <c r="AG120" s="267">
        <v>0</v>
      </c>
      <c r="AH120" s="267">
        <v>0</v>
      </c>
      <c r="AI120" s="267">
        <v>0</v>
      </c>
      <c r="AJ120" s="267">
        <v>8713800</v>
      </c>
      <c r="AK120" s="267">
        <v>0</v>
      </c>
      <c r="AL120" s="267">
        <v>0</v>
      </c>
      <c r="AM120" s="267">
        <v>0</v>
      </c>
      <c r="AN120" s="267">
        <v>4746000</v>
      </c>
      <c r="AO120" s="267">
        <v>0</v>
      </c>
      <c r="AP120" s="267">
        <v>0</v>
      </c>
      <c r="AQ120" s="267">
        <v>0</v>
      </c>
      <c r="AR120" s="267">
        <v>0</v>
      </c>
      <c r="AS120" s="267">
        <v>0</v>
      </c>
      <c r="AT120" s="267">
        <v>0</v>
      </c>
      <c r="AU120" s="267">
        <v>0</v>
      </c>
      <c r="AV120" s="267">
        <v>0</v>
      </c>
      <c r="AW120" s="267">
        <v>0</v>
      </c>
      <c r="AX120" s="267">
        <v>0</v>
      </c>
      <c r="AY120" s="267">
        <v>0</v>
      </c>
      <c r="AZ120" s="267">
        <v>0</v>
      </c>
      <c r="BA120" s="267">
        <v>0</v>
      </c>
      <c r="BB120" s="267">
        <v>0</v>
      </c>
      <c r="BC120" s="267">
        <v>0</v>
      </c>
      <c r="BD120" s="267">
        <v>0</v>
      </c>
      <c r="BE120" s="267">
        <v>0</v>
      </c>
      <c r="BF120" s="267">
        <v>0</v>
      </c>
      <c r="BG120" s="267">
        <v>0</v>
      </c>
      <c r="BH120" s="267">
        <v>0</v>
      </c>
      <c r="BI120" s="267">
        <v>0</v>
      </c>
      <c r="BJ120" s="267">
        <v>0</v>
      </c>
      <c r="BK120" s="267">
        <v>0</v>
      </c>
      <c r="BL120" s="267">
        <v>0</v>
      </c>
      <c r="BM120" s="267">
        <v>0</v>
      </c>
      <c r="BN120" s="267">
        <v>0</v>
      </c>
      <c r="BO120" s="267">
        <v>0</v>
      </c>
      <c r="BP120" s="267">
        <v>0</v>
      </c>
      <c r="BQ120" s="267">
        <v>0</v>
      </c>
      <c r="BR120" s="267">
        <v>0</v>
      </c>
      <c r="BS120" s="267">
        <v>36506</v>
      </c>
      <c r="BT120" s="267">
        <v>0</v>
      </c>
      <c r="BU120" s="267">
        <v>0</v>
      </c>
      <c r="BV120" s="267">
        <v>0</v>
      </c>
      <c r="BW120" s="267">
        <v>0</v>
      </c>
      <c r="BX120" s="267">
        <v>0</v>
      </c>
      <c r="BY120" s="267">
        <v>0</v>
      </c>
      <c r="BZ120" s="267">
        <v>0</v>
      </c>
      <c r="CA120" s="267">
        <v>0</v>
      </c>
      <c r="CB120" s="267">
        <v>0</v>
      </c>
      <c r="CC120" s="267">
        <v>0</v>
      </c>
      <c r="CD120" s="267">
        <v>0</v>
      </c>
      <c r="CE120" s="267">
        <v>0</v>
      </c>
    </row>
    <row r="121" spans="1:83" x14ac:dyDescent="0.3">
      <c r="A121" s="267">
        <v>360</v>
      </c>
      <c r="B121" s="267">
        <v>360</v>
      </c>
      <c r="C121" s="267" t="s">
        <v>125</v>
      </c>
      <c r="D121" s="267" t="s">
        <v>438</v>
      </c>
      <c r="E121" s="267">
        <v>0</v>
      </c>
      <c r="F121" s="267">
        <v>0</v>
      </c>
      <c r="G121" s="267">
        <v>0</v>
      </c>
      <c r="H121" s="267">
        <v>0</v>
      </c>
      <c r="I121" s="267">
        <v>0</v>
      </c>
      <c r="J121" s="267">
        <v>0</v>
      </c>
      <c r="K121" s="267">
        <v>0</v>
      </c>
      <c r="L121" s="267">
        <v>0</v>
      </c>
      <c r="M121" s="267">
        <v>0</v>
      </c>
      <c r="N121" s="267">
        <v>0</v>
      </c>
      <c r="O121" s="267">
        <v>0</v>
      </c>
      <c r="P121" s="267">
        <v>0</v>
      </c>
      <c r="Q121" s="267">
        <v>0</v>
      </c>
      <c r="R121" s="267">
        <v>25049288</v>
      </c>
      <c r="S121" s="267">
        <v>0</v>
      </c>
      <c r="T121" s="267">
        <v>0</v>
      </c>
      <c r="U121" s="267">
        <v>0</v>
      </c>
      <c r="V121" s="267">
        <v>0</v>
      </c>
      <c r="W121" s="267">
        <v>5840867</v>
      </c>
      <c r="X121" s="267">
        <v>0</v>
      </c>
      <c r="Y121" s="267">
        <v>0</v>
      </c>
      <c r="Z121" s="267">
        <v>0</v>
      </c>
      <c r="AA121" s="267">
        <v>0</v>
      </c>
      <c r="AB121" s="267">
        <v>0</v>
      </c>
      <c r="AC121" s="267">
        <v>0</v>
      </c>
      <c r="AD121" s="267">
        <v>0</v>
      </c>
      <c r="AE121" s="267">
        <v>0</v>
      </c>
      <c r="AF121" s="267">
        <v>0</v>
      </c>
      <c r="AG121" s="267">
        <v>0</v>
      </c>
      <c r="AH121" s="267">
        <v>0</v>
      </c>
      <c r="AI121" s="267">
        <v>0</v>
      </c>
      <c r="AJ121" s="267">
        <v>16434316</v>
      </c>
      <c r="AK121" s="267">
        <v>0</v>
      </c>
      <c r="AL121" s="267">
        <v>0</v>
      </c>
      <c r="AM121" s="267">
        <v>0</v>
      </c>
      <c r="AN121" s="267">
        <v>6516391</v>
      </c>
      <c r="AO121" s="267">
        <v>0</v>
      </c>
      <c r="AP121" s="267">
        <v>0</v>
      </c>
      <c r="AQ121" s="267">
        <v>0</v>
      </c>
      <c r="AR121" s="267">
        <v>0</v>
      </c>
      <c r="AS121" s="267">
        <v>0</v>
      </c>
      <c r="AT121" s="267">
        <v>0</v>
      </c>
      <c r="AU121" s="267">
        <v>0</v>
      </c>
      <c r="AV121" s="267">
        <v>0</v>
      </c>
      <c r="AW121" s="267">
        <v>0</v>
      </c>
      <c r="AX121" s="267">
        <v>0</v>
      </c>
      <c r="AY121" s="267">
        <v>0</v>
      </c>
      <c r="AZ121" s="267">
        <v>0</v>
      </c>
      <c r="BA121" s="267">
        <v>0</v>
      </c>
      <c r="BB121" s="267">
        <v>0</v>
      </c>
      <c r="BC121" s="267">
        <v>0</v>
      </c>
      <c r="BD121" s="267">
        <v>0</v>
      </c>
      <c r="BE121" s="267">
        <v>0</v>
      </c>
      <c r="BF121" s="267">
        <v>0</v>
      </c>
      <c r="BG121" s="267">
        <v>0</v>
      </c>
      <c r="BH121" s="267">
        <v>0</v>
      </c>
      <c r="BI121" s="267">
        <v>0</v>
      </c>
      <c r="BJ121" s="267">
        <v>0</v>
      </c>
      <c r="BK121" s="267">
        <v>0</v>
      </c>
      <c r="BL121" s="267">
        <v>0</v>
      </c>
      <c r="BM121" s="267">
        <v>0</v>
      </c>
      <c r="BN121" s="267">
        <v>0</v>
      </c>
      <c r="BO121" s="267">
        <v>0</v>
      </c>
      <c r="BP121" s="267">
        <v>0</v>
      </c>
      <c r="BQ121" s="267">
        <v>0</v>
      </c>
      <c r="BR121" s="267">
        <v>0</v>
      </c>
      <c r="BS121" s="267">
        <v>293689</v>
      </c>
      <c r="BT121" s="267">
        <v>1512521</v>
      </c>
      <c r="BU121" s="267">
        <v>0</v>
      </c>
      <c r="BV121" s="267">
        <v>0</v>
      </c>
      <c r="BW121" s="267">
        <v>0</v>
      </c>
      <c r="BX121" s="267">
        <v>0</v>
      </c>
      <c r="BY121" s="267">
        <v>0</v>
      </c>
      <c r="BZ121" s="267">
        <v>0</v>
      </c>
      <c r="CA121" s="267">
        <v>0</v>
      </c>
      <c r="CB121" s="267">
        <v>0</v>
      </c>
      <c r="CC121" s="267">
        <v>0</v>
      </c>
      <c r="CD121" s="267">
        <v>0</v>
      </c>
      <c r="CE121" s="267">
        <v>0</v>
      </c>
    </row>
    <row r="122" spans="1:83" x14ac:dyDescent="0.3">
      <c r="A122" s="267">
        <v>361</v>
      </c>
      <c r="B122" s="267">
        <v>361</v>
      </c>
      <c r="C122" s="267" t="s">
        <v>106</v>
      </c>
      <c r="D122" s="267" t="s">
        <v>439</v>
      </c>
      <c r="E122" s="267">
        <v>0</v>
      </c>
      <c r="F122" s="267">
        <v>0</v>
      </c>
      <c r="G122" s="267">
        <v>0</v>
      </c>
      <c r="H122" s="267">
        <v>0</v>
      </c>
      <c r="I122" s="267">
        <v>0</v>
      </c>
      <c r="J122" s="267">
        <v>0</v>
      </c>
      <c r="K122" s="267">
        <v>0</v>
      </c>
      <c r="L122" s="267">
        <v>0</v>
      </c>
      <c r="M122" s="267">
        <v>0</v>
      </c>
      <c r="N122" s="267">
        <v>0</v>
      </c>
      <c r="O122" s="267">
        <v>0</v>
      </c>
      <c r="P122" s="267">
        <v>0</v>
      </c>
      <c r="Q122" s="267">
        <v>0</v>
      </c>
      <c r="R122" s="267">
        <v>58146085</v>
      </c>
      <c r="S122" s="267">
        <v>0</v>
      </c>
      <c r="T122" s="267">
        <v>0</v>
      </c>
      <c r="U122" s="267">
        <v>0</v>
      </c>
      <c r="V122" s="267">
        <v>0</v>
      </c>
      <c r="W122" s="267">
        <v>9180163</v>
      </c>
      <c r="X122" s="267">
        <v>0</v>
      </c>
      <c r="Y122" s="267">
        <v>0</v>
      </c>
      <c r="Z122" s="267">
        <v>0</v>
      </c>
      <c r="AA122" s="267">
        <v>0</v>
      </c>
      <c r="AB122" s="267">
        <v>0</v>
      </c>
      <c r="AC122" s="267">
        <v>0</v>
      </c>
      <c r="AD122" s="267">
        <v>0</v>
      </c>
      <c r="AE122" s="267">
        <v>0</v>
      </c>
      <c r="AF122" s="267">
        <v>0</v>
      </c>
      <c r="AG122" s="267">
        <v>0</v>
      </c>
      <c r="AH122" s="267">
        <v>0</v>
      </c>
      <c r="AI122" s="267">
        <v>0</v>
      </c>
      <c r="AJ122" s="267">
        <v>23445409</v>
      </c>
      <c r="AK122" s="267">
        <v>0</v>
      </c>
      <c r="AL122" s="267">
        <v>0</v>
      </c>
      <c r="AM122" s="267">
        <v>0</v>
      </c>
      <c r="AN122" s="267">
        <v>7151218</v>
      </c>
      <c r="AO122" s="267">
        <v>0</v>
      </c>
      <c r="AP122" s="267">
        <v>0</v>
      </c>
      <c r="AQ122" s="267">
        <v>0</v>
      </c>
      <c r="AR122" s="267">
        <v>0</v>
      </c>
      <c r="AS122" s="267">
        <v>0</v>
      </c>
      <c r="AT122" s="267">
        <v>0</v>
      </c>
      <c r="AU122" s="267">
        <v>0</v>
      </c>
      <c r="AV122" s="267">
        <v>0</v>
      </c>
      <c r="AW122" s="267">
        <v>0</v>
      </c>
      <c r="AX122" s="267">
        <v>0</v>
      </c>
      <c r="AY122" s="267">
        <v>0</v>
      </c>
      <c r="AZ122" s="267">
        <v>0</v>
      </c>
      <c r="BA122" s="267">
        <v>0</v>
      </c>
      <c r="BB122" s="267">
        <v>0</v>
      </c>
      <c r="BC122" s="267">
        <v>0</v>
      </c>
      <c r="BD122" s="267">
        <v>0</v>
      </c>
      <c r="BE122" s="267">
        <v>0</v>
      </c>
      <c r="BF122" s="267">
        <v>0</v>
      </c>
      <c r="BG122" s="267">
        <v>0</v>
      </c>
      <c r="BH122" s="267">
        <v>0</v>
      </c>
      <c r="BI122" s="267">
        <v>0</v>
      </c>
      <c r="BJ122" s="267">
        <v>0</v>
      </c>
      <c r="BK122" s="267">
        <v>0</v>
      </c>
      <c r="BL122" s="267">
        <v>0</v>
      </c>
      <c r="BM122" s="267">
        <v>0</v>
      </c>
      <c r="BN122" s="267">
        <v>0</v>
      </c>
      <c r="BO122" s="267">
        <v>0</v>
      </c>
      <c r="BP122" s="267">
        <v>0</v>
      </c>
      <c r="BQ122" s="267">
        <v>0</v>
      </c>
      <c r="BR122" s="267">
        <v>0</v>
      </c>
      <c r="BS122" s="267">
        <v>774492</v>
      </c>
      <c r="BT122" s="267">
        <v>3025218</v>
      </c>
      <c r="BU122" s="267">
        <v>0</v>
      </c>
      <c r="BV122" s="267">
        <v>0</v>
      </c>
      <c r="BW122" s="267">
        <v>0</v>
      </c>
      <c r="BX122" s="267">
        <v>0</v>
      </c>
      <c r="BY122" s="267">
        <v>0</v>
      </c>
      <c r="BZ122" s="267">
        <v>0</v>
      </c>
      <c r="CA122" s="267">
        <v>0</v>
      </c>
      <c r="CB122" s="267">
        <v>0</v>
      </c>
      <c r="CC122" s="267">
        <v>0</v>
      </c>
      <c r="CD122" s="267">
        <v>0</v>
      </c>
      <c r="CE122" s="267">
        <v>0</v>
      </c>
    </row>
    <row r="123" spans="1:83" x14ac:dyDescent="0.3">
      <c r="A123" s="267">
        <v>362</v>
      </c>
      <c r="B123" s="267">
        <v>362</v>
      </c>
      <c r="C123" s="267" t="s">
        <v>107</v>
      </c>
      <c r="D123" s="267" t="s">
        <v>440</v>
      </c>
      <c r="E123" s="267">
        <v>0</v>
      </c>
      <c r="F123" s="267">
        <v>0</v>
      </c>
      <c r="G123" s="267">
        <v>0</v>
      </c>
      <c r="H123" s="267">
        <v>0</v>
      </c>
      <c r="I123" s="267">
        <v>0</v>
      </c>
      <c r="J123" s="267">
        <v>0</v>
      </c>
      <c r="K123" s="267">
        <v>0</v>
      </c>
      <c r="L123" s="267">
        <v>0</v>
      </c>
      <c r="M123" s="267">
        <v>0</v>
      </c>
      <c r="N123" s="267">
        <v>0</v>
      </c>
      <c r="O123" s="267">
        <v>0</v>
      </c>
      <c r="P123" s="267">
        <v>0</v>
      </c>
      <c r="Q123" s="267">
        <v>0</v>
      </c>
      <c r="R123" s="267">
        <v>131062382</v>
      </c>
      <c r="S123" s="267">
        <v>0</v>
      </c>
      <c r="T123" s="267">
        <v>0</v>
      </c>
      <c r="U123" s="267">
        <v>0</v>
      </c>
      <c r="V123" s="267">
        <v>0</v>
      </c>
      <c r="W123" s="267">
        <v>18325428</v>
      </c>
      <c r="X123" s="267">
        <v>0</v>
      </c>
      <c r="Y123" s="267">
        <v>0</v>
      </c>
      <c r="Z123" s="267">
        <v>0</v>
      </c>
      <c r="AA123" s="267">
        <v>0</v>
      </c>
      <c r="AB123" s="267">
        <v>0</v>
      </c>
      <c r="AC123" s="267">
        <v>0</v>
      </c>
      <c r="AD123" s="267">
        <v>0</v>
      </c>
      <c r="AE123" s="267">
        <v>0</v>
      </c>
      <c r="AF123" s="267">
        <v>0</v>
      </c>
      <c r="AG123" s="267">
        <v>0</v>
      </c>
      <c r="AH123" s="267">
        <v>0</v>
      </c>
      <c r="AI123" s="267">
        <v>0</v>
      </c>
      <c r="AJ123" s="267">
        <v>50597196</v>
      </c>
      <c r="AK123" s="267">
        <v>0</v>
      </c>
      <c r="AL123" s="267">
        <v>0</v>
      </c>
      <c r="AM123" s="267">
        <v>0</v>
      </c>
      <c r="AN123" s="267">
        <v>16204301</v>
      </c>
      <c r="AO123" s="267">
        <v>0</v>
      </c>
      <c r="AP123" s="267">
        <v>0</v>
      </c>
      <c r="AQ123" s="267">
        <v>0</v>
      </c>
      <c r="AR123" s="267">
        <v>0</v>
      </c>
      <c r="AS123" s="267">
        <v>0</v>
      </c>
      <c r="AT123" s="267">
        <v>0</v>
      </c>
      <c r="AU123" s="267">
        <v>0</v>
      </c>
      <c r="AV123" s="267">
        <v>0</v>
      </c>
      <c r="AW123" s="267">
        <v>0</v>
      </c>
      <c r="AX123" s="267">
        <v>0</v>
      </c>
      <c r="AY123" s="267">
        <v>0</v>
      </c>
      <c r="AZ123" s="267">
        <v>0</v>
      </c>
      <c r="BA123" s="267">
        <v>0</v>
      </c>
      <c r="BB123" s="267">
        <v>0</v>
      </c>
      <c r="BC123" s="267">
        <v>0</v>
      </c>
      <c r="BD123" s="267">
        <v>0</v>
      </c>
      <c r="BE123" s="267">
        <v>0</v>
      </c>
      <c r="BF123" s="267">
        <v>0</v>
      </c>
      <c r="BG123" s="267">
        <v>0</v>
      </c>
      <c r="BH123" s="267">
        <v>0</v>
      </c>
      <c r="BI123" s="267">
        <v>0</v>
      </c>
      <c r="BJ123" s="267">
        <v>0</v>
      </c>
      <c r="BK123" s="267">
        <v>0</v>
      </c>
      <c r="BL123" s="267">
        <v>0</v>
      </c>
      <c r="BM123" s="267">
        <v>0</v>
      </c>
      <c r="BN123" s="267">
        <v>0</v>
      </c>
      <c r="BO123" s="267">
        <v>0</v>
      </c>
      <c r="BP123" s="267">
        <v>0</v>
      </c>
      <c r="BQ123" s="267">
        <v>0</v>
      </c>
      <c r="BR123" s="267">
        <v>0</v>
      </c>
      <c r="BS123" s="267">
        <v>1025718</v>
      </c>
      <c r="BT123" s="267">
        <v>16487565</v>
      </c>
      <c r="BU123" s="267">
        <v>0</v>
      </c>
      <c r="BV123" s="267">
        <v>0</v>
      </c>
      <c r="BW123" s="267">
        <v>0</v>
      </c>
      <c r="BX123" s="267">
        <v>0</v>
      </c>
      <c r="BY123" s="267">
        <v>0</v>
      </c>
      <c r="BZ123" s="267">
        <v>0</v>
      </c>
      <c r="CA123" s="267">
        <v>0</v>
      </c>
      <c r="CB123" s="267">
        <v>0</v>
      </c>
      <c r="CC123" s="267">
        <v>0</v>
      </c>
      <c r="CD123" s="267">
        <v>0</v>
      </c>
      <c r="CE123" s="267">
        <v>0</v>
      </c>
    </row>
    <row r="124" spans="1:83" x14ac:dyDescent="0.3">
      <c r="A124" s="267">
        <v>363</v>
      </c>
      <c r="B124" s="267">
        <v>363</v>
      </c>
      <c r="C124" s="267" t="s">
        <v>242</v>
      </c>
      <c r="D124" s="267" t="s">
        <v>441</v>
      </c>
      <c r="E124" s="267">
        <v>0</v>
      </c>
      <c r="F124" s="267">
        <v>0</v>
      </c>
      <c r="G124" s="267">
        <v>0</v>
      </c>
      <c r="H124" s="267">
        <v>0</v>
      </c>
      <c r="I124" s="267">
        <v>0</v>
      </c>
      <c r="J124" s="267">
        <v>0</v>
      </c>
      <c r="K124" s="267">
        <v>0</v>
      </c>
      <c r="L124" s="267">
        <v>0</v>
      </c>
      <c r="M124" s="267">
        <v>0</v>
      </c>
      <c r="N124" s="267">
        <v>0</v>
      </c>
      <c r="O124" s="267">
        <v>0</v>
      </c>
      <c r="P124" s="267">
        <v>0</v>
      </c>
      <c r="Q124" s="267">
        <v>0</v>
      </c>
      <c r="R124" s="267">
        <v>3398082</v>
      </c>
      <c r="S124" s="267">
        <v>0</v>
      </c>
      <c r="T124" s="267">
        <v>0</v>
      </c>
      <c r="U124" s="267">
        <v>0</v>
      </c>
      <c r="V124" s="267">
        <v>0</v>
      </c>
      <c r="W124" s="267">
        <v>263972</v>
      </c>
      <c r="X124" s="267">
        <v>0</v>
      </c>
      <c r="Y124" s="267">
        <v>0</v>
      </c>
      <c r="Z124" s="267">
        <v>0</v>
      </c>
      <c r="AA124" s="267">
        <v>0</v>
      </c>
      <c r="AB124" s="267">
        <v>0</v>
      </c>
      <c r="AC124" s="267">
        <v>0</v>
      </c>
      <c r="AD124" s="267">
        <v>0</v>
      </c>
      <c r="AE124" s="267">
        <v>0</v>
      </c>
      <c r="AF124" s="267">
        <v>0</v>
      </c>
      <c r="AG124" s="267">
        <v>0</v>
      </c>
      <c r="AH124" s="267">
        <v>0</v>
      </c>
      <c r="AI124" s="267">
        <v>0</v>
      </c>
      <c r="AJ124" s="267">
        <v>349041</v>
      </c>
      <c r="AK124" s="267">
        <v>0</v>
      </c>
      <c r="AL124" s="267">
        <v>0</v>
      </c>
      <c r="AM124" s="267">
        <v>0</v>
      </c>
      <c r="AN124" s="267">
        <v>998247</v>
      </c>
      <c r="AO124" s="267">
        <v>0</v>
      </c>
      <c r="AP124" s="267">
        <v>0</v>
      </c>
      <c r="AQ124" s="267">
        <v>0</v>
      </c>
      <c r="AR124" s="267">
        <v>0</v>
      </c>
      <c r="AS124" s="267">
        <v>0</v>
      </c>
      <c r="AT124" s="267">
        <v>0</v>
      </c>
      <c r="AU124" s="267">
        <v>0</v>
      </c>
      <c r="AV124" s="267">
        <v>0</v>
      </c>
      <c r="AW124" s="267">
        <v>0</v>
      </c>
      <c r="AX124" s="267">
        <v>0</v>
      </c>
      <c r="AY124" s="267">
        <v>0</v>
      </c>
      <c r="AZ124" s="267">
        <v>0</v>
      </c>
      <c r="BA124" s="267">
        <v>0</v>
      </c>
      <c r="BB124" s="267">
        <v>0</v>
      </c>
      <c r="BC124" s="267">
        <v>0</v>
      </c>
      <c r="BD124" s="267">
        <v>0</v>
      </c>
      <c r="BE124" s="267">
        <v>0</v>
      </c>
      <c r="BF124" s="267">
        <v>0</v>
      </c>
      <c r="BG124" s="267">
        <v>0</v>
      </c>
      <c r="BH124" s="267">
        <v>0</v>
      </c>
      <c r="BI124" s="267">
        <v>0</v>
      </c>
      <c r="BJ124" s="267">
        <v>0</v>
      </c>
      <c r="BK124" s="267">
        <v>0</v>
      </c>
      <c r="BL124" s="267">
        <v>0</v>
      </c>
      <c r="BM124" s="267">
        <v>0</v>
      </c>
      <c r="BN124" s="267">
        <v>0</v>
      </c>
      <c r="BO124" s="267">
        <v>0</v>
      </c>
      <c r="BP124" s="267">
        <v>0</v>
      </c>
      <c r="BQ124" s="267">
        <v>0</v>
      </c>
      <c r="BR124" s="267">
        <v>0</v>
      </c>
      <c r="BS124" s="267">
        <v>85</v>
      </c>
      <c r="BT124" s="267">
        <v>37339</v>
      </c>
      <c r="BU124" s="267">
        <v>0</v>
      </c>
      <c r="BV124" s="267">
        <v>0</v>
      </c>
      <c r="BW124" s="267">
        <v>0</v>
      </c>
      <c r="BX124" s="267">
        <v>0</v>
      </c>
      <c r="BY124" s="267">
        <v>0</v>
      </c>
      <c r="BZ124" s="267">
        <v>0</v>
      </c>
      <c r="CA124" s="267">
        <v>0</v>
      </c>
      <c r="CB124" s="267">
        <v>0</v>
      </c>
      <c r="CC124" s="267">
        <v>0</v>
      </c>
      <c r="CD124" s="267">
        <v>0</v>
      </c>
      <c r="CE124" s="267">
        <v>0</v>
      </c>
    </row>
    <row r="125" spans="1:83" x14ac:dyDescent="0.3">
      <c r="A125" s="267">
        <v>364</v>
      </c>
      <c r="B125" s="267">
        <v>364</v>
      </c>
      <c r="C125" s="267" t="s">
        <v>243</v>
      </c>
      <c r="D125" s="267" t="s">
        <v>442</v>
      </c>
      <c r="E125" s="267">
        <v>0</v>
      </c>
      <c r="F125" s="267">
        <v>0</v>
      </c>
      <c r="G125" s="267">
        <v>0</v>
      </c>
      <c r="H125" s="267">
        <v>0</v>
      </c>
      <c r="I125" s="267">
        <v>0</v>
      </c>
      <c r="J125" s="267">
        <v>0</v>
      </c>
      <c r="K125" s="267">
        <v>0</v>
      </c>
      <c r="L125" s="267">
        <v>0</v>
      </c>
      <c r="M125" s="267">
        <v>0</v>
      </c>
      <c r="N125" s="267">
        <v>0</v>
      </c>
      <c r="O125" s="267">
        <v>0</v>
      </c>
      <c r="P125" s="267">
        <v>0</v>
      </c>
      <c r="Q125" s="267">
        <v>0</v>
      </c>
      <c r="R125" s="267">
        <v>854414</v>
      </c>
      <c r="S125" s="267">
        <v>0</v>
      </c>
      <c r="T125" s="267">
        <v>0</v>
      </c>
      <c r="U125" s="267">
        <v>0</v>
      </c>
      <c r="V125" s="267">
        <v>0</v>
      </c>
      <c r="W125" s="267">
        <v>9353</v>
      </c>
      <c r="X125" s="267">
        <v>0</v>
      </c>
      <c r="Y125" s="267">
        <v>0</v>
      </c>
      <c r="Z125" s="267">
        <v>0</v>
      </c>
      <c r="AA125" s="267">
        <v>0</v>
      </c>
      <c r="AB125" s="267">
        <v>0</v>
      </c>
      <c r="AC125" s="267">
        <v>0</v>
      </c>
      <c r="AD125" s="267">
        <v>0</v>
      </c>
      <c r="AE125" s="267">
        <v>0</v>
      </c>
      <c r="AF125" s="267">
        <v>0</v>
      </c>
      <c r="AG125" s="267">
        <v>0</v>
      </c>
      <c r="AH125" s="267">
        <v>0</v>
      </c>
      <c r="AI125" s="267">
        <v>0</v>
      </c>
      <c r="AJ125" s="267">
        <v>188594</v>
      </c>
      <c r="AK125" s="267">
        <v>0</v>
      </c>
      <c r="AL125" s="267">
        <v>0</v>
      </c>
      <c r="AM125" s="267">
        <v>0</v>
      </c>
      <c r="AN125" s="267">
        <v>145204</v>
      </c>
      <c r="AO125" s="267">
        <v>0</v>
      </c>
      <c r="AP125" s="267">
        <v>0</v>
      </c>
      <c r="AQ125" s="267">
        <v>0</v>
      </c>
      <c r="AR125" s="267">
        <v>0</v>
      </c>
      <c r="AS125" s="267">
        <v>0</v>
      </c>
      <c r="AT125" s="267">
        <v>0</v>
      </c>
      <c r="AU125" s="267">
        <v>0</v>
      </c>
      <c r="AV125" s="267">
        <v>0</v>
      </c>
      <c r="AW125" s="267">
        <v>0</v>
      </c>
      <c r="AX125" s="267">
        <v>0</v>
      </c>
      <c r="AY125" s="267">
        <v>0</v>
      </c>
      <c r="AZ125" s="267">
        <v>0</v>
      </c>
      <c r="BA125" s="267">
        <v>0</v>
      </c>
      <c r="BB125" s="267">
        <v>0</v>
      </c>
      <c r="BC125" s="267">
        <v>0</v>
      </c>
      <c r="BD125" s="267">
        <v>0</v>
      </c>
      <c r="BE125" s="267">
        <v>0</v>
      </c>
      <c r="BF125" s="267">
        <v>0</v>
      </c>
      <c r="BG125" s="267">
        <v>0</v>
      </c>
      <c r="BH125" s="267">
        <v>0</v>
      </c>
      <c r="BI125" s="267">
        <v>0</v>
      </c>
      <c r="BJ125" s="267">
        <v>0</v>
      </c>
      <c r="BK125" s="267">
        <v>0</v>
      </c>
      <c r="BL125" s="267">
        <v>0</v>
      </c>
      <c r="BM125" s="267">
        <v>0</v>
      </c>
      <c r="BN125" s="267">
        <v>0</v>
      </c>
      <c r="BO125" s="267">
        <v>0</v>
      </c>
      <c r="BP125" s="267">
        <v>0</v>
      </c>
      <c r="BQ125" s="267">
        <v>0</v>
      </c>
      <c r="BR125" s="267">
        <v>0</v>
      </c>
      <c r="BS125" s="267">
        <v>1498</v>
      </c>
      <c r="BT125" s="267">
        <v>0</v>
      </c>
      <c r="BU125" s="267">
        <v>0</v>
      </c>
      <c r="BV125" s="267">
        <v>0</v>
      </c>
      <c r="BW125" s="267">
        <v>0</v>
      </c>
      <c r="BX125" s="267">
        <v>0</v>
      </c>
      <c r="BY125" s="267">
        <v>0</v>
      </c>
      <c r="BZ125" s="267">
        <v>0</v>
      </c>
      <c r="CA125" s="267">
        <v>0</v>
      </c>
      <c r="CB125" s="267">
        <v>0</v>
      </c>
      <c r="CC125" s="267">
        <v>0</v>
      </c>
      <c r="CD125" s="267">
        <v>0</v>
      </c>
      <c r="CE125" s="267">
        <v>0</v>
      </c>
    </row>
    <row r="126" spans="1:83" x14ac:dyDescent="0.3">
      <c r="A126" s="267">
        <v>365</v>
      </c>
      <c r="B126" s="267">
        <v>365</v>
      </c>
      <c r="C126" s="267" t="s">
        <v>245</v>
      </c>
      <c r="D126" s="267" t="s">
        <v>443</v>
      </c>
      <c r="E126" s="267">
        <v>0</v>
      </c>
      <c r="F126" s="267">
        <v>0</v>
      </c>
      <c r="G126" s="267">
        <v>0</v>
      </c>
      <c r="H126" s="267">
        <v>0</v>
      </c>
      <c r="I126" s="267">
        <v>0</v>
      </c>
      <c r="J126" s="267">
        <v>0</v>
      </c>
      <c r="K126" s="267">
        <v>0</v>
      </c>
      <c r="L126" s="267">
        <v>0</v>
      </c>
      <c r="M126" s="267">
        <v>0</v>
      </c>
      <c r="N126" s="267">
        <v>0</v>
      </c>
      <c r="O126" s="267">
        <v>0</v>
      </c>
      <c r="P126" s="267">
        <v>0</v>
      </c>
      <c r="Q126" s="267">
        <v>0</v>
      </c>
      <c r="R126" s="267">
        <v>25000</v>
      </c>
      <c r="S126" s="267">
        <v>0</v>
      </c>
      <c r="T126" s="267">
        <v>0</v>
      </c>
      <c r="U126" s="267">
        <v>0</v>
      </c>
      <c r="V126" s="267">
        <v>0</v>
      </c>
      <c r="W126" s="267">
        <v>0</v>
      </c>
      <c r="X126" s="267">
        <v>0</v>
      </c>
      <c r="Y126" s="267">
        <v>0</v>
      </c>
      <c r="Z126" s="267">
        <v>0</v>
      </c>
      <c r="AA126" s="267">
        <v>0</v>
      </c>
      <c r="AB126" s="267">
        <v>0</v>
      </c>
      <c r="AC126" s="267">
        <v>0</v>
      </c>
      <c r="AD126" s="267">
        <v>0</v>
      </c>
      <c r="AE126" s="267">
        <v>0</v>
      </c>
      <c r="AF126" s="267">
        <v>0</v>
      </c>
      <c r="AG126" s="267">
        <v>0</v>
      </c>
      <c r="AH126" s="267">
        <v>0</v>
      </c>
      <c r="AI126" s="267">
        <v>0</v>
      </c>
      <c r="AJ126" s="267">
        <v>0</v>
      </c>
      <c r="AK126" s="267">
        <v>0</v>
      </c>
      <c r="AL126" s="267">
        <v>0</v>
      </c>
      <c r="AM126" s="267">
        <v>0</v>
      </c>
      <c r="AN126" s="267">
        <v>0</v>
      </c>
      <c r="AO126" s="267">
        <v>0</v>
      </c>
      <c r="AP126" s="267">
        <v>0</v>
      </c>
      <c r="AQ126" s="267">
        <v>0</v>
      </c>
      <c r="AR126" s="267">
        <v>0</v>
      </c>
      <c r="AS126" s="267">
        <v>0</v>
      </c>
      <c r="AT126" s="267">
        <v>0</v>
      </c>
      <c r="AU126" s="267">
        <v>0</v>
      </c>
      <c r="AV126" s="267">
        <v>0</v>
      </c>
      <c r="AW126" s="267">
        <v>0</v>
      </c>
      <c r="AX126" s="267">
        <v>0</v>
      </c>
      <c r="AY126" s="267">
        <v>0</v>
      </c>
      <c r="AZ126" s="267">
        <v>0</v>
      </c>
      <c r="BA126" s="267">
        <v>0</v>
      </c>
      <c r="BB126" s="267">
        <v>0</v>
      </c>
      <c r="BC126" s="267">
        <v>0</v>
      </c>
      <c r="BD126" s="267">
        <v>0</v>
      </c>
      <c r="BE126" s="267">
        <v>0</v>
      </c>
      <c r="BF126" s="267">
        <v>0</v>
      </c>
      <c r="BG126" s="267">
        <v>0</v>
      </c>
      <c r="BH126" s="267">
        <v>0</v>
      </c>
      <c r="BI126" s="267">
        <v>0</v>
      </c>
      <c r="BJ126" s="267">
        <v>0</v>
      </c>
      <c r="BK126" s="267">
        <v>0</v>
      </c>
      <c r="BL126" s="267">
        <v>0</v>
      </c>
      <c r="BM126" s="267">
        <v>0</v>
      </c>
      <c r="BN126" s="267">
        <v>0</v>
      </c>
      <c r="BO126" s="267">
        <v>0</v>
      </c>
      <c r="BP126" s="267">
        <v>0</v>
      </c>
      <c r="BQ126" s="267">
        <v>0</v>
      </c>
      <c r="BR126" s="267">
        <v>0</v>
      </c>
      <c r="BS126" s="267">
        <v>0</v>
      </c>
      <c r="BT126" s="267">
        <v>0</v>
      </c>
      <c r="BU126" s="267">
        <v>0</v>
      </c>
      <c r="BV126" s="267">
        <v>0</v>
      </c>
      <c r="BW126" s="267">
        <v>0</v>
      </c>
      <c r="BX126" s="267">
        <v>0</v>
      </c>
      <c r="BY126" s="267">
        <v>0</v>
      </c>
      <c r="BZ126" s="267">
        <v>0</v>
      </c>
      <c r="CA126" s="267">
        <v>0</v>
      </c>
      <c r="CB126" s="267">
        <v>0</v>
      </c>
      <c r="CC126" s="267">
        <v>0</v>
      </c>
      <c r="CD126" s="267">
        <v>0</v>
      </c>
      <c r="CE126" s="267">
        <v>0</v>
      </c>
    </row>
    <row r="127" spans="1:83" x14ac:dyDescent="0.3">
      <c r="A127" s="267">
        <v>366</v>
      </c>
      <c r="B127" s="267">
        <v>366</v>
      </c>
      <c r="C127" s="267" t="s">
        <v>536</v>
      </c>
      <c r="D127" s="267" t="s">
        <v>444</v>
      </c>
      <c r="E127" s="267">
        <v>0</v>
      </c>
      <c r="F127" s="267">
        <v>0</v>
      </c>
      <c r="G127" s="267">
        <v>0</v>
      </c>
      <c r="H127" s="267">
        <v>0</v>
      </c>
      <c r="I127" s="267">
        <v>0</v>
      </c>
      <c r="J127" s="267">
        <v>0</v>
      </c>
      <c r="K127" s="267">
        <v>0</v>
      </c>
      <c r="L127" s="267">
        <v>0</v>
      </c>
      <c r="M127" s="267">
        <v>0</v>
      </c>
      <c r="N127" s="267">
        <v>0</v>
      </c>
      <c r="O127" s="267">
        <v>0</v>
      </c>
      <c r="P127" s="267">
        <v>0</v>
      </c>
      <c r="Q127" s="267">
        <v>0</v>
      </c>
      <c r="R127" s="267">
        <v>564561</v>
      </c>
      <c r="S127" s="267">
        <v>0</v>
      </c>
      <c r="T127" s="267">
        <v>0</v>
      </c>
      <c r="U127" s="267">
        <v>0</v>
      </c>
      <c r="V127" s="267">
        <v>0</v>
      </c>
      <c r="W127" s="267">
        <v>733535</v>
      </c>
      <c r="X127" s="267">
        <v>0</v>
      </c>
      <c r="Y127" s="267">
        <v>0</v>
      </c>
      <c r="Z127" s="267">
        <v>0</v>
      </c>
      <c r="AA127" s="267">
        <v>0</v>
      </c>
      <c r="AB127" s="267">
        <v>0</v>
      </c>
      <c r="AC127" s="267">
        <v>0</v>
      </c>
      <c r="AD127" s="267">
        <v>0</v>
      </c>
      <c r="AE127" s="267">
        <v>0</v>
      </c>
      <c r="AF127" s="267">
        <v>0</v>
      </c>
      <c r="AG127" s="267">
        <v>0</v>
      </c>
      <c r="AH127" s="267">
        <v>0</v>
      </c>
      <c r="AI127" s="267">
        <v>0</v>
      </c>
      <c r="AJ127" s="267">
        <v>1968600</v>
      </c>
      <c r="AK127" s="267">
        <v>0</v>
      </c>
      <c r="AL127" s="267">
        <v>0</v>
      </c>
      <c r="AM127" s="267">
        <v>0</v>
      </c>
      <c r="AN127" s="267">
        <v>5779</v>
      </c>
      <c r="AO127" s="267">
        <v>0</v>
      </c>
      <c r="AP127" s="267">
        <v>0</v>
      </c>
      <c r="AQ127" s="267">
        <v>0</v>
      </c>
      <c r="AR127" s="267">
        <v>0</v>
      </c>
      <c r="AS127" s="267">
        <v>0</v>
      </c>
      <c r="AT127" s="267">
        <v>0</v>
      </c>
      <c r="AU127" s="267">
        <v>0</v>
      </c>
      <c r="AV127" s="267">
        <v>0</v>
      </c>
      <c r="AW127" s="267">
        <v>0</v>
      </c>
      <c r="AX127" s="267">
        <v>0</v>
      </c>
      <c r="AY127" s="267">
        <v>0</v>
      </c>
      <c r="AZ127" s="267">
        <v>0</v>
      </c>
      <c r="BA127" s="267">
        <v>0</v>
      </c>
      <c r="BB127" s="267">
        <v>0</v>
      </c>
      <c r="BC127" s="267">
        <v>0</v>
      </c>
      <c r="BD127" s="267">
        <v>0</v>
      </c>
      <c r="BE127" s="267">
        <v>0</v>
      </c>
      <c r="BF127" s="267">
        <v>0</v>
      </c>
      <c r="BG127" s="267">
        <v>0</v>
      </c>
      <c r="BH127" s="267">
        <v>0</v>
      </c>
      <c r="BI127" s="267">
        <v>0</v>
      </c>
      <c r="BJ127" s="267">
        <v>0</v>
      </c>
      <c r="BK127" s="267">
        <v>0</v>
      </c>
      <c r="BL127" s="267">
        <v>0</v>
      </c>
      <c r="BM127" s="267">
        <v>0</v>
      </c>
      <c r="BN127" s="267">
        <v>0</v>
      </c>
      <c r="BO127" s="267">
        <v>0</v>
      </c>
      <c r="BP127" s="267">
        <v>0</v>
      </c>
      <c r="BQ127" s="267">
        <v>0</v>
      </c>
      <c r="BR127" s="267">
        <v>0</v>
      </c>
      <c r="BS127" s="267">
        <v>32475</v>
      </c>
      <c r="BT127" s="267">
        <v>30964</v>
      </c>
      <c r="BU127" s="267">
        <v>0</v>
      </c>
      <c r="BV127" s="267">
        <v>0</v>
      </c>
      <c r="BW127" s="267">
        <v>0</v>
      </c>
      <c r="BX127" s="267">
        <v>0</v>
      </c>
      <c r="BY127" s="267">
        <v>0</v>
      </c>
      <c r="BZ127" s="267">
        <v>0</v>
      </c>
      <c r="CA127" s="267">
        <v>0</v>
      </c>
      <c r="CB127" s="267">
        <v>0</v>
      </c>
      <c r="CC127" s="267">
        <v>0</v>
      </c>
      <c r="CD127" s="267">
        <v>0</v>
      </c>
      <c r="CE127" s="267">
        <v>0</v>
      </c>
    </row>
    <row r="128" spans="1:83" x14ac:dyDescent="0.3">
      <c r="B128" s="267">
        <v>367</v>
      </c>
      <c r="C128" s="267" t="s">
        <v>642</v>
      </c>
      <c r="D128" s="267" t="s">
        <v>445</v>
      </c>
    </row>
    <row r="129" spans="1:83" x14ac:dyDescent="0.3">
      <c r="A129" s="267">
        <v>368</v>
      </c>
      <c r="B129" s="267">
        <v>368</v>
      </c>
      <c r="C129" s="267" t="s">
        <v>200</v>
      </c>
      <c r="D129" s="267" t="s">
        <v>446</v>
      </c>
      <c r="E129" s="267">
        <v>0</v>
      </c>
      <c r="F129" s="267">
        <v>0</v>
      </c>
      <c r="G129" s="267">
        <v>0</v>
      </c>
      <c r="H129" s="267">
        <v>0</v>
      </c>
      <c r="I129" s="267">
        <v>0</v>
      </c>
      <c r="J129" s="267">
        <v>0</v>
      </c>
      <c r="K129" s="267">
        <v>0</v>
      </c>
      <c r="L129" s="267">
        <v>21195</v>
      </c>
      <c r="M129" s="267">
        <v>0</v>
      </c>
      <c r="N129" s="267">
        <v>526718</v>
      </c>
      <c r="O129" s="267">
        <v>0</v>
      </c>
      <c r="P129" s="267">
        <v>0</v>
      </c>
      <c r="Q129" s="267">
        <v>0</v>
      </c>
      <c r="R129" s="267">
        <v>4318</v>
      </c>
      <c r="S129" s="267">
        <v>0</v>
      </c>
      <c r="T129" s="267">
        <v>0</v>
      </c>
      <c r="U129" s="267">
        <v>198830</v>
      </c>
      <c r="V129" s="267">
        <v>0</v>
      </c>
      <c r="W129" s="267">
        <v>0</v>
      </c>
      <c r="X129" s="267">
        <v>0</v>
      </c>
      <c r="Y129" s="267">
        <v>0</v>
      </c>
      <c r="Z129" s="267">
        <v>13539</v>
      </c>
      <c r="AA129" s="267">
        <v>0</v>
      </c>
      <c r="AB129" s="267">
        <v>102811</v>
      </c>
      <c r="AC129" s="267">
        <v>0</v>
      </c>
      <c r="AD129" s="267">
        <v>0</v>
      </c>
      <c r="AE129" s="267">
        <v>0</v>
      </c>
      <c r="AF129" s="267">
        <v>0</v>
      </c>
      <c r="AG129" s="267">
        <v>4550</v>
      </c>
      <c r="AH129" s="267">
        <v>0</v>
      </c>
      <c r="AI129" s="267">
        <v>0</v>
      </c>
      <c r="AJ129" s="267">
        <v>0</v>
      </c>
      <c r="AK129" s="267">
        <v>0</v>
      </c>
      <c r="AL129" s="267">
        <v>0</v>
      </c>
      <c r="AM129" s="267">
        <v>0</v>
      </c>
      <c r="AN129" s="267">
        <v>58270</v>
      </c>
      <c r="AO129" s="267">
        <v>0</v>
      </c>
      <c r="AP129" s="267">
        <v>0</v>
      </c>
      <c r="AQ129" s="267">
        <v>0</v>
      </c>
      <c r="AR129" s="267">
        <v>0</v>
      </c>
      <c r="AS129" s="267">
        <v>0</v>
      </c>
      <c r="AT129" s="267">
        <v>0</v>
      </c>
      <c r="AU129" s="267">
        <v>0</v>
      </c>
      <c r="AV129" s="267">
        <v>0</v>
      </c>
      <c r="AW129" s="267">
        <v>76289</v>
      </c>
      <c r="AX129" s="267">
        <v>12903</v>
      </c>
      <c r="AY129" s="267">
        <v>33000</v>
      </c>
      <c r="AZ129" s="267">
        <v>132054</v>
      </c>
      <c r="BA129" s="267">
        <v>0</v>
      </c>
      <c r="BB129" s="267">
        <v>0</v>
      </c>
      <c r="BC129" s="267">
        <v>0</v>
      </c>
      <c r="BD129" s="267">
        <v>0</v>
      </c>
      <c r="BE129" s="267">
        <v>0</v>
      </c>
      <c r="BF129" s="267">
        <v>0</v>
      </c>
      <c r="BG129" s="267">
        <v>0</v>
      </c>
      <c r="BH129" s="267">
        <v>0</v>
      </c>
      <c r="BI129" s="267">
        <v>0</v>
      </c>
      <c r="BJ129" s="267">
        <v>0</v>
      </c>
      <c r="BK129" s="267">
        <v>0</v>
      </c>
      <c r="BL129" s="267">
        <v>0</v>
      </c>
      <c r="BM129" s="267">
        <v>0</v>
      </c>
      <c r="BN129" s="267">
        <v>0</v>
      </c>
      <c r="BO129" s="267">
        <v>27500</v>
      </c>
      <c r="BP129" s="267">
        <v>0</v>
      </c>
      <c r="BQ129" s="267">
        <v>0</v>
      </c>
      <c r="BR129" s="267">
        <v>0</v>
      </c>
      <c r="BS129" s="267">
        <v>0</v>
      </c>
      <c r="BT129" s="267">
        <v>0</v>
      </c>
      <c r="BU129" s="267">
        <v>0</v>
      </c>
      <c r="BV129" s="267">
        <v>0</v>
      </c>
      <c r="BW129" s="267">
        <v>0</v>
      </c>
      <c r="BX129" s="267">
        <v>0</v>
      </c>
      <c r="BY129" s="267">
        <v>0</v>
      </c>
      <c r="BZ129" s="267">
        <v>0</v>
      </c>
      <c r="CA129" s="267">
        <v>0</v>
      </c>
      <c r="CB129" s="267">
        <v>0</v>
      </c>
      <c r="CC129" s="267">
        <v>0</v>
      </c>
      <c r="CD129" s="267">
        <v>0</v>
      </c>
      <c r="CE129" s="267">
        <v>0</v>
      </c>
    </row>
    <row r="130" spans="1:83" x14ac:dyDescent="0.3">
      <c r="A130" s="267">
        <v>369</v>
      </c>
      <c r="B130" s="267">
        <v>369</v>
      </c>
      <c r="C130" s="267" t="s">
        <v>205</v>
      </c>
      <c r="D130" s="267" t="s">
        <v>447</v>
      </c>
      <c r="E130" s="267">
        <v>0</v>
      </c>
      <c r="F130" s="267">
        <v>29576</v>
      </c>
      <c r="G130" s="267">
        <v>380497</v>
      </c>
      <c r="H130" s="267">
        <v>931209</v>
      </c>
      <c r="I130" s="267">
        <v>1391617</v>
      </c>
      <c r="J130" s="267">
        <v>1425852</v>
      </c>
      <c r="K130" s="267">
        <v>8955</v>
      </c>
      <c r="L130" s="267">
        <v>270624</v>
      </c>
      <c r="M130" s="267">
        <v>91276</v>
      </c>
      <c r="N130" s="267">
        <v>4526279</v>
      </c>
      <c r="O130" s="267">
        <v>213923</v>
      </c>
      <c r="P130" s="267">
        <v>1285656</v>
      </c>
      <c r="Q130" s="267">
        <v>10519</v>
      </c>
      <c r="R130" s="267">
        <v>12273283</v>
      </c>
      <c r="S130" s="267">
        <v>141492</v>
      </c>
      <c r="T130" s="267">
        <v>5125</v>
      </c>
      <c r="U130" s="267">
        <v>20056404</v>
      </c>
      <c r="V130" s="267">
        <v>5165889</v>
      </c>
      <c r="W130" s="267">
        <v>3254429</v>
      </c>
      <c r="X130" s="267">
        <v>9794759</v>
      </c>
      <c r="Y130" s="267">
        <v>149816</v>
      </c>
      <c r="Z130" s="267">
        <v>4785051</v>
      </c>
      <c r="AA130" s="267">
        <v>426760</v>
      </c>
      <c r="AB130" s="267">
        <v>4774704</v>
      </c>
      <c r="AC130" s="267">
        <v>1655238</v>
      </c>
      <c r="AD130" s="267">
        <v>1004595</v>
      </c>
      <c r="AE130" s="1232">
        <v>748838</v>
      </c>
      <c r="AF130" s="267">
        <v>1247504</v>
      </c>
      <c r="AG130" s="267">
        <v>10397392</v>
      </c>
      <c r="AH130" s="267">
        <v>1860076</v>
      </c>
      <c r="AI130" s="267">
        <v>654232</v>
      </c>
      <c r="AJ130" s="267">
        <v>12443181</v>
      </c>
      <c r="AK130" s="267">
        <v>376166</v>
      </c>
      <c r="AL130" s="267">
        <v>524981</v>
      </c>
      <c r="AM130" s="267">
        <v>0</v>
      </c>
      <c r="AN130" s="267">
        <v>2235432</v>
      </c>
      <c r="AO130" s="267">
        <v>0</v>
      </c>
      <c r="AP130" s="267">
        <v>0</v>
      </c>
      <c r="AQ130" s="267">
        <v>44346</v>
      </c>
      <c r="AR130" s="267">
        <v>1698122</v>
      </c>
      <c r="AS130" s="267">
        <v>2270439</v>
      </c>
      <c r="AT130" s="267">
        <v>344936</v>
      </c>
      <c r="AU130" s="267">
        <v>883181</v>
      </c>
      <c r="AV130" s="267">
        <v>0</v>
      </c>
      <c r="AW130" s="267">
        <v>3179089</v>
      </c>
      <c r="AX130" s="267">
        <v>839514</v>
      </c>
      <c r="AY130" s="267">
        <v>775372</v>
      </c>
      <c r="AZ130" s="267">
        <v>933950</v>
      </c>
      <c r="BA130" s="267">
        <v>271779</v>
      </c>
      <c r="BB130" s="267">
        <v>439492</v>
      </c>
      <c r="BC130" s="267">
        <v>30007</v>
      </c>
      <c r="BD130" s="267">
        <v>0</v>
      </c>
      <c r="BE130" s="267">
        <v>994269</v>
      </c>
      <c r="BF130" s="267">
        <v>81479</v>
      </c>
      <c r="BG130" s="267">
        <v>92207</v>
      </c>
      <c r="BH130" s="267">
        <v>36992</v>
      </c>
      <c r="BI130" s="267">
        <v>44148</v>
      </c>
      <c r="BJ130" s="267">
        <v>128928</v>
      </c>
      <c r="BK130" s="267">
        <v>84246</v>
      </c>
      <c r="BL130" s="267">
        <v>651131</v>
      </c>
      <c r="BM130" s="267">
        <v>0</v>
      </c>
      <c r="BN130" s="267">
        <v>690974</v>
      </c>
      <c r="BO130" s="267">
        <v>1257924</v>
      </c>
      <c r="BP130" s="267">
        <v>370619</v>
      </c>
      <c r="BQ130" s="267">
        <v>1080482</v>
      </c>
      <c r="BR130" s="267">
        <v>6871503</v>
      </c>
      <c r="BS130" s="267">
        <v>393470</v>
      </c>
      <c r="BT130" s="267">
        <v>5706007</v>
      </c>
      <c r="BU130" s="267">
        <v>320572</v>
      </c>
      <c r="BV130" s="267">
        <v>503378</v>
      </c>
      <c r="BW130" s="267">
        <v>265336</v>
      </c>
      <c r="BX130" s="267">
        <v>945924</v>
      </c>
      <c r="BY130" s="267">
        <v>816256</v>
      </c>
      <c r="BZ130" s="267">
        <v>75253</v>
      </c>
      <c r="CA130" s="1232">
        <v>148752</v>
      </c>
      <c r="CB130" s="267">
        <v>76269</v>
      </c>
      <c r="CC130" s="267">
        <v>0</v>
      </c>
      <c r="CD130" s="267">
        <v>0</v>
      </c>
      <c r="CE130" s="267">
        <v>38708</v>
      </c>
    </row>
    <row r="131" spans="1:83" x14ac:dyDescent="0.3">
      <c r="A131" s="267">
        <v>370</v>
      </c>
      <c r="B131" s="267">
        <v>370</v>
      </c>
      <c r="C131" s="267" t="s">
        <v>207</v>
      </c>
      <c r="D131" s="267" t="s">
        <v>448</v>
      </c>
      <c r="E131" s="267">
        <v>0</v>
      </c>
      <c r="F131" s="267">
        <v>3600</v>
      </c>
      <c r="G131" s="267">
        <v>3599</v>
      </c>
      <c r="H131" s="267">
        <v>52958</v>
      </c>
      <c r="I131" s="267">
        <v>0</v>
      </c>
      <c r="J131" s="267">
        <v>87015</v>
      </c>
      <c r="K131" s="267">
        <v>0</v>
      </c>
      <c r="L131" s="267">
        <v>0</v>
      </c>
      <c r="M131" s="267">
        <v>0</v>
      </c>
      <c r="N131" s="267">
        <v>704269</v>
      </c>
      <c r="O131" s="267">
        <v>24282</v>
      </c>
      <c r="P131" s="267">
        <v>230747</v>
      </c>
      <c r="Q131" s="267">
        <v>0</v>
      </c>
      <c r="R131" s="267">
        <v>1654750</v>
      </c>
      <c r="S131" s="267">
        <v>23578</v>
      </c>
      <c r="T131" s="267">
        <v>0</v>
      </c>
      <c r="U131" s="267">
        <v>12790185</v>
      </c>
      <c r="V131" s="267">
        <v>1382299</v>
      </c>
      <c r="W131" s="267">
        <v>1413821</v>
      </c>
      <c r="X131" s="267">
        <v>2130414</v>
      </c>
      <c r="Y131" s="267">
        <v>0</v>
      </c>
      <c r="Z131" s="267">
        <v>36000</v>
      </c>
      <c r="AA131" s="267">
        <v>27545</v>
      </c>
      <c r="AB131" s="267">
        <v>1356424</v>
      </c>
      <c r="AC131" s="267">
        <v>699323</v>
      </c>
      <c r="AD131" s="267">
        <v>57837</v>
      </c>
      <c r="AE131" s="1232">
        <v>9909</v>
      </c>
      <c r="AF131" s="267">
        <v>115405</v>
      </c>
      <c r="AG131" s="267">
        <v>1334661</v>
      </c>
      <c r="AH131" s="267">
        <v>0</v>
      </c>
      <c r="AI131" s="267">
        <v>30364</v>
      </c>
      <c r="AJ131" s="267">
        <v>2144331</v>
      </c>
      <c r="AK131" s="267">
        <v>0</v>
      </c>
      <c r="AL131" s="267">
        <v>0</v>
      </c>
      <c r="AM131" s="267">
        <v>0</v>
      </c>
      <c r="AN131" s="267">
        <v>1327221</v>
      </c>
      <c r="AO131" s="267">
        <v>0</v>
      </c>
      <c r="AP131" s="267">
        <v>0</v>
      </c>
      <c r="AQ131" s="267">
        <v>0</v>
      </c>
      <c r="AR131" s="267">
        <v>135464</v>
      </c>
      <c r="AS131" s="267">
        <v>147173</v>
      </c>
      <c r="AT131" s="267">
        <v>5925</v>
      </c>
      <c r="AU131" s="267">
        <v>64542</v>
      </c>
      <c r="AV131" s="267">
        <v>0</v>
      </c>
      <c r="AW131" s="267">
        <v>1743897</v>
      </c>
      <c r="AX131" s="267">
        <v>0</v>
      </c>
      <c r="AY131" s="267">
        <v>0</v>
      </c>
      <c r="AZ131" s="267">
        <v>440743</v>
      </c>
      <c r="BA131" s="267">
        <v>8130</v>
      </c>
      <c r="BB131" s="267">
        <v>0</v>
      </c>
      <c r="BC131" s="267">
        <v>0</v>
      </c>
      <c r="BD131" s="267">
        <v>0</v>
      </c>
      <c r="BE131" s="267">
        <v>272888</v>
      </c>
      <c r="BF131" s="267">
        <v>0</v>
      </c>
      <c r="BG131" s="267">
        <v>0</v>
      </c>
      <c r="BH131" s="267">
        <v>0</v>
      </c>
      <c r="BI131" s="267">
        <v>0</v>
      </c>
      <c r="BJ131" s="267">
        <v>0</v>
      </c>
      <c r="BK131" s="267">
        <v>18940</v>
      </c>
      <c r="BL131" s="267">
        <v>282217</v>
      </c>
      <c r="BM131" s="267">
        <v>0</v>
      </c>
      <c r="BN131" s="267">
        <v>49614</v>
      </c>
      <c r="BO131" s="267">
        <v>189650</v>
      </c>
      <c r="BP131" s="267">
        <v>35279</v>
      </c>
      <c r="BQ131" s="267">
        <v>136978</v>
      </c>
      <c r="BR131" s="267">
        <v>319052</v>
      </c>
      <c r="BS131" s="267">
        <v>21521</v>
      </c>
      <c r="BT131" s="267">
        <v>834748</v>
      </c>
      <c r="BU131" s="267">
        <v>44286</v>
      </c>
      <c r="BV131" s="267">
        <v>104647</v>
      </c>
      <c r="BW131" s="267">
        <v>0</v>
      </c>
      <c r="BX131" s="267">
        <v>106351</v>
      </c>
      <c r="BY131" s="267">
        <v>0</v>
      </c>
      <c r="BZ131" s="267">
        <v>0</v>
      </c>
      <c r="CA131" s="267">
        <v>0</v>
      </c>
      <c r="CB131" s="267">
        <v>0</v>
      </c>
      <c r="CC131" s="267">
        <v>0</v>
      </c>
      <c r="CD131" s="267">
        <v>0</v>
      </c>
      <c r="CE131" s="267">
        <v>0</v>
      </c>
    </row>
    <row r="132" spans="1:83" x14ac:dyDescent="0.3">
      <c r="A132" s="267">
        <v>371</v>
      </c>
      <c r="B132" s="267">
        <v>371</v>
      </c>
      <c r="C132" s="267" t="s">
        <v>262</v>
      </c>
      <c r="D132" s="267" t="s">
        <v>449</v>
      </c>
      <c r="E132" s="267">
        <v>0</v>
      </c>
      <c r="F132" s="267">
        <v>0</v>
      </c>
      <c r="G132" s="267">
        <v>0</v>
      </c>
      <c r="H132" s="267">
        <v>0</v>
      </c>
      <c r="I132" s="267">
        <v>0</v>
      </c>
      <c r="J132" s="267">
        <v>0</v>
      </c>
      <c r="K132" s="267">
        <v>0</v>
      </c>
      <c r="L132" s="267">
        <v>0</v>
      </c>
      <c r="M132" s="267">
        <v>0</v>
      </c>
      <c r="N132" s="267">
        <v>0</v>
      </c>
      <c r="O132" s="267">
        <v>0</v>
      </c>
      <c r="P132" s="267">
        <v>0</v>
      </c>
      <c r="Q132" s="267">
        <v>0</v>
      </c>
      <c r="R132" s="267">
        <v>0</v>
      </c>
      <c r="S132" s="267">
        <v>0</v>
      </c>
      <c r="T132" s="267">
        <v>0</v>
      </c>
      <c r="U132" s="267">
        <v>0</v>
      </c>
      <c r="V132" s="267">
        <v>0</v>
      </c>
      <c r="W132" s="267">
        <v>0</v>
      </c>
      <c r="X132" s="267">
        <v>0</v>
      </c>
      <c r="Y132" s="267">
        <v>0</v>
      </c>
      <c r="Z132" s="267">
        <v>0</v>
      </c>
      <c r="AA132" s="267">
        <v>0</v>
      </c>
      <c r="AB132" s="267">
        <v>0</v>
      </c>
      <c r="AC132" s="267">
        <v>0</v>
      </c>
      <c r="AD132" s="267">
        <v>0</v>
      </c>
      <c r="AE132" s="267">
        <v>0</v>
      </c>
      <c r="AF132" s="267">
        <v>0</v>
      </c>
      <c r="AG132" s="267">
        <v>0</v>
      </c>
      <c r="AH132" s="267">
        <v>0</v>
      </c>
      <c r="AI132" s="267">
        <v>0</v>
      </c>
      <c r="AJ132" s="267">
        <v>0</v>
      </c>
      <c r="AK132" s="267">
        <v>0</v>
      </c>
      <c r="AL132" s="267">
        <v>0</v>
      </c>
      <c r="AM132" s="267">
        <v>0</v>
      </c>
      <c r="AN132" s="267">
        <v>0</v>
      </c>
      <c r="AO132" s="267">
        <v>0</v>
      </c>
      <c r="AP132" s="267">
        <v>0</v>
      </c>
      <c r="AQ132" s="267">
        <v>0</v>
      </c>
      <c r="AR132" s="267">
        <v>0</v>
      </c>
      <c r="AS132" s="267">
        <v>0</v>
      </c>
      <c r="AT132" s="267">
        <v>0</v>
      </c>
      <c r="AU132" s="267">
        <v>0</v>
      </c>
      <c r="AV132" s="267">
        <v>0</v>
      </c>
      <c r="AW132" s="267">
        <v>0</v>
      </c>
      <c r="AX132" s="267">
        <v>0</v>
      </c>
      <c r="AY132" s="267">
        <v>0</v>
      </c>
      <c r="AZ132" s="267">
        <v>0</v>
      </c>
      <c r="BA132" s="267">
        <v>0</v>
      </c>
      <c r="BB132" s="267">
        <v>0</v>
      </c>
      <c r="BC132" s="267">
        <v>0</v>
      </c>
      <c r="BD132" s="267">
        <v>0</v>
      </c>
      <c r="BE132" s="267">
        <v>0</v>
      </c>
      <c r="BF132" s="267">
        <v>0</v>
      </c>
      <c r="BG132" s="267">
        <v>0</v>
      </c>
      <c r="BH132" s="267">
        <v>0</v>
      </c>
      <c r="BI132" s="267">
        <v>0</v>
      </c>
      <c r="BJ132" s="267">
        <v>0</v>
      </c>
      <c r="BK132" s="267">
        <v>0</v>
      </c>
      <c r="BL132" s="267">
        <v>0</v>
      </c>
      <c r="BM132" s="267">
        <v>0</v>
      </c>
      <c r="BN132" s="267">
        <v>0</v>
      </c>
      <c r="BO132" s="267">
        <v>0</v>
      </c>
      <c r="BP132" s="267">
        <v>0</v>
      </c>
      <c r="BQ132" s="267">
        <v>0</v>
      </c>
      <c r="BR132" s="267">
        <v>0</v>
      </c>
      <c r="BS132" s="267">
        <v>0</v>
      </c>
      <c r="BT132" s="267">
        <v>0</v>
      </c>
      <c r="BU132" s="267">
        <v>0</v>
      </c>
      <c r="BV132" s="267">
        <v>0</v>
      </c>
      <c r="BW132" s="267">
        <v>0</v>
      </c>
      <c r="BX132" s="267">
        <v>0</v>
      </c>
      <c r="BY132" s="267">
        <v>0</v>
      </c>
      <c r="BZ132" s="267">
        <v>0</v>
      </c>
      <c r="CA132" s="267">
        <v>0</v>
      </c>
      <c r="CB132" s="267">
        <v>0</v>
      </c>
      <c r="CC132" s="267">
        <v>0</v>
      </c>
      <c r="CD132" s="267">
        <v>0</v>
      </c>
      <c r="CE132" s="267">
        <v>0</v>
      </c>
    </row>
    <row r="133" spans="1:83" x14ac:dyDescent="0.3">
      <c r="A133" s="267">
        <v>373</v>
      </c>
      <c r="B133" s="267">
        <v>373</v>
      </c>
      <c r="C133" s="267" t="s">
        <v>549</v>
      </c>
      <c r="D133" s="267" t="s">
        <v>450</v>
      </c>
      <c r="E133" s="267">
        <v>0</v>
      </c>
      <c r="F133" s="267">
        <v>76120</v>
      </c>
      <c r="G133" s="267">
        <v>1004512</v>
      </c>
      <c r="H133" s="267">
        <v>1581061</v>
      </c>
      <c r="I133" s="267">
        <v>387120</v>
      </c>
      <c r="J133" s="267">
        <v>1187085</v>
      </c>
      <c r="K133" s="267">
        <v>53735</v>
      </c>
      <c r="L133" s="267">
        <v>233500</v>
      </c>
      <c r="M133" s="267">
        <v>284699</v>
      </c>
      <c r="N133" s="267">
        <v>20487278</v>
      </c>
      <c r="O133" s="267">
        <v>280580</v>
      </c>
      <c r="P133" s="267">
        <v>7042324</v>
      </c>
      <c r="Q133" s="267">
        <v>75928</v>
      </c>
      <c r="R133" s="267">
        <v>80795656</v>
      </c>
      <c r="S133" s="267">
        <v>1078545</v>
      </c>
      <c r="T133" s="267">
        <v>182728</v>
      </c>
      <c r="U133" s="267">
        <v>111568843</v>
      </c>
      <c r="V133" s="267">
        <v>13281957</v>
      </c>
      <c r="W133" s="267">
        <v>79319308</v>
      </c>
      <c r="X133" s="267">
        <v>44646476</v>
      </c>
      <c r="Y133" s="267">
        <v>247724</v>
      </c>
      <c r="Z133" s="267">
        <v>30582415</v>
      </c>
      <c r="AA133" s="267">
        <v>1498815</v>
      </c>
      <c r="AB133" s="267">
        <v>9725152</v>
      </c>
      <c r="AC133" s="267">
        <v>7658297</v>
      </c>
      <c r="AD133" s="267">
        <v>2818378</v>
      </c>
      <c r="AE133" s="1232">
        <v>3339410</v>
      </c>
      <c r="AF133" s="267">
        <v>3334460</v>
      </c>
      <c r="AG133" s="267">
        <v>55985065</v>
      </c>
      <c r="AH133" s="267">
        <v>6830750</v>
      </c>
      <c r="AI133" s="267">
        <v>1226311</v>
      </c>
      <c r="AJ133" s="267">
        <v>37792187</v>
      </c>
      <c r="AK133" s="267">
        <v>996491</v>
      </c>
      <c r="AL133" s="267">
        <v>996218</v>
      </c>
      <c r="AM133" s="267">
        <v>0</v>
      </c>
      <c r="AN133" s="267">
        <v>20529676</v>
      </c>
      <c r="AO133" s="267">
        <v>0</v>
      </c>
      <c r="AP133" s="267">
        <v>0</v>
      </c>
      <c r="AQ133" s="267">
        <v>98846</v>
      </c>
      <c r="AR133" s="267">
        <v>10290636</v>
      </c>
      <c r="AS133" s="267">
        <v>9749088</v>
      </c>
      <c r="AT133" s="267">
        <v>327752</v>
      </c>
      <c r="AU133" s="267">
        <v>2543865</v>
      </c>
      <c r="AV133" s="267">
        <v>0</v>
      </c>
      <c r="AW133" s="267">
        <v>13608112</v>
      </c>
      <c r="AX133" s="267">
        <v>1997807</v>
      </c>
      <c r="AY133" s="267">
        <v>2400744</v>
      </c>
      <c r="AZ133" s="267">
        <v>4020883</v>
      </c>
      <c r="BA133" s="267">
        <v>1561759</v>
      </c>
      <c r="BB133" s="267">
        <v>483260</v>
      </c>
      <c r="BC133" s="267">
        <v>16535</v>
      </c>
      <c r="BD133" s="267">
        <v>0</v>
      </c>
      <c r="BE133" s="267">
        <v>11148666</v>
      </c>
      <c r="BF133" s="267">
        <v>224907</v>
      </c>
      <c r="BG133" s="267">
        <v>250088</v>
      </c>
      <c r="BH133" s="267">
        <v>202871</v>
      </c>
      <c r="BI133" s="267">
        <v>124059</v>
      </c>
      <c r="BJ133" s="267">
        <v>352213</v>
      </c>
      <c r="BK133" s="267">
        <v>26592</v>
      </c>
      <c r="BL133" s="267">
        <v>3973716</v>
      </c>
      <c r="BM133" s="267">
        <v>0</v>
      </c>
      <c r="BN133" s="267">
        <v>1549739</v>
      </c>
      <c r="BO133" s="267">
        <v>4334175</v>
      </c>
      <c r="BP133" s="267">
        <v>1460377</v>
      </c>
      <c r="BQ133" s="267">
        <v>2303372</v>
      </c>
      <c r="BR133" s="267">
        <v>22484062</v>
      </c>
      <c r="BS133" s="267">
        <v>1486954</v>
      </c>
      <c r="BT133" s="267">
        <v>16229844</v>
      </c>
      <c r="BU133" s="267">
        <v>1637464</v>
      </c>
      <c r="BV133" s="267">
        <v>3444870</v>
      </c>
      <c r="BW133" s="267">
        <v>805622</v>
      </c>
      <c r="BX133" s="267">
        <v>3777278</v>
      </c>
      <c r="BY133" s="267">
        <v>570532</v>
      </c>
      <c r="BZ133" s="267">
        <v>59078</v>
      </c>
      <c r="CA133" s="1232">
        <v>209354</v>
      </c>
      <c r="CB133" s="267">
        <v>52495</v>
      </c>
      <c r="CC133" s="267">
        <v>0</v>
      </c>
      <c r="CD133" s="267">
        <v>0</v>
      </c>
      <c r="CE133" s="267">
        <v>129931</v>
      </c>
    </row>
    <row r="134" spans="1:83" x14ac:dyDescent="0.3">
      <c r="A134" s="267">
        <v>375</v>
      </c>
      <c r="B134" s="267">
        <v>375</v>
      </c>
      <c r="C134" s="267" t="s">
        <v>222</v>
      </c>
      <c r="D134" s="267" t="s">
        <v>451</v>
      </c>
      <c r="E134" s="267">
        <v>0</v>
      </c>
      <c r="F134" s="267">
        <v>0</v>
      </c>
      <c r="G134" s="267">
        <v>619917</v>
      </c>
      <c r="H134" s="267">
        <v>0</v>
      </c>
      <c r="I134" s="267">
        <v>0</v>
      </c>
      <c r="J134" s="267">
        <v>0</v>
      </c>
      <c r="K134" s="267">
        <v>53331</v>
      </c>
      <c r="L134" s="267">
        <v>0</v>
      </c>
      <c r="M134" s="267">
        <v>0</v>
      </c>
      <c r="N134" s="267">
        <v>0</v>
      </c>
      <c r="O134" s="267">
        <v>0</v>
      </c>
      <c r="P134" s="267">
        <v>-483856</v>
      </c>
      <c r="Q134" s="267">
        <v>0</v>
      </c>
      <c r="R134" s="267">
        <v>34299929</v>
      </c>
      <c r="S134" s="267">
        <v>883991</v>
      </c>
      <c r="T134" s="267">
        <v>0</v>
      </c>
      <c r="U134" s="267">
        <v>44749550</v>
      </c>
      <c r="V134" s="267">
        <v>12338459</v>
      </c>
      <c r="W134" s="267">
        <v>13836142</v>
      </c>
      <c r="X134" s="267">
        <v>0</v>
      </c>
      <c r="Y134" s="267">
        <v>334592</v>
      </c>
      <c r="Z134" s="267">
        <v>5308478</v>
      </c>
      <c r="AA134" s="267">
        <v>1431787</v>
      </c>
      <c r="AB134" s="267">
        <v>10789502</v>
      </c>
      <c r="AC134" s="267">
        <v>-280742</v>
      </c>
      <c r="AD134" s="267">
        <v>865815</v>
      </c>
      <c r="AE134" s="1232">
        <v>594319</v>
      </c>
      <c r="AF134" s="267">
        <v>1991422</v>
      </c>
      <c r="AG134" s="267">
        <v>2904580</v>
      </c>
      <c r="AH134" s="267">
        <v>2140297</v>
      </c>
      <c r="AI134" s="267">
        <v>-13026</v>
      </c>
      <c r="AJ134" s="267">
        <v>16100400</v>
      </c>
      <c r="AK134" s="267">
        <v>765677</v>
      </c>
      <c r="AL134" s="267">
        <v>386218</v>
      </c>
      <c r="AM134" s="267">
        <v>0</v>
      </c>
      <c r="AN134" s="267">
        <v>3013033</v>
      </c>
      <c r="AO134" s="267">
        <v>0</v>
      </c>
      <c r="AP134" s="267">
        <v>0</v>
      </c>
      <c r="AQ134" s="267">
        <v>0</v>
      </c>
      <c r="AR134" s="267">
        <v>0</v>
      </c>
      <c r="AS134" s="267">
        <v>3099834</v>
      </c>
      <c r="AT134" s="267">
        <v>110811</v>
      </c>
      <c r="AU134" s="267">
        <v>674916</v>
      </c>
      <c r="AV134" s="267">
        <v>0</v>
      </c>
      <c r="AW134" s="267">
        <v>32014621</v>
      </c>
      <c r="AX134" s="267">
        <v>0</v>
      </c>
      <c r="AY134" s="267">
        <v>2635598</v>
      </c>
      <c r="AZ134" s="267">
        <v>5955123</v>
      </c>
      <c r="BA134" s="267">
        <v>933297</v>
      </c>
      <c r="BB134" s="267">
        <v>151006</v>
      </c>
      <c r="BC134" s="267">
        <v>0</v>
      </c>
      <c r="BD134" s="267">
        <v>0</v>
      </c>
      <c r="BE134" s="267">
        <v>6400279</v>
      </c>
      <c r="BF134" s="267">
        <v>0</v>
      </c>
      <c r="BG134" s="267">
        <v>121001</v>
      </c>
      <c r="BH134" s="267">
        <v>112191</v>
      </c>
      <c r="BI134" s="267">
        <v>0</v>
      </c>
      <c r="BJ134" s="267">
        <v>225611</v>
      </c>
      <c r="BK134" s="267">
        <v>0</v>
      </c>
      <c r="BL134" s="267">
        <v>1327210</v>
      </c>
      <c r="BM134" s="267">
        <v>0</v>
      </c>
      <c r="BN134" s="267">
        <v>-166047</v>
      </c>
      <c r="BO134" s="267">
        <v>960033</v>
      </c>
      <c r="BP134" s="267">
        <v>563049</v>
      </c>
      <c r="BQ134" s="267">
        <v>807032</v>
      </c>
      <c r="BR134" s="267">
        <v>0</v>
      </c>
      <c r="BS134" s="267">
        <v>241513</v>
      </c>
      <c r="BT134" s="267">
        <v>0</v>
      </c>
      <c r="BU134" s="267">
        <v>601813</v>
      </c>
      <c r="BV134" s="267">
        <v>2580128</v>
      </c>
      <c r="BW134" s="267">
        <v>0</v>
      </c>
      <c r="BX134" s="267">
        <v>541820</v>
      </c>
      <c r="BY134" s="267">
        <v>1004471</v>
      </c>
      <c r="BZ134" s="267">
        <v>7316</v>
      </c>
      <c r="CA134" s="1232">
        <v>158046</v>
      </c>
      <c r="CB134" s="267">
        <v>13345</v>
      </c>
      <c r="CC134" s="267">
        <v>0</v>
      </c>
      <c r="CD134" s="267">
        <v>0</v>
      </c>
      <c r="CE134" s="267">
        <v>6799</v>
      </c>
    </row>
    <row r="135" spans="1:83" x14ac:dyDescent="0.3">
      <c r="A135" s="267">
        <v>376</v>
      </c>
      <c r="B135" s="267">
        <v>376</v>
      </c>
      <c r="C135" s="267" t="s">
        <v>108</v>
      </c>
      <c r="D135" s="267" t="s">
        <v>452</v>
      </c>
      <c r="E135" s="267">
        <v>0</v>
      </c>
      <c r="F135" s="267">
        <v>0</v>
      </c>
      <c r="G135" s="267">
        <v>0</v>
      </c>
      <c r="H135" s="267">
        <v>2560272</v>
      </c>
      <c r="I135" s="267">
        <v>0</v>
      </c>
      <c r="J135" s="267">
        <v>0</v>
      </c>
      <c r="K135" s="267">
        <v>1</v>
      </c>
      <c r="L135" s="267">
        <v>0</v>
      </c>
      <c r="M135" s="267">
        <v>0</v>
      </c>
      <c r="N135" s="267">
        <v>-84092</v>
      </c>
      <c r="O135" s="267">
        <v>0</v>
      </c>
      <c r="P135" s="267">
        <v>0</v>
      </c>
      <c r="Q135" s="267">
        <v>0</v>
      </c>
      <c r="R135" s="267">
        <v>0</v>
      </c>
      <c r="S135" s="267">
        <v>0</v>
      </c>
      <c r="T135" s="267">
        <v>0</v>
      </c>
      <c r="U135" s="267">
        <v>0</v>
      </c>
      <c r="V135" s="267">
        <v>0</v>
      </c>
      <c r="W135" s="267">
        <v>0</v>
      </c>
      <c r="X135" s="267">
        <v>0</v>
      </c>
      <c r="Y135" s="267">
        <v>0</v>
      </c>
      <c r="Z135" s="267">
        <v>0</v>
      </c>
      <c r="AA135" s="267">
        <v>0</v>
      </c>
      <c r="AB135" s="267">
        <v>0</v>
      </c>
      <c r="AC135" s="267">
        <v>0</v>
      </c>
      <c r="AD135" s="267">
        <v>0</v>
      </c>
      <c r="AE135" s="1232">
        <v>-56884</v>
      </c>
      <c r="AF135" s="267">
        <v>0</v>
      </c>
      <c r="AG135" s="267">
        <v>0</v>
      </c>
      <c r="AH135" s="267">
        <v>0</v>
      </c>
      <c r="AI135" s="267">
        <v>0</v>
      </c>
      <c r="AJ135" s="267">
        <v>-288809</v>
      </c>
      <c r="AK135" s="267">
        <v>0</v>
      </c>
      <c r="AL135" s="267">
        <v>0</v>
      </c>
      <c r="AM135" s="267">
        <v>0</v>
      </c>
      <c r="AN135" s="267">
        <v>0</v>
      </c>
      <c r="AO135" s="267">
        <v>0</v>
      </c>
      <c r="AP135" s="267">
        <v>0</v>
      </c>
      <c r="AQ135" s="267">
        <v>0</v>
      </c>
      <c r="AR135" s="267">
        <v>0</v>
      </c>
      <c r="AS135" s="267">
        <v>870986</v>
      </c>
      <c r="AT135" s="267">
        <v>0</v>
      </c>
      <c r="AU135" s="267">
        <v>0</v>
      </c>
      <c r="AV135" s="267">
        <v>0</v>
      </c>
      <c r="AW135" s="267">
        <v>-308349</v>
      </c>
      <c r="AX135" s="267">
        <v>0</v>
      </c>
      <c r="AY135" s="267">
        <v>1</v>
      </c>
      <c r="AZ135" s="267">
        <v>0</v>
      </c>
      <c r="BA135" s="267">
        <v>0</v>
      </c>
      <c r="BB135" s="267">
        <v>0</v>
      </c>
      <c r="BC135" s="267">
        <v>0</v>
      </c>
      <c r="BD135" s="267">
        <v>0</v>
      </c>
      <c r="BE135" s="267">
        <v>0</v>
      </c>
      <c r="BF135" s="267">
        <v>0</v>
      </c>
      <c r="BG135" s="267">
        <v>0</v>
      </c>
      <c r="BH135" s="267">
        <v>0</v>
      </c>
      <c r="BI135" s="267">
        <v>0</v>
      </c>
      <c r="BJ135" s="267">
        <v>0</v>
      </c>
      <c r="BK135" s="267">
        <v>0</v>
      </c>
      <c r="BL135" s="267">
        <v>0</v>
      </c>
      <c r="BM135" s="267">
        <v>0</v>
      </c>
      <c r="BN135" s="267">
        <v>0</v>
      </c>
      <c r="BO135" s="267">
        <v>0</v>
      </c>
      <c r="BP135" s="267">
        <v>-1</v>
      </c>
      <c r="BQ135" s="267">
        <v>0</v>
      </c>
      <c r="BR135" s="267">
        <v>0</v>
      </c>
      <c r="BS135" s="267">
        <v>0</v>
      </c>
      <c r="BT135" s="267">
        <v>0</v>
      </c>
      <c r="BU135" s="267">
        <v>0</v>
      </c>
      <c r="BV135" s="267">
        <v>0</v>
      </c>
      <c r="BW135" s="267">
        <v>0</v>
      </c>
      <c r="BX135" s="267">
        <v>0</v>
      </c>
      <c r="BY135" s="267">
        <v>0</v>
      </c>
      <c r="BZ135" s="267">
        <v>0</v>
      </c>
      <c r="CA135" s="267">
        <v>0</v>
      </c>
      <c r="CB135" s="267">
        <v>0</v>
      </c>
      <c r="CC135" s="267">
        <v>0</v>
      </c>
      <c r="CD135" s="267">
        <v>0</v>
      </c>
      <c r="CE135" s="267">
        <v>0</v>
      </c>
    </row>
    <row r="136" spans="1:83" x14ac:dyDescent="0.3">
      <c r="A136" s="267">
        <v>377</v>
      </c>
      <c r="B136" s="267">
        <v>377</v>
      </c>
      <c r="C136" s="267" t="s">
        <v>109</v>
      </c>
      <c r="D136" s="267" t="s">
        <v>453</v>
      </c>
      <c r="E136" s="267">
        <v>0</v>
      </c>
      <c r="F136" s="267">
        <v>0</v>
      </c>
      <c r="G136" s="267">
        <v>0</v>
      </c>
      <c r="H136" s="267">
        <v>0</v>
      </c>
      <c r="I136" s="267">
        <v>0</v>
      </c>
      <c r="J136" s="267">
        <v>0</v>
      </c>
      <c r="K136" s="267">
        <v>1</v>
      </c>
      <c r="L136" s="267">
        <v>0</v>
      </c>
      <c r="M136" s="267">
        <v>0</v>
      </c>
      <c r="N136" s="267">
        <v>0</v>
      </c>
      <c r="O136" s="267">
        <v>0</v>
      </c>
      <c r="P136" s="267">
        <v>-1</v>
      </c>
      <c r="Q136" s="267">
        <v>0</v>
      </c>
      <c r="R136" s="267">
        <v>0</v>
      </c>
      <c r="S136" s="267">
        <v>0</v>
      </c>
      <c r="T136" s="267">
        <v>0</v>
      </c>
      <c r="U136" s="267">
        <v>0</v>
      </c>
      <c r="V136" s="267">
        <v>0</v>
      </c>
      <c r="W136" s="267">
        <v>0</v>
      </c>
      <c r="X136" s="267">
        <v>0</v>
      </c>
      <c r="Y136" s="267">
        <v>0</v>
      </c>
      <c r="Z136" s="267">
        <v>0</v>
      </c>
      <c r="AA136" s="267">
        <v>0</v>
      </c>
      <c r="AB136" s="267">
        <v>0</v>
      </c>
      <c r="AC136" s="267">
        <v>-235972</v>
      </c>
      <c r="AD136" s="267">
        <v>0</v>
      </c>
      <c r="AE136" s="1232">
        <v>-9449</v>
      </c>
      <c r="AF136" s="267">
        <v>0</v>
      </c>
      <c r="AG136" s="267">
        <v>0</v>
      </c>
      <c r="AH136" s="267">
        <v>0</v>
      </c>
      <c r="AI136" s="267">
        <v>-115642</v>
      </c>
      <c r="AJ136" s="267">
        <v>0</v>
      </c>
      <c r="AK136" s="267">
        <v>0</v>
      </c>
      <c r="AL136" s="267">
        <v>0</v>
      </c>
      <c r="AM136" s="267">
        <v>0</v>
      </c>
      <c r="AN136" s="267">
        <v>0</v>
      </c>
      <c r="AO136" s="267">
        <v>0</v>
      </c>
      <c r="AP136" s="267">
        <v>0</v>
      </c>
      <c r="AQ136" s="267">
        <v>0</v>
      </c>
      <c r="AR136" s="267">
        <v>0</v>
      </c>
      <c r="AS136" s="267">
        <v>0</v>
      </c>
      <c r="AT136" s="267">
        <v>0</v>
      </c>
      <c r="AU136" s="267">
        <v>0</v>
      </c>
      <c r="AV136" s="267">
        <v>0</v>
      </c>
      <c r="AW136" s="267">
        <v>0</v>
      </c>
      <c r="AX136" s="267">
        <v>0</v>
      </c>
      <c r="AY136" s="267">
        <v>-1</v>
      </c>
      <c r="AZ136" s="267">
        <v>0</v>
      </c>
      <c r="BA136" s="267">
        <v>0</v>
      </c>
      <c r="BB136" s="267">
        <v>0</v>
      </c>
      <c r="BC136" s="267">
        <v>0</v>
      </c>
      <c r="BD136" s="267">
        <v>0</v>
      </c>
      <c r="BE136" s="267">
        <v>0</v>
      </c>
      <c r="BF136" s="267">
        <v>0</v>
      </c>
      <c r="BG136" s="267">
        <v>0</v>
      </c>
      <c r="BH136" s="267">
        <v>0</v>
      </c>
      <c r="BI136" s="267">
        <v>0</v>
      </c>
      <c r="BJ136" s="267">
        <v>0</v>
      </c>
      <c r="BK136" s="267">
        <v>0</v>
      </c>
      <c r="BL136" s="267">
        <v>0</v>
      </c>
      <c r="BM136" s="267">
        <v>0</v>
      </c>
      <c r="BN136" s="267">
        <v>0</v>
      </c>
      <c r="BO136" s="267">
        <v>0</v>
      </c>
      <c r="BP136" s="267">
        <v>0</v>
      </c>
      <c r="BQ136" s="267">
        <v>0</v>
      </c>
      <c r="BR136" s="267">
        <v>0</v>
      </c>
      <c r="BS136" s="267">
        <v>0</v>
      </c>
      <c r="BT136" s="267">
        <v>0</v>
      </c>
      <c r="BU136" s="267">
        <v>0</v>
      </c>
      <c r="BV136" s="267">
        <v>0</v>
      </c>
      <c r="BW136" s="267">
        <v>0</v>
      </c>
      <c r="BX136" s="267">
        <v>0</v>
      </c>
      <c r="BY136" s="267">
        <v>0</v>
      </c>
      <c r="BZ136" s="267">
        <v>0</v>
      </c>
      <c r="CA136" s="267">
        <v>0</v>
      </c>
      <c r="CB136" s="267">
        <v>0</v>
      </c>
      <c r="CC136" s="267">
        <v>0</v>
      </c>
      <c r="CD136" s="267">
        <v>0</v>
      </c>
      <c r="CE136" s="267">
        <v>2</v>
      </c>
    </row>
    <row r="137" spans="1:83" x14ac:dyDescent="0.3">
      <c r="A137" s="267">
        <v>378</v>
      </c>
      <c r="B137" s="267">
        <v>378</v>
      </c>
      <c r="C137" s="267" t="s">
        <v>110</v>
      </c>
      <c r="D137" s="267" t="s">
        <v>454</v>
      </c>
      <c r="E137" s="267">
        <v>0</v>
      </c>
      <c r="F137" s="267">
        <v>0</v>
      </c>
      <c r="G137" s="267">
        <v>0</v>
      </c>
      <c r="H137" s="267">
        <v>0</v>
      </c>
      <c r="I137" s="267">
        <v>0</v>
      </c>
      <c r="J137" s="267">
        <v>0</v>
      </c>
      <c r="K137" s="267">
        <v>0</v>
      </c>
      <c r="L137" s="267">
        <v>0</v>
      </c>
      <c r="M137" s="267">
        <v>0</v>
      </c>
      <c r="N137" s="267">
        <v>0</v>
      </c>
      <c r="O137" s="267">
        <v>0</v>
      </c>
      <c r="P137" s="267">
        <v>0</v>
      </c>
      <c r="Q137" s="267">
        <v>0</v>
      </c>
      <c r="R137" s="267">
        <v>0</v>
      </c>
      <c r="S137" s="267">
        <v>0</v>
      </c>
      <c r="T137" s="267">
        <v>0</v>
      </c>
      <c r="U137" s="267">
        <v>0</v>
      </c>
      <c r="V137" s="267">
        <v>0</v>
      </c>
      <c r="W137" s="267">
        <v>0</v>
      </c>
      <c r="X137" s="267">
        <v>0</v>
      </c>
      <c r="Y137" s="267">
        <v>0</v>
      </c>
      <c r="Z137" s="267">
        <v>0</v>
      </c>
      <c r="AA137" s="267">
        <v>0</v>
      </c>
      <c r="AB137" s="267">
        <v>0</v>
      </c>
      <c r="AC137" s="267">
        <v>0</v>
      </c>
      <c r="AD137" s="267">
        <v>0</v>
      </c>
      <c r="AE137" s="267">
        <v>0</v>
      </c>
      <c r="AF137" s="267">
        <v>0</v>
      </c>
      <c r="AG137" s="267">
        <v>0</v>
      </c>
      <c r="AH137" s="267">
        <v>0</v>
      </c>
      <c r="AI137" s="267">
        <v>0</v>
      </c>
      <c r="AJ137" s="267">
        <v>0</v>
      </c>
      <c r="AK137" s="267">
        <v>0</v>
      </c>
      <c r="AL137" s="267">
        <v>0</v>
      </c>
      <c r="AM137" s="267">
        <v>0</v>
      </c>
      <c r="AN137" s="267">
        <v>0</v>
      </c>
      <c r="AO137" s="267">
        <v>0</v>
      </c>
      <c r="AP137" s="267">
        <v>0</v>
      </c>
      <c r="AQ137" s="267">
        <v>0</v>
      </c>
      <c r="AR137" s="267">
        <v>0</v>
      </c>
      <c r="AS137" s="267">
        <v>0</v>
      </c>
      <c r="AT137" s="267">
        <v>0</v>
      </c>
      <c r="AU137" s="267">
        <v>0</v>
      </c>
      <c r="AV137" s="267">
        <v>0</v>
      </c>
      <c r="AW137" s="267">
        <v>0</v>
      </c>
      <c r="AX137" s="267">
        <v>0</v>
      </c>
      <c r="AY137" s="267">
        <v>0</v>
      </c>
      <c r="AZ137" s="267">
        <v>0</v>
      </c>
      <c r="BA137" s="267">
        <v>0</v>
      </c>
      <c r="BB137" s="267">
        <v>0</v>
      </c>
      <c r="BC137" s="267">
        <v>0</v>
      </c>
      <c r="BD137" s="267">
        <v>0</v>
      </c>
      <c r="BE137" s="267">
        <v>0</v>
      </c>
      <c r="BF137" s="267">
        <v>0</v>
      </c>
      <c r="BG137" s="267">
        <v>0</v>
      </c>
      <c r="BH137" s="267">
        <v>0</v>
      </c>
      <c r="BI137" s="267">
        <v>0</v>
      </c>
      <c r="BJ137" s="267">
        <v>0</v>
      </c>
      <c r="BK137" s="267">
        <v>0</v>
      </c>
      <c r="BL137" s="267">
        <v>0</v>
      </c>
      <c r="BM137" s="267">
        <v>0</v>
      </c>
      <c r="BN137" s="267">
        <v>0</v>
      </c>
      <c r="BO137" s="267">
        <v>0</v>
      </c>
      <c r="BP137" s="267">
        <v>0</v>
      </c>
      <c r="BQ137" s="267">
        <v>0</v>
      </c>
      <c r="BR137" s="267">
        <v>0</v>
      </c>
      <c r="BS137" s="267">
        <v>0</v>
      </c>
      <c r="BT137" s="267">
        <v>0</v>
      </c>
      <c r="BU137" s="267">
        <v>0</v>
      </c>
      <c r="BV137" s="267">
        <v>0</v>
      </c>
      <c r="BW137" s="267">
        <v>0</v>
      </c>
      <c r="BX137" s="267">
        <v>0</v>
      </c>
      <c r="BY137" s="267">
        <v>0</v>
      </c>
      <c r="BZ137" s="267">
        <v>0</v>
      </c>
      <c r="CA137" s="267">
        <v>0</v>
      </c>
      <c r="CB137" s="267">
        <v>0</v>
      </c>
      <c r="CC137" s="267">
        <v>0</v>
      </c>
      <c r="CD137" s="267">
        <v>0</v>
      </c>
      <c r="CE137" s="267">
        <v>0</v>
      </c>
    </row>
    <row r="138" spans="1:83" x14ac:dyDescent="0.3">
      <c r="A138" s="267">
        <v>379</v>
      </c>
      <c r="B138" s="267">
        <v>379</v>
      </c>
      <c r="C138" s="267" t="s">
        <v>118</v>
      </c>
      <c r="D138" s="267" t="s">
        <v>455</v>
      </c>
      <c r="E138" s="267">
        <v>0</v>
      </c>
      <c r="F138" s="267">
        <v>142705</v>
      </c>
      <c r="G138" s="267">
        <v>987527</v>
      </c>
      <c r="H138" s="267">
        <v>4264642</v>
      </c>
      <c r="I138" s="267">
        <v>5350752</v>
      </c>
      <c r="J138" s="267">
        <v>5195627</v>
      </c>
      <c r="K138" s="267">
        <v>115050</v>
      </c>
      <c r="L138" s="267">
        <v>910956</v>
      </c>
      <c r="M138" s="267">
        <v>982068</v>
      </c>
      <c r="N138" s="267">
        <v>8804014</v>
      </c>
      <c r="O138" s="267">
        <v>680144</v>
      </c>
      <c r="P138" s="267">
        <v>7166125</v>
      </c>
      <c r="Q138" s="267">
        <v>290489</v>
      </c>
      <c r="R138" s="267">
        <v>37395765</v>
      </c>
      <c r="S138" s="267">
        <v>1799692</v>
      </c>
      <c r="T138" s="267">
        <v>215883</v>
      </c>
      <c r="U138" s="267">
        <v>44104184</v>
      </c>
      <c r="V138" s="267">
        <v>10242658</v>
      </c>
      <c r="W138" s="267">
        <v>20930770</v>
      </c>
      <c r="X138" s="267">
        <v>36660815</v>
      </c>
      <c r="Y138" s="267">
        <v>367542</v>
      </c>
      <c r="Z138" s="267">
        <v>14229646</v>
      </c>
      <c r="AA138" s="267">
        <v>1659926</v>
      </c>
      <c r="AB138" s="267">
        <v>14081427</v>
      </c>
      <c r="AC138" s="267">
        <v>1549945</v>
      </c>
      <c r="AD138" s="267">
        <v>1878582</v>
      </c>
      <c r="AE138" s="1232">
        <v>1563979</v>
      </c>
      <c r="AF138" s="267">
        <v>3418928</v>
      </c>
      <c r="AG138" s="267">
        <v>28874667</v>
      </c>
      <c r="AH138" s="267">
        <v>5778305</v>
      </c>
      <c r="AI138" s="267">
        <v>921784</v>
      </c>
      <c r="AJ138" s="267">
        <v>24560015</v>
      </c>
      <c r="AK138" s="267">
        <v>3269987</v>
      </c>
      <c r="AL138" s="267">
        <v>841003</v>
      </c>
      <c r="AM138" s="267">
        <v>0</v>
      </c>
      <c r="AN138" s="267">
        <v>9919286</v>
      </c>
      <c r="AO138" s="267">
        <v>0</v>
      </c>
      <c r="AP138" s="267">
        <v>0</v>
      </c>
      <c r="AQ138" s="267">
        <v>98182</v>
      </c>
      <c r="AR138" s="267">
        <v>3505149</v>
      </c>
      <c r="AS138" s="267">
        <v>54010310</v>
      </c>
      <c r="AT138" s="267">
        <v>773730</v>
      </c>
      <c r="AU138" s="267">
        <v>1906475</v>
      </c>
      <c r="AV138" s="267">
        <v>0</v>
      </c>
      <c r="AW138" s="267">
        <v>14682963</v>
      </c>
      <c r="AX138" s="267">
        <v>3888905</v>
      </c>
      <c r="AY138" s="267">
        <v>1797950</v>
      </c>
      <c r="AZ138" s="267">
        <v>18285269</v>
      </c>
      <c r="BA138" s="267">
        <v>1989546</v>
      </c>
      <c r="BB138" s="267">
        <v>1105237</v>
      </c>
      <c r="BC138" s="267">
        <v>101867</v>
      </c>
      <c r="BD138" s="267">
        <v>0</v>
      </c>
      <c r="BE138" s="267">
        <v>6932429</v>
      </c>
      <c r="BF138" s="267">
        <v>545080</v>
      </c>
      <c r="BG138" s="267">
        <v>805986</v>
      </c>
      <c r="BH138" s="267">
        <v>205502</v>
      </c>
      <c r="BI138" s="267">
        <v>300595</v>
      </c>
      <c r="BJ138" s="267">
        <v>560128</v>
      </c>
      <c r="BK138" s="267">
        <v>283132</v>
      </c>
      <c r="BL138" s="267">
        <v>2071417</v>
      </c>
      <c r="BM138" s="267">
        <v>0</v>
      </c>
      <c r="BN138" s="267">
        <v>994047</v>
      </c>
      <c r="BO138" s="267">
        <v>3849233</v>
      </c>
      <c r="BP138" s="267">
        <v>970455</v>
      </c>
      <c r="BQ138" s="267">
        <v>1900171</v>
      </c>
      <c r="BR138" s="267">
        <v>8841664</v>
      </c>
      <c r="BS138" s="267">
        <v>578339</v>
      </c>
      <c r="BT138" s="267">
        <v>20248875</v>
      </c>
      <c r="BU138" s="267">
        <v>797133</v>
      </c>
      <c r="BV138" s="267">
        <v>4218125</v>
      </c>
      <c r="BW138" s="267">
        <v>1095509</v>
      </c>
      <c r="BX138" s="267">
        <v>1688917</v>
      </c>
      <c r="BY138" s="267">
        <v>2255362</v>
      </c>
      <c r="BZ138" s="267">
        <v>395456</v>
      </c>
      <c r="CA138" s="1232">
        <v>1031061</v>
      </c>
      <c r="CB138" s="267">
        <v>183689</v>
      </c>
      <c r="CC138" s="267">
        <v>0</v>
      </c>
      <c r="CD138" s="267">
        <v>0</v>
      </c>
      <c r="CE138" s="267">
        <v>373975</v>
      </c>
    </row>
    <row r="139" spans="1:83" x14ac:dyDescent="0.3">
      <c r="A139" s="267">
        <v>380</v>
      </c>
      <c r="B139" s="267">
        <v>380</v>
      </c>
      <c r="C139" s="267" t="s">
        <v>121</v>
      </c>
      <c r="D139" s="267" t="s">
        <v>456</v>
      </c>
      <c r="E139" s="267">
        <v>0</v>
      </c>
      <c r="F139" s="267">
        <v>884</v>
      </c>
      <c r="G139" s="267">
        <v>30813</v>
      </c>
      <c r="H139" s="267">
        <v>33107</v>
      </c>
      <c r="I139" s="267">
        <v>15915</v>
      </c>
      <c r="J139" s="267">
        <v>35901</v>
      </c>
      <c r="K139" s="267">
        <v>3107</v>
      </c>
      <c r="L139" s="267">
        <v>677</v>
      </c>
      <c r="M139" s="267">
        <v>2912</v>
      </c>
      <c r="N139" s="267">
        <v>131233</v>
      </c>
      <c r="O139" s="267">
        <v>2140</v>
      </c>
      <c r="P139" s="267">
        <v>64212</v>
      </c>
      <c r="Q139" s="267">
        <v>683</v>
      </c>
      <c r="R139" s="267">
        <v>936272</v>
      </c>
      <c r="S139" s="267">
        <v>102</v>
      </c>
      <c r="T139" s="267">
        <v>0</v>
      </c>
      <c r="U139" s="267">
        <v>827474</v>
      </c>
      <c r="V139" s="267">
        <v>102122</v>
      </c>
      <c r="W139" s="267">
        <v>151448</v>
      </c>
      <c r="X139" s="267">
        <v>28689</v>
      </c>
      <c r="Y139" s="267">
        <v>54290</v>
      </c>
      <c r="Z139" s="267">
        <v>183522</v>
      </c>
      <c r="AA139" s="267">
        <v>48090</v>
      </c>
      <c r="AB139" s="267">
        <v>230089</v>
      </c>
      <c r="AC139" s="267">
        <v>117999</v>
      </c>
      <c r="AD139" s="267">
        <v>16483</v>
      </c>
      <c r="AE139" s="1232">
        <v>70202</v>
      </c>
      <c r="AF139" s="267">
        <v>86905</v>
      </c>
      <c r="AG139" s="267">
        <v>3885</v>
      </c>
      <c r="AH139" s="267">
        <v>102152</v>
      </c>
      <c r="AI139" s="267">
        <v>33796</v>
      </c>
      <c r="AJ139" s="267">
        <v>583718</v>
      </c>
      <c r="AK139" s="267">
        <v>1593</v>
      </c>
      <c r="AL139" s="267">
        <v>6755</v>
      </c>
      <c r="AM139" s="267">
        <v>0</v>
      </c>
      <c r="AN139" s="267">
        <v>373199</v>
      </c>
      <c r="AO139" s="267">
        <v>0</v>
      </c>
      <c r="AP139" s="267">
        <v>0</v>
      </c>
      <c r="AQ139" s="267">
        <v>0</v>
      </c>
      <c r="AR139" s="267">
        <v>57534</v>
      </c>
      <c r="AS139" s="267">
        <v>35424290</v>
      </c>
      <c r="AT139" s="267">
        <v>29028</v>
      </c>
      <c r="AU139" s="267">
        <v>66176</v>
      </c>
      <c r="AV139" s="267">
        <v>0</v>
      </c>
      <c r="AW139" s="267">
        <v>67713</v>
      </c>
      <c r="AX139" s="267">
        <v>8962</v>
      </c>
      <c r="AY139" s="267">
        <v>42228</v>
      </c>
      <c r="AZ139" s="267">
        <v>98033</v>
      </c>
      <c r="BA139" s="267">
        <v>17497</v>
      </c>
      <c r="BB139" s="267">
        <v>78797</v>
      </c>
      <c r="BC139" s="267">
        <v>0</v>
      </c>
      <c r="BD139" s="267">
        <v>0</v>
      </c>
      <c r="BE139" s="267">
        <v>106838</v>
      </c>
      <c r="BF139" s="267">
        <v>1468</v>
      </c>
      <c r="BG139" s="267">
        <v>35599</v>
      </c>
      <c r="BH139" s="267">
        <v>41021</v>
      </c>
      <c r="BI139" s="267">
        <v>1113</v>
      </c>
      <c r="BJ139" s="267">
        <v>13842</v>
      </c>
      <c r="BK139" s="267">
        <v>5250</v>
      </c>
      <c r="BL139" s="267">
        <v>122137</v>
      </c>
      <c r="BM139" s="267">
        <v>0</v>
      </c>
      <c r="BN139" s="267">
        <v>6463</v>
      </c>
      <c r="BO139" s="267">
        <v>299387</v>
      </c>
      <c r="BP139" s="267">
        <v>2390</v>
      </c>
      <c r="BQ139" s="267">
        <v>4516</v>
      </c>
      <c r="BR139" s="267">
        <v>55424</v>
      </c>
      <c r="BS139" s="267">
        <v>47774</v>
      </c>
      <c r="BT139" s="267">
        <v>41371</v>
      </c>
      <c r="BU139" s="267">
        <v>14046</v>
      </c>
      <c r="BV139" s="267">
        <v>110432</v>
      </c>
      <c r="BW139" s="267">
        <v>7273</v>
      </c>
      <c r="BX139" s="267">
        <v>244371</v>
      </c>
      <c r="BY139" s="267">
        <v>42723</v>
      </c>
      <c r="BZ139" s="267">
        <v>9963</v>
      </c>
      <c r="CA139" s="1232">
        <v>26413</v>
      </c>
      <c r="CB139" s="267">
        <v>1649</v>
      </c>
      <c r="CC139" s="267">
        <v>0</v>
      </c>
      <c r="CD139" s="267">
        <v>0</v>
      </c>
      <c r="CE139" s="267">
        <v>4927</v>
      </c>
    </row>
    <row r="140" spans="1:83" x14ac:dyDescent="0.3">
      <c r="A140" s="267">
        <v>381</v>
      </c>
      <c r="B140" s="267">
        <v>381</v>
      </c>
      <c r="C140" s="267" t="s">
        <v>113</v>
      </c>
      <c r="D140" s="267" t="s">
        <v>457</v>
      </c>
      <c r="E140" s="267">
        <v>0</v>
      </c>
      <c r="F140" s="267">
        <v>0</v>
      </c>
      <c r="G140" s="267">
        <v>4273239</v>
      </c>
      <c r="H140" s="267">
        <v>0</v>
      </c>
      <c r="I140" s="267">
        <v>0</v>
      </c>
      <c r="J140" s="267">
        <v>0</v>
      </c>
      <c r="K140" s="267">
        <v>2514269</v>
      </c>
      <c r="L140" s="267">
        <v>0</v>
      </c>
      <c r="M140" s="267">
        <v>0</v>
      </c>
      <c r="N140" s="267">
        <v>0</v>
      </c>
      <c r="O140" s="267">
        <v>0</v>
      </c>
      <c r="P140" s="267">
        <v>15597569</v>
      </c>
      <c r="Q140" s="267">
        <v>0</v>
      </c>
      <c r="R140" s="267">
        <v>139651103</v>
      </c>
      <c r="S140" s="267">
        <v>2448913</v>
      </c>
      <c r="T140" s="267">
        <v>0</v>
      </c>
      <c r="U140" s="267">
        <v>197153619</v>
      </c>
      <c r="V140" s="267">
        <v>65976989</v>
      </c>
      <c r="W140" s="267">
        <v>82354441</v>
      </c>
      <c r="X140" s="267">
        <v>0</v>
      </c>
      <c r="Y140" s="267">
        <v>3530496</v>
      </c>
      <c r="Z140" s="267">
        <v>46475246</v>
      </c>
      <c r="AA140" s="267">
        <v>11385305</v>
      </c>
      <c r="AB140" s="267">
        <v>38288152</v>
      </c>
      <c r="AC140" s="267">
        <v>25565550</v>
      </c>
      <c r="AD140" s="267">
        <v>4454427</v>
      </c>
      <c r="AE140" s="1232">
        <v>7394366</v>
      </c>
      <c r="AF140" s="267">
        <v>14447164</v>
      </c>
      <c r="AG140" s="267">
        <v>10431547</v>
      </c>
      <c r="AH140" s="267">
        <v>10730617</v>
      </c>
      <c r="AI140" s="267">
        <v>4235139</v>
      </c>
      <c r="AJ140" s="267">
        <v>134831562</v>
      </c>
      <c r="AK140" s="267">
        <v>2380041</v>
      </c>
      <c r="AL140" s="267">
        <v>4787927</v>
      </c>
      <c r="AM140" s="267">
        <v>0</v>
      </c>
      <c r="AN140" s="267">
        <v>33495532</v>
      </c>
      <c r="AO140" s="267">
        <v>0</v>
      </c>
      <c r="AP140" s="267">
        <v>0</v>
      </c>
      <c r="AQ140" s="267">
        <v>0</v>
      </c>
      <c r="AR140" s="267">
        <v>0</v>
      </c>
      <c r="AS140" s="267">
        <v>21274621</v>
      </c>
      <c r="AT140" s="267">
        <v>7183916</v>
      </c>
      <c r="AU140" s="267">
        <v>12125079</v>
      </c>
      <c r="AV140" s="267">
        <v>0</v>
      </c>
      <c r="AW140" s="267">
        <v>142406888</v>
      </c>
      <c r="AX140" s="267">
        <v>0</v>
      </c>
      <c r="AY140" s="267">
        <v>8193282</v>
      </c>
      <c r="AZ140" s="267">
        <v>11100195</v>
      </c>
      <c r="BA140" s="267">
        <v>6853134</v>
      </c>
      <c r="BB140" s="267">
        <v>1358872</v>
      </c>
      <c r="BC140" s="267">
        <v>0</v>
      </c>
      <c r="BD140" s="267">
        <v>0</v>
      </c>
      <c r="BE140" s="267">
        <v>41766991</v>
      </c>
      <c r="BF140" s="267">
        <v>0</v>
      </c>
      <c r="BG140" s="267">
        <v>3226629</v>
      </c>
      <c r="BH140" s="267">
        <v>2454284</v>
      </c>
      <c r="BI140" s="267">
        <v>0</v>
      </c>
      <c r="BJ140" s="267">
        <v>3274083</v>
      </c>
      <c r="BK140" s="267">
        <v>0</v>
      </c>
      <c r="BL140" s="267">
        <v>17451845</v>
      </c>
      <c r="BM140" s="267">
        <v>0</v>
      </c>
      <c r="BN140" s="267">
        <v>6828031</v>
      </c>
      <c r="BO140" s="267">
        <v>4364795</v>
      </c>
      <c r="BP140" s="267">
        <v>2909438</v>
      </c>
      <c r="BQ140" s="267">
        <v>1524865</v>
      </c>
      <c r="BR140" s="267">
        <v>0</v>
      </c>
      <c r="BS140" s="267">
        <v>5045759</v>
      </c>
      <c r="BT140" s="267">
        <v>0</v>
      </c>
      <c r="BU140" s="267">
        <v>7537720</v>
      </c>
      <c r="BV140" s="267">
        <v>16746480</v>
      </c>
      <c r="BW140" s="267">
        <v>0</v>
      </c>
      <c r="BX140" s="267">
        <v>12477773</v>
      </c>
      <c r="BY140" s="267">
        <v>3326903</v>
      </c>
      <c r="BZ140" s="267">
        <v>665851</v>
      </c>
      <c r="CA140" s="1232">
        <v>4642705</v>
      </c>
      <c r="CB140" s="267">
        <v>4861193</v>
      </c>
      <c r="CC140" s="267">
        <v>0</v>
      </c>
      <c r="CD140" s="267">
        <v>0</v>
      </c>
      <c r="CE140" s="267">
        <v>829401</v>
      </c>
    </row>
    <row r="141" spans="1:83" x14ac:dyDescent="0.3">
      <c r="A141" s="267">
        <v>382</v>
      </c>
      <c r="B141" s="267">
        <v>382</v>
      </c>
      <c r="C141" s="267" t="s">
        <v>114</v>
      </c>
      <c r="D141" s="267" t="s">
        <v>458</v>
      </c>
      <c r="E141" s="267">
        <v>0</v>
      </c>
      <c r="F141" s="267">
        <v>0</v>
      </c>
      <c r="G141" s="267">
        <v>0</v>
      </c>
      <c r="H141" s="267">
        <v>0</v>
      </c>
      <c r="I141" s="267">
        <v>0</v>
      </c>
      <c r="J141" s="267">
        <v>0</v>
      </c>
      <c r="K141" s="267">
        <v>0</v>
      </c>
      <c r="L141" s="267">
        <v>0</v>
      </c>
      <c r="M141" s="267">
        <v>0</v>
      </c>
      <c r="N141" s="267">
        <v>0</v>
      </c>
      <c r="O141" s="267">
        <v>0</v>
      </c>
      <c r="P141" s="267">
        <v>0</v>
      </c>
      <c r="Q141" s="267">
        <v>0</v>
      </c>
      <c r="R141" s="267">
        <v>156111670</v>
      </c>
      <c r="S141" s="267">
        <v>0</v>
      </c>
      <c r="T141" s="267">
        <v>0</v>
      </c>
      <c r="U141" s="267">
        <v>0</v>
      </c>
      <c r="V141" s="267">
        <v>0</v>
      </c>
      <c r="W141" s="267">
        <v>24166295</v>
      </c>
      <c r="X141" s="267">
        <v>0</v>
      </c>
      <c r="Y141" s="267">
        <v>0</v>
      </c>
      <c r="Z141" s="267">
        <v>0</v>
      </c>
      <c r="AA141" s="267">
        <v>0</v>
      </c>
      <c r="AB141" s="267">
        <v>0</v>
      </c>
      <c r="AC141" s="267">
        <v>0</v>
      </c>
      <c r="AD141" s="267">
        <v>0</v>
      </c>
      <c r="AE141" s="267">
        <v>0</v>
      </c>
      <c r="AF141" s="267">
        <v>0</v>
      </c>
      <c r="AG141" s="267">
        <v>0</v>
      </c>
      <c r="AH141" s="267">
        <v>0</v>
      </c>
      <c r="AI141" s="267">
        <v>0</v>
      </c>
      <c r="AJ141" s="267">
        <v>67031512</v>
      </c>
      <c r="AK141" s="267">
        <v>0</v>
      </c>
      <c r="AL141" s="267">
        <v>0</v>
      </c>
      <c r="AM141" s="267">
        <v>0</v>
      </c>
      <c r="AN141" s="267">
        <v>22720692</v>
      </c>
      <c r="AO141" s="267">
        <v>0</v>
      </c>
      <c r="AP141" s="267">
        <v>0</v>
      </c>
      <c r="AQ141" s="267">
        <v>0</v>
      </c>
      <c r="AR141" s="267">
        <v>0</v>
      </c>
      <c r="AS141" s="267">
        <v>0</v>
      </c>
      <c r="AT141" s="267">
        <v>0</v>
      </c>
      <c r="AU141" s="267">
        <v>0</v>
      </c>
      <c r="AV141" s="267">
        <v>0</v>
      </c>
      <c r="AW141" s="267">
        <v>0</v>
      </c>
      <c r="AX141" s="267">
        <v>0</v>
      </c>
      <c r="AY141" s="267">
        <v>0</v>
      </c>
      <c r="AZ141" s="267">
        <v>0</v>
      </c>
      <c r="BA141" s="267">
        <v>0</v>
      </c>
      <c r="BB141" s="267">
        <v>0</v>
      </c>
      <c r="BC141" s="267">
        <v>0</v>
      </c>
      <c r="BD141" s="267">
        <v>0</v>
      </c>
      <c r="BE141" s="267">
        <v>0</v>
      </c>
      <c r="BF141" s="267">
        <v>0</v>
      </c>
      <c r="BG141" s="267">
        <v>0</v>
      </c>
      <c r="BH141" s="267">
        <v>0</v>
      </c>
      <c r="BI141" s="267">
        <v>0</v>
      </c>
      <c r="BJ141" s="267">
        <v>0</v>
      </c>
      <c r="BK141" s="267">
        <v>0</v>
      </c>
      <c r="BL141" s="267">
        <v>0</v>
      </c>
      <c r="BM141" s="267">
        <v>0</v>
      </c>
      <c r="BN141" s="267">
        <v>0</v>
      </c>
      <c r="BO141" s="267">
        <v>0</v>
      </c>
      <c r="BP141" s="267">
        <v>0</v>
      </c>
      <c r="BQ141" s="267">
        <v>0</v>
      </c>
      <c r="BR141" s="267">
        <v>0</v>
      </c>
      <c r="BS141" s="267">
        <v>1319407</v>
      </c>
      <c r="BT141" s="267">
        <v>18000086</v>
      </c>
      <c r="BU141" s="267">
        <v>0</v>
      </c>
      <c r="BV141" s="267">
        <v>0</v>
      </c>
      <c r="BW141" s="267">
        <v>0</v>
      </c>
      <c r="BX141" s="267">
        <v>0</v>
      </c>
      <c r="BY141" s="267">
        <v>0</v>
      </c>
      <c r="BZ141" s="267">
        <v>0</v>
      </c>
      <c r="CA141" s="267">
        <v>0</v>
      </c>
      <c r="CB141" s="267">
        <v>0</v>
      </c>
      <c r="CC141" s="267">
        <v>0</v>
      </c>
      <c r="CD141" s="267">
        <v>0</v>
      </c>
      <c r="CE141" s="267">
        <v>0</v>
      </c>
    </row>
    <row r="142" spans="1:83" x14ac:dyDescent="0.3">
      <c r="A142" s="267">
        <v>383</v>
      </c>
      <c r="B142" s="267">
        <v>383</v>
      </c>
      <c r="C142" s="267" t="s">
        <v>221</v>
      </c>
      <c r="D142" s="267" t="s">
        <v>459</v>
      </c>
      <c r="E142" s="267">
        <v>0</v>
      </c>
      <c r="F142" s="267">
        <v>0</v>
      </c>
      <c r="G142" s="267">
        <v>0</v>
      </c>
      <c r="H142" s="267">
        <v>0</v>
      </c>
      <c r="I142" s="267">
        <v>0</v>
      </c>
      <c r="J142" s="267">
        <v>0</v>
      </c>
      <c r="K142" s="267">
        <v>0</v>
      </c>
      <c r="L142" s="267">
        <v>0</v>
      </c>
      <c r="M142" s="267">
        <v>0</v>
      </c>
      <c r="N142" s="267">
        <v>0</v>
      </c>
      <c r="O142" s="267">
        <v>0</v>
      </c>
      <c r="P142" s="267">
        <v>0</v>
      </c>
      <c r="Q142" s="267">
        <v>0</v>
      </c>
      <c r="R142" s="267">
        <v>0</v>
      </c>
      <c r="S142" s="267">
        <v>0</v>
      </c>
      <c r="T142" s="267">
        <v>0</v>
      </c>
      <c r="U142" s="267">
        <v>0</v>
      </c>
      <c r="V142" s="267">
        <v>0</v>
      </c>
      <c r="W142" s="267">
        <v>0</v>
      </c>
      <c r="X142" s="267">
        <v>0</v>
      </c>
      <c r="Y142" s="267">
        <v>0</v>
      </c>
      <c r="Z142" s="267">
        <v>40100</v>
      </c>
      <c r="AA142" s="267">
        <v>0</v>
      </c>
      <c r="AB142" s="267">
        <v>0</v>
      </c>
      <c r="AC142" s="267">
        <v>0</v>
      </c>
      <c r="AD142" s="267">
        <v>0</v>
      </c>
      <c r="AE142" s="267">
        <v>0</v>
      </c>
      <c r="AF142" s="267">
        <v>0</v>
      </c>
      <c r="AG142" s="267">
        <v>0</v>
      </c>
      <c r="AH142" s="267">
        <v>0</v>
      </c>
      <c r="AI142" s="267">
        <v>0</v>
      </c>
      <c r="AJ142" s="267">
        <v>0</v>
      </c>
      <c r="AK142" s="267">
        <v>0</v>
      </c>
      <c r="AL142" s="267">
        <v>0</v>
      </c>
      <c r="AM142" s="267">
        <v>0</v>
      </c>
      <c r="AN142" s="267">
        <v>0</v>
      </c>
      <c r="AO142" s="267">
        <v>0</v>
      </c>
      <c r="AP142" s="267">
        <v>0</v>
      </c>
      <c r="AQ142" s="267">
        <v>0</v>
      </c>
      <c r="AR142" s="267">
        <v>0</v>
      </c>
      <c r="AS142" s="267">
        <v>0</v>
      </c>
      <c r="AT142" s="267">
        <v>0</v>
      </c>
      <c r="AU142" s="267">
        <v>39708</v>
      </c>
      <c r="AV142" s="267">
        <v>0</v>
      </c>
      <c r="AW142" s="267">
        <v>0</v>
      </c>
      <c r="AX142" s="267">
        <v>0</v>
      </c>
      <c r="AY142" s="267">
        <v>0</v>
      </c>
      <c r="AZ142" s="267">
        <v>0</v>
      </c>
      <c r="BA142" s="267">
        <v>0</v>
      </c>
      <c r="BB142" s="267">
        <v>0</v>
      </c>
      <c r="BC142" s="267">
        <v>0</v>
      </c>
      <c r="BD142" s="267">
        <v>0</v>
      </c>
      <c r="BE142" s="267">
        <v>0</v>
      </c>
      <c r="BF142" s="267">
        <v>0</v>
      </c>
      <c r="BG142" s="267">
        <v>0</v>
      </c>
      <c r="BH142" s="267">
        <v>0</v>
      </c>
      <c r="BI142" s="267">
        <v>0</v>
      </c>
      <c r="BJ142" s="267">
        <v>0</v>
      </c>
      <c r="BK142" s="267">
        <v>0</v>
      </c>
      <c r="BL142" s="267">
        <v>0</v>
      </c>
      <c r="BM142" s="267">
        <v>0</v>
      </c>
      <c r="BN142" s="267">
        <v>0</v>
      </c>
      <c r="BO142" s="267">
        <v>0</v>
      </c>
      <c r="BP142" s="267">
        <v>0</v>
      </c>
      <c r="BQ142" s="267">
        <v>9021</v>
      </c>
      <c r="BR142" s="267">
        <v>0</v>
      </c>
      <c r="BS142" s="267">
        <v>0</v>
      </c>
      <c r="BT142" s="267">
        <v>0</v>
      </c>
      <c r="BU142" s="267">
        <v>0</v>
      </c>
      <c r="BV142" s="267">
        <v>0</v>
      </c>
      <c r="BW142" s="267">
        <v>0</v>
      </c>
      <c r="BX142" s="267">
        <v>0</v>
      </c>
      <c r="BY142" s="267">
        <v>0</v>
      </c>
      <c r="BZ142" s="267">
        <v>0</v>
      </c>
      <c r="CA142" s="267">
        <v>0</v>
      </c>
      <c r="CB142" s="267">
        <v>0</v>
      </c>
      <c r="CC142" s="267">
        <v>0</v>
      </c>
      <c r="CD142" s="267">
        <v>0</v>
      </c>
      <c r="CE142" s="267">
        <v>0</v>
      </c>
    </row>
    <row r="143" spans="1:83" x14ac:dyDescent="0.3">
      <c r="A143" s="267">
        <v>384</v>
      </c>
      <c r="B143" s="267">
        <v>384</v>
      </c>
      <c r="C143" s="267" t="s">
        <v>124</v>
      </c>
      <c r="D143" s="267" t="s">
        <v>460</v>
      </c>
      <c r="E143" s="267">
        <v>0</v>
      </c>
      <c r="F143" s="267">
        <v>0</v>
      </c>
      <c r="G143" s="267">
        <v>0</v>
      </c>
      <c r="H143" s="267">
        <v>0</v>
      </c>
      <c r="I143" s="267">
        <v>0</v>
      </c>
      <c r="J143" s="267">
        <v>0</v>
      </c>
      <c r="K143" s="267">
        <v>0</v>
      </c>
      <c r="L143" s="267">
        <v>0</v>
      </c>
      <c r="M143" s="267">
        <v>0</v>
      </c>
      <c r="N143" s="267">
        <v>0</v>
      </c>
      <c r="O143" s="267">
        <v>0</v>
      </c>
      <c r="P143" s="267">
        <v>0</v>
      </c>
      <c r="Q143" s="267">
        <v>0</v>
      </c>
      <c r="R143" s="267">
        <v>0</v>
      </c>
      <c r="S143" s="267">
        <v>0</v>
      </c>
      <c r="T143" s="267">
        <v>0</v>
      </c>
      <c r="U143" s="267">
        <v>0</v>
      </c>
      <c r="V143" s="267">
        <v>0</v>
      </c>
      <c r="W143" s="267">
        <v>0</v>
      </c>
      <c r="X143" s="267">
        <v>0</v>
      </c>
      <c r="Y143" s="267">
        <v>0</v>
      </c>
      <c r="Z143" s="267">
        <v>0</v>
      </c>
      <c r="AA143" s="267">
        <v>0</v>
      </c>
      <c r="AB143" s="267">
        <v>0</v>
      </c>
      <c r="AC143" s="267">
        <v>0</v>
      </c>
      <c r="AD143" s="267">
        <v>0</v>
      </c>
      <c r="AE143" s="267">
        <v>0</v>
      </c>
      <c r="AF143" s="267">
        <v>0</v>
      </c>
      <c r="AG143" s="267">
        <v>0</v>
      </c>
      <c r="AH143" s="267">
        <v>0</v>
      </c>
      <c r="AI143" s="267">
        <v>0</v>
      </c>
      <c r="AJ143" s="267">
        <v>0</v>
      </c>
      <c r="AK143" s="267">
        <v>0</v>
      </c>
      <c r="AL143" s="267">
        <v>0</v>
      </c>
      <c r="AM143" s="267">
        <v>0</v>
      </c>
      <c r="AN143" s="267">
        <v>0</v>
      </c>
      <c r="AO143" s="267">
        <v>0</v>
      </c>
      <c r="AP143" s="267">
        <v>0</v>
      </c>
      <c r="AQ143" s="267">
        <v>0</v>
      </c>
      <c r="AR143" s="267">
        <v>0</v>
      </c>
      <c r="AS143" s="267">
        <v>0</v>
      </c>
      <c r="AT143" s="267">
        <v>0</v>
      </c>
      <c r="AU143" s="267">
        <v>0</v>
      </c>
      <c r="AV143" s="267">
        <v>0</v>
      </c>
      <c r="AW143" s="267">
        <v>0</v>
      </c>
      <c r="AX143" s="267">
        <v>0</v>
      </c>
      <c r="AY143" s="267">
        <v>0</v>
      </c>
      <c r="AZ143" s="267">
        <v>0</v>
      </c>
      <c r="BA143" s="267">
        <v>0</v>
      </c>
      <c r="BB143" s="267">
        <v>0</v>
      </c>
      <c r="BC143" s="267">
        <v>0</v>
      </c>
      <c r="BD143" s="267">
        <v>0</v>
      </c>
      <c r="BE143" s="267">
        <v>0</v>
      </c>
      <c r="BF143" s="267">
        <v>0</v>
      </c>
      <c r="BG143" s="267">
        <v>0</v>
      </c>
      <c r="BH143" s="267">
        <v>0</v>
      </c>
      <c r="BI143" s="267">
        <v>0</v>
      </c>
      <c r="BJ143" s="267">
        <v>0</v>
      </c>
      <c r="BK143" s="267">
        <v>0</v>
      </c>
      <c r="BL143" s="267">
        <v>0</v>
      </c>
      <c r="BM143" s="267">
        <v>0</v>
      </c>
      <c r="BN143" s="267">
        <v>0</v>
      </c>
      <c r="BO143" s="267">
        <v>0</v>
      </c>
      <c r="BP143" s="267">
        <v>0</v>
      </c>
      <c r="BQ143" s="267">
        <v>0</v>
      </c>
      <c r="BR143" s="267">
        <v>0</v>
      </c>
      <c r="BS143" s="267">
        <v>0</v>
      </c>
      <c r="BT143" s="267">
        <v>0</v>
      </c>
      <c r="BU143" s="267">
        <v>0</v>
      </c>
      <c r="BV143" s="267">
        <v>0</v>
      </c>
      <c r="BW143" s="267">
        <v>0</v>
      </c>
      <c r="BX143" s="267">
        <v>0</v>
      </c>
      <c r="BY143" s="267">
        <v>0</v>
      </c>
      <c r="BZ143" s="267">
        <v>0</v>
      </c>
      <c r="CA143" s="267">
        <v>0</v>
      </c>
      <c r="CB143" s="267">
        <v>0</v>
      </c>
      <c r="CC143" s="267">
        <v>0</v>
      </c>
      <c r="CD143" s="267">
        <v>0</v>
      </c>
      <c r="CE143" s="267">
        <v>0</v>
      </c>
    </row>
    <row r="144" spans="1:83" x14ac:dyDescent="0.3">
      <c r="A144" s="267">
        <v>385</v>
      </c>
      <c r="B144" s="267">
        <v>385</v>
      </c>
      <c r="C144" s="267" t="s">
        <v>115</v>
      </c>
      <c r="D144" s="267" t="s">
        <v>461</v>
      </c>
      <c r="E144" s="267">
        <v>0</v>
      </c>
      <c r="F144" s="267">
        <v>312806</v>
      </c>
      <c r="G144" s="267">
        <v>1772511</v>
      </c>
      <c r="H144" s="267">
        <v>10498229</v>
      </c>
      <c r="I144" s="267">
        <v>7595486</v>
      </c>
      <c r="J144" s="267">
        <v>10661533</v>
      </c>
      <c r="K144" s="267">
        <v>126284</v>
      </c>
      <c r="L144" s="267">
        <v>2662388</v>
      </c>
      <c r="M144" s="267">
        <v>1313991</v>
      </c>
      <c r="N144" s="267">
        <v>68965657</v>
      </c>
      <c r="O144" s="267">
        <v>1272573</v>
      </c>
      <c r="P144" s="267">
        <v>14315460</v>
      </c>
      <c r="Q144" s="267">
        <v>455515</v>
      </c>
      <c r="R144" s="267">
        <v>139579262</v>
      </c>
      <c r="S144" s="267">
        <v>7465713</v>
      </c>
      <c r="T144" s="267">
        <v>331731</v>
      </c>
      <c r="U144" s="267">
        <v>234267075</v>
      </c>
      <c r="V144" s="267">
        <v>57276488</v>
      </c>
      <c r="W144" s="267">
        <v>59749942</v>
      </c>
      <c r="X144" s="267">
        <v>224132817</v>
      </c>
      <c r="Y144" s="267">
        <v>605874</v>
      </c>
      <c r="Z144" s="267">
        <v>44157782</v>
      </c>
      <c r="AA144" s="267">
        <v>3292506</v>
      </c>
      <c r="AB144" s="267">
        <v>48713379</v>
      </c>
      <c r="AC144" s="267">
        <v>5770116</v>
      </c>
      <c r="AD144" s="267">
        <v>5143344</v>
      </c>
      <c r="AE144" s="1232">
        <v>2929511</v>
      </c>
      <c r="AF144" s="267">
        <v>7423972</v>
      </c>
      <c r="AG144" s="267">
        <v>102770012</v>
      </c>
      <c r="AH144" s="267">
        <v>13553825</v>
      </c>
      <c r="AI144" s="267">
        <v>3356654</v>
      </c>
      <c r="AJ144" s="267">
        <v>86637486</v>
      </c>
      <c r="AK144" s="267">
        <v>6985014</v>
      </c>
      <c r="AL144" s="267">
        <v>3732629</v>
      </c>
      <c r="AM144" s="267">
        <v>0</v>
      </c>
      <c r="AN144" s="267">
        <v>32720914</v>
      </c>
      <c r="AO144" s="267">
        <v>0</v>
      </c>
      <c r="AP144" s="267">
        <v>0</v>
      </c>
      <c r="AQ144" s="267">
        <v>201520</v>
      </c>
      <c r="AR144" s="267">
        <v>41233066</v>
      </c>
      <c r="AS144" s="267">
        <v>98817760</v>
      </c>
      <c r="AT144" s="267">
        <v>925474</v>
      </c>
      <c r="AU144" s="267">
        <v>3873121</v>
      </c>
      <c r="AV144" s="267">
        <v>0</v>
      </c>
      <c r="AW144" s="267">
        <v>48584478</v>
      </c>
      <c r="AX144" s="267">
        <v>12242304</v>
      </c>
      <c r="AY144" s="267">
        <v>5086714</v>
      </c>
      <c r="AZ144" s="267">
        <v>37344741</v>
      </c>
      <c r="BA144" s="267">
        <v>4037682</v>
      </c>
      <c r="BB144" s="267">
        <v>2081100</v>
      </c>
      <c r="BC144" s="267">
        <v>154710</v>
      </c>
      <c r="BD144" s="267">
        <v>0</v>
      </c>
      <c r="BE144" s="267">
        <v>14625280</v>
      </c>
      <c r="BF144" s="267">
        <v>862486</v>
      </c>
      <c r="BG144" s="267">
        <v>980283</v>
      </c>
      <c r="BH144" s="267">
        <v>284691</v>
      </c>
      <c r="BI144" s="267">
        <v>386206</v>
      </c>
      <c r="BJ144" s="267">
        <v>841573</v>
      </c>
      <c r="BK144" s="267">
        <v>595732</v>
      </c>
      <c r="BL144" s="267">
        <v>8609918</v>
      </c>
      <c r="BM144" s="267">
        <v>0</v>
      </c>
      <c r="BN144" s="267">
        <v>3513501</v>
      </c>
      <c r="BO144" s="267">
        <v>14240345</v>
      </c>
      <c r="BP144" s="267">
        <v>2074689</v>
      </c>
      <c r="BQ144" s="267">
        <v>5080384</v>
      </c>
      <c r="BR144" s="267">
        <v>39401076</v>
      </c>
      <c r="BS144" s="267">
        <v>1546720</v>
      </c>
      <c r="BT144" s="267">
        <v>51893498</v>
      </c>
      <c r="BU144" s="267">
        <v>2055072</v>
      </c>
      <c r="BV144" s="267">
        <v>11342256</v>
      </c>
      <c r="BW144" s="267">
        <v>5663435</v>
      </c>
      <c r="BX144" s="267">
        <v>5410118</v>
      </c>
      <c r="BY144" s="267">
        <v>2624849</v>
      </c>
      <c r="BZ144" s="267">
        <v>738371</v>
      </c>
      <c r="CA144" s="1232">
        <v>1313441</v>
      </c>
      <c r="CB144" s="267">
        <v>220510</v>
      </c>
      <c r="CC144" s="267">
        <v>0</v>
      </c>
      <c r="CD144" s="267">
        <v>0</v>
      </c>
      <c r="CE144" s="267">
        <v>443419</v>
      </c>
    </row>
    <row r="145" spans="1:83" x14ac:dyDescent="0.3">
      <c r="A145" s="267">
        <v>386</v>
      </c>
      <c r="B145" s="267">
        <v>386</v>
      </c>
      <c r="C145" s="267" t="s">
        <v>194</v>
      </c>
      <c r="D145" s="267" t="s">
        <v>462</v>
      </c>
      <c r="E145" s="267">
        <v>0</v>
      </c>
      <c r="F145" s="267">
        <v>0</v>
      </c>
      <c r="G145" s="267">
        <v>0</v>
      </c>
      <c r="H145" s="267">
        <v>0</v>
      </c>
      <c r="I145" s="267">
        <v>0</v>
      </c>
      <c r="J145" s="267">
        <v>0</v>
      </c>
      <c r="K145" s="267">
        <v>0</v>
      </c>
      <c r="L145" s="267">
        <v>0</v>
      </c>
      <c r="M145" s="267">
        <v>0</v>
      </c>
      <c r="N145" s="267">
        <v>0</v>
      </c>
      <c r="O145" s="267">
        <v>0</v>
      </c>
      <c r="P145" s="267">
        <v>0</v>
      </c>
      <c r="Q145" s="267">
        <v>0</v>
      </c>
      <c r="R145" s="267">
        <v>3603502</v>
      </c>
      <c r="S145" s="267">
        <v>0</v>
      </c>
      <c r="T145" s="267">
        <v>0</v>
      </c>
      <c r="U145" s="267">
        <v>0</v>
      </c>
      <c r="V145" s="267">
        <v>698600</v>
      </c>
      <c r="W145" s="267">
        <v>733535</v>
      </c>
      <c r="X145" s="267">
        <v>0</v>
      </c>
      <c r="Y145" s="267">
        <v>0</v>
      </c>
      <c r="Z145" s="267">
        <v>94223</v>
      </c>
      <c r="AA145" s="267">
        <v>29896</v>
      </c>
      <c r="AB145" s="267">
        <v>0</v>
      </c>
      <c r="AC145" s="267">
        <v>39502</v>
      </c>
      <c r="AD145" s="267">
        <v>0</v>
      </c>
      <c r="AE145" s="267">
        <v>0</v>
      </c>
      <c r="AF145" s="267">
        <v>0</v>
      </c>
      <c r="AG145" s="267">
        <v>0</v>
      </c>
      <c r="AH145" s="267">
        <v>85307</v>
      </c>
      <c r="AI145" s="267">
        <v>0</v>
      </c>
      <c r="AJ145" s="267">
        <v>1968600</v>
      </c>
      <c r="AK145" s="267">
        <v>0</v>
      </c>
      <c r="AL145" s="267">
        <v>0</v>
      </c>
      <c r="AM145" s="267">
        <v>0</v>
      </c>
      <c r="AN145" s="267">
        <v>5779</v>
      </c>
      <c r="AO145" s="267">
        <v>0</v>
      </c>
      <c r="AP145" s="267">
        <v>0</v>
      </c>
      <c r="AQ145" s="267">
        <v>0</v>
      </c>
      <c r="AR145" s="267">
        <v>0</v>
      </c>
      <c r="AS145" s="267">
        <v>0</v>
      </c>
      <c r="AT145" s="267">
        <v>0</v>
      </c>
      <c r="AU145" s="267">
        <v>0</v>
      </c>
      <c r="AV145" s="267">
        <v>0</v>
      </c>
      <c r="AW145" s="267">
        <v>1804056</v>
      </c>
      <c r="AX145" s="267">
        <v>0</v>
      </c>
      <c r="AY145" s="267">
        <v>0</v>
      </c>
      <c r="AZ145" s="267">
        <v>0</v>
      </c>
      <c r="BA145" s="267">
        <v>0</v>
      </c>
      <c r="BB145" s="267">
        <v>0</v>
      </c>
      <c r="BC145" s="267">
        <v>0</v>
      </c>
      <c r="BD145" s="267">
        <v>0</v>
      </c>
      <c r="BE145" s="267">
        <v>225950</v>
      </c>
      <c r="BF145" s="267">
        <v>0</v>
      </c>
      <c r="BG145" s="267">
        <v>0</v>
      </c>
      <c r="BH145" s="267">
        <v>0</v>
      </c>
      <c r="BI145" s="267">
        <v>0</v>
      </c>
      <c r="BJ145" s="267">
        <v>0</v>
      </c>
      <c r="BK145" s="267">
        <v>0</v>
      </c>
      <c r="BL145" s="267">
        <v>0</v>
      </c>
      <c r="BM145" s="267">
        <v>0</v>
      </c>
      <c r="BN145" s="267">
        <v>0</v>
      </c>
      <c r="BO145" s="267">
        <v>0</v>
      </c>
      <c r="BP145" s="267">
        <v>0</v>
      </c>
      <c r="BQ145" s="267">
        <v>0</v>
      </c>
      <c r="BR145" s="267">
        <v>0</v>
      </c>
      <c r="BS145" s="267">
        <v>246038</v>
      </c>
      <c r="BT145" s="267">
        <v>42497</v>
      </c>
      <c r="BU145" s="267">
        <v>0</v>
      </c>
      <c r="BV145" s="267">
        <v>0</v>
      </c>
      <c r="BW145" s="267">
        <v>0</v>
      </c>
      <c r="BX145" s="267">
        <v>4609</v>
      </c>
      <c r="BY145" s="267">
        <v>0</v>
      </c>
      <c r="BZ145" s="267">
        <v>0</v>
      </c>
      <c r="CA145" s="267">
        <v>0</v>
      </c>
      <c r="CB145" s="267">
        <v>0</v>
      </c>
      <c r="CC145" s="267">
        <v>0</v>
      </c>
      <c r="CD145" s="267">
        <v>0</v>
      </c>
      <c r="CE145" s="267">
        <v>0</v>
      </c>
    </row>
    <row r="146" spans="1:83" x14ac:dyDescent="0.3">
      <c r="A146" s="267">
        <v>387</v>
      </c>
      <c r="B146" s="267">
        <v>387</v>
      </c>
      <c r="C146" s="267" t="s">
        <v>195</v>
      </c>
      <c r="D146" s="267" t="s">
        <v>463</v>
      </c>
      <c r="E146" s="267">
        <v>0</v>
      </c>
      <c r="F146" s="267">
        <v>0</v>
      </c>
      <c r="G146" s="267">
        <v>0</v>
      </c>
      <c r="H146" s="267">
        <v>0</v>
      </c>
      <c r="I146" s="267">
        <v>0</v>
      </c>
      <c r="J146" s="267">
        <v>0</v>
      </c>
      <c r="K146" s="267">
        <v>112809</v>
      </c>
      <c r="L146" s="267">
        <v>0</v>
      </c>
      <c r="M146" s="267">
        <v>0</v>
      </c>
      <c r="N146" s="267">
        <v>0</v>
      </c>
      <c r="O146" s="267">
        <v>0</v>
      </c>
      <c r="P146" s="267">
        <v>0</v>
      </c>
      <c r="Q146" s="267">
        <v>0</v>
      </c>
      <c r="R146" s="267">
        <v>4519053</v>
      </c>
      <c r="S146" s="267">
        <v>0</v>
      </c>
      <c r="T146" s="267">
        <v>0</v>
      </c>
      <c r="U146" s="267">
        <v>0</v>
      </c>
      <c r="V146" s="267">
        <v>0</v>
      </c>
      <c r="W146" s="267">
        <v>0</v>
      </c>
      <c r="X146" s="267">
        <v>57800</v>
      </c>
      <c r="Y146" s="267">
        <v>0</v>
      </c>
      <c r="Z146" s="267">
        <v>0</v>
      </c>
      <c r="AA146" s="267">
        <v>27250</v>
      </c>
      <c r="AB146" s="267">
        <v>0</v>
      </c>
      <c r="AC146" s="267">
        <v>0</v>
      </c>
      <c r="AD146" s="267">
        <v>0</v>
      </c>
      <c r="AE146" s="267">
        <v>0</v>
      </c>
      <c r="AF146" s="267">
        <v>0</v>
      </c>
      <c r="AG146" s="267">
        <v>0</v>
      </c>
      <c r="AH146" s="267">
        <v>0</v>
      </c>
      <c r="AI146" s="267">
        <v>0</v>
      </c>
      <c r="AJ146" s="267">
        <v>0</v>
      </c>
      <c r="AK146" s="267">
        <v>0</v>
      </c>
      <c r="AL146" s="267">
        <v>0</v>
      </c>
      <c r="AM146" s="267">
        <v>0</v>
      </c>
      <c r="AN146" s="267">
        <v>0</v>
      </c>
      <c r="AO146" s="267">
        <v>0</v>
      </c>
      <c r="AP146" s="267">
        <v>0</v>
      </c>
      <c r="AQ146" s="267">
        <v>0</v>
      </c>
      <c r="AR146" s="267">
        <v>0</v>
      </c>
      <c r="AS146" s="267">
        <v>0</v>
      </c>
      <c r="AT146" s="267">
        <v>0</v>
      </c>
      <c r="AU146" s="267">
        <v>0</v>
      </c>
      <c r="AV146" s="267">
        <v>0</v>
      </c>
      <c r="AW146" s="267">
        <v>1904228</v>
      </c>
      <c r="AX146" s="267">
        <v>0</v>
      </c>
      <c r="AY146" s="267">
        <v>0</v>
      </c>
      <c r="AZ146" s="267">
        <v>0</v>
      </c>
      <c r="BA146" s="267">
        <v>0</v>
      </c>
      <c r="BB146" s="267">
        <v>0</v>
      </c>
      <c r="BC146" s="267">
        <v>0</v>
      </c>
      <c r="BD146" s="267">
        <v>0</v>
      </c>
      <c r="BE146" s="267">
        <v>0</v>
      </c>
      <c r="BF146" s="267">
        <v>0</v>
      </c>
      <c r="BG146" s="267">
        <v>0</v>
      </c>
      <c r="BH146" s="267">
        <v>0</v>
      </c>
      <c r="BI146" s="267">
        <v>0</v>
      </c>
      <c r="BJ146" s="267">
        <v>0</v>
      </c>
      <c r="BK146" s="267">
        <v>0</v>
      </c>
      <c r="BL146" s="267">
        <v>0</v>
      </c>
      <c r="BM146" s="267">
        <v>0</v>
      </c>
      <c r="BN146" s="267">
        <v>0</v>
      </c>
      <c r="BO146" s="267">
        <v>0</v>
      </c>
      <c r="BP146" s="267">
        <v>0</v>
      </c>
      <c r="BQ146" s="267">
        <v>0</v>
      </c>
      <c r="BR146" s="267">
        <v>0</v>
      </c>
      <c r="BS146" s="267">
        <v>0</v>
      </c>
      <c r="BT146" s="267">
        <v>0</v>
      </c>
      <c r="BU146" s="267">
        <v>0</v>
      </c>
      <c r="BV146" s="267">
        <v>0</v>
      </c>
      <c r="BW146" s="267">
        <v>0</v>
      </c>
      <c r="BX146" s="267">
        <v>0</v>
      </c>
      <c r="BY146" s="267">
        <v>172250</v>
      </c>
      <c r="BZ146" s="267">
        <v>0</v>
      </c>
      <c r="CA146" s="1232">
        <v>83469</v>
      </c>
      <c r="CB146" s="267">
        <v>0</v>
      </c>
      <c r="CC146" s="267">
        <v>0</v>
      </c>
      <c r="CD146" s="267">
        <v>0</v>
      </c>
      <c r="CE146" s="267">
        <v>0</v>
      </c>
    </row>
    <row r="147" spans="1:83" x14ac:dyDescent="0.3">
      <c r="A147" s="267">
        <v>388</v>
      </c>
      <c r="B147" s="267">
        <v>388</v>
      </c>
      <c r="C147" s="267" t="s">
        <v>189</v>
      </c>
      <c r="D147" s="267" t="s">
        <v>464</v>
      </c>
      <c r="E147" s="267">
        <v>0</v>
      </c>
      <c r="F147" s="267">
        <v>50444</v>
      </c>
      <c r="G147" s="267">
        <v>758732</v>
      </c>
      <c r="H147" s="267">
        <v>1778313</v>
      </c>
      <c r="I147" s="267">
        <v>825675</v>
      </c>
      <c r="J147" s="267">
        <v>2852474</v>
      </c>
      <c r="K147" s="267">
        <v>64724</v>
      </c>
      <c r="L147" s="267">
        <v>309924</v>
      </c>
      <c r="M147" s="267">
        <v>168507</v>
      </c>
      <c r="N147" s="267">
        <v>16216932</v>
      </c>
      <c r="O147" s="267">
        <v>482186</v>
      </c>
      <c r="P147" s="267">
        <v>5926329</v>
      </c>
      <c r="Q147" s="267">
        <v>62393</v>
      </c>
      <c r="R147" s="267">
        <v>45614148</v>
      </c>
      <c r="S147" s="267">
        <v>1688863</v>
      </c>
      <c r="T147" s="267">
        <v>41608</v>
      </c>
      <c r="U147" s="267">
        <v>64115837</v>
      </c>
      <c r="V147" s="267">
        <v>15617217</v>
      </c>
      <c r="W147" s="267">
        <v>22538703</v>
      </c>
      <c r="X147" s="267">
        <v>28375949</v>
      </c>
      <c r="Y147" s="267">
        <v>260737</v>
      </c>
      <c r="Z147" s="267">
        <v>14317396</v>
      </c>
      <c r="AA147" s="267">
        <v>1070457</v>
      </c>
      <c r="AB147" s="267">
        <v>12110320</v>
      </c>
      <c r="AC147" s="267">
        <v>4570272</v>
      </c>
      <c r="AD147" s="267">
        <v>1600494</v>
      </c>
      <c r="AE147" s="1232">
        <v>1973673</v>
      </c>
      <c r="AF147" s="267">
        <v>2473367</v>
      </c>
      <c r="AG147" s="267">
        <v>19179449</v>
      </c>
      <c r="AH147" s="267">
        <v>5136417</v>
      </c>
      <c r="AI147" s="267">
        <v>1421748</v>
      </c>
      <c r="AJ147" s="267">
        <v>44128707</v>
      </c>
      <c r="AK147" s="267">
        <v>368828</v>
      </c>
      <c r="AL147" s="267">
        <v>905149</v>
      </c>
      <c r="AM147" s="267">
        <v>0</v>
      </c>
      <c r="AN147" s="267">
        <v>12755606</v>
      </c>
      <c r="AO147" s="267">
        <v>0</v>
      </c>
      <c r="AP147" s="267">
        <v>0</v>
      </c>
      <c r="AQ147" s="267">
        <v>41204</v>
      </c>
      <c r="AR147" s="267">
        <v>8808603</v>
      </c>
      <c r="AS147" s="267">
        <v>7220887</v>
      </c>
      <c r="AT147" s="267">
        <v>477390</v>
      </c>
      <c r="AU147" s="267">
        <v>2387436</v>
      </c>
      <c r="AV147" s="267">
        <v>0</v>
      </c>
      <c r="AW147" s="267">
        <v>16871884</v>
      </c>
      <c r="AX147" s="267">
        <v>1355569</v>
      </c>
      <c r="AY147" s="267">
        <v>1492056</v>
      </c>
      <c r="AZ147" s="267">
        <v>7833422</v>
      </c>
      <c r="BA147" s="267">
        <v>938230</v>
      </c>
      <c r="BB147" s="267">
        <v>1283670</v>
      </c>
      <c r="BC147" s="267">
        <v>18026</v>
      </c>
      <c r="BD147" s="267">
        <v>0</v>
      </c>
      <c r="BE147" s="267">
        <v>8743387</v>
      </c>
      <c r="BF147" s="267">
        <v>108035</v>
      </c>
      <c r="BG147" s="267">
        <v>443138</v>
      </c>
      <c r="BH147" s="267">
        <v>136361</v>
      </c>
      <c r="BI147" s="267">
        <v>65359</v>
      </c>
      <c r="BJ147" s="267">
        <v>233594</v>
      </c>
      <c r="BK147" s="267">
        <v>114934</v>
      </c>
      <c r="BL147" s="267">
        <v>3240803</v>
      </c>
      <c r="BM147" s="267">
        <v>0</v>
      </c>
      <c r="BN147" s="267">
        <v>1787812</v>
      </c>
      <c r="BO147" s="267">
        <v>4775775</v>
      </c>
      <c r="BP147" s="267">
        <v>1265520</v>
      </c>
      <c r="BQ147" s="267">
        <v>1300653</v>
      </c>
      <c r="BR147" s="267">
        <v>18284410</v>
      </c>
      <c r="BS147" s="267">
        <v>1419917</v>
      </c>
      <c r="BT147" s="267">
        <v>10915322</v>
      </c>
      <c r="BU147" s="267">
        <v>643077</v>
      </c>
      <c r="BV147" s="267">
        <v>4712859</v>
      </c>
      <c r="BW147" s="267">
        <v>779802</v>
      </c>
      <c r="BX147" s="267">
        <v>2224611</v>
      </c>
      <c r="BY147" s="267">
        <v>755651</v>
      </c>
      <c r="BZ147" s="267">
        <v>72261</v>
      </c>
      <c r="CA147" s="1232">
        <v>215021</v>
      </c>
      <c r="CB147" s="267">
        <v>124452</v>
      </c>
      <c r="CC147" s="267">
        <v>0</v>
      </c>
      <c r="CD147" s="267">
        <v>0</v>
      </c>
      <c r="CE147" s="267">
        <v>64021</v>
      </c>
    </row>
    <row r="148" spans="1:83" x14ac:dyDescent="0.3">
      <c r="A148" s="267">
        <v>389</v>
      </c>
      <c r="B148" s="267">
        <v>389</v>
      </c>
      <c r="C148" s="267" t="s">
        <v>196</v>
      </c>
      <c r="D148" s="267" t="s">
        <v>465</v>
      </c>
      <c r="E148" s="267">
        <v>0</v>
      </c>
      <c r="F148" s="267">
        <v>0</v>
      </c>
      <c r="G148" s="267">
        <v>0</v>
      </c>
      <c r="H148" s="267">
        <v>0</v>
      </c>
      <c r="I148" s="267">
        <v>0</v>
      </c>
      <c r="J148" s="267">
        <v>0</v>
      </c>
      <c r="K148" s="267">
        <v>0</v>
      </c>
      <c r="L148" s="267">
        <v>0</v>
      </c>
      <c r="M148" s="267">
        <v>0</v>
      </c>
      <c r="N148" s="267">
        <v>0</v>
      </c>
      <c r="O148" s="267">
        <v>0</v>
      </c>
      <c r="P148" s="267">
        <v>0</v>
      </c>
      <c r="Q148" s="267">
        <v>0</v>
      </c>
      <c r="R148" s="267">
        <v>0</v>
      </c>
      <c r="S148" s="267">
        <v>0</v>
      </c>
      <c r="T148" s="267">
        <v>0</v>
      </c>
      <c r="U148" s="267">
        <v>0</v>
      </c>
      <c r="V148" s="267">
        <v>0</v>
      </c>
      <c r="W148" s="267">
        <v>0</v>
      </c>
      <c r="X148" s="267">
        <v>0</v>
      </c>
      <c r="Y148" s="267">
        <v>0</v>
      </c>
      <c r="Z148" s="267">
        <v>0</v>
      </c>
      <c r="AA148" s="267">
        <v>0</v>
      </c>
      <c r="AB148" s="267">
        <v>0</v>
      </c>
      <c r="AC148" s="267">
        <v>0</v>
      </c>
      <c r="AD148" s="267">
        <v>0</v>
      </c>
      <c r="AE148" s="267">
        <v>0</v>
      </c>
      <c r="AF148" s="267">
        <v>0</v>
      </c>
      <c r="AG148" s="267">
        <v>0</v>
      </c>
      <c r="AH148" s="267">
        <v>0</v>
      </c>
      <c r="AI148" s="267">
        <v>0</v>
      </c>
      <c r="AJ148" s="267">
        <v>0</v>
      </c>
      <c r="AK148" s="267">
        <v>0</v>
      </c>
      <c r="AL148" s="267">
        <v>0</v>
      </c>
      <c r="AM148" s="267">
        <v>0</v>
      </c>
      <c r="AN148" s="267">
        <v>0</v>
      </c>
      <c r="AO148" s="267">
        <v>0</v>
      </c>
      <c r="AP148" s="267">
        <v>0</v>
      </c>
      <c r="AQ148" s="267">
        <v>0</v>
      </c>
      <c r="AR148" s="267">
        <v>0</v>
      </c>
      <c r="AS148" s="267">
        <v>0</v>
      </c>
      <c r="AT148" s="267">
        <v>0</v>
      </c>
      <c r="AU148" s="267">
        <v>0</v>
      </c>
      <c r="AV148" s="267">
        <v>0</v>
      </c>
      <c r="AW148" s="267">
        <v>0</v>
      </c>
      <c r="AX148" s="267">
        <v>0</v>
      </c>
      <c r="AY148" s="267">
        <v>0</v>
      </c>
      <c r="AZ148" s="267">
        <v>0</v>
      </c>
      <c r="BA148" s="267">
        <v>0</v>
      </c>
      <c r="BB148" s="267">
        <v>0</v>
      </c>
      <c r="BC148" s="267">
        <v>0</v>
      </c>
      <c r="BD148" s="267">
        <v>0</v>
      </c>
      <c r="BE148" s="267">
        <v>0</v>
      </c>
      <c r="BF148" s="267">
        <v>0</v>
      </c>
      <c r="BG148" s="267">
        <v>0</v>
      </c>
      <c r="BH148" s="267">
        <v>0</v>
      </c>
      <c r="BI148" s="267">
        <v>0</v>
      </c>
      <c r="BJ148" s="267">
        <v>0</v>
      </c>
      <c r="BK148" s="267">
        <v>0</v>
      </c>
      <c r="BL148" s="267">
        <v>0</v>
      </c>
      <c r="BM148" s="267">
        <v>0</v>
      </c>
      <c r="BN148" s="267">
        <v>0</v>
      </c>
      <c r="BO148" s="267">
        <v>0</v>
      </c>
      <c r="BP148" s="267">
        <v>0</v>
      </c>
      <c r="BQ148" s="267">
        <v>0</v>
      </c>
      <c r="BR148" s="267">
        <v>0</v>
      </c>
      <c r="BS148" s="267">
        <v>0</v>
      </c>
      <c r="BT148" s="267">
        <v>0</v>
      </c>
      <c r="BU148" s="267">
        <v>0</v>
      </c>
      <c r="BV148" s="267">
        <v>0</v>
      </c>
      <c r="BW148" s="267">
        <v>0</v>
      </c>
      <c r="BX148" s="267">
        <v>0</v>
      </c>
      <c r="BY148" s="267">
        <v>0</v>
      </c>
      <c r="BZ148" s="267">
        <v>0</v>
      </c>
      <c r="CA148" s="1232">
        <v>135798</v>
      </c>
      <c r="CB148" s="267">
        <v>0</v>
      </c>
      <c r="CC148" s="267">
        <v>0</v>
      </c>
      <c r="CD148" s="267">
        <v>0</v>
      </c>
      <c r="CE148" s="267">
        <v>0</v>
      </c>
    </row>
    <row r="149" spans="1:83" x14ac:dyDescent="0.3">
      <c r="A149" s="267">
        <v>391</v>
      </c>
      <c r="B149" s="267">
        <v>391</v>
      </c>
      <c r="C149" s="267" t="s">
        <v>201</v>
      </c>
      <c r="D149" s="267" t="s">
        <v>466</v>
      </c>
      <c r="E149" s="267">
        <v>0</v>
      </c>
      <c r="F149" s="267">
        <v>4513</v>
      </c>
      <c r="G149" s="267">
        <v>70905</v>
      </c>
      <c r="H149" s="267">
        <v>398864</v>
      </c>
      <c r="I149" s="267">
        <v>209633</v>
      </c>
      <c r="J149" s="267">
        <v>273832</v>
      </c>
      <c r="K149" s="267">
        <v>635</v>
      </c>
      <c r="L149" s="267">
        <v>61222</v>
      </c>
      <c r="M149" s="267">
        <v>20036</v>
      </c>
      <c r="N149" s="267">
        <v>1219135</v>
      </c>
      <c r="O149" s="267">
        <v>99409</v>
      </c>
      <c r="P149" s="267">
        <v>1516327</v>
      </c>
      <c r="Q149" s="267">
        <v>11783</v>
      </c>
      <c r="R149" s="267">
        <v>6450041</v>
      </c>
      <c r="S149" s="267">
        <v>109641</v>
      </c>
      <c r="T149" s="267">
        <v>5483</v>
      </c>
      <c r="U149" s="267">
        <v>7410610</v>
      </c>
      <c r="V149" s="267">
        <v>2015042</v>
      </c>
      <c r="W149" s="267">
        <v>2888459</v>
      </c>
      <c r="X149" s="267">
        <v>9317570</v>
      </c>
      <c r="Y149" s="267">
        <v>51412</v>
      </c>
      <c r="Z149" s="267">
        <v>3395756</v>
      </c>
      <c r="AA149" s="267">
        <v>123396</v>
      </c>
      <c r="AB149" s="267">
        <v>1104850</v>
      </c>
      <c r="AC149" s="267">
        <v>640258</v>
      </c>
      <c r="AD149" s="267">
        <v>144219</v>
      </c>
      <c r="AE149" s="1232">
        <v>377804</v>
      </c>
      <c r="AF149" s="267">
        <v>56051</v>
      </c>
      <c r="AG149" s="267">
        <v>11990789</v>
      </c>
      <c r="AH149" s="267">
        <v>137081</v>
      </c>
      <c r="AI149" s="267">
        <v>118403</v>
      </c>
      <c r="AJ149" s="267">
        <v>19411492</v>
      </c>
      <c r="AK149" s="267">
        <v>70819</v>
      </c>
      <c r="AL149" s="267">
        <v>80227</v>
      </c>
      <c r="AM149" s="267">
        <v>0</v>
      </c>
      <c r="AN149" s="267">
        <v>1622163</v>
      </c>
      <c r="AO149" s="267">
        <v>0</v>
      </c>
      <c r="AP149" s="267">
        <v>0</v>
      </c>
      <c r="AQ149" s="267">
        <v>7573</v>
      </c>
      <c r="AR149" s="267">
        <v>360093</v>
      </c>
      <c r="AS149" s="267">
        <v>842782</v>
      </c>
      <c r="AT149" s="267">
        <v>111989</v>
      </c>
      <c r="AU149" s="267">
        <v>322068</v>
      </c>
      <c r="AV149" s="267">
        <v>0</v>
      </c>
      <c r="AW149" s="267">
        <v>282879</v>
      </c>
      <c r="AX149" s="267">
        <v>205633</v>
      </c>
      <c r="AY149" s="267">
        <v>830355</v>
      </c>
      <c r="AZ149" s="267">
        <v>199973</v>
      </c>
      <c r="BA149" s="267">
        <v>55619</v>
      </c>
      <c r="BB149" s="267">
        <v>76130</v>
      </c>
      <c r="BC149" s="267">
        <v>0</v>
      </c>
      <c r="BD149" s="267">
        <v>0</v>
      </c>
      <c r="BE149" s="267">
        <v>785253</v>
      </c>
      <c r="BF149" s="267">
        <v>15557</v>
      </c>
      <c r="BG149" s="267">
        <v>101331</v>
      </c>
      <c r="BH149" s="267">
        <v>6625</v>
      </c>
      <c r="BI149" s="267">
        <v>6360</v>
      </c>
      <c r="BJ149" s="267">
        <v>25298</v>
      </c>
      <c r="BK149" s="267">
        <v>17865</v>
      </c>
      <c r="BL149" s="267">
        <v>394966</v>
      </c>
      <c r="BM149" s="267">
        <v>0</v>
      </c>
      <c r="BN149" s="267">
        <v>911455</v>
      </c>
      <c r="BO149" s="267">
        <v>515404</v>
      </c>
      <c r="BP149" s="267">
        <v>105253</v>
      </c>
      <c r="BQ149" s="267">
        <v>167112</v>
      </c>
      <c r="BR149" s="267">
        <v>1923503</v>
      </c>
      <c r="BS149" s="267">
        <v>27610</v>
      </c>
      <c r="BT149" s="267">
        <v>736130</v>
      </c>
      <c r="BU149" s="267">
        <v>102409</v>
      </c>
      <c r="BV149" s="267">
        <v>493812</v>
      </c>
      <c r="BW149" s="267">
        <v>43709</v>
      </c>
      <c r="BX149" s="267">
        <v>347267</v>
      </c>
      <c r="BY149" s="267">
        <v>135869</v>
      </c>
      <c r="BZ149" s="267">
        <v>14992</v>
      </c>
      <c r="CA149" s="1232">
        <v>26880</v>
      </c>
      <c r="CB149" s="267">
        <v>11289</v>
      </c>
      <c r="CC149" s="267">
        <v>0</v>
      </c>
      <c r="CD149" s="267">
        <v>0</v>
      </c>
      <c r="CE149" s="267">
        <v>1607</v>
      </c>
    </row>
    <row r="150" spans="1:83" x14ac:dyDescent="0.3">
      <c r="A150" s="267">
        <v>500</v>
      </c>
      <c r="B150" s="267">
        <v>500</v>
      </c>
      <c r="C150" s="267" t="s">
        <v>183</v>
      </c>
      <c r="D150" s="267" t="s">
        <v>467</v>
      </c>
      <c r="E150" s="267">
        <v>0</v>
      </c>
      <c r="F150" s="267">
        <v>34379</v>
      </c>
      <c r="G150" s="267">
        <v>110789</v>
      </c>
      <c r="H150" s="267">
        <v>33107</v>
      </c>
      <c r="I150" s="267">
        <v>0</v>
      </c>
      <c r="J150" s="267">
        <v>122381</v>
      </c>
      <c r="K150" s="267">
        <v>0</v>
      </c>
      <c r="L150" s="267">
        <v>21341</v>
      </c>
      <c r="M150" s="267">
        <v>0</v>
      </c>
      <c r="N150" s="267">
        <v>1073655</v>
      </c>
      <c r="O150" s="267">
        <v>84991</v>
      </c>
      <c r="P150" s="267">
        <v>700189</v>
      </c>
      <c r="Q150" s="267">
        <v>0</v>
      </c>
      <c r="R150" s="267">
        <v>8457068</v>
      </c>
      <c r="S150" s="267">
        <v>1275503</v>
      </c>
      <c r="T150" s="267">
        <v>0</v>
      </c>
      <c r="U150" s="267">
        <v>20107968</v>
      </c>
      <c r="V150" s="267">
        <v>846442</v>
      </c>
      <c r="W150" s="267">
        <v>2113410</v>
      </c>
      <c r="X150" s="267">
        <v>23444593</v>
      </c>
      <c r="Y150" s="267">
        <v>130821</v>
      </c>
      <c r="Z150" s="267">
        <v>1105262</v>
      </c>
      <c r="AA150" s="267">
        <v>120108</v>
      </c>
      <c r="AB150" s="267">
        <v>1633821</v>
      </c>
      <c r="AC150" s="267">
        <v>227898</v>
      </c>
      <c r="AD150" s="267">
        <v>65892</v>
      </c>
      <c r="AE150" s="267">
        <v>0</v>
      </c>
      <c r="AF150" s="267">
        <v>256180</v>
      </c>
      <c r="AG150" s="267">
        <v>34376968</v>
      </c>
      <c r="AH150" s="267">
        <v>168143</v>
      </c>
      <c r="AI150" s="267">
        <v>54432</v>
      </c>
      <c r="AJ150" s="267">
        <v>4799452</v>
      </c>
      <c r="AK150" s="267">
        <v>154775</v>
      </c>
      <c r="AL150" s="267">
        <v>22290</v>
      </c>
      <c r="AM150" s="267">
        <v>0</v>
      </c>
      <c r="AN150" s="267">
        <v>1421039</v>
      </c>
      <c r="AO150" s="267">
        <v>0</v>
      </c>
      <c r="AP150" s="267">
        <v>0</v>
      </c>
      <c r="AQ150" s="267">
        <v>0</v>
      </c>
      <c r="AR150" s="267">
        <v>3600000</v>
      </c>
      <c r="AS150" s="267">
        <v>114427</v>
      </c>
      <c r="AT150" s="267">
        <v>87246</v>
      </c>
      <c r="AU150" s="267">
        <v>409381</v>
      </c>
      <c r="AV150" s="267">
        <v>0</v>
      </c>
      <c r="AW150" s="267">
        <v>1252958</v>
      </c>
      <c r="AX150" s="267">
        <v>15163</v>
      </c>
      <c r="AY150" s="267">
        <v>211142</v>
      </c>
      <c r="AZ150" s="267">
        <v>5896942</v>
      </c>
      <c r="BA150" s="267">
        <v>33602</v>
      </c>
      <c r="BB150" s="267">
        <v>404404</v>
      </c>
      <c r="BC150" s="267">
        <v>0</v>
      </c>
      <c r="BD150" s="267">
        <v>0</v>
      </c>
      <c r="BE150" s="267">
        <v>801248</v>
      </c>
      <c r="BF150" s="267">
        <v>35395</v>
      </c>
      <c r="BG150" s="267">
        <v>7266</v>
      </c>
      <c r="BH150" s="267">
        <v>20190</v>
      </c>
      <c r="BI150" s="267">
        <v>0</v>
      </c>
      <c r="BJ150" s="267">
        <v>65147</v>
      </c>
      <c r="BK150" s="267">
        <v>54354</v>
      </c>
      <c r="BL150" s="267">
        <v>22383</v>
      </c>
      <c r="BM150" s="267">
        <v>0</v>
      </c>
      <c r="BN150" s="267">
        <v>701</v>
      </c>
      <c r="BO150" s="267">
        <v>212600</v>
      </c>
      <c r="BP150" s="267">
        <v>87692</v>
      </c>
      <c r="BQ150" s="267">
        <v>131193</v>
      </c>
      <c r="BR150" s="267">
        <v>0</v>
      </c>
      <c r="BS150" s="267">
        <v>149467</v>
      </c>
      <c r="BT150" s="267">
        <v>377685</v>
      </c>
      <c r="BU150" s="267">
        <v>396177</v>
      </c>
      <c r="BV150" s="267">
        <v>305831</v>
      </c>
      <c r="BW150" s="267">
        <v>0</v>
      </c>
      <c r="BX150" s="267">
        <v>93896</v>
      </c>
      <c r="BY150" s="267">
        <v>408426</v>
      </c>
      <c r="BZ150" s="267">
        <v>172036</v>
      </c>
      <c r="CA150" s="1232">
        <v>35587</v>
      </c>
      <c r="CB150" s="267">
        <v>14363</v>
      </c>
      <c r="CC150" s="267">
        <v>0</v>
      </c>
      <c r="CD150" s="267">
        <v>0</v>
      </c>
      <c r="CE150" s="267">
        <v>19647</v>
      </c>
    </row>
    <row r="151" spans="1:83" x14ac:dyDescent="0.3">
      <c r="B151" s="267">
        <v>501</v>
      </c>
      <c r="C151" s="267" t="s">
        <v>185</v>
      </c>
      <c r="D151" s="267" t="s">
        <v>468</v>
      </c>
      <c r="E151" s="267">
        <v>0</v>
      </c>
      <c r="F151" s="267">
        <v>0</v>
      </c>
      <c r="G151" s="267">
        <v>0</v>
      </c>
      <c r="H151" s="267">
        <v>0</v>
      </c>
      <c r="I151" s="267">
        <v>0</v>
      </c>
      <c r="J151" s="267">
        <v>0</v>
      </c>
      <c r="K151" s="267">
        <v>0</v>
      </c>
      <c r="L151" s="267">
        <v>0</v>
      </c>
      <c r="M151" s="267">
        <v>0</v>
      </c>
      <c r="N151" s="267">
        <v>0</v>
      </c>
      <c r="O151" s="267">
        <v>0</v>
      </c>
      <c r="P151" s="267">
        <v>0</v>
      </c>
      <c r="Q151" s="267">
        <v>0</v>
      </c>
      <c r="R151" s="267">
        <v>0</v>
      </c>
      <c r="S151" s="267">
        <v>0</v>
      </c>
      <c r="T151" s="267">
        <v>0</v>
      </c>
      <c r="U151" s="267">
        <v>0</v>
      </c>
      <c r="V151" s="267">
        <v>0</v>
      </c>
      <c r="W151" s="267">
        <v>0</v>
      </c>
      <c r="X151" s="267">
        <v>0</v>
      </c>
      <c r="Y151" s="267">
        <v>0</v>
      </c>
      <c r="Z151" s="267">
        <v>0</v>
      </c>
      <c r="AA151" s="267">
        <v>0</v>
      </c>
      <c r="AB151" s="267">
        <v>0</v>
      </c>
      <c r="AC151" s="267">
        <v>0</v>
      </c>
      <c r="AD151" s="267">
        <v>0</v>
      </c>
      <c r="AE151" s="267">
        <v>0</v>
      </c>
      <c r="AF151" s="267">
        <v>0</v>
      </c>
      <c r="AG151" s="267">
        <v>0</v>
      </c>
      <c r="AH151" s="267">
        <v>0</v>
      </c>
      <c r="AI151" s="267">
        <v>0</v>
      </c>
      <c r="AJ151" s="267">
        <v>0</v>
      </c>
      <c r="AK151" s="267">
        <v>0</v>
      </c>
      <c r="AL151" s="267">
        <v>0</v>
      </c>
      <c r="AM151" s="267">
        <v>0</v>
      </c>
      <c r="AN151" s="267">
        <v>0</v>
      </c>
      <c r="AO151" s="267">
        <v>0</v>
      </c>
      <c r="AP151" s="267">
        <v>0</v>
      </c>
      <c r="AQ151" s="267">
        <v>0</v>
      </c>
      <c r="AR151" s="267">
        <v>0</v>
      </c>
      <c r="AS151" s="267">
        <v>0</v>
      </c>
      <c r="AT151" s="267">
        <v>0</v>
      </c>
      <c r="AU151" s="267">
        <v>0</v>
      </c>
      <c r="AV151" s="267">
        <v>0</v>
      </c>
      <c r="AW151" s="267">
        <v>0</v>
      </c>
      <c r="AX151" s="267">
        <v>0</v>
      </c>
      <c r="AY151" s="267">
        <v>0</v>
      </c>
      <c r="AZ151" s="267">
        <v>0</v>
      </c>
      <c r="BA151" s="267">
        <v>0</v>
      </c>
      <c r="BB151" s="267">
        <v>0</v>
      </c>
      <c r="BC151" s="267">
        <v>0</v>
      </c>
      <c r="BD151" s="267">
        <v>0</v>
      </c>
      <c r="BE151" s="267">
        <v>0</v>
      </c>
      <c r="BF151" s="267">
        <v>0</v>
      </c>
      <c r="BG151" s="267">
        <v>0</v>
      </c>
      <c r="BH151" s="267">
        <v>0</v>
      </c>
      <c r="BI151" s="267">
        <v>0</v>
      </c>
      <c r="BJ151" s="267">
        <v>0</v>
      </c>
      <c r="BK151" s="267">
        <v>0</v>
      </c>
      <c r="BL151" s="267">
        <v>0</v>
      </c>
      <c r="BM151" s="267">
        <v>0</v>
      </c>
      <c r="BN151" s="267">
        <v>0</v>
      </c>
      <c r="BO151" s="267">
        <v>0</v>
      </c>
      <c r="BP151" s="267">
        <v>0</v>
      </c>
      <c r="BQ151" s="267">
        <v>0</v>
      </c>
      <c r="BR151" s="267">
        <v>0</v>
      </c>
      <c r="BS151" s="267">
        <v>0</v>
      </c>
      <c r="BT151" s="267">
        <v>0</v>
      </c>
      <c r="BU151" s="267">
        <v>0</v>
      </c>
      <c r="BV151" s="267">
        <v>0</v>
      </c>
      <c r="BW151" s="267">
        <v>0</v>
      </c>
      <c r="BX151" s="267">
        <v>0</v>
      </c>
      <c r="BY151" s="267">
        <v>0</v>
      </c>
      <c r="BZ151" s="267">
        <v>0</v>
      </c>
      <c r="CA151" s="267">
        <v>0</v>
      </c>
      <c r="CB151" s="267">
        <v>0</v>
      </c>
      <c r="CC151" s="267">
        <v>0</v>
      </c>
      <c r="CD151" s="267">
        <v>0</v>
      </c>
      <c r="CE151" s="267">
        <v>0</v>
      </c>
    </row>
    <row r="152" spans="1:83" x14ac:dyDescent="0.3">
      <c r="A152" s="267">
        <v>502</v>
      </c>
      <c r="B152" s="267">
        <v>502</v>
      </c>
      <c r="C152" s="267" t="s">
        <v>186</v>
      </c>
      <c r="D152" s="267" t="s">
        <v>469</v>
      </c>
      <c r="E152" s="267">
        <v>0</v>
      </c>
      <c r="F152" s="267">
        <v>0</v>
      </c>
      <c r="G152" s="267">
        <v>591592</v>
      </c>
      <c r="H152" s="267">
        <v>0</v>
      </c>
      <c r="I152" s="267">
        <v>0</v>
      </c>
      <c r="J152" s="267">
        <v>0</v>
      </c>
      <c r="K152" s="267">
        <v>0</v>
      </c>
      <c r="L152" s="267">
        <v>0</v>
      </c>
      <c r="M152" s="267">
        <v>0</v>
      </c>
      <c r="N152" s="267">
        <v>0</v>
      </c>
      <c r="O152" s="267">
        <v>0</v>
      </c>
      <c r="P152" s="267">
        <v>702127</v>
      </c>
      <c r="Q152" s="267">
        <v>0</v>
      </c>
      <c r="R152" s="267">
        <v>131447145</v>
      </c>
      <c r="S152" s="267">
        <v>822124</v>
      </c>
      <c r="T152" s="267">
        <v>0</v>
      </c>
      <c r="U152" s="267">
        <v>38642033</v>
      </c>
      <c r="V152" s="267">
        <v>11987746</v>
      </c>
      <c r="W152" s="267">
        <v>23990081</v>
      </c>
      <c r="X152" s="267">
        <v>2166595</v>
      </c>
      <c r="Y152" s="267">
        <v>280586</v>
      </c>
      <c r="Z152" s="267">
        <v>4961795</v>
      </c>
      <c r="AA152" s="267">
        <v>1206170</v>
      </c>
      <c r="AB152" s="267">
        <v>12081965</v>
      </c>
      <c r="AC152" s="267">
        <v>32399</v>
      </c>
      <c r="AD152" s="267">
        <v>724499</v>
      </c>
      <c r="AE152" s="1232">
        <v>735372</v>
      </c>
      <c r="AF152" s="267">
        <v>2562610</v>
      </c>
      <c r="AG152" s="267">
        <v>2948777</v>
      </c>
      <c r="AH152" s="267">
        <v>1916485</v>
      </c>
      <c r="AI152" s="267">
        <v>125076</v>
      </c>
      <c r="AJ152" s="267">
        <v>33584912</v>
      </c>
      <c r="AK152" s="267">
        <v>771698</v>
      </c>
      <c r="AL152" s="267">
        <v>336351</v>
      </c>
      <c r="AM152" s="267">
        <v>0</v>
      </c>
      <c r="AN152" s="267">
        <v>8597222</v>
      </c>
      <c r="AO152" s="267">
        <v>0</v>
      </c>
      <c r="AP152" s="267">
        <v>0</v>
      </c>
      <c r="AQ152" s="267">
        <v>0</v>
      </c>
      <c r="AR152" s="267">
        <v>0</v>
      </c>
      <c r="AS152" s="267">
        <v>3398666</v>
      </c>
      <c r="AT152" s="267">
        <v>163723</v>
      </c>
      <c r="AU152" s="267">
        <v>615062</v>
      </c>
      <c r="AV152" s="267">
        <v>0</v>
      </c>
      <c r="AW152" s="267">
        <v>29763213</v>
      </c>
      <c r="AX152" s="267">
        <v>0</v>
      </c>
      <c r="AY152" s="267">
        <v>1765596</v>
      </c>
      <c r="AZ152" s="267">
        <v>5456373</v>
      </c>
      <c r="BA152" s="267">
        <v>845844</v>
      </c>
      <c r="BB152" s="267">
        <v>126808</v>
      </c>
      <c r="BC152" s="267">
        <v>0</v>
      </c>
      <c r="BD152" s="267">
        <v>0</v>
      </c>
      <c r="BE152" s="267">
        <v>6936576</v>
      </c>
      <c r="BF152" s="267">
        <v>0</v>
      </c>
      <c r="BG152" s="267">
        <v>161716</v>
      </c>
      <c r="BH152" s="267">
        <v>101899</v>
      </c>
      <c r="BI152" s="267">
        <v>0</v>
      </c>
      <c r="BJ152" s="267">
        <v>207211</v>
      </c>
      <c r="BK152" s="267">
        <v>0</v>
      </c>
      <c r="BL152" s="267">
        <v>2486039</v>
      </c>
      <c r="BM152" s="267">
        <v>0</v>
      </c>
      <c r="BN152" s="267">
        <v>20976</v>
      </c>
      <c r="BO152" s="267">
        <v>812808</v>
      </c>
      <c r="BP152" s="267">
        <v>464780</v>
      </c>
      <c r="BQ152" s="267">
        <v>800549</v>
      </c>
      <c r="BR152" s="267">
        <v>0</v>
      </c>
      <c r="BS152" s="267">
        <v>702237</v>
      </c>
      <c r="BT152" s="267">
        <v>5086731</v>
      </c>
      <c r="BU152" s="267">
        <v>582110</v>
      </c>
      <c r="BV152" s="267">
        <v>3438081</v>
      </c>
      <c r="BW152" s="267">
        <v>0</v>
      </c>
      <c r="BX152" s="267">
        <v>84401</v>
      </c>
      <c r="BY152" s="267">
        <v>1060063</v>
      </c>
      <c r="BZ152" s="267">
        <v>3129</v>
      </c>
      <c r="CA152" s="1232">
        <v>138117</v>
      </c>
      <c r="CB152" s="267">
        <v>956</v>
      </c>
      <c r="CC152" s="267">
        <v>0</v>
      </c>
      <c r="CD152" s="267">
        <v>0</v>
      </c>
      <c r="CE152" s="267">
        <v>7036</v>
      </c>
    </row>
    <row r="153" spans="1:83" x14ac:dyDescent="0.3">
      <c r="A153" s="267">
        <v>503</v>
      </c>
      <c r="B153" s="267">
        <v>503</v>
      </c>
      <c r="C153" s="267" t="s">
        <v>187</v>
      </c>
      <c r="D153" s="267" t="s">
        <v>470</v>
      </c>
      <c r="E153" s="267">
        <v>0</v>
      </c>
      <c r="F153" s="267">
        <v>0</v>
      </c>
      <c r="G153" s="267">
        <v>62852</v>
      </c>
      <c r="H153" s="267">
        <v>0</v>
      </c>
      <c r="I153" s="267">
        <v>0</v>
      </c>
      <c r="J153" s="267">
        <v>0</v>
      </c>
      <c r="K153" s="267">
        <v>7283</v>
      </c>
      <c r="L153" s="267">
        <v>0</v>
      </c>
      <c r="M153" s="267">
        <v>0</v>
      </c>
      <c r="N153" s="267">
        <v>0</v>
      </c>
      <c r="O153" s="267">
        <v>0</v>
      </c>
      <c r="P153" s="267">
        <v>115425</v>
      </c>
      <c r="Q153" s="267">
        <v>0</v>
      </c>
      <c r="R153" s="267">
        <v>7223550</v>
      </c>
      <c r="S153" s="267">
        <v>5780</v>
      </c>
      <c r="T153" s="267">
        <v>0</v>
      </c>
      <c r="U153" s="267">
        <v>15556619</v>
      </c>
      <c r="V153" s="267">
        <v>106023</v>
      </c>
      <c r="W153" s="267">
        <v>909074</v>
      </c>
      <c r="X153" s="267">
        <v>0</v>
      </c>
      <c r="Y153" s="267">
        <v>0</v>
      </c>
      <c r="Z153" s="267">
        <v>46060</v>
      </c>
      <c r="AA153" s="267">
        <v>186823</v>
      </c>
      <c r="AB153" s="267">
        <v>1764466</v>
      </c>
      <c r="AC153" s="267">
        <v>195607</v>
      </c>
      <c r="AD153" s="267">
        <v>75952</v>
      </c>
      <c r="AE153" s="267">
        <v>0</v>
      </c>
      <c r="AF153" s="267">
        <v>139580</v>
      </c>
      <c r="AG153" s="267">
        <v>457034</v>
      </c>
      <c r="AH153" s="267">
        <v>164812</v>
      </c>
      <c r="AI153" s="267">
        <v>0</v>
      </c>
      <c r="AJ153" s="267">
        <v>6111774</v>
      </c>
      <c r="AK153" s="267">
        <v>13125</v>
      </c>
      <c r="AL153" s="267">
        <v>14072</v>
      </c>
      <c r="AM153" s="267">
        <v>0</v>
      </c>
      <c r="AN153" s="267">
        <v>414515</v>
      </c>
      <c r="AO153" s="267">
        <v>0</v>
      </c>
      <c r="AP153" s="267">
        <v>0</v>
      </c>
      <c r="AQ153" s="267">
        <v>0</v>
      </c>
      <c r="AR153" s="267">
        <v>0</v>
      </c>
      <c r="AS153" s="267">
        <v>73728</v>
      </c>
      <c r="AT153" s="267">
        <v>0</v>
      </c>
      <c r="AU153" s="267">
        <v>33300</v>
      </c>
      <c r="AV153" s="267">
        <v>0</v>
      </c>
      <c r="AW153" s="267">
        <v>8790703</v>
      </c>
      <c r="AX153" s="267">
        <v>0</v>
      </c>
      <c r="AY153" s="267">
        <v>21720</v>
      </c>
      <c r="AZ153" s="267">
        <v>176024</v>
      </c>
      <c r="BA153" s="267">
        <v>30450</v>
      </c>
      <c r="BB153" s="267">
        <v>23802</v>
      </c>
      <c r="BC153" s="267">
        <v>0</v>
      </c>
      <c r="BD153" s="267">
        <v>0</v>
      </c>
      <c r="BE153" s="267">
        <v>0</v>
      </c>
      <c r="BF153" s="267">
        <v>0</v>
      </c>
      <c r="BG153" s="267">
        <v>2700</v>
      </c>
      <c r="BH153" s="267">
        <v>5856</v>
      </c>
      <c r="BI153" s="267">
        <v>0</v>
      </c>
      <c r="BJ153" s="267">
        <v>19810</v>
      </c>
      <c r="BK153" s="267">
        <v>0</v>
      </c>
      <c r="BL153" s="267">
        <v>0</v>
      </c>
      <c r="BM153" s="267">
        <v>0</v>
      </c>
      <c r="BN153" s="267">
        <v>37600</v>
      </c>
      <c r="BO153" s="267">
        <v>4113</v>
      </c>
      <c r="BP153" s="267">
        <v>142515</v>
      </c>
      <c r="BQ153" s="267">
        <v>88073</v>
      </c>
      <c r="BR153" s="267">
        <v>0</v>
      </c>
      <c r="BS153" s="267">
        <v>128906</v>
      </c>
      <c r="BT153" s="267">
        <v>243203</v>
      </c>
      <c r="BU153" s="267">
        <v>58978</v>
      </c>
      <c r="BV153" s="267">
        <v>128287</v>
      </c>
      <c r="BW153" s="267">
        <v>0</v>
      </c>
      <c r="BX153" s="267">
        <v>171717</v>
      </c>
      <c r="BY153" s="267">
        <v>35271</v>
      </c>
      <c r="BZ153" s="267">
        <v>0</v>
      </c>
      <c r="CA153" s="1232">
        <v>38735</v>
      </c>
      <c r="CB153" s="267">
        <v>7684</v>
      </c>
      <c r="CC153" s="267">
        <v>0</v>
      </c>
      <c r="CD153" s="267">
        <v>0</v>
      </c>
      <c r="CE153" s="267">
        <v>0</v>
      </c>
    </row>
    <row r="154" spans="1:83" x14ac:dyDescent="0.3">
      <c r="A154" s="267">
        <v>504</v>
      </c>
      <c r="B154" s="267">
        <v>504</v>
      </c>
      <c r="C154" s="267" t="s">
        <v>191</v>
      </c>
      <c r="D154" s="267" t="s">
        <v>471</v>
      </c>
      <c r="E154" s="267">
        <v>0</v>
      </c>
      <c r="F154" s="267">
        <v>6916</v>
      </c>
      <c r="G154" s="267">
        <v>66013</v>
      </c>
      <c r="H154" s="267">
        <v>86136</v>
      </c>
      <c r="I154" s="267">
        <v>0</v>
      </c>
      <c r="J154" s="267">
        <v>24896</v>
      </c>
      <c r="K154" s="267">
        <v>0</v>
      </c>
      <c r="L154" s="267">
        <v>0</v>
      </c>
      <c r="M154" s="267">
        <v>18658</v>
      </c>
      <c r="N154" s="267">
        <v>1385696</v>
      </c>
      <c r="O154" s="267">
        <v>0</v>
      </c>
      <c r="P154" s="267">
        <v>586756</v>
      </c>
      <c r="Q154" s="267">
        <v>0</v>
      </c>
      <c r="R154" s="267">
        <v>2469613</v>
      </c>
      <c r="S154" s="267">
        <v>262302</v>
      </c>
      <c r="T154" s="267">
        <v>5125</v>
      </c>
      <c r="U154" s="267">
        <v>3802996</v>
      </c>
      <c r="V154" s="267">
        <v>1089827</v>
      </c>
      <c r="W154" s="267">
        <v>2407803</v>
      </c>
      <c r="X154" s="267">
        <v>614529</v>
      </c>
      <c r="Y154" s="267">
        <v>37076</v>
      </c>
      <c r="Z154" s="267">
        <v>462396</v>
      </c>
      <c r="AA154" s="267">
        <v>66097</v>
      </c>
      <c r="AB154" s="267">
        <v>287632</v>
      </c>
      <c r="AC154" s="267">
        <v>135736</v>
      </c>
      <c r="AD154" s="267">
        <v>596231</v>
      </c>
      <c r="AE154" s="1232">
        <v>132167</v>
      </c>
      <c r="AF154" s="267">
        <v>185865</v>
      </c>
      <c r="AG154" s="267">
        <v>176074</v>
      </c>
      <c r="AH154" s="267">
        <v>320132</v>
      </c>
      <c r="AI154" s="267">
        <v>50148</v>
      </c>
      <c r="AJ154" s="267">
        <v>1677370</v>
      </c>
      <c r="AK154" s="267">
        <v>21817</v>
      </c>
      <c r="AL154" s="267">
        <v>25514</v>
      </c>
      <c r="AM154" s="267">
        <v>0</v>
      </c>
      <c r="AN154" s="267">
        <v>819293</v>
      </c>
      <c r="AO154" s="267">
        <v>0</v>
      </c>
      <c r="AP154" s="267">
        <v>0</v>
      </c>
      <c r="AQ154" s="267">
        <v>4454</v>
      </c>
      <c r="AR154" s="267">
        <v>4410885</v>
      </c>
      <c r="AS154" s="267">
        <v>371705</v>
      </c>
      <c r="AT154" s="267">
        <v>84000</v>
      </c>
      <c r="AU154" s="267">
        <v>86167</v>
      </c>
      <c r="AV154" s="267">
        <v>0</v>
      </c>
      <c r="AW154" s="267">
        <v>318358</v>
      </c>
      <c r="AX154" s="267">
        <v>2897</v>
      </c>
      <c r="AY154" s="267">
        <v>89006</v>
      </c>
      <c r="AZ154" s="267">
        <v>663025</v>
      </c>
      <c r="BA154" s="267">
        <v>66232</v>
      </c>
      <c r="BB154" s="267">
        <v>272546</v>
      </c>
      <c r="BC154" s="267">
        <v>0</v>
      </c>
      <c r="BD154" s="267">
        <v>0</v>
      </c>
      <c r="BE154" s="267">
        <v>89415</v>
      </c>
      <c r="BF154" s="267">
        <v>11381</v>
      </c>
      <c r="BG154" s="267">
        <v>59595</v>
      </c>
      <c r="BH154" s="267">
        <v>46745</v>
      </c>
      <c r="BI154" s="267">
        <v>8069</v>
      </c>
      <c r="BJ154" s="267">
        <v>16196</v>
      </c>
      <c r="BK154" s="267">
        <v>19672</v>
      </c>
      <c r="BL154" s="267">
        <v>254949</v>
      </c>
      <c r="BM154" s="267">
        <v>0</v>
      </c>
      <c r="BN154" s="267">
        <v>43900</v>
      </c>
      <c r="BO154" s="267">
        <v>1404195</v>
      </c>
      <c r="BP154" s="267">
        <v>52226</v>
      </c>
      <c r="BQ154" s="267">
        <v>319819</v>
      </c>
      <c r="BR154" s="267">
        <v>859123</v>
      </c>
      <c r="BS154" s="267">
        <v>78710</v>
      </c>
      <c r="BT154" s="267">
        <v>1939701</v>
      </c>
      <c r="BU154" s="267">
        <v>194132</v>
      </c>
      <c r="BV154" s="267">
        <v>350016</v>
      </c>
      <c r="BW154" s="267">
        <v>0</v>
      </c>
      <c r="BX154" s="267">
        <v>105227</v>
      </c>
      <c r="BY154" s="267">
        <v>80775</v>
      </c>
      <c r="BZ154" s="267">
        <v>75253</v>
      </c>
      <c r="CA154" s="1232">
        <v>95898</v>
      </c>
      <c r="CB154" s="267">
        <v>7194</v>
      </c>
      <c r="CC154" s="267">
        <v>0</v>
      </c>
      <c r="CD154" s="267">
        <v>0</v>
      </c>
      <c r="CE154" s="267">
        <v>4063</v>
      </c>
    </row>
    <row r="155" spans="1:83" x14ac:dyDescent="0.3">
      <c r="A155" s="267">
        <v>505</v>
      </c>
      <c r="B155" s="267">
        <v>505</v>
      </c>
      <c r="C155" s="267" t="s">
        <v>192</v>
      </c>
      <c r="D155" s="267" t="s">
        <v>472</v>
      </c>
      <c r="E155" s="267">
        <v>0</v>
      </c>
      <c r="F155" s="267">
        <v>0</v>
      </c>
      <c r="G155" s="267">
        <v>77000</v>
      </c>
      <c r="H155" s="267">
        <v>0</v>
      </c>
      <c r="I155" s="267">
        <v>0</v>
      </c>
      <c r="J155" s="267">
        <v>116199</v>
      </c>
      <c r="K155" s="267">
        <v>0</v>
      </c>
      <c r="L155" s="267">
        <v>0</v>
      </c>
      <c r="M155" s="267">
        <v>0</v>
      </c>
      <c r="N155" s="267">
        <v>0</v>
      </c>
      <c r="O155" s="267">
        <v>13774</v>
      </c>
      <c r="P155" s="267">
        <v>182459</v>
      </c>
      <c r="Q155" s="267">
        <v>0</v>
      </c>
      <c r="R155" s="267">
        <v>112671</v>
      </c>
      <c r="S155" s="267">
        <v>79504</v>
      </c>
      <c r="T155" s="267">
        <v>0</v>
      </c>
      <c r="U155" s="267">
        <v>0</v>
      </c>
      <c r="V155" s="267">
        <v>0</v>
      </c>
      <c r="W155" s="267">
        <v>193198</v>
      </c>
      <c r="X155" s="267">
        <v>4631939</v>
      </c>
      <c r="Y155" s="267">
        <v>0</v>
      </c>
      <c r="Z155" s="267">
        <v>0</v>
      </c>
      <c r="AA155" s="267">
        <v>0</v>
      </c>
      <c r="AB155" s="267">
        <v>899605</v>
      </c>
      <c r="AC155" s="267">
        <v>60712</v>
      </c>
      <c r="AD155" s="267">
        <v>0</v>
      </c>
      <c r="AE155" s="1232">
        <v>28953</v>
      </c>
      <c r="AF155" s="267">
        <v>62568</v>
      </c>
      <c r="AG155" s="267">
        <v>18441547</v>
      </c>
      <c r="AH155" s="267">
        <v>9900</v>
      </c>
      <c r="AI155" s="267">
        <v>0</v>
      </c>
      <c r="AJ155" s="267">
        <v>687000</v>
      </c>
      <c r="AK155" s="267">
        <v>0</v>
      </c>
      <c r="AL155" s="267">
        <v>0</v>
      </c>
      <c r="AM155" s="267">
        <v>0</v>
      </c>
      <c r="AN155" s="267">
        <v>126676</v>
      </c>
      <c r="AO155" s="267">
        <v>0</v>
      </c>
      <c r="AP155" s="267">
        <v>0</v>
      </c>
      <c r="AQ155" s="267">
        <v>0</v>
      </c>
      <c r="AR155" s="267">
        <v>0</v>
      </c>
      <c r="AS155" s="267">
        <v>190200</v>
      </c>
      <c r="AT155" s="267">
        <v>0</v>
      </c>
      <c r="AU155" s="267">
        <v>75000</v>
      </c>
      <c r="AV155" s="267">
        <v>0</v>
      </c>
      <c r="AW155" s="267">
        <v>156491</v>
      </c>
      <c r="AX155" s="267">
        <v>75067</v>
      </c>
      <c r="AY155" s="267">
        <v>190088</v>
      </c>
      <c r="AZ155" s="267">
        <v>0</v>
      </c>
      <c r="BA155" s="267">
        <v>0</v>
      </c>
      <c r="BB155" s="267">
        <v>0</v>
      </c>
      <c r="BC155" s="267">
        <v>0</v>
      </c>
      <c r="BD155" s="267">
        <v>0</v>
      </c>
      <c r="BE155" s="267">
        <v>0</v>
      </c>
      <c r="BF155" s="267">
        <v>0</v>
      </c>
      <c r="BG155" s="267">
        <v>0</v>
      </c>
      <c r="BH155" s="267">
        <v>0</v>
      </c>
      <c r="BI155" s="267">
        <v>0</v>
      </c>
      <c r="BJ155" s="267">
        <v>0</v>
      </c>
      <c r="BK155" s="267">
        <v>0</v>
      </c>
      <c r="BL155" s="267">
        <v>0</v>
      </c>
      <c r="BM155" s="267">
        <v>0</v>
      </c>
      <c r="BN155" s="267">
        <v>157304</v>
      </c>
      <c r="BO155" s="267">
        <v>21170</v>
      </c>
      <c r="BP155" s="267">
        <v>0</v>
      </c>
      <c r="BQ155" s="267">
        <v>0</v>
      </c>
      <c r="BR155" s="267">
        <v>397249</v>
      </c>
      <c r="BS155" s="267">
        <v>0</v>
      </c>
      <c r="BT155" s="267">
        <v>521407</v>
      </c>
      <c r="BU155" s="267">
        <v>0</v>
      </c>
      <c r="BV155" s="267">
        <v>22885</v>
      </c>
      <c r="BW155" s="267">
        <v>377562</v>
      </c>
      <c r="BX155" s="267">
        <v>214100</v>
      </c>
      <c r="BY155" s="267">
        <v>10300</v>
      </c>
      <c r="BZ155" s="267">
        <v>0</v>
      </c>
      <c r="CA155" s="1232">
        <v>3913</v>
      </c>
      <c r="CB155" s="267">
        <v>0</v>
      </c>
      <c r="CC155" s="267">
        <v>0</v>
      </c>
      <c r="CD155" s="267">
        <v>0</v>
      </c>
      <c r="CE155" s="267">
        <v>0</v>
      </c>
    </row>
    <row r="156" spans="1:83" x14ac:dyDescent="0.3">
      <c r="A156" s="267">
        <v>506</v>
      </c>
      <c r="B156" s="267">
        <v>506</v>
      </c>
      <c r="C156" s="267" t="s">
        <v>198</v>
      </c>
      <c r="D156" s="267" t="s">
        <v>473</v>
      </c>
      <c r="E156" s="267">
        <v>0</v>
      </c>
      <c r="F156" s="267">
        <v>102929</v>
      </c>
      <c r="G156" s="267">
        <v>775020</v>
      </c>
      <c r="H156" s="267">
        <v>3621262</v>
      </c>
      <c r="I156" s="267">
        <v>5125205</v>
      </c>
      <c r="J156" s="267">
        <v>4763513</v>
      </c>
      <c r="K156" s="267">
        <v>105791</v>
      </c>
      <c r="L156" s="267">
        <v>827716</v>
      </c>
      <c r="M156" s="267">
        <v>959120</v>
      </c>
      <c r="N156" s="267">
        <v>6109904</v>
      </c>
      <c r="O156" s="267">
        <v>493604</v>
      </c>
      <c r="P156" s="267">
        <v>4885397</v>
      </c>
      <c r="Q156" s="267">
        <v>278023</v>
      </c>
      <c r="R156" s="267">
        <v>29858180</v>
      </c>
      <c r="S156" s="267">
        <v>1401454</v>
      </c>
      <c r="T156" s="267">
        <v>210400</v>
      </c>
      <c r="U156" s="267">
        <v>32248785</v>
      </c>
      <c r="V156" s="267">
        <v>7611828</v>
      </c>
      <c r="W156" s="267">
        <v>17108289</v>
      </c>
      <c r="X156" s="267">
        <v>28196249</v>
      </c>
      <c r="Y156" s="267">
        <v>131108</v>
      </c>
      <c r="Z156" s="267">
        <v>11644439</v>
      </c>
      <c r="AA156" s="267">
        <v>1362700</v>
      </c>
      <c r="AB156" s="267">
        <v>11075446</v>
      </c>
      <c r="AC156" s="267">
        <v>563790</v>
      </c>
      <c r="AD156" s="267">
        <v>1651988</v>
      </c>
      <c r="AE156" s="1232">
        <v>1092240</v>
      </c>
      <c r="AF156" s="267">
        <v>3019792</v>
      </c>
      <c r="AG156" s="267">
        <v>7400797</v>
      </c>
      <c r="AH156" s="267">
        <v>5372020</v>
      </c>
      <c r="AI156" s="267">
        <v>715153</v>
      </c>
      <c r="AJ156" s="267">
        <v>4698072</v>
      </c>
      <c r="AK156" s="267">
        <v>3049450</v>
      </c>
      <c r="AL156" s="267">
        <v>724636</v>
      </c>
      <c r="AM156" s="267">
        <v>0</v>
      </c>
      <c r="AN156" s="267">
        <v>7180127</v>
      </c>
      <c r="AO156" s="267">
        <v>0</v>
      </c>
      <c r="AP156" s="267">
        <v>0</v>
      </c>
      <c r="AQ156" s="267">
        <v>90609</v>
      </c>
      <c r="AR156" s="267">
        <v>3063069</v>
      </c>
      <c r="AS156" s="267">
        <v>17293599</v>
      </c>
      <c r="AT156" s="267">
        <v>545467</v>
      </c>
      <c r="AU156" s="267">
        <v>1108850</v>
      </c>
      <c r="AV156" s="267">
        <v>0</v>
      </c>
      <c r="AW156" s="267">
        <v>12704194</v>
      </c>
      <c r="AX156" s="267">
        <v>3659147</v>
      </c>
      <c r="AY156" s="267">
        <v>714224</v>
      </c>
      <c r="AZ156" s="267">
        <v>17807798</v>
      </c>
      <c r="BA156" s="267">
        <v>1882828</v>
      </c>
      <c r="BB156" s="267">
        <v>545906</v>
      </c>
      <c r="BC156" s="267">
        <v>101867</v>
      </c>
      <c r="BD156" s="267">
        <v>0</v>
      </c>
      <c r="BE156" s="267">
        <v>5233178</v>
      </c>
      <c r="BF156" s="267">
        <v>487845</v>
      </c>
      <c r="BG156" s="267">
        <v>661790</v>
      </c>
      <c r="BH156" s="267">
        <v>137666</v>
      </c>
      <c r="BI156" s="267">
        <v>293122</v>
      </c>
      <c r="BJ156" s="267">
        <v>455841</v>
      </c>
      <c r="BK156" s="267">
        <v>205663</v>
      </c>
      <c r="BL156" s="267">
        <v>1540687</v>
      </c>
      <c r="BM156" s="267">
        <v>0</v>
      </c>
      <c r="BN156" s="267">
        <v>75428</v>
      </c>
      <c r="BO156" s="267">
        <v>2775945</v>
      </c>
      <c r="BP156" s="267">
        <v>771917</v>
      </c>
      <c r="BQ156" s="267">
        <v>1597350</v>
      </c>
      <c r="BR156" s="267">
        <v>6867632</v>
      </c>
      <c r="BS156" s="267">
        <v>321426</v>
      </c>
      <c r="BT156" s="267">
        <v>19087261</v>
      </c>
      <c r="BU156" s="267">
        <v>555905</v>
      </c>
      <c r="BV156" s="267">
        <v>3308050</v>
      </c>
      <c r="BW156" s="267">
        <v>1019216</v>
      </c>
      <c r="BX156" s="267">
        <v>1000791</v>
      </c>
      <c r="BY156" s="267">
        <v>1668344</v>
      </c>
      <c r="BZ156" s="267">
        <v>195462</v>
      </c>
      <c r="CA156" s="1232">
        <v>942182</v>
      </c>
      <c r="CB156" s="267">
        <v>156388</v>
      </c>
      <c r="CC156" s="267">
        <v>0</v>
      </c>
      <c r="CD156" s="267">
        <v>0</v>
      </c>
      <c r="CE156" s="267">
        <v>347794</v>
      </c>
    </row>
    <row r="157" spans="1:83" x14ac:dyDescent="0.3">
      <c r="A157" s="267">
        <v>507</v>
      </c>
      <c r="B157" s="267">
        <v>507</v>
      </c>
      <c r="C157" s="267" t="s">
        <v>216</v>
      </c>
      <c r="D157" s="267" t="s">
        <v>474</v>
      </c>
      <c r="E157" s="267">
        <v>0</v>
      </c>
      <c r="F157" s="267">
        <v>0</v>
      </c>
      <c r="G157" s="267">
        <v>0</v>
      </c>
      <c r="H157" s="267">
        <v>0</v>
      </c>
      <c r="I157" s="267">
        <v>0</v>
      </c>
      <c r="J157" s="267">
        <v>0</v>
      </c>
      <c r="K157" s="267">
        <v>0</v>
      </c>
      <c r="L157" s="267">
        <v>0</v>
      </c>
      <c r="M157" s="267">
        <v>0</v>
      </c>
      <c r="N157" s="267">
        <v>-84092</v>
      </c>
      <c r="O157" s="267">
        <v>0</v>
      </c>
      <c r="P157" s="267">
        <v>0</v>
      </c>
      <c r="Q157" s="267">
        <v>0</v>
      </c>
      <c r="R157" s="267">
        <v>0</v>
      </c>
      <c r="S157" s="267">
        <v>0</v>
      </c>
      <c r="T157" s="267">
        <v>0</v>
      </c>
      <c r="U157" s="267">
        <v>0</v>
      </c>
      <c r="V157" s="267">
        <v>0</v>
      </c>
      <c r="W157" s="267">
        <v>0</v>
      </c>
      <c r="X157" s="267">
        <v>0</v>
      </c>
      <c r="Y157" s="267">
        <v>0</v>
      </c>
      <c r="Z157" s="267">
        <v>0</v>
      </c>
      <c r="AA157" s="267">
        <v>0</v>
      </c>
      <c r="AB157" s="267">
        <v>0</v>
      </c>
      <c r="AC157" s="267">
        <v>1</v>
      </c>
      <c r="AD157" s="267">
        <v>0</v>
      </c>
      <c r="AE157" s="267">
        <v>0</v>
      </c>
      <c r="AF157" s="267">
        <v>0</v>
      </c>
      <c r="AG157" s="267">
        <v>1</v>
      </c>
      <c r="AH157" s="267">
        <v>0</v>
      </c>
      <c r="AI157" s="267">
        <v>0</v>
      </c>
      <c r="AJ157" s="267">
        <v>-301195</v>
      </c>
      <c r="AK157" s="267">
        <v>0</v>
      </c>
      <c r="AL157" s="267">
        <v>0</v>
      </c>
      <c r="AM157" s="267">
        <v>0</v>
      </c>
      <c r="AN157" s="267">
        <v>0</v>
      </c>
      <c r="AO157" s="267">
        <v>0</v>
      </c>
      <c r="AP157" s="267">
        <v>0</v>
      </c>
      <c r="AQ157" s="267">
        <v>0</v>
      </c>
      <c r="AR157" s="267">
        <v>0</v>
      </c>
      <c r="AS157" s="267">
        <v>0</v>
      </c>
      <c r="AT157" s="267">
        <v>0</v>
      </c>
      <c r="AU157" s="267">
        <v>0</v>
      </c>
      <c r="AV157" s="267">
        <v>0</v>
      </c>
      <c r="AW157" s="267">
        <v>0</v>
      </c>
      <c r="AX157" s="267">
        <v>0</v>
      </c>
      <c r="AY157" s="267">
        <v>1</v>
      </c>
      <c r="AZ157" s="267">
        <v>0</v>
      </c>
      <c r="BA157" s="267">
        <v>0</v>
      </c>
      <c r="BB157" s="267">
        <v>0</v>
      </c>
      <c r="BC157" s="267">
        <v>0</v>
      </c>
      <c r="BD157" s="267">
        <v>0</v>
      </c>
      <c r="BE157" s="267">
        <v>0</v>
      </c>
      <c r="BF157" s="267">
        <v>0</v>
      </c>
      <c r="BG157" s="267">
        <v>0</v>
      </c>
      <c r="BH157" s="267">
        <v>0</v>
      </c>
      <c r="BI157" s="267">
        <v>0</v>
      </c>
      <c r="BJ157" s="267">
        <v>0</v>
      </c>
      <c r="BK157" s="267">
        <v>0</v>
      </c>
      <c r="BL157" s="267">
        <v>0</v>
      </c>
      <c r="BM157" s="267">
        <v>0</v>
      </c>
      <c r="BN157" s="267">
        <v>0</v>
      </c>
      <c r="BO157" s="267">
        <v>0</v>
      </c>
      <c r="BP157" s="267">
        <v>0</v>
      </c>
      <c r="BQ157" s="267">
        <v>0</v>
      </c>
      <c r="BR157" s="267">
        <v>0</v>
      </c>
      <c r="BS157" s="267">
        <v>0</v>
      </c>
      <c r="BT157" s="267">
        <v>0</v>
      </c>
      <c r="BU157" s="267">
        <v>0</v>
      </c>
      <c r="BV157" s="267">
        <v>0</v>
      </c>
      <c r="BW157" s="267">
        <v>0</v>
      </c>
      <c r="BX157" s="267">
        <v>0</v>
      </c>
      <c r="BY157" s="267">
        <v>0</v>
      </c>
      <c r="BZ157" s="267">
        <v>0</v>
      </c>
      <c r="CA157" s="267">
        <v>0</v>
      </c>
      <c r="CB157" s="267">
        <v>0</v>
      </c>
      <c r="CC157" s="267">
        <v>0</v>
      </c>
      <c r="CD157" s="267">
        <v>0</v>
      </c>
      <c r="CE157" s="267">
        <v>0</v>
      </c>
    </row>
    <row r="158" spans="1:83" x14ac:dyDescent="0.3">
      <c r="A158" s="267">
        <v>508</v>
      </c>
      <c r="B158" s="267">
        <v>508</v>
      </c>
      <c r="C158" s="267" t="s">
        <v>213</v>
      </c>
      <c r="D158" s="267" t="s">
        <v>475</v>
      </c>
      <c r="E158" s="267">
        <v>0</v>
      </c>
      <c r="F158" s="267">
        <v>0</v>
      </c>
      <c r="G158" s="267">
        <v>0</v>
      </c>
      <c r="H158" s="267">
        <v>0</v>
      </c>
      <c r="I158" s="267">
        <v>0</v>
      </c>
      <c r="J158" s="267">
        <v>0</v>
      </c>
      <c r="K158" s="267">
        <v>0</v>
      </c>
      <c r="L158" s="267">
        <v>0</v>
      </c>
      <c r="M158" s="267">
        <v>0</v>
      </c>
      <c r="N158" s="267">
        <v>0</v>
      </c>
      <c r="O158" s="267">
        <v>0</v>
      </c>
      <c r="P158" s="267">
        <v>0</v>
      </c>
      <c r="Q158" s="267">
        <v>0</v>
      </c>
      <c r="R158" s="267">
        <v>0</v>
      </c>
      <c r="S158" s="267">
        <v>0</v>
      </c>
      <c r="T158" s="267">
        <v>0</v>
      </c>
      <c r="U158" s="267">
        <v>0</v>
      </c>
      <c r="V158" s="267">
        <v>0</v>
      </c>
      <c r="W158" s="267">
        <v>0</v>
      </c>
      <c r="X158" s="267">
        <v>0</v>
      </c>
      <c r="Y158" s="267">
        <v>0</v>
      </c>
      <c r="Z158" s="267">
        <v>0</v>
      </c>
      <c r="AA158" s="267">
        <v>0</v>
      </c>
      <c r="AB158" s="267">
        <v>0</v>
      </c>
      <c r="AC158" s="267">
        <v>0</v>
      </c>
      <c r="AD158" s="267">
        <v>0</v>
      </c>
      <c r="AE158" s="267">
        <v>0</v>
      </c>
      <c r="AF158" s="267">
        <v>0</v>
      </c>
      <c r="AG158" s="267">
        <v>0</v>
      </c>
      <c r="AH158" s="267">
        <v>0</v>
      </c>
      <c r="AI158" s="267">
        <v>0</v>
      </c>
      <c r="AJ158" s="267">
        <v>0</v>
      </c>
      <c r="AK158" s="267">
        <v>0</v>
      </c>
      <c r="AL158" s="267">
        <v>0</v>
      </c>
      <c r="AM158" s="267">
        <v>0</v>
      </c>
      <c r="AN158" s="267">
        <v>0</v>
      </c>
      <c r="AO158" s="267">
        <v>0</v>
      </c>
      <c r="AP158" s="267">
        <v>0</v>
      </c>
      <c r="AQ158" s="267">
        <v>0</v>
      </c>
      <c r="AR158" s="267">
        <v>0</v>
      </c>
      <c r="AS158" s="267">
        <v>0</v>
      </c>
      <c r="AT158" s="267">
        <v>0</v>
      </c>
      <c r="AU158" s="267">
        <v>0</v>
      </c>
      <c r="AV158" s="267">
        <v>0</v>
      </c>
      <c r="AW158" s="267">
        <v>0</v>
      </c>
      <c r="AX158" s="267">
        <v>0</v>
      </c>
      <c r="AY158" s="267">
        <v>0</v>
      </c>
      <c r="AZ158" s="267">
        <v>0</v>
      </c>
      <c r="BA158" s="267">
        <v>0</v>
      </c>
      <c r="BB158" s="267">
        <v>0</v>
      </c>
      <c r="BC158" s="267">
        <v>0</v>
      </c>
      <c r="BD158" s="267">
        <v>0</v>
      </c>
      <c r="BE158" s="267">
        <v>0</v>
      </c>
      <c r="BF158" s="267">
        <v>0</v>
      </c>
      <c r="BG158" s="267">
        <v>0</v>
      </c>
      <c r="BH158" s="267">
        <v>0</v>
      </c>
      <c r="BI158" s="267">
        <v>0</v>
      </c>
      <c r="BJ158" s="267">
        <v>0</v>
      </c>
      <c r="BK158" s="267">
        <v>0</v>
      </c>
      <c r="BL158" s="267">
        <v>0</v>
      </c>
      <c r="BM158" s="267">
        <v>0</v>
      </c>
      <c r="BN158" s="267">
        <v>0</v>
      </c>
      <c r="BO158" s="267">
        <v>0</v>
      </c>
      <c r="BP158" s="267">
        <v>0</v>
      </c>
      <c r="BQ158" s="267">
        <v>0</v>
      </c>
      <c r="BR158" s="267">
        <v>0</v>
      </c>
      <c r="BS158" s="267">
        <v>0</v>
      </c>
      <c r="BT158" s="267">
        <v>0</v>
      </c>
      <c r="BU158" s="267">
        <v>0</v>
      </c>
      <c r="BV158" s="267">
        <v>0</v>
      </c>
      <c r="BW158" s="267">
        <v>0</v>
      </c>
      <c r="BX158" s="267">
        <v>0</v>
      </c>
      <c r="BY158" s="267">
        <v>0</v>
      </c>
      <c r="BZ158" s="267">
        <v>0</v>
      </c>
      <c r="CA158" s="267">
        <v>0</v>
      </c>
      <c r="CB158" s="267">
        <v>0</v>
      </c>
      <c r="CC158" s="267">
        <v>0</v>
      </c>
      <c r="CD158" s="267">
        <v>0</v>
      </c>
      <c r="CE158" s="267">
        <v>0</v>
      </c>
    </row>
    <row r="159" spans="1:83" x14ac:dyDescent="0.3">
      <c r="A159" s="267">
        <v>509</v>
      </c>
      <c r="B159" s="267">
        <v>509</v>
      </c>
      <c r="C159" s="267" t="s">
        <v>214</v>
      </c>
      <c r="D159" s="267" t="s">
        <v>476</v>
      </c>
      <c r="E159" s="267">
        <v>0</v>
      </c>
      <c r="F159" s="267">
        <v>0</v>
      </c>
      <c r="G159" s="267">
        <v>0</v>
      </c>
      <c r="H159" s="267">
        <v>0</v>
      </c>
      <c r="I159" s="267">
        <v>0</v>
      </c>
      <c r="J159" s="267">
        <v>0</v>
      </c>
      <c r="K159" s="267">
        <v>0</v>
      </c>
      <c r="L159" s="267">
        <v>0</v>
      </c>
      <c r="M159" s="267">
        <v>0</v>
      </c>
      <c r="N159" s="267">
        <v>0</v>
      </c>
      <c r="O159" s="267">
        <v>0</v>
      </c>
      <c r="P159" s="267">
        <v>0</v>
      </c>
      <c r="Q159" s="267">
        <v>0</v>
      </c>
      <c r="R159" s="267">
        <v>0</v>
      </c>
      <c r="S159" s="267">
        <v>0</v>
      </c>
      <c r="T159" s="267">
        <v>0</v>
      </c>
      <c r="U159" s="267">
        <v>0</v>
      </c>
      <c r="V159" s="267">
        <v>0</v>
      </c>
      <c r="W159" s="267">
        <v>0</v>
      </c>
      <c r="X159" s="267">
        <v>0</v>
      </c>
      <c r="Y159" s="267">
        <v>0</v>
      </c>
      <c r="Z159" s="267">
        <v>0</v>
      </c>
      <c r="AA159" s="267">
        <v>0</v>
      </c>
      <c r="AB159" s="267">
        <v>0</v>
      </c>
      <c r="AC159" s="267">
        <v>0</v>
      </c>
      <c r="AD159" s="267">
        <v>0</v>
      </c>
      <c r="AE159" s="267">
        <v>0</v>
      </c>
      <c r="AF159" s="267">
        <v>0</v>
      </c>
      <c r="AG159" s="267">
        <v>0</v>
      </c>
      <c r="AH159" s="267">
        <v>0</v>
      </c>
      <c r="AI159" s="267">
        <v>0</v>
      </c>
      <c r="AJ159" s="267">
        <v>0</v>
      </c>
      <c r="AK159" s="267">
        <v>0</v>
      </c>
      <c r="AL159" s="267">
        <v>0</v>
      </c>
      <c r="AM159" s="267">
        <v>0</v>
      </c>
      <c r="AN159" s="267">
        <v>0</v>
      </c>
      <c r="AO159" s="267">
        <v>0</v>
      </c>
      <c r="AP159" s="267">
        <v>0</v>
      </c>
      <c r="AQ159" s="267">
        <v>0</v>
      </c>
      <c r="AR159" s="267">
        <v>0</v>
      </c>
      <c r="AS159" s="267">
        <v>0</v>
      </c>
      <c r="AT159" s="267">
        <v>0</v>
      </c>
      <c r="AU159" s="267">
        <v>0</v>
      </c>
      <c r="AV159" s="267">
        <v>0</v>
      </c>
      <c r="AW159" s="267">
        <v>0</v>
      </c>
      <c r="AX159" s="267">
        <v>0</v>
      </c>
      <c r="AY159" s="267">
        <v>0</v>
      </c>
      <c r="AZ159" s="267">
        <v>0</v>
      </c>
      <c r="BA159" s="267">
        <v>0</v>
      </c>
      <c r="BB159" s="267">
        <v>0</v>
      </c>
      <c r="BC159" s="267">
        <v>0</v>
      </c>
      <c r="BD159" s="267">
        <v>0</v>
      </c>
      <c r="BE159" s="267">
        <v>0</v>
      </c>
      <c r="BF159" s="267">
        <v>0</v>
      </c>
      <c r="BG159" s="267">
        <v>0</v>
      </c>
      <c r="BH159" s="267">
        <v>0</v>
      </c>
      <c r="BI159" s="267">
        <v>0</v>
      </c>
      <c r="BJ159" s="267">
        <v>0</v>
      </c>
      <c r="BK159" s="267">
        <v>0</v>
      </c>
      <c r="BL159" s="267">
        <v>0</v>
      </c>
      <c r="BM159" s="267">
        <v>0</v>
      </c>
      <c r="BN159" s="267">
        <v>0</v>
      </c>
      <c r="BO159" s="267">
        <v>0</v>
      </c>
      <c r="BP159" s="267">
        <v>0</v>
      </c>
      <c r="BQ159" s="267">
        <v>0</v>
      </c>
      <c r="BR159" s="267">
        <v>0</v>
      </c>
      <c r="BS159" s="267">
        <v>0</v>
      </c>
      <c r="BT159" s="267">
        <v>0</v>
      </c>
      <c r="BU159" s="267">
        <v>0</v>
      </c>
      <c r="BV159" s="267">
        <v>0</v>
      </c>
      <c r="BW159" s="267">
        <v>0</v>
      </c>
      <c r="BX159" s="267">
        <v>0</v>
      </c>
      <c r="BY159" s="267">
        <v>0</v>
      </c>
      <c r="BZ159" s="267">
        <v>0</v>
      </c>
      <c r="CA159" s="267">
        <v>0</v>
      </c>
      <c r="CB159" s="267">
        <v>0</v>
      </c>
      <c r="CC159" s="267">
        <v>0</v>
      </c>
      <c r="CD159" s="267">
        <v>0</v>
      </c>
      <c r="CE159" s="267">
        <v>0</v>
      </c>
    </row>
    <row r="160" spans="1:83" x14ac:dyDescent="0.3">
      <c r="A160" s="267">
        <v>510</v>
      </c>
      <c r="B160" s="267">
        <v>510</v>
      </c>
      <c r="C160" s="267" t="s">
        <v>220</v>
      </c>
      <c r="D160" s="267" t="s">
        <v>477</v>
      </c>
      <c r="E160" s="267">
        <v>0</v>
      </c>
      <c r="F160" s="267">
        <v>0</v>
      </c>
      <c r="G160" s="267">
        <v>0</v>
      </c>
      <c r="H160" s="267">
        <v>0</v>
      </c>
      <c r="I160" s="267">
        <v>0</v>
      </c>
      <c r="J160" s="267">
        <v>0</v>
      </c>
      <c r="K160" s="267">
        <v>22062</v>
      </c>
      <c r="L160" s="267">
        <v>0</v>
      </c>
      <c r="M160" s="267">
        <v>0</v>
      </c>
      <c r="N160" s="267">
        <v>0</v>
      </c>
      <c r="O160" s="267">
        <v>0</v>
      </c>
      <c r="P160" s="267">
        <v>48167</v>
      </c>
      <c r="Q160" s="267">
        <v>0</v>
      </c>
      <c r="R160" s="267">
        <v>295778</v>
      </c>
      <c r="S160" s="267">
        <v>16845</v>
      </c>
      <c r="T160" s="267">
        <v>0</v>
      </c>
      <c r="U160" s="267">
        <v>422781</v>
      </c>
      <c r="V160" s="267">
        <v>198126</v>
      </c>
      <c r="W160" s="267">
        <v>49026</v>
      </c>
      <c r="X160" s="267">
        <v>0</v>
      </c>
      <c r="Y160" s="267">
        <v>0</v>
      </c>
      <c r="Z160" s="267">
        <v>256202</v>
      </c>
      <c r="AA160" s="267">
        <v>29215</v>
      </c>
      <c r="AB160" s="267">
        <v>77406</v>
      </c>
      <c r="AC160" s="267">
        <v>0</v>
      </c>
      <c r="AD160" s="267">
        <v>0</v>
      </c>
      <c r="AE160" s="267">
        <v>0</v>
      </c>
      <c r="AF160" s="267">
        <v>0</v>
      </c>
      <c r="AG160" s="267">
        <v>55935</v>
      </c>
      <c r="AH160" s="267">
        <v>0</v>
      </c>
      <c r="AI160" s="267">
        <v>0</v>
      </c>
      <c r="AJ160" s="267">
        <v>0</v>
      </c>
      <c r="AK160" s="267">
        <v>0</v>
      </c>
      <c r="AL160" s="267">
        <v>1146</v>
      </c>
      <c r="AM160" s="267">
        <v>0</v>
      </c>
      <c r="AN160" s="267">
        <v>130531</v>
      </c>
      <c r="AO160" s="267">
        <v>0</v>
      </c>
      <c r="AP160" s="267">
        <v>0</v>
      </c>
      <c r="AQ160" s="267">
        <v>0</v>
      </c>
      <c r="AR160" s="267">
        <v>0</v>
      </c>
      <c r="AS160" s="267">
        <v>34903</v>
      </c>
      <c r="AT160" s="267">
        <v>0</v>
      </c>
      <c r="AU160" s="267">
        <v>97097</v>
      </c>
      <c r="AV160" s="267">
        <v>0</v>
      </c>
      <c r="AW160" s="267">
        <v>509262</v>
      </c>
      <c r="AX160" s="267">
        <v>0</v>
      </c>
      <c r="AY160" s="267">
        <v>35763</v>
      </c>
      <c r="AZ160" s="267">
        <v>32687</v>
      </c>
      <c r="BA160" s="267">
        <v>5090</v>
      </c>
      <c r="BB160" s="267">
        <v>0</v>
      </c>
      <c r="BC160" s="267">
        <v>0</v>
      </c>
      <c r="BD160" s="267">
        <v>0</v>
      </c>
      <c r="BE160" s="267">
        <v>108034</v>
      </c>
      <c r="BF160" s="267">
        <v>0</v>
      </c>
      <c r="BG160" s="267">
        <v>0</v>
      </c>
      <c r="BH160" s="267">
        <v>0</v>
      </c>
      <c r="BI160" s="267">
        <v>0</v>
      </c>
      <c r="BJ160" s="267">
        <v>0</v>
      </c>
      <c r="BK160" s="267">
        <v>0</v>
      </c>
      <c r="BL160" s="267">
        <v>81182</v>
      </c>
      <c r="BM160" s="267">
        <v>0</v>
      </c>
      <c r="BN160" s="267">
        <v>0</v>
      </c>
      <c r="BO160" s="267">
        <v>0</v>
      </c>
      <c r="BP160" s="267">
        <v>9921</v>
      </c>
      <c r="BQ160" s="267">
        <v>0</v>
      </c>
      <c r="BR160" s="267">
        <v>0</v>
      </c>
      <c r="BS160" s="267">
        <v>21329</v>
      </c>
      <c r="BT160" s="267">
        <v>0</v>
      </c>
      <c r="BU160" s="267">
        <v>6868</v>
      </c>
      <c r="BV160" s="267">
        <v>0</v>
      </c>
      <c r="BW160" s="267">
        <v>0</v>
      </c>
      <c r="BX160" s="267">
        <v>9062</v>
      </c>
      <c r="BY160" s="267">
        <v>28117</v>
      </c>
      <c r="BZ160" s="267">
        <v>12353</v>
      </c>
      <c r="CA160" s="267">
        <v>0</v>
      </c>
      <c r="CB160" s="267">
        <v>0</v>
      </c>
      <c r="CC160" s="267">
        <v>0</v>
      </c>
      <c r="CD160" s="267">
        <v>0</v>
      </c>
      <c r="CE160" s="267">
        <v>0</v>
      </c>
    </row>
    <row r="161" spans="1:83" x14ac:dyDescent="0.3">
      <c r="A161" s="267">
        <v>511</v>
      </c>
      <c r="B161" s="267">
        <v>511</v>
      </c>
      <c r="C161" s="267" t="s">
        <v>225</v>
      </c>
      <c r="D161" s="267" t="s">
        <v>478</v>
      </c>
      <c r="E161" s="267">
        <v>0</v>
      </c>
      <c r="F161" s="267">
        <v>0</v>
      </c>
      <c r="G161" s="267">
        <v>0</v>
      </c>
      <c r="H161" s="267">
        <v>0</v>
      </c>
      <c r="I161" s="267">
        <v>0</v>
      </c>
      <c r="J161" s="267">
        <v>0</v>
      </c>
      <c r="K161" s="267">
        <v>0</v>
      </c>
      <c r="L161" s="267">
        <v>0</v>
      </c>
      <c r="M161" s="267">
        <v>0</v>
      </c>
      <c r="N161" s="267">
        <v>0</v>
      </c>
      <c r="O161" s="267">
        <v>0</v>
      </c>
      <c r="P161" s="267">
        <v>0</v>
      </c>
      <c r="Q161" s="267">
        <v>0</v>
      </c>
      <c r="R161" s="267">
        <v>3457543</v>
      </c>
      <c r="S161" s="267">
        <v>0</v>
      </c>
      <c r="T161" s="267">
        <v>0</v>
      </c>
      <c r="U161" s="267">
        <v>0</v>
      </c>
      <c r="V161" s="267">
        <v>0</v>
      </c>
      <c r="W161" s="267">
        <v>26013</v>
      </c>
      <c r="X161" s="267">
        <v>0</v>
      </c>
      <c r="Y161" s="267">
        <v>0</v>
      </c>
      <c r="Z161" s="267">
        <v>0</v>
      </c>
      <c r="AA161" s="267">
        <v>0</v>
      </c>
      <c r="AB161" s="267">
        <v>0</v>
      </c>
      <c r="AC161" s="267">
        <v>0</v>
      </c>
      <c r="AD161" s="267">
        <v>0</v>
      </c>
      <c r="AE161" s="267">
        <v>0</v>
      </c>
      <c r="AF161" s="267">
        <v>0</v>
      </c>
      <c r="AG161" s="267">
        <v>0</v>
      </c>
      <c r="AH161" s="267">
        <v>0</v>
      </c>
      <c r="AI161" s="267">
        <v>0</v>
      </c>
      <c r="AJ161" s="267">
        <v>2041454</v>
      </c>
      <c r="AK161" s="267">
        <v>0</v>
      </c>
      <c r="AL161" s="267">
        <v>0</v>
      </c>
      <c r="AM161" s="267">
        <v>0</v>
      </c>
      <c r="AN161" s="267">
        <v>678083</v>
      </c>
      <c r="AO161" s="267">
        <v>0</v>
      </c>
      <c r="AP161" s="267">
        <v>0</v>
      </c>
      <c r="AQ161" s="267">
        <v>0</v>
      </c>
      <c r="AR161" s="267">
        <v>0</v>
      </c>
      <c r="AS161" s="267">
        <v>0</v>
      </c>
      <c r="AT161" s="267">
        <v>0</v>
      </c>
      <c r="AU161" s="267">
        <v>0</v>
      </c>
      <c r="AV161" s="267">
        <v>0</v>
      </c>
      <c r="AW161" s="267">
        <v>0</v>
      </c>
      <c r="AX161" s="267">
        <v>0</v>
      </c>
      <c r="AY161" s="267">
        <v>0</v>
      </c>
      <c r="AZ161" s="267">
        <v>0</v>
      </c>
      <c r="BA161" s="267">
        <v>0</v>
      </c>
      <c r="BB161" s="267">
        <v>0</v>
      </c>
      <c r="BC161" s="267">
        <v>0</v>
      </c>
      <c r="BD161" s="267">
        <v>0</v>
      </c>
      <c r="BE161" s="267">
        <v>0</v>
      </c>
      <c r="BF161" s="267">
        <v>0</v>
      </c>
      <c r="BG161" s="267">
        <v>0</v>
      </c>
      <c r="BH161" s="267">
        <v>0</v>
      </c>
      <c r="BI161" s="267">
        <v>0</v>
      </c>
      <c r="BJ161" s="267">
        <v>0</v>
      </c>
      <c r="BK161" s="267">
        <v>0</v>
      </c>
      <c r="BL161" s="267">
        <v>0</v>
      </c>
      <c r="BM161" s="267">
        <v>0</v>
      </c>
      <c r="BN161" s="267">
        <v>0</v>
      </c>
      <c r="BO161" s="267">
        <v>0</v>
      </c>
      <c r="BP161" s="267">
        <v>0</v>
      </c>
      <c r="BQ161" s="267">
        <v>0</v>
      </c>
      <c r="BR161" s="267">
        <v>0</v>
      </c>
      <c r="BS161" s="267">
        <v>33482</v>
      </c>
      <c r="BT161" s="267">
        <v>449285</v>
      </c>
      <c r="BU161" s="267">
        <v>0</v>
      </c>
      <c r="BV161" s="267">
        <v>0</v>
      </c>
      <c r="BW161" s="267">
        <v>0</v>
      </c>
      <c r="BX161" s="267">
        <v>0</v>
      </c>
      <c r="BY161" s="267">
        <v>0</v>
      </c>
      <c r="BZ161" s="267">
        <v>0</v>
      </c>
      <c r="CA161" s="267">
        <v>0</v>
      </c>
      <c r="CB161" s="267">
        <v>0</v>
      </c>
      <c r="CC161" s="267">
        <v>0</v>
      </c>
      <c r="CD161" s="267">
        <v>0</v>
      </c>
      <c r="CE161" s="267">
        <v>0</v>
      </c>
    </row>
    <row r="162" spans="1:83" x14ac:dyDescent="0.3">
      <c r="A162" s="267">
        <v>512</v>
      </c>
      <c r="B162" s="267">
        <v>512</v>
      </c>
      <c r="C162" s="267" t="s">
        <v>252</v>
      </c>
      <c r="D162" s="267" t="s">
        <v>479</v>
      </c>
      <c r="E162" s="267">
        <v>0</v>
      </c>
      <c r="F162" s="267">
        <v>0</v>
      </c>
      <c r="G162" s="267">
        <v>0</v>
      </c>
      <c r="H162" s="267">
        <v>0</v>
      </c>
      <c r="I162" s="267">
        <v>0</v>
      </c>
      <c r="J162" s="267">
        <v>0</v>
      </c>
      <c r="K162" s="267">
        <v>0</v>
      </c>
      <c r="L162" s="267">
        <v>0</v>
      </c>
      <c r="M162" s="267">
        <v>0</v>
      </c>
      <c r="N162" s="267">
        <v>0</v>
      </c>
      <c r="O162" s="267">
        <v>0</v>
      </c>
      <c r="P162" s="267">
        <v>0</v>
      </c>
      <c r="Q162" s="267">
        <v>0</v>
      </c>
      <c r="R162" s="267">
        <v>0</v>
      </c>
      <c r="S162" s="267">
        <v>55310</v>
      </c>
      <c r="T162" s="267">
        <v>0</v>
      </c>
      <c r="U162" s="267">
        <v>217388</v>
      </c>
      <c r="V162" s="267">
        <v>0</v>
      </c>
      <c r="W162" s="267">
        <v>0</v>
      </c>
      <c r="X162" s="267">
        <v>0</v>
      </c>
      <c r="Y162" s="267">
        <v>0</v>
      </c>
      <c r="Z162" s="267">
        <v>32595</v>
      </c>
      <c r="AA162" s="267">
        <v>0</v>
      </c>
      <c r="AB162" s="267">
        <v>0</v>
      </c>
      <c r="AC162" s="267">
        <v>0</v>
      </c>
      <c r="AD162" s="267">
        <v>0</v>
      </c>
      <c r="AE162" s="267">
        <v>0</v>
      </c>
      <c r="AF162" s="267">
        <v>0</v>
      </c>
      <c r="AG162" s="267">
        <v>0</v>
      </c>
      <c r="AH162" s="267">
        <v>879</v>
      </c>
      <c r="AI162" s="267">
        <v>0</v>
      </c>
      <c r="AJ162" s="267">
        <v>0</v>
      </c>
      <c r="AK162" s="267">
        <v>0</v>
      </c>
      <c r="AL162" s="267">
        <v>0</v>
      </c>
      <c r="AM162" s="267">
        <v>0</v>
      </c>
      <c r="AN162" s="267">
        <v>0</v>
      </c>
      <c r="AO162" s="267">
        <v>0</v>
      </c>
      <c r="AP162" s="267">
        <v>0</v>
      </c>
      <c r="AQ162" s="267">
        <v>0</v>
      </c>
      <c r="AR162" s="267">
        <v>0</v>
      </c>
      <c r="AS162" s="267">
        <v>0</v>
      </c>
      <c r="AT162" s="267">
        <v>0</v>
      </c>
      <c r="AU162" s="267">
        <v>0</v>
      </c>
      <c r="AV162" s="267">
        <v>0</v>
      </c>
      <c r="AW162" s="267">
        <v>500</v>
      </c>
      <c r="AX162" s="267">
        <v>0</v>
      </c>
      <c r="AY162" s="267">
        <v>0</v>
      </c>
      <c r="AZ162" s="267">
        <v>0</v>
      </c>
      <c r="BA162" s="267">
        <v>0</v>
      </c>
      <c r="BB162" s="267">
        <v>0</v>
      </c>
      <c r="BC162" s="267">
        <v>0</v>
      </c>
      <c r="BD162" s="267">
        <v>0</v>
      </c>
      <c r="BE162" s="267">
        <v>0</v>
      </c>
      <c r="BF162" s="267">
        <v>0</v>
      </c>
      <c r="BG162" s="267">
        <v>0</v>
      </c>
      <c r="BH162" s="267">
        <v>0</v>
      </c>
      <c r="BI162" s="267">
        <v>0</v>
      </c>
      <c r="BJ162" s="267">
        <v>0</v>
      </c>
      <c r="BK162" s="267">
        <v>0</v>
      </c>
      <c r="BL162" s="267">
        <v>0</v>
      </c>
      <c r="BM162" s="267">
        <v>0</v>
      </c>
      <c r="BN162" s="267">
        <v>20836</v>
      </c>
      <c r="BO162" s="267">
        <v>3718</v>
      </c>
      <c r="BP162" s="267">
        <v>0</v>
      </c>
      <c r="BQ162" s="267">
        <v>0</v>
      </c>
      <c r="BR162" s="267">
        <v>0</v>
      </c>
      <c r="BS162" s="267">
        <v>0</v>
      </c>
      <c r="BT162" s="267">
        <v>0</v>
      </c>
      <c r="BU162" s="267">
        <v>0</v>
      </c>
      <c r="BV162" s="267">
        <v>0</v>
      </c>
      <c r="BW162" s="267">
        <v>0</v>
      </c>
      <c r="BX162" s="267">
        <v>0</v>
      </c>
      <c r="BY162" s="267">
        <v>0</v>
      </c>
      <c r="BZ162" s="267">
        <v>0</v>
      </c>
      <c r="CA162" s="1232">
        <v>1182</v>
      </c>
      <c r="CB162" s="267">
        <v>0</v>
      </c>
      <c r="CC162" s="267">
        <v>0</v>
      </c>
      <c r="CD162" s="267">
        <v>0</v>
      </c>
      <c r="CE162" s="267">
        <v>0</v>
      </c>
    </row>
    <row r="163" spans="1:83" x14ac:dyDescent="0.3">
      <c r="A163" s="267">
        <v>513</v>
      </c>
      <c r="B163" s="267">
        <v>513</v>
      </c>
      <c r="C163" s="267" t="s">
        <v>263</v>
      </c>
      <c r="D163" s="267" t="s">
        <v>480</v>
      </c>
      <c r="E163" s="267">
        <v>0</v>
      </c>
      <c r="F163" s="267">
        <v>0</v>
      </c>
      <c r="G163" s="267">
        <v>0</v>
      </c>
      <c r="H163" s="267">
        <v>0</v>
      </c>
      <c r="I163" s="267">
        <v>0</v>
      </c>
      <c r="J163" s="267">
        <v>0</v>
      </c>
      <c r="K163" s="267">
        <v>0</v>
      </c>
      <c r="L163" s="267">
        <v>0</v>
      </c>
      <c r="M163" s="267">
        <v>0</v>
      </c>
      <c r="N163" s="267">
        <v>0</v>
      </c>
      <c r="O163" s="267">
        <v>0</v>
      </c>
      <c r="P163" s="267">
        <v>0</v>
      </c>
      <c r="Q163" s="267">
        <v>0</v>
      </c>
      <c r="R163" s="267">
        <v>0</v>
      </c>
      <c r="S163" s="267">
        <v>0</v>
      </c>
      <c r="T163" s="267">
        <v>0</v>
      </c>
      <c r="U163" s="267">
        <v>0</v>
      </c>
      <c r="V163" s="267">
        <v>0</v>
      </c>
      <c r="W163" s="267">
        <v>0</v>
      </c>
      <c r="X163" s="267">
        <v>0</v>
      </c>
      <c r="Y163" s="267">
        <v>0</v>
      </c>
      <c r="Z163" s="267">
        <v>0</v>
      </c>
      <c r="AA163" s="267">
        <v>0</v>
      </c>
      <c r="AB163" s="267">
        <v>0</v>
      </c>
      <c r="AC163" s="267">
        <v>0</v>
      </c>
      <c r="AD163" s="267">
        <v>0</v>
      </c>
      <c r="AE163" s="267">
        <v>0</v>
      </c>
      <c r="AF163" s="267">
        <v>0</v>
      </c>
      <c r="AG163" s="267">
        <v>0</v>
      </c>
      <c r="AH163" s="267">
        <v>0</v>
      </c>
      <c r="AI163" s="267">
        <v>0</v>
      </c>
      <c r="AJ163" s="267">
        <v>0</v>
      </c>
      <c r="AK163" s="267">
        <v>0</v>
      </c>
      <c r="AL163" s="267">
        <v>0</v>
      </c>
      <c r="AM163" s="267">
        <v>0</v>
      </c>
      <c r="AN163" s="267">
        <v>0</v>
      </c>
      <c r="AO163" s="267">
        <v>0</v>
      </c>
      <c r="AP163" s="267">
        <v>0</v>
      </c>
      <c r="AQ163" s="267">
        <v>0</v>
      </c>
      <c r="AR163" s="267">
        <v>0</v>
      </c>
      <c r="AS163" s="267">
        <v>0</v>
      </c>
      <c r="AT163" s="267">
        <v>0</v>
      </c>
      <c r="AU163" s="267">
        <v>0</v>
      </c>
      <c r="AV163" s="267">
        <v>0</v>
      </c>
      <c r="AW163" s="267">
        <v>0</v>
      </c>
      <c r="AX163" s="267">
        <v>0</v>
      </c>
      <c r="AY163" s="267">
        <v>0</v>
      </c>
      <c r="AZ163" s="267">
        <v>0</v>
      </c>
      <c r="BA163" s="267">
        <v>0</v>
      </c>
      <c r="BB163" s="267">
        <v>0</v>
      </c>
      <c r="BC163" s="267">
        <v>0</v>
      </c>
      <c r="BD163" s="267">
        <v>0</v>
      </c>
      <c r="BE163" s="267">
        <v>0</v>
      </c>
      <c r="BF163" s="267">
        <v>0</v>
      </c>
      <c r="BG163" s="267">
        <v>0</v>
      </c>
      <c r="BH163" s="267">
        <v>0</v>
      </c>
      <c r="BI163" s="267">
        <v>0</v>
      </c>
      <c r="BJ163" s="267">
        <v>0</v>
      </c>
      <c r="BK163" s="267">
        <v>0</v>
      </c>
      <c r="BL163" s="267">
        <v>0</v>
      </c>
      <c r="BM163" s="267">
        <v>0</v>
      </c>
      <c r="BN163" s="267">
        <v>0</v>
      </c>
      <c r="BO163" s="267">
        <v>0</v>
      </c>
      <c r="BP163" s="267">
        <v>0</v>
      </c>
      <c r="BQ163" s="267">
        <v>0</v>
      </c>
      <c r="BR163" s="267">
        <v>0</v>
      </c>
      <c r="BS163" s="267">
        <v>0</v>
      </c>
      <c r="BT163" s="267">
        <v>0</v>
      </c>
      <c r="BU163" s="267">
        <v>0</v>
      </c>
      <c r="BV163" s="267">
        <v>0</v>
      </c>
      <c r="BW163" s="267">
        <v>0</v>
      </c>
      <c r="BX163" s="267">
        <v>0</v>
      </c>
      <c r="BY163" s="267">
        <v>0</v>
      </c>
      <c r="BZ163" s="267">
        <v>0</v>
      </c>
      <c r="CA163" s="267">
        <v>0</v>
      </c>
      <c r="CB163" s="267">
        <v>0</v>
      </c>
      <c r="CC163" s="267">
        <v>0</v>
      </c>
      <c r="CD163" s="267">
        <v>0</v>
      </c>
      <c r="CE163" s="267">
        <v>0</v>
      </c>
    </row>
    <row r="164" spans="1:83" x14ac:dyDescent="0.3">
      <c r="A164" s="267">
        <v>514</v>
      </c>
      <c r="B164" s="267">
        <v>514</v>
      </c>
      <c r="C164" s="267" t="s">
        <v>264</v>
      </c>
      <c r="D164" s="267" t="s">
        <v>481</v>
      </c>
      <c r="E164" s="267">
        <v>0</v>
      </c>
      <c r="F164" s="267">
        <v>0</v>
      </c>
      <c r="G164" s="267">
        <v>0</v>
      </c>
      <c r="H164" s="267">
        <v>0</v>
      </c>
      <c r="I164" s="267">
        <v>0</v>
      </c>
      <c r="J164" s="267">
        <v>0</v>
      </c>
      <c r="K164" s="267">
        <v>0</v>
      </c>
      <c r="L164" s="267">
        <v>0</v>
      </c>
      <c r="M164" s="267">
        <v>0</v>
      </c>
      <c r="N164" s="267">
        <v>0</v>
      </c>
      <c r="O164" s="267">
        <v>0</v>
      </c>
      <c r="P164" s="267">
        <v>0</v>
      </c>
      <c r="Q164" s="267">
        <v>0</v>
      </c>
      <c r="R164" s="267">
        <v>547152</v>
      </c>
      <c r="S164" s="267">
        <v>0</v>
      </c>
      <c r="T164" s="267">
        <v>0</v>
      </c>
      <c r="U164" s="267">
        <v>0</v>
      </c>
      <c r="V164" s="267">
        <v>0</v>
      </c>
      <c r="W164" s="267">
        <v>733535</v>
      </c>
      <c r="X164" s="267">
        <v>0</v>
      </c>
      <c r="Y164" s="267">
        <v>0</v>
      </c>
      <c r="Z164" s="267">
        <v>0</v>
      </c>
      <c r="AA164" s="267">
        <v>0</v>
      </c>
      <c r="AB164" s="267">
        <v>0</v>
      </c>
      <c r="AC164" s="267">
        <v>0</v>
      </c>
      <c r="AD164" s="267">
        <v>0</v>
      </c>
      <c r="AE164" s="267">
        <v>0</v>
      </c>
      <c r="AF164" s="267">
        <v>0</v>
      </c>
      <c r="AG164" s="267">
        <v>0</v>
      </c>
      <c r="AH164" s="267">
        <v>0</v>
      </c>
      <c r="AI164" s="267">
        <v>0</v>
      </c>
      <c r="AJ164" s="267">
        <v>1968600</v>
      </c>
      <c r="AK164" s="267">
        <v>0</v>
      </c>
      <c r="AL164" s="267">
        <v>0</v>
      </c>
      <c r="AM164" s="267">
        <v>0</v>
      </c>
      <c r="AN164" s="267">
        <v>0</v>
      </c>
      <c r="AO164" s="267">
        <v>0</v>
      </c>
      <c r="AP164" s="267">
        <v>0</v>
      </c>
      <c r="AQ164" s="267">
        <v>0</v>
      </c>
      <c r="AR164" s="267">
        <v>0</v>
      </c>
      <c r="AS164" s="267">
        <v>0</v>
      </c>
      <c r="AT164" s="267">
        <v>0</v>
      </c>
      <c r="AU164" s="267">
        <v>0</v>
      </c>
      <c r="AV164" s="267">
        <v>0</v>
      </c>
      <c r="AW164" s="267">
        <v>0</v>
      </c>
      <c r="AX164" s="267">
        <v>0</v>
      </c>
      <c r="AY164" s="267">
        <v>0</v>
      </c>
      <c r="AZ164" s="267">
        <v>0</v>
      </c>
      <c r="BA164" s="267">
        <v>0</v>
      </c>
      <c r="BB164" s="267">
        <v>0</v>
      </c>
      <c r="BC164" s="267">
        <v>0</v>
      </c>
      <c r="BD164" s="267">
        <v>0</v>
      </c>
      <c r="BE164" s="267">
        <v>0</v>
      </c>
      <c r="BF164" s="267">
        <v>0</v>
      </c>
      <c r="BG164" s="267">
        <v>0</v>
      </c>
      <c r="BH164" s="267">
        <v>0</v>
      </c>
      <c r="BI164" s="267">
        <v>0</v>
      </c>
      <c r="BJ164" s="267">
        <v>0</v>
      </c>
      <c r="BK164" s="267">
        <v>0</v>
      </c>
      <c r="BL164" s="267">
        <v>0</v>
      </c>
      <c r="BM164" s="267">
        <v>0</v>
      </c>
      <c r="BN164" s="267">
        <v>0</v>
      </c>
      <c r="BO164" s="267">
        <v>0</v>
      </c>
      <c r="BP164" s="267">
        <v>0</v>
      </c>
      <c r="BQ164" s="267">
        <v>0</v>
      </c>
      <c r="BR164" s="267">
        <v>0</v>
      </c>
      <c r="BS164" s="267">
        <v>32475</v>
      </c>
      <c r="BT164" s="267">
        <v>30964</v>
      </c>
      <c r="BU164" s="267">
        <v>0</v>
      </c>
      <c r="BV164" s="267">
        <v>0</v>
      </c>
      <c r="BW164" s="267">
        <v>0</v>
      </c>
      <c r="BX164" s="267">
        <v>0</v>
      </c>
      <c r="BY164" s="267">
        <v>0</v>
      </c>
      <c r="BZ164" s="267">
        <v>0</v>
      </c>
      <c r="CA164" s="267">
        <v>0</v>
      </c>
      <c r="CB164" s="267">
        <v>0</v>
      </c>
      <c r="CC164" s="267">
        <v>0</v>
      </c>
      <c r="CD164" s="267">
        <v>0</v>
      </c>
      <c r="CE164" s="267">
        <v>0</v>
      </c>
    </row>
    <row r="165" spans="1:83" x14ac:dyDescent="0.3">
      <c r="A165" s="267">
        <v>515</v>
      </c>
      <c r="B165" s="267">
        <v>515</v>
      </c>
      <c r="C165" s="267" t="s">
        <v>277</v>
      </c>
      <c r="D165" s="267" t="s">
        <v>482</v>
      </c>
      <c r="E165" s="267">
        <v>0</v>
      </c>
      <c r="F165" s="267">
        <v>0</v>
      </c>
      <c r="G165" s="267">
        <v>0</v>
      </c>
      <c r="H165" s="267">
        <v>0</v>
      </c>
      <c r="I165" s="267">
        <v>0</v>
      </c>
      <c r="J165" s="267">
        <v>0</v>
      </c>
      <c r="K165" s="267">
        <v>0</v>
      </c>
      <c r="L165" s="267">
        <v>0</v>
      </c>
      <c r="M165" s="267">
        <v>0</v>
      </c>
      <c r="N165" s="267">
        <v>0</v>
      </c>
      <c r="O165" s="267">
        <v>0</v>
      </c>
      <c r="P165" s="267">
        <v>0</v>
      </c>
      <c r="Q165" s="267">
        <v>0</v>
      </c>
      <c r="R165" s="267">
        <v>33331138</v>
      </c>
      <c r="S165" s="267">
        <v>142110</v>
      </c>
      <c r="T165" s="267">
        <v>0</v>
      </c>
      <c r="U165" s="267">
        <v>113496039</v>
      </c>
      <c r="V165" s="267">
        <v>6414871</v>
      </c>
      <c r="W165" s="267">
        <v>14034904</v>
      </c>
      <c r="X165" s="267">
        <v>0</v>
      </c>
      <c r="Y165" s="267">
        <v>0</v>
      </c>
      <c r="Z165" s="267">
        <v>0</v>
      </c>
      <c r="AA165" s="267">
        <v>0</v>
      </c>
      <c r="AB165" s="267">
        <v>18303866</v>
      </c>
      <c r="AC165" s="267">
        <v>5119437</v>
      </c>
      <c r="AD165" s="267">
        <v>613604</v>
      </c>
      <c r="AE165" s="267">
        <v>0</v>
      </c>
      <c r="AF165" s="267">
        <v>0</v>
      </c>
      <c r="AG165" s="267">
        <v>3283693</v>
      </c>
      <c r="AH165" s="267">
        <v>0</v>
      </c>
      <c r="AI165" s="267">
        <v>0</v>
      </c>
      <c r="AJ165" s="267">
        <v>75763078</v>
      </c>
      <c r="AK165" s="267">
        <v>0</v>
      </c>
      <c r="AL165" s="267">
        <v>0</v>
      </c>
      <c r="AM165" s="267">
        <v>0</v>
      </c>
      <c r="AN165" s="267">
        <v>23292598</v>
      </c>
      <c r="AO165" s="267">
        <v>0</v>
      </c>
      <c r="AP165" s="267">
        <v>0</v>
      </c>
      <c r="AQ165" s="267">
        <v>0</v>
      </c>
      <c r="AR165" s="267">
        <v>0</v>
      </c>
      <c r="AS165" s="267">
        <v>0</v>
      </c>
      <c r="AT165" s="267">
        <v>0</v>
      </c>
      <c r="AU165" s="267">
        <v>0</v>
      </c>
      <c r="AV165" s="267">
        <v>0</v>
      </c>
      <c r="AW165" s="267">
        <v>13400610</v>
      </c>
      <c r="AX165" s="267">
        <v>0</v>
      </c>
      <c r="AY165" s="267">
        <v>0</v>
      </c>
      <c r="AZ165" s="267">
        <v>181893</v>
      </c>
      <c r="BA165" s="267">
        <v>321190</v>
      </c>
      <c r="BB165" s="267">
        <v>0</v>
      </c>
      <c r="BC165" s="267">
        <v>0</v>
      </c>
      <c r="BD165" s="267">
        <v>0</v>
      </c>
      <c r="BE165" s="267">
        <v>0</v>
      </c>
      <c r="BF165" s="267">
        <v>0</v>
      </c>
      <c r="BG165" s="267">
        <v>0</v>
      </c>
      <c r="BH165" s="267">
        <v>0</v>
      </c>
      <c r="BI165" s="267">
        <v>0</v>
      </c>
      <c r="BJ165" s="267">
        <v>0</v>
      </c>
      <c r="BK165" s="267">
        <v>0</v>
      </c>
      <c r="BL165" s="267">
        <v>0</v>
      </c>
      <c r="BM165" s="267">
        <v>0</v>
      </c>
      <c r="BN165" s="267">
        <v>0</v>
      </c>
      <c r="BO165" s="267">
        <v>0</v>
      </c>
      <c r="BP165" s="267">
        <v>0</v>
      </c>
      <c r="BQ165" s="267">
        <v>92954</v>
      </c>
      <c r="BR165" s="267">
        <v>0</v>
      </c>
      <c r="BS165" s="267">
        <v>0</v>
      </c>
      <c r="BT165" s="267">
        <v>0</v>
      </c>
      <c r="BU165" s="267">
        <v>21428</v>
      </c>
      <c r="BV165" s="267">
        <v>163682</v>
      </c>
      <c r="BW165" s="267">
        <v>0</v>
      </c>
      <c r="BX165" s="267">
        <v>0</v>
      </c>
      <c r="BY165" s="267">
        <v>121104</v>
      </c>
      <c r="BZ165" s="267">
        <v>0</v>
      </c>
      <c r="CA165" s="267">
        <v>0</v>
      </c>
      <c r="CB165" s="267">
        <v>0</v>
      </c>
      <c r="CC165" s="267">
        <v>0</v>
      </c>
      <c r="CD165" s="267">
        <v>0</v>
      </c>
      <c r="CE165" s="267">
        <v>0</v>
      </c>
    </row>
    <row r="166" spans="1:83" x14ac:dyDescent="0.3">
      <c r="A166" s="267">
        <v>516</v>
      </c>
      <c r="B166" s="267">
        <v>516</v>
      </c>
      <c r="C166" s="267" t="s">
        <v>278</v>
      </c>
      <c r="D166" s="267" t="s">
        <v>483</v>
      </c>
      <c r="E166" s="267">
        <v>0</v>
      </c>
      <c r="F166" s="267">
        <v>0</v>
      </c>
      <c r="G166" s="267">
        <v>7021698</v>
      </c>
      <c r="H166" s="267">
        <v>0</v>
      </c>
      <c r="I166" s="267">
        <v>0</v>
      </c>
      <c r="J166" s="267">
        <v>0</v>
      </c>
      <c r="K166" s="267">
        <v>3251767</v>
      </c>
      <c r="L166" s="267">
        <v>0</v>
      </c>
      <c r="M166" s="267">
        <v>0</v>
      </c>
      <c r="N166" s="267">
        <v>0</v>
      </c>
      <c r="O166" s="267">
        <v>0</v>
      </c>
      <c r="P166" s="267">
        <v>26695143</v>
      </c>
      <c r="Q166" s="267">
        <v>0</v>
      </c>
      <c r="R166" s="267">
        <v>0</v>
      </c>
      <c r="S166" s="267">
        <v>2042211</v>
      </c>
      <c r="T166" s="267">
        <v>0</v>
      </c>
      <c r="U166" s="267">
        <v>77176056</v>
      </c>
      <c r="V166" s="267">
        <v>66697075</v>
      </c>
      <c r="W166" s="267">
        <v>56263711</v>
      </c>
      <c r="X166" s="267">
        <v>0</v>
      </c>
      <c r="Y166" s="267">
        <v>4566402</v>
      </c>
      <c r="Z166" s="267">
        <v>78123158</v>
      </c>
      <c r="AA166" s="267">
        <v>16507580</v>
      </c>
      <c r="AB166" s="267">
        <v>26863028</v>
      </c>
      <c r="AC166" s="267">
        <v>24726441</v>
      </c>
      <c r="AD166" s="267">
        <v>4637476</v>
      </c>
      <c r="AE166" s="1232">
        <v>8913991</v>
      </c>
      <c r="AF166" s="267">
        <v>19534700</v>
      </c>
      <c r="AG166" s="267">
        <v>0</v>
      </c>
      <c r="AH166" s="267">
        <v>7670030</v>
      </c>
      <c r="AI166" s="267">
        <v>5853459</v>
      </c>
      <c r="AJ166" s="267">
        <v>67481905</v>
      </c>
      <c r="AK166" s="267">
        <v>2638690</v>
      </c>
      <c r="AL166" s="267">
        <v>8163928</v>
      </c>
      <c r="AM166" s="267">
        <v>0</v>
      </c>
      <c r="AN166" s="267">
        <v>42345873</v>
      </c>
      <c r="AO166" s="267">
        <v>0</v>
      </c>
      <c r="AP166" s="267">
        <v>0</v>
      </c>
      <c r="AQ166" s="267">
        <v>0</v>
      </c>
      <c r="AR166" s="267">
        <v>0</v>
      </c>
      <c r="AS166" s="267">
        <v>32411424</v>
      </c>
      <c r="AT166" s="267">
        <v>8757887</v>
      </c>
      <c r="AU166" s="267">
        <v>16804826</v>
      </c>
      <c r="AV166" s="267">
        <v>0</v>
      </c>
      <c r="AW166" s="267">
        <v>91912182</v>
      </c>
      <c r="AX166" s="267">
        <v>0</v>
      </c>
      <c r="AY166" s="267">
        <v>10210372</v>
      </c>
      <c r="AZ166" s="267">
        <v>4885807</v>
      </c>
      <c r="BA166" s="267">
        <v>9763547</v>
      </c>
      <c r="BB166" s="267">
        <v>2403227</v>
      </c>
      <c r="BC166" s="267">
        <v>0</v>
      </c>
      <c r="BD166" s="267">
        <v>0</v>
      </c>
      <c r="BE166" s="267">
        <v>37961480</v>
      </c>
      <c r="BF166" s="267">
        <v>0</v>
      </c>
      <c r="BG166" s="267">
        <v>4530643</v>
      </c>
      <c r="BH166" s="267">
        <v>3562489</v>
      </c>
      <c r="BI166" s="267">
        <v>0</v>
      </c>
      <c r="BJ166" s="267">
        <v>4509497</v>
      </c>
      <c r="BK166" s="267">
        <v>0</v>
      </c>
      <c r="BL166" s="267">
        <v>19990497</v>
      </c>
      <c r="BM166" s="267">
        <v>0</v>
      </c>
      <c r="BN166" s="267">
        <v>14513445</v>
      </c>
      <c r="BO166" s="267">
        <v>4673752</v>
      </c>
      <c r="BP166" s="267">
        <v>4636862</v>
      </c>
      <c r="BQ166" s="267">
        <v>1224602</v>
      </c>
      <c r="BR166" s="267">
        <v>0</v>
      </c>
      <c r="BS166" s="267">
        <v>10045589</v>
      </c>
      <c r="BT166" s="267">
        <v>0</v>
      </c>
      <c r="BU166" s="267">
        <v>10116721</v>
      </c>
      <c r="BV166" s="267">
        <v>20132172</v>
      </c>
      <c r="BW166" s="267">
        <v>0</v>
      </c>
      <c r="BX166" s="267">
        <v>15873913</v>
      </c>
      <c r="BY166" s="267">
        <v>3121068</v>
      </c>
      <c r="BZ166" s="267">
        <v>833000</v>
      </c>
      <c r="CA166" s="1232">
        <v>7016374</v>
      </c>
      <c r="CB166" s="267">
        <v>6282078</v>
      </c>
      <c r="CC166" s="267">
        <v>0</v>
      </c>
      <c r="CD166" s="267">
        <v>0</v>
      </c>
      <c r="CE166" s="267">
        <v>1200807</v>
      </c>
    </row>
    <row r="167" spans="1:83" x14ac:dyDescent="0.3">
      <c r="A167" s="267">
        <v>517</v>
      </c>
      <c r="B167" s="267">
        <v>517</v>
      </c>
      <c r="C167" s="267" t="s">
        <v>279</v>
      </c>
      <c r="D167" s="267" t="s">
        <v>484</v>
      </c>
      <c r="E167" s="267">
        <v>0</v>
      </c>
      <c r="F167" s="267">
        <v>0</v>
      </c>
      <c r="G167" s="267">
        <v>0</v>
      </c>
      <c r="H167" s="267">
        <v>0</v>
      </c>
      <c r="I167" s="267">
        <v>0</v>
      </c>
      <c r="J167" s="267">
        <v>0</v>
      </c>
      <c r="K167" s="267">
        <v>0</v>
      </c>
      <c r="L167" s="267">
        <v>0</v>
      </c>
      <c r="M167" s="267">
        <v>0</v>
      </c>
      <c r="N167" s="267">
        <v>0</v>
      </c>
      <c r="O167" s="267">
        <v>0</v>
      </c>
      <c r="P167" s="267">
        <v>0</v>
      </c>
      <c r="Q167" s="267">
        <v>0</v>
      </c>
      <c r="R167" s="267">
        <v>79377444</v>
      </c>
      <c r="S167" s="267">
        <v>723869</v>
      </c>
      <c r="T167" s="267">
        <v>0</v>
      </c>
      <c r="U167" s="267">
        <v>0</v>
      </c>
      <c r="V167" s="267">
        <v>0</v>
      </c>
      <c r="W167" s="267">
        <v>0</v>
      </c>
      <c r="X167" s="267">
        <v>0</v>
      </c>
      <c r="Y167" s="267">
        <v>0</v>
      </c>
      <c r="Z167" s="267">
        <v>0</v>
      </c>
      <c r="AA167" s="267">
        <v>0</v>
      </c>
      <c r="AB167" s="267">
        <v>0</v>
      </c>
      <c r="AC167" s="267">
        <v>0</v>
      </c>
      <c r="AD167" s="267">
        <v>0</v>
      </c>
      <c r="AE167" s="267">
        <v>0</v>
      </c>
      <c r="AF167" s="267">
        <v>0</v>
      </c>
      <c r="AG167" s="267">
        <v>2581885</v>
      </c>
      <c r="AH167" s="267">
        <v>1255680</v>
      </c>
      <c r="AI167" s="267">
        <v>0</v>
      </c>
      <c r="AJ167" s="267">
        <v>0</v>
      </c>
      <c r="AK167" s="267">
        <v>0</v>
      </c>
      <c r="AL167" s="267">
        <v>0</v>
      </c>
      <c r="AM167" s="267">
        <v>0</v>
      </c>
      <c r="AN167" s="267">
        <v>0</v>
      </c>
      <c r="AO167" s="267">
        <v>0</v>
      </c>
      <c r="AP167" s="267">
        <v>0</v>
      </c>
      <c r="AQ167" s="267">
        <v>0</v>
      </c>
      <c r="AR167" s="267">
        <v>0</v>
      </c>
      <c r="AS167" s="267">
        <v>0</v>
      </c>
      <c r="AT167" s="267">
        <v>0</v>
      </c>
      <c r="AU167" s="267">
        <v>0</v>
      </c>
      <c r="AV167" s="267">
        <v>0</v>
      </c>
      <c r="AW167" s="267">
        <v>0</v>
      </c>
      <c r="AX167" s="267">
        <v>0</v>
      </c>
      <c r="AY167" s="267">
        <v>0</v>
      </c>
      <c r="AZ167" s="267">
        <v>0</v>
      </c>
      <c r="BA167" s="267">
        <v>0</v>
      </c>
      <c r="BB167" s="267">
        <v>0</v>
      </c>
      <c r="BC167" s="267">
        <v>0</v>
      </c>
      <c r="BD167" s="267">
        <v>0</v>
      </c>
      <c r="BE167" s="267">
        <v>625527</v>
      </c>
      <c r="BF167" s="267">
        <v>0</v>
      </c>
      <c r="BG167" s="267">
        <v>0</v>
      </c>
      <c r="BH167" s="267">
        <v>0</v>
      </c>
      <c r="BI167" s="267">
        <v>0</v>
      </c>
      <c r="BJ167" s="267">
        <v>0</v>
      </c>
      <c r="BK167" s="267">
        <v>0</v>
      </c>
      <c r="BL167" s="267">
        <v>0</v>
      </c>
      <c r="BM167" s="267">
        <v>0</v>
      </c>
      <c r="BN167" s="267">
        <v>0</v>
      </c>
      <c r="BO167" s="267">
        <v>0</v>
      </c>
      <c r="BP167" s="267">
        <v>0</v>
      </c>
      <c r="BQ167" s="267">
        <v>0</v>
      </c>
      <c r="BR167" s="267">
        <v>0</v>
      </c>
      <c r="BS167" s="267">
        <v>0</v>
      </c>
      <c r="BT167" s="267">
        <v>0</v>
      </c>
      <c r="BU167" s="267">
        <v>0</v>
      </c>
      <c r="BV167" s="267">
        <v>0</v>
      </c>
      <c r="BW167" s="267">
        <v>0</v>
      </c>
      <c r="BX167" s="267">
        <v>0</v>
      </c>
      <c r="BY167" s="267">
        <v>0</v>
      </c>
      <c r="BZ167" s="267">
        <v>0</v>
      </c>
      <c r="CA167" s="267">
        <v>0</v>
      </c>
      <c r="CB167" s="267">
        <v>0</v>
      </c>
      <c r="CC167" s="267">
        <v>0</v>
      </c>
      <c r="CD167" s="267">
        <v>0</v>
      </c>
      <c r="CE167" s="267">
        <v>0</v>
      </c>
    </row>
    <row r="168" spans="1:83" x14ac:dyDescent="0.3">
      <c r="A168" s="267">
        <v>518</v>
      </c>
      <c r="B168" s="267">
        <v>518</v>
      </c>
      <c r="C168" s="267" t="s">
        <v>280</v>
      </c>
      <c r="D168" s="267" t="s">
        <v>485</v>
      </c>
      <c r="E168" s="267">
        <v>0</v>
      </c>
      <c r="F168" s="267">
        <v>0</v>
      </c>
      <c r="G168" s="267">
        <v>193122</v>
      </c>
      <c r="H168" s="267">
        <v>0</v>
      </c>
      <c r="I168" s="267">
        <v>0</v>
      </c>
      <c r="J168" s="267">
        <v>0</v>
      </c>
      <c r="K168" s="267">
        <v>10116</v>
      </c>
      <c r="L168" s="267">
        <v>0</v>
      </c>
      <c r="M168" s="267">
        <v>0</v>
      </c>
      <c r="N168" s="267">
        <v>0</v>
      </c>
      <c r="O168" s="267">
        <v>0</v>
      </c>
      <c r="P168" s="267">
        <v>2171609</v>
      </c>
      <c r="Q168" s="267">
        <v>0</v>
      </c>
      <c r="R168" s="267">
        <v>13067008</v>
      </c>
      <c r="S168" s="267">
        <v>26514</v>
      </c>
      <c r="T168" s="267">
        <v>0</v>
      </c>
      <c r="U168" s="267">
        <v>10744978</v>
      </c>
      <c r="V168" s="267">
        <v>2517986</v>
      </c>
      <c r="W168" s="267">
        <v>22598753</v>
      </c>
      <c r="X168" s="267">
        <v>0</v>
      </c>
      <c r="Y168" s="267">
        <v>10236</v>
      </c>
      <c r="Z168" s="267">
        <v>3098046</v>
      </c>
      <c r="AA168" s="267">
        <v>0</v>
      </c>
      <c r="AB168" s="267">
        <v>3969046</v>
      </c>
      <c r="AC168" s="267">
        <v>1224006</v>
      </c>
      <c r="AD168" s="267">
        <v>201403</v>
      </c>
      <c r="AE168" s="1232">
        <v>792251</v>
      </c>
      <c r="AF168" s="267">
        <v>729854</v>
      </c>
      <c r="AG168" s="267">
        <v>6286083</v>
      </c>
      <c r="AH168" s="267">
        <v>2246612</v>
      </c>
      <c r="AI168" s="267">
        <v>1525</v>
      </c>
      <c r="AJ168" s="267">
        <v>8881605</v>
      </c>
      <c r="AK168" s="267">
        <v>0</v>
      </c>
      <c r="AL168" s="267">
        <v>270763</v>
      </c>
      <c r="AM168" s="267">
        <v>0</v>
      </c>
      <c r="AN168" s="267">
        <v>2786085</v>
      </c>
      <c r="AO168" s="267">
        <v>0</v>
      </c>
      <c r="AP168" s="267">
        <v>0</v>
      </c>
      <c r="AQ168" s="267">
        <v>0</v>
      </c>
      <c r="AR168" s="267">
        <v>0</v>
      </c>
      <c r="AS168" s="267">
        <v>1569465</v>
      </c>
      <c r="AT168" s="267">
        <v>0</v>
      </c>
      <c r="AU168" s="267">
        <v>860228</v>
      </c>
      <c r="AV168" s="267">
        <v>0</v>
      </c>
      <c r="AW168" s="267">
        <v>24755488</v>
      </c>
      <c r="AX168" s="267">
        <v>0</v>
      </c>
      <c r="AY168" s="267">
        <v>1417378</v>
      </c>
      <c r="AZ168" s="267">
        <v>1119320</v>
      </c>
      <c r="BA168" s="267">
        <v>497055</v>
      </c>
      <c r="BB168" s="267">
        <v>97644</v>
      </c>
      <c r="BC168" s="267">
        <v>0</v>
      </c>
      <c r="BD168" s="267">
        <v>0</v>
      </c>
      <c r="BE168" s="267">
        <v>3208545</v>
      </c>
      <c r="BF168" s="267">
        <v>0</v>
      </c>
      <c r="BG168" s="267">
        <v>107941</v>
      </c>
      <c r="BH168" s="267">
        <v>34718</v>
      </c>
      <c r="BI168" s="267">
        <v>0</v>
      </c>
      <c r="BJ168" s="267">
        <v>12847</v>
      </c>
      <c r="BK168" s="267">
        <v>0</v>
      </c>
      <c r="BL168" s="267">
        <v>2830963</v>
      </c>
      <c r="BM168" s="267">
        <v>0</v>
      </c>
      <c r="BN168" s="267">
        <v>327664</v>
      </c>
      <c r="BO168" s="267">
        <v>219418</v>
      </c>
      <c r="BP168" s="267">
        <v>182948</v>
      </c>
      <c r="BQ168" s="267">
        <v>355800</v>
      </c>
      <c r="BR168" s="267">
        <v>0</v>
      </c>
      <c r="BS168" s="267">
        <v>123583</v>
      </c>
      <c r="BT168" s="267">
        <v>0</v>
      </c>
      <c r="BU168" s="267">
        <v>514469</v>
      </c>
      <c r="BV168" s="267">
        <v>2388045</v>
      </c>
      <c r="BW168" s="267">
        <v>0</v>
      </c>
      <c r="BX168" s="267">
        <v>1513601</v>
      </c>
      <c r="BY168" s="267">
        <v>48948</v>
      </c>
      <c r="BZ168" s="267">
        <v>0</v>
      </c>
      <c r="CA168" s="1232">
        <v>96960</v>
      </c>
      <c r="CB168" s="267">
        <v>8823</v>
      </c>
      <c r="CC168" s="267">
        <v>0</v>
      </c>
      <c r="CD168" s="267">
        <v>0</v>
      </c>
      <c r="CE168" s="267">
        <v>0</v>
      </c>
    </row>
    <row r="169" spans="1:83" x14ac:dyDescent="0.3">
      <c r="A169" s="267">
        <v>519</v>
      </c>
      <c r="B169" s="267">
        <v>519</v>
      </c>
      <c r="C169" s="267" t="s">
        <v>281</v>
      </c>
      <c r="D169" s="267" t="s">
        <v>486</v>
      </c>
      <c r="E169" s="267">
        <v>0</v>
      </c>
      <c r="F169" s="267">
        <v>0</v>
      </c>
      <c r="G169" s="267">
        <v>0</v>
      </c>
      <c r="H169" s="267">
        <v>0</v>
      </c>
      <c r="I169" s="267">
        <v>0</v>
      </c>
      <c r="J169" s="267">
        <v>0</v>
      </c>
      <c r="K169" s="267">
        <v>0</v>
      </c>
      <c r="L169" s="267">
        <v>0</v>
      </c>
      <c r="M169" s="267">
        <v>0</v>
      </c>
      <c r="N169" s="267">
        <v>0</v>
      </c>
      <c r="O169" s="267">
        <v>0</v>
      </c>
      <c r="P169" s="267">
        <v>0</v>
      </c>
      <c r="Q169" s="267">
        <v>0</v>
      </c>
      <c r="R169" s="267">
        <v>703622</v>
      </c>
      <c r="S169" s="267">
        <v>3553</v>
      </c>
      <c r="T169" s="267">
        <v>0</v>
      </c>
      <c r="U169" s="267">
        <v>2373467</v>
      </c>
      <c r="V169" s="267">
        <v>138538</v>
      </c>
      <c r="W169" s="267">
        <v>248612</v>
      </c>
      <c r="X169" s="267">
        <v>0</v>
      </c>
      <c r="Y169" s="267">
        <v>0</v>
      </c>
      <c r="Z169" s="267">
        <v>0</v>
      </c>
      <c r="AA169" s="267">
        <v>0</v>
      </c>
      <c r="AB169" s="267">
        <v>313075</v>
      </c>
      <c r="AC169" s="267">
        <v>127986</v>
      </c>
      <c r="AD169" s="267">
        <v>14546</v>
      </c>
      <c r="AE169" s="267">
        <v>0</v>
      </c>
      <c r="AF169" s="267">
        <v>0</v>
      </c>
      <c r="AG169" s="267">
        <v>42127</v>
      </c>
      <c r="AH169" s="267">
        <v>0</v>
      </c>
      <c r="AI169" s="267">
        <v>0</v>
      </c>
      <c r="AJ169" s="267">
        <v>1868324</v>
      </c>
      <c r="AK169" s="267">
        <v>0</v>
      </c>
      <c r="AL169" s="267">
        <v>0</v>
      </c>
      <c r="AM169" s="267">
        <v>0</v>
      </c>
      <c r="AN169" s="267">
        <v>507335</v>
      </c>
      <c r="AO169" s="267">
        <v>0</v>
      </c>
      <c r="AP169" s="267">
        <v>0</v>
      </c>
      <c r="AQ169" s="267">
        <v>0</v>
      </c>
      <c r="AR169" s="267">
        <v>0</v>
      </c>
      <c r="AS169" s="267">
        <v>0</v>
      </c>
      <c r="AT169" s="267">
        <v>0</v>
      </c>
      <c r="AU169" s="267">
        <v>0</v>
      </c>
      <c r="AV169" s="267">
        <v>0</v>
      </c>
      <c r="AW169" s="267">
        <v>352352</v>
      </c>
      <c r="AX169" s="267">
        <v>0</v>
      </c>
      <c r="AY169" s="267">
        <v>0</v>
      </c>
      <c r="AZ169" s="267">
        <v>57445</v>
      </c>
      <c r="BA169" s="267">
        <v>0</v>
      </c>
      <c r="BB169" s="267">
        <v>0</v>
      </c>
      <c r="BC169" s="267">
        <v>0</v>
      </c>
      <c r="BD169" s="267">
        <v>0</v>
      </c>
      <c r="BE169" s="267">
        <v>0</v>
      </c>
      <c r="BF169" s="267">
        <v>0</v>
      </c>
      <c r="BG169" s="267">
        <v>0</v>
      </c>
      <c r="BH169" s="267">
        <v>0</v>
      </c>
      <c r="BI169" s="267">
        <v>0</v>
      </c>
      <c r="BJ169" s="267">
        <v>0</v>
      </c>
      <c r="BK169" s="267">
        <v>0</v>
      </c>
      <c r="BL169" s="267">
        <v>0</v>
      </c>
      <c r="BM169" s="267">
        <v>0</v>
      </c>
      <c r="BN169" s="267">
        <v>0</v>
      </c>
      <c r="BO169" s="267">
        <v>0</v>
      </c>
      <c r="BP169" s="267">
        <v>0</v>
      </c>
      <c r="BQ169" s="267">
        <v>2324</v>
      </c>
      <c r="BR169" s="267">
        <v>0</v>
      </c>
      <c r="BS169" s="267">
        <v>0</v>
      </c>
      <c r="BT169" s="267">
        <v>0</v>
      </c>
      <c r="BU169" s="267">
        <v>785</v>
      </c>
      <c r="BV169" s="267">
        <v>4359</v>
      </c>
      <c r="BW169" s="267">
        <v>0</v>
      </c>
      <c r="BX169" s="267">
        <v>0</v>
      </c>
      <c r="BY169" s="267">
        <v>4037</v>
      </c>
      <c r="BZ169" s="267">
        <v>0</v>
      </c>
      <c r="CA169" s="267">
        <v>0</v>
      </c>
      <c r="CB169" s="267">
        <v>0</v>
      </c>
      <c r="CC169" s="267">
        <v>0</v>
      </c>
      <c r="CD169" s="267">
        <v>0</v>
      </c>
      <c r="CE169" s="267">
        <v>0</v>
      </c>
    </row>
    <row r="170" spans="1:83" x14ac:dyDescent="0.3">
      <c r="A170" s="267">
        <v>520</v>
      </c>
      <c r="B170" s="267">
        <v>520</v>
      </c>
      <c r="C170" s="267" t="s">
        <v>282</v>
      </c>
      <c r="D170" s="267" t="s">
        <v>487</v>
      </c>
      <c r="E170" s="267">
        <v>0</v>
      </c>
      <c r="F170" s="267">
        <v>0</v>
      </c>
      <c r="G170" s="267">
        <v>166875</v>
      </c>
      <c r="H170" s="267">
        <v>0</v>
      </c>
      <c r="I170" s="267">
        <v>0</v>
      </c>
      <c r="J170" s="267">
        <v>0</v>
      </c>
      <c r="K170" s="267">
        <v>64391</v>
      </c>
      <c r="L170" s="267">
        <v>0</v>
      </c>
      <c r="M170" s="267">
        <v>0</v>
      </c>
      <c r="N170" s="267">
        <v>0</v>
      </c>
      <c r="O170" s="267">
        <v>0</v>
      </c>
      <c r="P170" s="267">
        <v>667454</v>
      </c>
      <c r="Q170" s="267">
        <v>0</v>
      </c>
      <c r="R170" s="267">
        <v>0</v>
      </c>
      <c r="S170" s="267">
        <v>53894</v>
      </c>
      <c r="T170" s="267">
        <v>0</v>
      </c>
      <c r="U170" s="267">
        <v>1728101</v>
      </c>
      <c r="V170" s="267">
        <v>1384292</v>
      </c>
      <c r="W170" s="267">
        <v>1235335</v>
      </c>
      <c r="X170" s="267">
        <v>0</v>
      </c>
      <c r="Y170" s="267">
        <v>88567</v>
      </c>
      <c r="Z170" s="267">
        <v>1696334</v>
      </c>
      <c r="AA170" s="267">
        <v>412764</v>
      </c>
      <c r="AB170" s="267">
        <v>613189</v>
      </c>
      <c r="AC170" s="267">
        <v>413649</v>
      </c>
      <c r="AD170" s="267">
        <v>92336</v>
      </c>
      <c r="AE170" s="1232">
        <v>164861</v>
      </c>
      <c r="AF170" s="267">
        <v>660839</v>
      </c>
      <c r="AG170" s="267">
        <v>0</v>
      </c>
      <c r="AH170" s="267">
        <v>172649</v>
      </c>
      <c r="AI170" s="267">
        <v>146339</v>
      </c>
      <c r="AJ170" s="267">
        <v>1334690</v>
      </c>
      <c r="AK170" s="267">
        <v>67226</v>
      </c>
      <c r="AL170" s="267">
        <v>215191</v>
      </c>
      <c r="AM170" s="267">
        <v>0</v>
      </c>
      <c r="AN170" s="267">
        <v>1269760</v>
      </c>
      <c r="AO170" s="267">
        <v>0</v>
      </c>
      <c r="AP170" s="267">
        <v>0</v>
      </c>
      <c r="AQ170" s="267">
        <v>0</v>
      </c>
      <c r="AR170" s="267">
        <v>0</v>
      </c>
      <c r="AS170" s="267">
        <v>719265</v>
      </c>
      <c r="AT170" s="267">
        <v>175158</v>
      </c>
      <c r="AU170" s="267">
        <v>329865</v>
      </c>
      <c r="AV170" s="267">
        <v>0</v>
      </c>
      <c r="AW170" s="267">
        <v>2888270</v>
      </c>
      <c r="AX170" s="267">
        <v>0</v>
      </c>
      <c r="AY170" s="267">
        <v>183869</v>
      </c>
      <c r="AZ170" s="267">
        <v>17002</v>
      </c>
      <c r="BA170" s="267">
        <v>195185</v>
      </c>
      <c r="BB170" s="267">
        <v>38216</v>
      </c>
      <c r="BC170" s="267">
        <v>0</v>
      </c>
      <c r="BD170" s="267">
        <v>0</v>
      </c>
      <c r="BE170" s="267">
        <v>918519</v>
      </c>
      <c r="BF170" s="267">
        <v>0</v>
      </c>
      <c r="BG170" s="267">
        <v>59920</v>
      </c>
      <c r="BH170" s="267">
        <v>71250</v>
      </c>
      <c r="BI170" s="267">
        <v>0</v>
      </c>
      <c r="BJ170" s="267">
        <v>91872</v>
      </c>
      <c r="BK170" s="267">
        <v>0</v>
      </c>
      <c r="BL170" s="267">
        <v>390271</v>
      </c>
      <c r="BM170" s="267">
        <v>0</v>
      </c>
      <c r="BN170" s="267">
        <v>331265</v>
      </c>
      <c r="BO170" s="267">
        <v>149526</v>
      </c>
      <c r="BP170" s="267">
        <v>98719</v>
      </c>
      <c r="BQ170" s="267">
        <v>24548</v>
      </c>
      <c r="BR170" s="267">
        <v>0</v>
      </c>
      <c r="BS170" s="267">
        <v>199587</v>
      </c>
      <c r="BT170" s="267">
        <v>0</v>
      </c>
      <c r="BU170" s="267">
        <v>247312</v>
      </c>
      <c r="BV170" s="267">
        <v>559690</v>
      </c>
      <c r="BW170" s="267">
        <v>0</v>
      </c>
      <c r="BX170" s="267">
        <v>345913</v>
      </c>
      <c r="BY170" s="267">
        <v>62282</v>
      </c>
      <c r="BZ170" s="267">
        <v>18215</v>
      </c>
      <c r="CA170" s="1232">
        <v>168004</v>
      </c>
      <c r="CB170" s="267">
        <v>157767</v>
      </c>
      <c r="CC170" s="267">
        <v>0</v>
      </c>
      <c r="CD170" s="267">
        <v>0</v>
      </c>
      <c r="CE170" s="267">
        <v>30020</v>
      </c>
    </row>
    <row r="171" spans="1:83" x14ac:dyDescent="0.3">
      <c r="A171" s="267">
        <v>521</v>
      </c>
      <c r="B171" s="267">
        <v>521</v>
      </c>
      <c r="C171" s="267" t="s">
        <v>283</v>
      </c>
      <c r="D171" s="267" t="s">
        <v>488</v>
      </c>
      <c r="E171" s="267">
        <v>0</v>
      </c>
      <c r="F171" s="267">
        <v>0</v>
      </c>
      <c r="G171" s="267">
        <v>0</v>
      </c>
      <c r="H171" s="267">
        <v>0</v>
      </c>
      <c r="I171" s="267">
        <v>0</v>
      </c>
      <c r="J171" s="267">
        <v>0</v>
      </c>
      <c r="K171" s="267">
        <v>0</v>
      </c>
      <c r="L171" s="267">
        <v>0</v>
      </c>
      <c r="M171" s="267">
        <v>0</v>
      </c>
      <c r="N171" s="267">
        <v>0</v>
      </c>
      <c r="O171" s="267">
        <v>0</v>
      </c>
      <c r="P171" s="267">
        <v>0</v>
      </c>
      <c r="Q171" s="267">
        <v>0</v>
      </c>
      <c r="R171" s="267">
        <v>1358599</v>
      </c>
      <c r="S171" s="267">
        <v>19909</v>
      </c>
      <c r="T171" s="267">
        <v>0</v>
      </c>
      <c r="U171" s="267">
        <v>0</v>
      </c>
      <c r="V171" s="267">
        <v>0</v>
      </c>
      <c r="W171" s="267">
        <v>0</v>
      </c>
      <c r="X171" s="267">
        <v>0</v>
      </c>
      <c r="Y171" s="267">
        <v>0</v>
      </c>
      <c r="Z171" s="267">
        <v>0</v>
      </c>
      <c r="AA171" s="267">
        <v>0</v>
      </c>
      <c r="AB171" s="267">
        <v>0</v>
      </c>
      <c r="AC171" s="267">
        <v>0</v>
      </c>
      <c r="AD171" s="267">
        <v>0</v>
      </c>
      <c r="AE171" s="267">
        <v>0</v>
      </c>
      <c r="AF171" s="267">
        <v>0</v>
      </c>
      <c r="AG171" s="267">
        <v>87157</v>
      </c>
      <c r="AH171" s="267">
        <v>31392</v>
      </c>
      <c r="AI171" s="267">
        <v>0</v>
      </c>
      <c r="AJ171" s="267">
        <v>0</v>
      </c>
      <c r="AK171" s="267">
        <v>0</v>
      </c>
      <c r="AL171" s="267">
        <v>0</v>
      </c>
      <c r="AM171" s="267">
        <v>0</v>
      </c>
      <c r="AN171" s="267">
        <v>0</v>
      </c>
      <c r="AO171" s="267">
        <v>0</v>
      </c>
      <c r="AP171" s="267">
        <v>0</v>
      </c>
      <c r="AQ171" s="267">
        <v>0</v>
      </c>
      <c r="AR171" s="267">
        <v>0</v>
      </c>
      <c r="AS171" s="267">
        <v>0</v>
      </c>
      <c r="AT171" s="267">
        <v>0</v>
      </c>
      <c r="AU171" s="267">
        <v>0</v>
      </c>
      <c r="AV171" s="267">
        <v>0</v>
      </c>
      <c r="AW171" s="267">
        <v>0</v>
      </c>
      <c r="AX171" s="267">
        <v>0</v>
      </c>
      <c r="AY171" s="267">
        <v>0</v>
      </c>
      <c r="AZ171" s="267">
        <v>0</v>
      </c>
      <c r="BA171" s="267">
        <v>0</v>
      </c>
      <c r="BB171" s="267">
        <v>0</v>
      </c>
      <c r="BC171" s="267">
        <v>0</v>
      </c>
      <c r="BD171" s="267">
        <v>0</v>
      </c>
      <c r="BE171" s="267">
        <v>44456</v>
      </c>
      <c r="BF171" s="267">
        <v>0</v>
      </c>
      <c r="BG171" s="267">
        <v>0</v>
      </c>
      <c r="BH171" s="267">
        <v>0</v>
      </c>
      <c r="BI171" s="267">
        <v>0</v>
      </c>
      <c r="BJ171" s="267">
        <v>0</v>
      </c>
      <c r="BK171" s="267">
        <v>0</v>
      </c>
      <c r="BL171" s="267">
        <v>0</v>
      </c>
      <c r="BM171" s="267">
        <v>0</v>
      </c>
      <c r="BN171" s="267">
        <v>0</v>
      </c>
      <c r="BO171" s="267">
        <v>0</v>
      </c>
      <c r="BP171" s="267">
        <v>0</v>
      </c>
      <c r="BQ171" s="267">
        <v>0</v>
      </c>
      <c r="BR171" s="267">
        <v>0</v>
      </c>
      <c r="BS171" s="267">
        <v>0</v>
      </c>
      <c r="BT171" s="267">
        <v>0</v>
      </c>
      <c r="BU171" s="267">
        <v>0</v>
      </c>
      <c r="BV171" s="267">
        <v>0</v>
      </c>
      <c r="BW171" s="267">
        <v>0</v>
      </c>
      <c r="BX171" s="267">
        <v>0</v>
      </c>
      <c r="BY171" s="267">
        <v>0</v>
      </c>
      <c r="BZ171" s="267">
        <v>0</v>
      </c>
      <c r="CA171" s="267">
        <v>0</v>
      </c>
      <c r="CB171" s="267">
        <v>0</v>
      </c>
      <c r="CC171" s="267">
        <v>0</v>
      </c>
      <c r="CD171" s="267">
        <v>0</v>
      </c>
      <c r="CE171" s="267">
        <v>0</v>
      </c>
    </row>
    <row r="172" spans="1:83" x14ac:dyDescent="0.3">
      <c r="A172" s="267">
        <v>522</v>
      </c>
      <c r="B172" s="267">
        <v>522</v>
      </c>
      <c r="C172" s="267" t="s">
        <v>284</v>
      </c>
      <c r="D172" s="267" t="s">
        <v>489</v>
      </c>
      <c r="E172" s="267">
        <v>0</v>
      </c>
      <c r="F172" s="267">
        <v>0</v>
      </c>
      <c r="G172" s="267">
        <v>6475</v>
      </c>
      <c r="H172" s="267">
        <v>0</v>
      </c>
      <c r="I172" s="267">
        <v>0</v>
      </c>
      <c r="J172" s="267">
        <v>0</v>
      </c>
      <c r="K172" s="267">
        <v>674</v>
      </c>
      <c r="L172" s="267">
        <v>0</v>
      </c>
      <c r="M172" s="267">
        <v>0</v>
      </c>
      <c r="N172" s="267">
        <v>0</v>
      </c>
      <c r="O172" s="267">
        <v>0</v>
      </c>
      <c r="P172" s="267">
        <v>83749</v>
      </c>
      <c r="Q172" s="267">
        <v>0</v>
      </c>
      <c r="R172" s="267">
        <v>1135966</v>
      </c>
      <c r="S172" s="267">
        <v>0</v>
      </c>
      <c r="T172" s="267">
        <v>0</v>
      </c>
      <c r="U172" s="267">
        <v>606966</v>
      </c>
      <c r="V172" s="267">
        <v>138600</v>
      </c>
      <c r="W172" s="267">
        <v>1096913</v>
      </c>
      <c r="X172" s="267">
        <v>0</v>
      </c>
      <c r="Y172" s="267">
        <v>1024</v>
      </c>
      <c r="Z172" s="267">
        <v>175877</v>
      </c>
      <c r="AA172" s="267">
        <v>0</v>
      </c>
      <c r="AB172" s="267">
        <v>203872</v>
      </c>
      <c r="AC172" s="267">
        <v>41602</v>
      </c>
      <c r="AD172" s="267">
        <v>20860</v>
      </c>
      <c r="AE172" s="1232">
        <v>57111</v>
      </c>
      <c r="AF172" s="267">
        <v>41987</v>
      </c>
      <c r="AG172" s="267">
        <v>223789</v>
      </c>
      <c r="AH172" s="267">
        <v>107366</v>
      </c>
      <c r="AI172" s="267">
        <v>0</v>
      </c>
      <c r="AJ172" s="267">
        <v>582624</v>
      </c>
      <c r="AK172" s="267">
        <v>0</v>
      </c>
      <c r="AL172" s="267">
        <v>9658</v>
      </c>
      <c r="AM172" s="267">
        <v>0</v>
      </c>
      <c r="AN172" s="267">
        <v>214267</v>
      </c>
      <c r="AO172" s="267">
        <v>0</v>
      </c>
      <c r="AP172" s="267">
        <v>0</v>
      </c>
      <c r="AQ172" s="267">
        <v>0</v>
      </c>
      <c r="AR172" s="267">
        <v>0</v>
      </c>
      <c r="AS172" s="267">
        <v>72591</v>
      </c>
      <c r="AT172" s="267">
        <v>0</v>
      </c>
      <c r="AU172" s="267">
        <v>47196</v>
      </c>
      <c r="AV172" s="267">
        <v>0</v>
      </c>
      <c r="AW172" s="267">
        <v>1538174</v>
      </c>
      <c r="AX172" s="267">
        <v>0</v>
      </c>
      <c r="AY172" s="267">
        <v>75735</v>
      </c>
      <c r="AZ172" s="267">
        <v>47809</v>
      </c>
      <c r="BA172" s="267">
        <v>10275</v>
      </c>
      <c r="BB172" s="267">
        <v>7463</v>
      </c>
      <c r="BC172" s="267">
        <v>0</v>
      </c>
      <c r="BD172" s="267">
        <v>0</v>
      </c>
      <c r="BE172" s="267">
        <v>175648</v>
      </c>
      <c r="BF172" s="267">
        <v>0</v>
      </c>
      <c r="BG172" s="267">
        <v>6464</v>
      </c>
      <c r="BH172" s="267">
        <v>2870</v>
      </c>
      <c r="BI172" s="267">
        <v>0</v>
      </c>
      <c r="BJ172" s="267">
        <v>624</v>
      </c>
      <c r="BK172" s="267">
        <v>0</v>
      </c>
      <c r="BL172" s="267">
        <v>93108</v>
      </c>
      <c r="BM172" s="267">
        <v>0</v>
      </c>
      <c r="BN172" s="267">
        <v>52776</v>
      </c>
      <c r="BO172" s="267">
        <v>14302</v>
      </c>
      <c r="BP172" s="267">
        <v>1682</v>
      </c>
      <c r="BQ172" s="267">
        <v>16808</v>
      </c>
      <c r="BR172" s="267">
        <v>0</v>
      </c>
      <c r="BS172" s="267">
        <v>858</v>
      </c>
      <c r="BT172" s="267">
        <v>0</v>
      </c>
      <c r="BU172" s="267">
        <v>17000</v>
      </c>
      <c r="BV172" s="267">
        <v>41382</v>
      </c>
      <c r="BW172" s="267">
        <v>0</v>
      </c>
      <c r="BX172" s="267">
        <v>41650</v>
      </c>
      <c r="BY172" s="267">
        <v>1231</v>
      </c>
      <c r="BZ172" s="267">
        <v>0</v>
      </c>
      <c r="CA172" s="267">
        <v>789</v>
      </c>
      <c r="CB172" s="267">
        <v>582</v>
      </c>
      <c r="CC172" s="267">
        <v>0</v>
      </c>
      <c r="CD172" s="267">
        <v>0</v>
      </c>
      <c r="CE172" s="267">
        <v>0</v>
      </c>
    </row>
    <row r="173" spans="1:83" x14ac:dyDescent="0.3">
      <c r="A173" s="267">
        <v>523</v>
      </c>
      <c r="B173" s="267">
        <v>523</v>
      </c>
      <c r="C173" s="267" t="s">
        <v>285</v>
      </c>
      <c r="D173" s="267" t="s">
        <v>490</v>
      </c>
      <c r="E173" s="267">
        <v>0</v>
      </c>
      <c r="F173" s="267">
        <v>0</v>
      </c>
      <c r="G173" s="267">
        <v>0</v>
      </c>
      <c r="H173" s="267">
        <v>0</v>
      </c>
      <c r="I173" s="267">
        <v>0</v>
      </c>
      <c r="J173" s="267">
        <v>0</v>
      </c>
      <c r="K173" s="267">
        <v>0</v>
      </c>
      <c r="L173" s="267">
        <v>0</v>
      </c>
      <c r="M173" s="267">
        <v>0</v>
      </c>
      <c r="N173" s="267">
        <v>0</v>
      </c>
      <c r="O173" s="267">
        <v>0</v>
      </c>
      <c r="P173" s="267">
        <v>0</v>
      </c>
      <c r="Q173" s="267">
        <v>0</v>
      </c>
      <c r="R173" s="267">
        <v>15448017</v>
      </c>
      <c r="S173" s="267">
        <v>71037</v>
      </c>
      <c r="T173" s="267">
        <v>0</v>
      </c>
      <c r="U173" s="267">
        <v>32721866</v>
      </c>
      <c r="V173" s="267">
        <v>947468</v>
      </c>
      <c r="W173" s="267">
        <v>10500151</v>
      </c>
      <c r="X173" s="267">
        <v>0</v>
      </c>
      <c r="Y173" s="267">
        <v>0</v>
      </c>
      <c r="Z173" s="267">
        <v>0</v>
      </c>
      <c r="AA173" s="267">
        <v>0</v>
      </c>
      <c r="AB173" s="267">
        <v>11421459</v>
      </c>
      <c r="AC173" s="267">
        <v>4657616</v>
      </c>
      <c r="AD173" s="267">
        <v>111096</v>
      </c>
      <c r="AE173" s="267">
        <v>0</v>
      </c>
      <c r="AF173" s="267">
        <v>0</v>
      </c>
      <c r="AG173" s="267">
        <v>2324635</v>
      </c>
      <c r="AH173" s="267">
        <v>0</v>
      </c>
      <c r="AI173" s="267">
        <v>0</v>
      </c>
      <c r="AJ173" s="267">
        <v>26992662</v>
      </c>
      <c r="AK173" s="267">
        <v>0</v>
      </c>
      <c r="AL173" s="267">
        <v>0</v>
      </c>
      <c r="AM173" s="267">
        <v>0</v>
      </c>
      <c r="AN173" s="267">
        <v>18824418</v>
      </c>
      <c r="AO173" s="267">
        <v>0</v>
      </c>
      <c r="AP173" s="267">
        <v>0</v>
      </c>
      <c r="AQ173" s="267">
        <v>0</v>
      </c>
      <c r="AR173" s="267">
        <v>0</v>
      </c>
      <c r="AS173" s="267">
        <v>0</v>
      </c>
      <c r="AT173" s="267">
        <v>0</v>
      </c>
      <c r="AU173" s="267">
        <v>0</v>
      </c>
      <c r="AV173" s="267">
        <v>0</v>
      </c>
      <c r="AW173" s="267">
        <v>2937760</v>
      </c>
      <c r="AX173" s="267">
        <v>0</v>
      </c>
      <c r="AY173" s="267">
        <v>0</v>
      </c>
      <c r="AZ173" s="267">
        <v>59378</v>
      </c>
      <c r="BA173" s="267">
        <v>321190</v>
      </c>
      <c r="BB173" s="267">
        <v>0</v>
      </c>
      <c r="BC173" s="267">
        <v>0</v>
      </c>
      <c r="BD173" s="267">
        <v>0</v>
      </c>
      <c r="BE173" s="267">
        <v>0</v>
      </c>
      <c r="BF173" s="267">
        <v>0</v>
      </c>
      <c r="BG173" s="267">
        <v>0</v>
      </c>
      <c r="BH173" s="267">
        <v>0</v>
      </c>
      <c r="BI173" s="267">
        <v>0</v>
      </c>
      <c r="BJ173" s="267">
        <v>0</v>
      </c>
      <c r="BK173" s="267">
        <v>0</v>
      </c>
      <c r="BL173" s="267">
        <v>0</v>
      </c>
      <c r="BM173" s="267">
        <v>0</v>
      </c>
      <c r="BN173" s="267">
        <v>0</v>
      </c>
      <c r="BO173" s="267">
        <v>0</v>
      </c>
      <c r="BP173" s="267">
        <v>0</v>
      </c>
      <c r="BQ173" s="267">
        <v>75301</v>
      </c>
      <c r="BR173" s="267">
        <v>0</v>
      </c>
      <c r="BS173" s="267">
        <v>0</v>
      </c>
      <c r="BT173" s="267">
        <v>0</v>
      </c>
      <c r="BU173" s="267">
        <v>6924</v>
      </c>
      <c r="BV173" s="267">
        <v>132160</v>
      </c>
      <c r="BW173" s="267">
        <v>0</v>
      </c>
      <c r="BX173" s="267">
        <v>0</v>
      </c>
      <c r="BY173" s="267">
        <v>66776</v>
      </c>
      <c r="BZ173" s="267">
        <v>0</v>
      </c>
      <c r="CA173" s="267">
        <v>0</v>
      </c>
      <c r="CB173" s="267">
        <v>0</v>
      </c>
      <c r="CC173" s="267">
        <v>0</v>
      </c>
      <c r="CD173" s="267">
        <v>0</v>
      </c>
      <c r="CE173" s="267">
        <v>0</v>
      </c>
    </row>
    <row r="174" spans="1:83" x14ac:dyDescent="0.3">
      <c r="A174" s="267">
        <v>524</v>
      </c>
      <c r="B174" s="267">
        <v>524</v>
      </c>
      <c r="C174" s="267" t="s">
        <v>286</v>
      </c>
      <c r="D174" s="267" t="s">
        <v>491</v>
      </c>
      <c r="E174" s="267">
        <v>0</v>
      </c>
      <c r="F174" s="267">
        <v>0</v>
      </c>
      <c r="G174" s="267">
        <v>3516712</v>
      </c>
      <c r="H174" s="267">
        <v>0</v>
      </c>
      <c r="I174" s="267">
        <v>0</v>
      </c>
      <c r="J174" s="267">
        <v>0</v>
      </c>
      <c r="K174" s="267">
        <v>858692</v>
      </c>
      <c r="L174" s="267">
        <v>0</v>
      </c>
      <c r="M174" s="267">
        <v>0</v>
      </c>
      <c r="N174" s="267">
        <v>0</v>
      </c>
      <c r="O174" s="267">
        <v>0</v>
      </c>
      <c r="P174" s="267">
        <v>12953611</v>
      </c>
      <c r="Q174" s="267">
        <v>0</v>
      </c>
      <c r="R174" s="267">
        <v>0</v>
      </c>
      <c r="S174" s="267">
        <v>1404148</v>
      </c>
      <c r="T174" s="267">
        <v>0</v>
      </c>
      <c r="U174" s="267">
        <v>47313139</v>
      </c>
      <c r="V174" s="267">
        <v>22621062</v>
      </c>
      <c r="W174" s="267">
        <v>25166662</v>
      </c>
      <c r="X174" s="267">
        <v>0</v>
      </c>
      <c r="Y174" s="267">
        <v>1396996</v>
      </c>
      <c r="Z174" s="267">
        <v>39879723</v>
      </c>
      <c r="AA174" s="267">
        <v>7111922</v>
      </c>
      <c r="AB174" s="267">
        <v>12986542</v>
      </c>
      <c r="AC174" s="267">
        <v>4636889</v>
      </c>
      <c r="AD174" s="267">
        <v>1817123</v>
      </c>
      <c r="AE174" s="1232">
        <v>3579719</v>
      </c>
      <c r="AF174" s="267">
        <v>9458322</v>
      </c>
      <c r="AG174" s="267">
        <v>0</v>
      </c>
      <c r="AH174" s="267">
        <v>4512367</v>
      </c>
      <c r="AI174" s="267">
        <v>1837510</v>
      </c>
      <c r="AJ174" s="267">
        <v>21814067</v>
      </c>
      <c r="AK174" s="267">
        <v>1069811</v>
      </c>
      <c r="AL174" s="267">
        <v>3868701</v>
      </c>
      <c r="AM174" s="267">
        <v>0</v>
      </c>
      <c r="AN174" s="267">
        <v>20573513</v>
      </c>
      <c r="AO174" s="267">
        <v>0</v>
      </c>
      <c r="AP174" s="267">
        <v>0</v>
      </c>
      <c r="AQ174" s="267">
        <v>0</v>
      </c>
      <c r="AR174" s="267">
        <v>0</v>
      </c>
      <c r="AS174" s="267">
        <v>16261895</v>
      </c>
      <c r="AT174" s="267">
        <v>1795791</v>
      </c>
      <c r="AU174" s="267">
        <v>6742010</v>
      </c>
      <c r="AV174" s="267">
        <v>0</v>
      </c>
      <c r="AW174" s="267">
        <v>21177925</v>
      </c>
      <c r="AX174" s="267">
        <v>0</v>
      </c>
      <c r="AY174" s="267">
        <v>5611154</v>
      </c>
      <c r="AZ174" s="267">
        <v>1772234</v>
      </c>
      <c r="BA174" s="267">
        <v>4055317</v>
      </c>
      <c r="BB174" s="267">
        <v>1300943</v>
      </c>
      <c r="BC174" s="267">
        <v>0</v>
      </c>
      <c r="BD174" s="267">
        <v>0</v>
      </c>
      <c r="BE174" s="267">
        <v>14727753</v>
      </c>
      <c r="BF174" s="267">
        <v>0</v>
      </c>
      <c r="BG174" s="267">
        <v>1554088</v>
      </c>
      <c r="BH174" s="267">
        <v>1256731</v>
      </c>
      <c r="BI174" s="267">
        <v>0</v>
      </c>
      <c r="BJ174" s="267">
        <v>1540859</v>
      </c>
      <c r="BK174" s="267">
        <v>0</v>
      </c>
      <c r="BL174" s="267">
        <v>6976394</v>
      </c>
      <c r="BM174" s="267">
        <v>0</v>
      </c>
      <c r="BN174" s="267">
        <v>9139284</v>
      </c>
      <c r="BO174" s="267">
        <v>1472649</v>
      </c>
      <c r="BP174" s="267">
        <v>2540121</v>
      </c>
      <c r="BQ174" s="267">
        <v>713935</v>
      </c>
      <c r="BR174" s="267">
        <v>0</v>
      </c>
      <c r="BS174" s="267">
        <v>5469123</v>
      </c>
      <c r="BT174" s="267">
        <v>0</v>
      </c>
      <c r="BU174" s="267">
        <v>4088062</v>
      </c>
      <c r="BV174" s="267">
        <v>9398143</v>
      </c>
      <c r="BW174" s="267">
        <v>0</v>
      </c>
      <c r="BX174" s="267">
        <v>5800181</v>
      </c>
      <c r="BY174" s="267">
        <v>1151223</v>
      </c>
      <c r="BZ174" s="267">
        <v>183482</v>
      </c>
      <c r="CA174" s="1232">
        <v>2741240</v>
      </c>
      <c r="CB174" s="267">
        <v>1494982</v>
      </c>
      <c r="CC174" s="267">
        <v>0</v>
      </c>
      <c r="CD174" s="267">
        <v>0</v>
      </c>
      <c r="CE174" s="267">
        <v>378442</v>
      </c>
    </row>
    <row r="175" spans="1:83" x14ac:dyDescent="0.3">
      <c r="A175" s="267">
        <v>525</v>
      </c>
      <c r="B175" s="267">
        <v>525</v>
      </c>
      <c r="C175" s="267" t="s">
        <v>287</v>
      </c>
      <c r="D175" s="267" t="s">
        <v>492</v>
      </c>
      <c r="E175" s="267">
        <v>0</v>
      </c>
      <c r="F175" s="267">
        <v>0</v>
      </c>
      <c r="G175" s="267">
        <v>0</v>
      </c>
      <c r="H175" s="267">
        <v>0</v>
      </c>
      <c r="I175" s="267">
        <v>0</v>
      </c>
      <c r="J175" s="267">
        <v>0</v>
      </c>
      <c r="K175" s="267">
        <v>0</v>
      </c>
      <c r="L175" s="267">
        <v>0</v>
      </c>
      <c r="M175" s="267">
        <v>0</v>
      </c>
      <c r="N175" s="267">
        <v>0</v>
      </c>
      <c r="O175" s="267">
        <v>0</v>
      </c>
      <c r="P175" s="267">
        <v>0</v>
      </c>
      <c r="Q175" s="267">
        <v>0</v>
      </c>
      <c r="R175" s="267">
        <v>21873991</v>
      </c>
      <c r="S175" s="267">
        <v>246059</v>
      </c>
      <c r="T175" s="267">
        <v>0</v>
      </c>
      <c r="U175" s="267">
        <v>0</v>
      </c>
      <c r="V175" s="267">
        <v>0</v>
      </c>
      <c r="W175" s="267">
        <v>0</v>
      </c>
      <c r="X175" s="267">
        <v>0</v>
      </c>
      <c r="Y175" s="267">
        <v>0</v>
      </c>
      <c r="Z175" s="267">
        <v>0</v>
      </c>
      <c r="AA175" s="267">
        <v>0</v>
      </c>
      <c r="AB175" s="267">
        <v>0</v>
      </c>
      <c r="AC175" s="267">
        <v>0</v>
      </c>
      <c r="AD175" s="267">
        <v>0</v>
      </c>
      <c r="AE175" s="267">
        <v>0</v>
      </c>
      <c r="AF175" s="267">
        <v>0</v>
      </c>
      <c r="AG175" s="267">
        <v>867795</v>
      </c>
      <c r="AH175" s="267">
        <v>520584</v>
      </c>
      <c r="AI175" s="267">
        <v>0</v>
      </c>
      <c r="AJ175" s="267">
        <v>0</v>
      </c>
      <c r="AK175" s="267">
        <v>0</v>
      </c>
      <c r="AL175" s="267">
        <v>0</v>
      </c>
      <c r="AM175" s="267">
        <v>0</v>
      </c>
      <c r="AN175" s="267">
        <v>0</v>
      </c>
      <c r="AO175" s="267">
        <v>0</v>
      </c>
      <c r="AP175" s="267">
        <v>0</v>
      </c>
      <c r="AQ175" s="267">
        <v>0</v>
      </c>
      <c r="AR175" s="267">
        <v>0</v>
      </c>
      <c r="AS175" s="267">
        <v>0</v>
      </c>
      <c r="AT175" s="267">
        <v>0</v>
      </c>
      <c r="AU175" s="267">
        <v>0</v>
      </c>
      <c r="AV175" s="267">
        <v>0</v>
      </c>
      <c r="AW175" s="267">
        <v>0</v>
      </c>
      <c r="AX175" s="267">
        <v>0</v>
      </c>
      <c r="AY175" s="267">
        <v>0</v>
      </c>
      <c r="AZ175" s="267">
        <v>0</v>
      </c>
      <c r="BA175" s="267">
        <v>0</v>
      </c>
      <c r="BB175" s="267">
        <v>0</v>
      </c>
      <c r="BC175" s="267">
        <v>0</v>
      </c>
      <c r="BD175" s="267">
        <v>0</v>
      </c>
      <c r="BE175" s="267">
        <v>58908</v>
      </c>
      <c r="BF175" s="267">
        <v>0</v>
      </c>
      <c r="BG175" s="267">
        <v>0</v>
      </c>
      <c r="BH175" s="267">
        <v>0</v>
      </c>
      <c r="BI175" s="267">
        <v>0</v>
      </c>
      <c r="BJ175" s="267">
        <v>0</v>
      </c>
      <c r="BK175" s="267">
        <v>0</v>
      </c>
      <c r="BL175" s="267">
        <v>0</v>
      </c>
      <c r="BM175" s="267">
        <v>0</v>
      </c>
      <c r="BN175" s="267">
        <v>0</v>
      </c>
      <c r="BO175" s="267">
        <v>0</v>
      </c>
      <c r="BP175" s="267">
        <v>0</v>
      </c>
      <c r="BQ175" s="267">
        <v>0</v>
      </c>
      <c r="BR175" s="267">
        <v>0</v>
      </c>
      <c r="BS175" s="267">
        <v>0</v>
      </c>
      <c r="BT175" s="267">
        <v>0</v>
      </c>
      <c r="BU175" s="267">
        <v>0</v>
      </c>
      <c r="BV175" s="267">
        <v>0</v>
      </c>
      <c r="BW175" s="267">
        <v>0</v>
      </c>
      <c r="BX175" s="267">
        <v>0</v>
      </c>
      <c r="BY175" s="267">
        <v>0</v>
      </c>
      <c r="BZ175" s="267">
        <v>0</v>
      </c>
      <c r="CA175" s="267">
        <v>0</v>
      </c>
      <c r="CB175" s="267">
        <v>0</v>
      </c>
      <c r="CC175" s="267">
        <v>0</v>
      </c>
      <c r="CD175" s="267">
        <v>0</v>
      </c>
      <c r="CE175" s="267">
        <v>0</v>
      </c>
    </row>
    <row r="176" spans="1:83" x14ac:dyDescent="0.3">
      <c r="A176" s="267">
        <v>526</v>
      </c>
      <c r="B176" s="267">
        <v>526</v>
      </c>
      <c r="C176" s="267" t="s">
        <v>288</v>
      </c>
      <c r="D176" s="267" t="s">
        <v>493</v>
      </c>
      <c r="E176" s="267">
        <v>0</v>
      </c>
      <c r="F176" s="267">
        <v>0</v>
      </c>
      <c r="G176" s="267">
        <v>147134</v>
      </c>
      <c r="H176" s="267">
        <v>0</v>
      </c>
      <c r="I176" s="267">
        <v>0</v>
      </c>
      <c r="J176" s="267">
        <v>0</v>
      </c>
      <c r="K176" s="267">
        <v>5188</v>
      </c>
      <c r="L176" s="267">
        <v>0</v>
      </c>
      <c r="M176" s="267">
        <v>0</v>
      </c>
      <c r="N176" s="267">
        <v>0</v>
      </c>
      <c r="O176" s="267">
        <v>0</v>
      </c>
      <c r="P176" s="267">
        <v>1657636</v>
      </c>
      <c r="Q176" s="267">
        <v>0</v>
      </c>
      <c r="R176" s="267">
        <v>8055262</v>
      </c>
      <c r="S176" s="267">
        <v>26514</v>
      </c>
      <c r="T176" s="267">
        <v>0</v>
      </c>
      <c r="U176" s="267">
        <v>6781353</v>
      </c>
      <c r="V176" s="267">
        <v>1896736</v>
      </c>
      <c r="W176" s="267">
        <v>9262083</v>
      </c>
      <c r="X176" s="267">
        <v>0</v>
      </c>
      <c r="Y176" s="267">
        <v>10236</v>
      </c>
      <c r="Z176" s="267">
        <v>2358951</v>
      </c>
      <c r="AA176" s="267">
        <v>0</v>
      </c>
      <c r="AB176" s="267">
        <v>2894285</v>
      </c>
      <c r="AC176" s="267">
        <v>1081007</v>
      </c>
      <c r="AD176" s="267">
        <v>99061</v>
      </c>
      <c r="AE176" s="1232">
        <v>551367</v>
      </c>
      <c r="AF176" s="267">
        <v>490422</v>
      </c>
      <c r="AG176" s="267">
        <v>4622854</v>
      </c>
      <c r="AH176" s="267">
        <v>1194439</v>
      </c>
      <c r="AI176" s="267">
        <v>1525</v>
      </c>
      <c r="AJ176" s="267">
        <v>6523920</v>
      </c>
      <c r="AK176" s="267">
        <v>0</v>
      </c>
      <c r="AL176" s="267">
        <v>266310</v>
      </c>
      <c r="AM176" s="267">
        <v>0</v>
      </c>
      <c r="AN176" s="267">
        <v>1967029</v>
      </c>
      <c r="AO176" s="267">
        <v>0</v>
      </c>
      <c r="AP176" s="267">
        <v>0</v>
      </c>
      <c r="AQ176" s="267">
        <v>0</v>
      </c>
      <c r="AR176" s="267">
        <v>0</v>
      </c>
      <c r="AS176" s="267">
        <v>1259639</v>
      </c>
      <c r="AT176" s="267">
        <v>0</v>
      </c>
      <c r="AU176" s="267">
        <v>452002</v>
      </c>
      <c r="AV176" s="267">
        <v>0</v>
      </c>
      <c r="AW176" s="267">
        <v>10992646</v>
      </c>
      <c r="AX176" s="267">
        <v>0</v>
      </c>
      <c r="AY176" s="267">
        <v>711237</v>
      </c>
      <c r="AZ176" s="267">
        <v>1041689</v>
      </c>
      <c r="BA176" s="267">
        <v>355234</v>
      </c>
      <c r="BB176" s="267">
        <v>68688</v>
      </c>
      <c r="BC176" s="267">
        <v>0</v>
      </c>
      <c r="BD176" s="267">
        <v>0</v>
      </c>
      <c r="BE176" s="267">
        <v>2481638</v>
      </c>
      <c r="BF176" s="267">
        <v>0</v>
      </c>
      <c r="BG176" s="267">
        <v>101474</v>
      </c>
      <c r="BH176" s="267">
        <v>10595</v>
      </c>
      <c r="BI176" s="267">
        <v>0</v>
      </c>
      <c r="BJ176" s="267">
        <v>11372</v>
      </c>
      <c r="BK176" s="267">
        <v>0</v>
      </c>
      <c r="BL176" s="267">
        <v>1583141</v>
      </c>
      <c r="BM176" s="267">
        <v>0</v>
      </c>
      <c r="BN176" s="267">
        <v>195729</v>
      </c>
      <c r="BO176" s="267">
        <v>174915</v>
      </c>
      <c r="BP176" s="267">
        <v>179314</v>
      </c>
      <c r="BQ176" s="267">
        <v>288578</v>
      </c>
      <c r="BR176" s="267">
        <v>0</v>
      </c>
      <c r="BS176" s="267">
        <v>121267</v>
      </c>
      <c r="BT176" s="267">
        <v>0</v>
      </c>
      <c r="BU176" s="267">
        <v>250359</v>
      </c>
      <c r="BV176" s="267">
        <v>2079370</v>
      </c>
      <c r="BW176" s="267">
        <v>0</v>
      </c>
      <c r="BX176" s="267">
        <v>1249443</v>
      </c>
      <c r="BY176" s="267">
        <v>42456</v>
      </c>
      <c r="BZ176" s="267">
        <v>0</v>
      </c>
      <c r="CA176" s="1232">
        <v>94818</v>
      </c>
      <c r="CB176" s="267">
        <v>5530</v>
      </c>
      <c r="CC176" s="267">
        <v>0</v>
      </c>
      <c r="CD176" s="267">
        <v>0</v>
      </c>
      <c r="CE176" s="267">
        <v>0</v>
      </c>
    </row>
    <row r="177" spans="1:83" x14ac:dyDescent="0.3">
      <c r="A177" s="267">
        <v>527</v>
      </c>
      <c r="B177" s="267">
        <v>527</v>
      </c>
      <c r="C177" s="267" t="s">
        <v>289</v>
      </c>
      <c r="D177" s="267" t="s">
        <v>494</v>
      </c>
      <c r="E177" s="267">
        <v>0</v>
      </c>
      <c r="F177" s="267">
        <v>0</v>
      </c>
      <c r="G177" s="267">
        <v>0</v>
      </c>
      <c r="H177" s="267">
        <v>0</v>
      </c>
      <c r="I177" s="267">
        <v>0</v>
      </c>
      <c r="J177" s="267">
        <v>0</v>
      </c>
      <c r="K177" s="267">
        <v>0</v>
      </c>
      <c r="L177" s="267">
        <v>0</v>
      </c>
      <c r="M177" s="267">
        <v>0</v>
      </c>
      <c r="N177" s="267">
        <v>0</v>
      </c>
      <c r="O177" s="267">
        <v>0</v>
      </c>
      <c r="P177" s="267">
        <v>0</v>
      </c>
      <c r="Q177" s="267">
        <v>0</v>
      </c>
      <c r="R177" s="267">
        <v>7562906</v>
      </c>
      <c r="S177" s="267">
        <v>0</v>
      </c>
      <c r="T177" s="267">
        <v>0</v>
      </c>
      <c r="U177" s="267">
        <v>0</v>
      </c>
      <c r="V177" s="267">
        <v>0</v>
      </c>
      <c r="W177" s="267">
        <v>55950</v>
      </c>
      <c r="X177" s="267">
        <v>0</v>
      </c>
      <c r="Y177" s="267">
        <v>0</v>
      </c>
      <c r="Z177" s="267">
        <v>0</v>
      </c>
      <c r="AA177" s="267">
        <v>0</v>
      </c>
      <c r="AB177" s="267">
        <v>0</v>
      </c>
      <c r="AC177" s="267">
        <v>0</v>
      </c>
      <c r="AD177" s="267">
        <v>0</v>
      </c>
      <c r="AE177" s="267">
        <v>0</v>
      </c>
      <c r="AF177" s="267">
        <v>0</v>
      </c>
      <c r="AG177" s="267">
        <v>0</v>
      </c>
      <c r="AH177" s="267">
        <v>0</v>
      </c>
      <c r="AI177" s="267">
        <v>0</v>
      </c>
      <c r="AJ177" s="267">
        <v>8351067</v>
      </c>
      <c r="AK177" s="267">
        <v>0</v>
      </c>
      <c r="AL177" s="267">
        <v>0</v>
      </c>
      <c r="AM177" s="267">
        <v>0</v>
      </c>
      <c r="AN177" s="267">
        <v>726747</v>
      </c>
      <c r="AO177" s="267">
        <v>0</v>
      </c>
      <c r="AP177" s="267">
        <v>0</v>
      </c>
      <c r="AQ177" s="267">
        <v>0</v>
      </c>
      <c r="AR177" s="267">
        <v>0</v>
      </c>
      <c r="AS177" s="267">
        <v>0</v>
      </c>
      <c r="AT177" s="267">
        <v>0</v>
      </c>
      <c r="AU177" s="267">
        <v>0</v>
      </c>
      <c r="AV177" s="267">
        <v>0</v>
      </c>
      <c r="AW177" s="267">
        <v>0</v>
      </c>
      <c r="AX177" s="267">
        <v>0</v>
      </c>
      <c r="AY177" s="267">
        <v>0</v>
      </c>
      <c r="AZ177" s="267">
        <v>0</v>
      </c>
      <c r="BA177" s="267">
        <v>0</v>
      </c>
      <c r="BB177" s="267">
        <v>0</v>
      </c>
      <c r="BC177" s="267">
        <v>0</v>
      </c>
      <c r="BD177" s="267">
        <v>0</v>
      </c>
      <c r="BE177" s="267">
        <v>0</v>
      </c>
      <c r="BF177" s="267">
        <v>0</v>
      </c>
      <c r="BG177" s="267">
        <v>0</v>
      </c>
      <c r="BH177" s="267">
        <v>0</v>
      </c>
      <c r="BI177" s="267">
        <v>0</v>
      </c>
      <c r="BJ177" s="267">
        <v>0</v>
      </c>
      <c r="BK177" s="267">
        <v>0</v>
      </c>
      <c r="BL177" s="267">
        <v>0</v>
      </c>
      <c r="BM177" s="267">
        <v>0</v>
      </c>
      <c r="BN177" s="267">
        <v>0</v>
      </c>
      <c r="BO177" s="267">
        <v>0</v>
      </c>
      <c r="BP177" s="267">
        <v>0</v>
      </c>
      <c r="BQ177" s="267">
        <v>0</v>
      </c>
      <c r="BR177" s="267">
        <v>0</v>
      </c>
      <c r="BS177" s="267">
        <v>11600</v>
      </c>
      <c r="BT177" s="267">
        <v>4772370</v>
      </c>
      <c r="BU177" s="267">
        <v>0</v>
      </c>
      <c r="BV177" s="267">
        <v>0</v>
      </c>
      <c r="BW177" s="267">
        <v>0</v>
      </c>
      <c r="BX177" s="267">
        <v>0</v>
      </c>
      <c r="BY177" s="267">
        <v>0</v>
      </c>
      <c r="BZ177" s="267">
        <v>0</v>
      </c>
      <c r="CA177" s="267">
        <v>0</v>
      </c>
      <c r="CB177" s="267">
        <v>0</v>
      </c>
      <c r="CC177" s="267">
        <v>0</v>
      </c>
      <c r="CD177" s="267">
        <v>0</v>
      </c>
      <c r="CE177" s="267">
        <v>0</v>
      </c>
    </row>
    <row r="178" spans="1:83" x14ac:dyDescent="0.3">
      <c r="A178" s="267">
        <v>528</v>
      </c>
      <c r="B178" s="267">
        <v>528</v>
      </c>
      <c r="C178" s="267" t="s">
        <v>271</v>
      </c>
      <c r="D178" s="267" t="s">
        <v>495</v>
      </c>
      <c r="E178" s="267">
        <v>0</v>
      </c>
      <c r="F178" s="267">
        <v>24936</v>
      </c>
      <c r="G178" s="267">
        <v>290037</v>
      </c>
      <c r="H178" s="267">
        <v>750155</v>
      </c>
      <c r="I178" s="267">
        <v>166220</v>
      </c>
      <c r="J178" s="267">
        <v>1894819</v>
      </c>
      <c r="K178" s="267">
        <v>37862</v>
      </c>
      <c r="L178" s="267">
        <v>67282</v>
      </c>
      <c r="M178" s="267">
        <v>113472</v>
      </c>
      <c r="N178" s="267">
        <v>6439468</v>
      </c>
      <c r="O178" s="267">
        <v>26048</v>
      </c>
      <c r="P178" s="267">
        <v>2541998</v>
      </c>
      <c r="Q178" s="267">
        <v>13360</v>
      </c>
      <c r="R178" s="267">
        <v>20510731</v>
      </c>
      <c r="S178" s="267">
        <v>1017908</v>
      </c>
      <c r="T178" s="267">
        <v>0</v>
      </c>
      <c r="U178" s="267">
        <v>35126354</v>
      </c>
      <c r="V178" s="267">
        <v>6857214</v>
      </c>
      <c r="W178" s="267">
        <v>9165544</v>
      </c>
      <c r="X178" s="267">
        <v>17690795</v>
      </c>
      <c r="Y178" s="267">
        <v>67971</v>
      </c>
      <c r="Z178" s="267">
        <v>6313213</v>
      </c>
      <c r="AA178" s="267">
        <v>515877</v>
      </c>
      <c r="AB178" s="267">
        <v>6574266</v>
      </c>
      <c r="AC178" s="267">
        <v>1466395</v>
      </c>
      <c r="AD178" s="267">
        <v>683417</v>
      </c>
      <c r="AE178" s="1232">
        <v>806495</v>
      </c>
      <c r="AF178" s="267">
        <v>900220</v>
      </c>
      <c r="AG178" s="267">
        <v>7316246</v>
      </c>
      <c r="AH178" s="267">
        <v>2170651</v>
      </c>
      <c r="AI178" s="267">
        <v>199460</v>
      </c>
      <c r="AJ178" s="267">
        <v>13334949</v>
      </c>
      <c r="AK178" s="267">
        <v>184967</v>
      </c>
      <c r="AL178" s="267">
        <v>324283</v>
      </c>
      <c r="AM178" s="267">
        <v>0</v>
      </c>
      <c r="AN178" s="267">
        <v>5603555</v>
      </c>
      <c r="AO178" s="267">
        <v>0</v>
      </c>
      <c r="AP178" s="267">
        <v>0</v>
      </c>
      <c r="AQ178" s="267">
        <v>0</v>
      </c>
      <c r="AR178" s="267">
        <v>3250618</v>
      </c>
      <c r="AS178" s="267">
        <v>2124013</v>
      </c>
      <c r="AT178" s="267">
        <v>140959</v>
      </c>
      <c r="AU178" s="267">
        <v>1084023</v>
      </c>
      <c r="AV178" s="267">
        <v>0</v>
      </c>
      <c r="AW178" s="267">
        <v>8105082</v>
      </c>
      <c r="AX178" s="267">
        <v>748137</v>
      </c>
      <c r="AY178" s="267">
        <v>576344</v>
      </c>
      <c r="AZ178" s="267">
        <v>3191092</v>
      </c>
      <c r="BA178" s="267">
        <v>357040</v>
      </c>
      <c r="BB178" s="267">
        <v>493414</v>
      </c>
      <c r="BC178" s="267">
        <v>0</v>
      </c>
      <c r="BD178" s="267">
        <v>0</v>
      </c>
      <c r="BE178" s="267">
        <v>3267477</v>
      </c>
      <c r="BF178" s="267">
        <v>30202</v>
      </c>
      <c r="BG178" s="267">
        <v>148090</v>
      </c>
      <c r="BH178" s="267">
        <v>60155</v>
      </c>
      <c r="BI178" s="267">
        <v>30418</v>
      </c>
      <c r="BJ178" s="267">
        <v>48851</v>
      </c>
      <c r="BK178" s="267">
        <v>44473</v>
      </c>
      <c r="BL178" s="267">
        <v>1168298</v>
      </c>
      <c r="BM178" s="267">
        <v>0</v>
      </c>
      <c r="BN178" s="267">
        <v>790817</v>
      </c>
      <c r="BO178" s="267">
        <v>1770282</v>
      </c>
      <c r="BP178" s="267">
        <v>453573</v>
      </c>
      <c r="BQ178" s="267">
        <v>403801</v>
      </c>
      <c r="BR178" s="267">
        <v>9667660</v>
      </c>
      <c r="BS178" s="267">
        <v>171168</v>
      </c>
      <c r="BT178" s="267">
        <v>6517191</v>
      </c>
      <c r="BU178" s="267">
        <v>183831</v>
      </c>
      <c r="BV178" s="267">
        <v>2224992</v>
      </c>
      <c r="BW178" s="267">
        <v>177251</v>
      </c>
      <c r="BX178" s="267">
        <v>962705</v>
      </c>
      <c r="BY178" s="267">
        <v>107815</v>
      </c>
      <c r="BZ178" s="267">
        <v>12302</v>
      </c>
      <c r="CA178" s="1232">
        <v>67907</v>
      </c>
      <c r="CB178" s="267">
        <v>21414</v>
      </c>
      <c r="CC178" s="267">
        <v>0</v>
      </c>
      <c r="CD178" s="267">
        <v>0</v>
      </c>
      <c r="CE178" s="267">
        <v>7159</v>
      </c>
    </row>
    <row r="179" spans="1:83" x14ac:dyDescent="0.3">
      <c r="A179" s="267">
        <v>529</v>
      </c>
      <c r="B179" s="267">
        <v>529</v>
      </c>
      <c r="C179" s="267" t="s">
        <v>272</v>
      </c>
      <c r="D179" s="267" t="s">
        <v>496</v>
      </c>
      <c r="E179" s="267">
        <v>0</v>
      </c>
      <c r="F179" s="267">
        <v>3445</v>
      </c>
      <c r="G179" s="267">
        <v>38100</v>
      </c>
      <c r="H179" s="267">
        <v>95375</v>
      </c>
      <c r="I179" s="267">
        <v>22192</v>
      </c>
      <c r="J179" s="267">
        <v>155040</v>
      </c>
      <c r="K179" s="267">
        <v>3540</v>
      </c>
      <c r="L179" s="267">
        <v>7880</v>
      </c>
      <c r="M179" s="267">
        <v>8233</v>
      </c>
      <c r="N179" s="267">
        <v>733197</v>
      </c>
      <c r="O179" s="267">
        <v>4686</v>
      </c>
      <c r="P179" s="267">
        <v>130824</v>
      </c>
      <c r="Q179" s="267">
        <v>2564</v>
      </c>
      <c r="R179" s="267">
        <v>1689843</v>
      </c>
      <c r="S179" s="267">
        <v>19622</v>
      </c>
      <c r="T179" s="267">
        <v>0</v>
      </c>
      <c r="U179" s="267">
        <v>2841232</v>
      </c>
      <c r="V179" s="267">
        <v>334087</v>
      </c>
      <c r="W179" s="267">
        <v>680414</v>
      </c>
      <c r="X179" s="267">
        <v>1126413</v>
      </c>
      <c r="Y179" s="267">
        <v>10192</v>
      </c>
      <c r="Z179" s="267">
        <v>520454</v>
      </c>
      <c r="AA179" s="267">
        <v>47660</v>
      </c>
      <c r="AB179" s="267">
        <v>772263</v>
      </c>
      <c r="AC179" s="267">
        <v>162580</v>
      </c>
      <c r="AD179" s="267">
        <v>69359</v>
      </c>
      <c r="AE179" s="1232">
        <v>127284</v>
      </c>
      <c r="AF179" s="267">
        <v>44989</v>
      </c>
      <c r="AG179" s="267">
        <v>134381</v>
      </c>
      <c r="AH179" s="267">
        <v>287301</v>
      </c>
      <c r="AI179" s="267">
        <v>16977</v>
      </c>
      <c r="AJ179" s="267">
        <v>1247121</v>
      </c>
      <c r="AK179" s="267">
        <v>11957</v>
      </c>
      <c r="AL179" s="267">
        <v>25450</v>
      </c>
      <c r="AM179" s="267">
        <v>0</v>
      </c>
      <c r="AN179" s="267">
        <v>484109</v>
      </c>
      <c r="AO179" s="267">
        <v>0</v>
      </c>
      <c r="AP179" s="267">
        <v>0</v>
      </c>
      <c r="AQ179" s="267">
        <v>0</v>
      </c>
      <c r="AR179" s="267">
        <v>54112</v>
      </c>
      <c r="AS179" s="267">
        <v>164745</v>
      </c>
      <c r="AT179" s="267">
        <v>14032</v>
      </c>
      <c r="AU179" s="267">
        <v>76777</v>
      </c>
      <c r="AV179" s="267">
        <v>0</v>
      </c>
      <c r="AW179" s="267">
        <v>318294</v>
      </c>
      <c r="AX179" s="267">
        <v>80025</v>
      </c>
      <c r="AY179" s="267">
        <v>67674</v>
      </c>
      <c r="AZ179" s="267">
        <v>42795</v>
      </c>
      <c r="BA179" s="267">
        <v>16656</v>
      </c>
      <c r="BB179" s="267">
        <v>25817</v>
      </c>
      <c r="BC179" s="267">
        <v>0</v>
      </c>
      <c r="BD179" s="267">
        <v>0</v>
      </c>
      <c r="BE179" s="267">
        <v>356333</v>
      </c>
      <c r="BF179" s="267">
        <v>2728</v>
      </c>
      <c r="BG179" s="267">
        <v>14651</v>
      </c>
      <c r="BH179" s="267">
        <v>11498</v>
      </c>
      <c r="BI179" s="267">
        <v>1558</v>
      </c>
      <c r="BJ179" s="267">
        <v>8243</v>
      </c>
      <c r="BK179" s="267">
        <v>3068</v>
      </c>
      <c r="BL179" s="267">
        <v>81761</v>
      </c>
      <c r="BM179" s="267">
        <v>0</v>
      </c>
      <c r="BN179" s="267">
        <v>61483</v>
      </c>
      <c r="BO179" s="267">
        <v>41045</v>
      </c>
      <c r="BP179" s="267">
        <v>66005</v>
      </c>
      <c r="BQ179" s="267">
        <v>60509</v>
      </c>
      <c r="BR179" s="267">
        <v>666353</v>
      </c>
      <c r="BS179" s="267">
        <v>33299</v>
      </c>
      <c r="BT179" s="267">
        <v>365025</v>
      </c>
      <c r="BU179" s="267">
        <v>17980</v>
      </c>
      <c r="BV179" s="267">
        <v>215683</v>
      </c>
      <c r="BW179" s="267">
        <v>20386</v>
      </c>
      <c r="BX179" s="267">
        <v>82730</v>
      </c>
      <c r="BY179" s="267">
        <v>15704</v>
      </c>
      <c r="BZ179" s="267">
        <v>1661</v>
      </c>
      <c r="CA179" s="1232">
        <v>9318</v>
      </c>
      <c r="CB179" s="267">
        <v>3963</v>
      </c>
      <c r="CC179" s="267">
        <v>0</v>
      </c>
      <c r="CD179" s="267">
        <v>0</v>
      </c>
      <c r="CE179" s="267">
        <v>3724</v>
      </c>
    </row>
    <row r="180" spans="1:83" x14ac:dyDescent="0.3">
      <c r="A180" s="267">
        <v>530</v>
      </c>
      <c r="B180" s="267">
        <v>530</v>
      </c>
      <c r="C180" s="267" t="s">
        <v>273</v>
      </c>
      <c r="D180" s="267" t="s">
        <v>497</v>
      </c>
      <c r="E180" s="267">
        <v>0</v>
      </c>
      <c r="F180" s="267">
        <v>249</v>
      </c>
      <c r="G180" s="267">
        <v>6446</v>
      </c>
      <c r="H180" s="267">
        <v>14428</v>
      </c>
      <c r="I180" s="267">
        <v>5101</v>
      </c>
      <c r="J180" s="267">
        <v>17467</v>
      </c>
      <c r="K180" s="267">
        <v>1496</v>
      </c>
      <c r="L180" s="267">
        <v>319</v>
      </c>
      <c r="M180" s="267">
        <v>1801</v>
      </c>
      <c r="N180" s="267">
        <v>28518</v>
      </c>
      <c r="O180" s="267">
        <v>1166</v>
      </c>
      <c r="P180" s="267">
        <v>29205</v>
      </c>
      <c r="Q180" s="267">
        <v>114</v>
      </c>
      <c r="R180" s="267">
        <v>176557</v>
      </c>
      <c r="S180" s="267">
        <v>102</v>
      </c>
      <c r="T180" s="267">
        <v>0</v>
      </c>
      <c r="U180" s="267">
        <v>282469</v>
      </c>
      <c r="V180" s="267">
        <v>48552</v>
      </c>
      <c r="W180" s="267">
        <v>151448</v>
      </c>
      <c r="X180" s="267">
        <v>13538</v>
      </c>
      <c r="Y180" s="267">
        <v>14022</v>
      </c>
      <c r="Z180" s="267">
        <v>102889</v>
      </c>
      <c r="AA180" s="267">
        <v>27088</v>
      </c>
      <c r="AB180" s="267">
        <v>43426</v>
      </c>
      <c r="AC180" s="267">
        <v>41847</v>
      </c>
      <c r="AD180" s="267">
        <v>11676</v>
      </c>
      <c r="AE180" s="1232">
        <v>24287</v>
      </c>
      <c r="AF180" s="267">
        <v>68664</v>
      </c>
      <c r="AG180" s="267">
        <v>1749</v>
      </c>
      <c r="AH180" s="267">
        <v>45942</v>
      </c>
      <c r="AI180" s="267">
        <v>14655</v>
      </c>
      <c r="AJ180" s="267">
        <v>96219</v>
      </c>
      <c r="AK180" s="267">
        <v>543</v>
      </c>
      <c r="AL180" s="267">
        <v>18132</v>
      </c>
      <c r="AM180" s="267">
        <v>0</v>
      </c>
      <c r="AN180" s="267">
        <v>92552</v>
      </c>
      <c r="AO180" s="267">
        <v>0</v>
      </c>
      <c r="AP180" s="267">
        <v>0</v>
      </c>
      <c r="AQ180" s="267">
        <v>0</v>
      </c>
      <c r="AR180" s="267">
        <v>21210</v>
      </c>
      <c r="AS180" s="267">
        <v>77485</v>
      </c>
      <c r="AT180" s="267">
        <v>8958</v>
      </c>
      <c r="AU180" s="267">
        <v>23766</v>
      </c>
      <c r="AV180" s="267">
        <v>0</v>
      </c>
      <c r="AW180" s="267">
        <v>70298</v>
      </c>
      <c r="AX180" s="267">
        <v>4204</v>
      </c>
      <c r="AY180" s="267">
        <v>10997</v>
      </c>
      <c r="AZ180" s="267">
        <v>94936</v>
      </c>
      <c r="BA180" s="267">
        <v>5486</v>
      </c>
      <c r="BB180" s="267">
        <v>28200</v>
      </c>
      <c r="BC180" s="267">
        <v>0</v>
      </c>
      <c r="BD180" s="267">
        <v>0</v>
      </c>
      <c r="BE180" s="267">
        <v>55229</v>
      </c>
      <c r="BF180" s="267">
        <v>570</v>
      </c>
      <c r="BG180" s="267">
        <v>9959</v>
      </c>
      <c r="BH180" s="267">
        <v>14255</v>
      </c>
      <c r="BI180" s="267">
        <v>829</v>
      </c>
      <c r="BJ180" s="267">
        <v>2485</v>
      </c>
      <c r="BK180" s="267">
        <v>1734</v>
      </c>
      <c r="BL180" s="267">
        <v>55291</v>
      </c>
      <c r="BM180" s="267">
        <v>0</v>
      </c>
      <c r="BN180" s="267">
        <v>7492</v>
      </c>
      <c r="BO180" s="267">
        <v>1577</v>
      </c>
      <c r="BP180" s="267">
        <v>747</v>
      </c>
      <c r="BQ180" s="267">
        <v>3332</v>
      </c>
      <c r="BR180" s="267">
        <v>10853</v>
      </c>
      <c r="BS180" s="267">
        <v>24288</v>
      </c>
      <c r="BT180" s="267">
        <v>24446</v>
      </c>
      <c r="BU180" s="267">
        <v>6888</v>
      </c>
      <c r="BV180" s="267">
        <v>43018</v>
      </c>
      <c r="BW180" s="267">
        <v>2742</v>
      </c>
      <c r="BX180" s="267">
        <v>80935</v>
      </c>
      <c r="BY180" s="267">
        <v>9488</v>
      </c>
      <c r="BZ180" s="267">
        <v>53</v>
      </c>
      <c r="CA180" s="1232">
        <v>16543</v>
      </c>
      <c r="CB180" s="267">
        <v>678</v>
      </c>
      <c r="CC180" s="267">
        <v>0</v>
      </c>
      <c r="CD180" s="267">
        <v>0</v>
      </c>
      <c r="CE180" s="267">
        <v>930</v>
      </c>
    </row>
    <row r="181" spans="1:83" x14ac:dyDescent="0.3">
      <c r="A181" s="267">
        <v>531</v>
      </c>
      <c r="B181" s="267">
        <v>531</v>
      </c>
      <c r="C181" s="267" t="s">
        <v>274</v>
      </c>
      <c r="D181" s="267" t="s">
        <v>498</v>
      </c>
      <c r="E181" s="267">
        <v>0</v>
      </c>
      <c r="F181" s="267">
        <v>0</v>
      </c>
      <c r="G181" s="267">
        <v>0</v>
      </c>
      <c r="H181" s="267">
        <v>0</v>
      </c>
      <c r="I181" s="267">
        <v>0</v>
      </c>
      <c r="J181" s="267">
        <v>0</v>
      </c>
      <c r="K181" s="267">
        <v>0</v>
      </c>
      <c r="L181" s="267">
        <v>0</v>
      </c>
      <c r="M181" s="267">
        <v>0</v>
      </c>
      <c r="N181" s="267">
        <v>0</v>
      </c>
      <c r="O181" s="267">
        <v>0</v>
      </c>
      <c r="P181" s="267">
        <v>0</v>
      </c>
      <c r="Q181" s="267">
        <v>0</v>
      </c>
      <c r="R181" s="267">
        <v>0</v>
      </c>
      <c r="S181" s="267">
        <v>0</v>
      </c>
      <c r="T181" s="267">
        <v>0</v>
      </c>
      <c r="U181" s="267">
        <v>14203</v>
      </c>
      <c r="V181" s="267">
        <v>0</v>
      </c>
      <c r="W181" s="267">
        <v>0</v>
      </c>
      <c r="X181" s="267">
        <v>1965</v>
      </c>
      <c r="Y181" s="267">
        <v>0</v>
      </c>
      <c r="Z181" s="267">
        <v>1633</v>
      </c>
      <c r="AA181" s="267">
        <v>0</v>
      </c>
      <c r="AB181" s="267">
        <v>0</v>
      </c>
      <c r="AC181" s="267">
        <v>1597</v>
      </c>
      <c r="AD181" s="267">
        <v>0</v>
      </c>
      <c r="AE181" s="267">
        <v>0</v>
      </c>
      <c r="AF181" s="267">
        <v>0</v>
      </c>
      <c r="AG181" s="267">
        <v>0</v>
      </c>
      <c r="AH181" s="267">
        <v>0</v>
      </c>
      <c r="AI181" s="267">
        <v>0</v>
      </c>
      <c r="AJ181" s="267">
        <v>0</v>
      </c>
      <c r="AK181" s="267">
        <v>0</v>
      </c>
      <c r="AL181" s="267">
        <v>2239</v>
      </c>
      <c r="AM181" s="267">
        <v>0</v>
      </c>
      <c r="AN181" s="267">
        <v>78</v>
      </c>
      <c r="AO181" s="267">
        <v>0</v>
      </c>
      <c r="AP181" s="267">
        <v>0</v>
      </c>
      <c r="AQ181" s="267">
        <v>0</v>
      </c>
      <c r="AR181" s="267">
        <v>0</v>
      </c>
      <c r="AS181" s="267">
        <v>0</v>
      </c>
      <c r="AT181" s="267">
        <v>0</v>
      </c>
      <c r="AU181" s="267">
        <v>155</v>
      </c>
      <c r="AV181" s="267">
        <v>0</v>
      </c>
      <c r="AW181" s="267">
        <v>0</v>
      </c>
      <c r="AX181" s="267">
        <v>0</v>
      </c>
      <c r="AY181" s="267">
        <v>0</v>
      </c>
      <c r="AZ181" s="267">
        <v>0</v>
      </c>
      <c r="BA181" s="267">
        <v>0</v>
      </c>
      <c r="BB181" s="267">
        <v>0</v>
      </c>
      <c r="BC181" s="267">
        <v>0</v>
      </c>
      <c r="BD181" s="267">
        <v>0</v>
      </c>
      <c r="BE181" s="267">
        <v>316</v>
      </c>
      <c r="BF181" s="267">
        <v>0</v>
      </c>
      <c r="BG181" s="267">
        <v>0</v>
      </c>
      <c r="BH181" s="267">
        <v>0</v>
      </c>
      <c r="BI181" s="267">
        <v>0</v>
      </c>
      <c r="BJ181" s="267">
        <v>0</v>
      </c>
      <c r="BK181" s="267">
        <v>0</v>
      </c>
      <c r="BL181" s="267">
        <v>2255</v>
      </c>
      <c r="BM181" s="267">
        <v>0</v>
      </c>
      <c r="BN181" s="267">
        <v>0</v>
      </c>
      <c r="BO181" s="267">
        <v>275</v>
      </c>
      <c r="BP181" s="267">
        <v>0</v>
      </c>
      <c r="BQ181" s="267">
        <v>0</v>
      </c>
      <c r="BR181" s="267">
        <v>0</v>
      </c>
      <c r="BS181" s="267">
        <v>0</v>
      </c>
      <c r="BT181" s="267">
        <v>0</v>
      </c>
      <c r="BU181" s="267">
        <v>0</v>
      </c>
      <c r="BV181" s="267">
        <v>0</v>
      </c>
      <c r="BW181" s="267">
        <v>0</v>
      </c>
      <c r="BX181" s="267">
        <v>0</v>
      </c>
      <c r="BY181" s="267">
        <v>0</v>
      </c>
      <c r="BZ181" s="267">
        <v>0</v>
      </c>
      <c r="CA181" s="267">
        <v>0</v>
      </c>
      <c r="CB181" s="267">
        <v>0</v>
      </c>
      <c r="CC181" s="267">
        <v>0</v>
      </c>
      <c r="CD181" s="267">
        <v>0</v>
      </c>
      <c r="CE181" s="267">
        <v>0</v>
      </c>
    </row>
    <row r="182" spans="1:83" x14ac:dyDescent="0.3">
      <c r="A182" s="267">
        <v>532</v>
      </c>
      <c r="B182" s="267">
        <v>532</v>
      </c>
      <c r="C182" s="267" t="s">
        <v>568</v>
      </c>
      <c r="D182" s="267" t="s">
        <v>499</v>
      </c>
      <c r="E182" s="267">
        <v>0</v>
      </c>
      <c r="F182" s="267">
        <v>49367</v>
      </c>
      <c r="G182" s="267">
        <v>847133</v>
      </c>
      <c r="H182" s="267">
        <v>1685894</v>
      </c>
      <c r="I182" s="267">
        <v>912078</v>
      </c>
      <c r="J182" s="267">
        <v>3019414</v>
      </c>
      <c r="K182" s="267">
        <v>63427</v>
      </c>
      <c r="L182" s="267">
        <v>286422</v>
      </c>
      <c r="M182" s="267">
        <v>140943</v>
      </c>
      <c r="N182" s="267">
        <v>14812420</v>
      </c>
      <c r="O182" s="267">
        <v>502624</v>
      </c>
      <c r="P182" s="267">
        <v>6591794</v>
      </c>
      <c r="Q182" s="267">
        <v>57300</v>
      </c>
      <c r="R182" s="267">
        <v>34583498</v>
      </c>
      <c r="S182" s="267">
        <v>1673349</v>
      </c>
      <c r="T182" s="267">
        <v>34899</v>
      </c>
      <c r="U182" s="267">
        <v>64359226</v>
      </c>
      <c r="V182" s="267">
        <v>10558079</v>
      </c>
      <c r="W182" s="267">
        <v>20909643</v>
      </c>
      <c r="X182" s="267">
        <v>27306085</v>
      </c>
      <c r="Y182" s="267">
        <v>250349</v>
      </c>
      <c r="Z182" s="267">
        <v>13248818</v>
      </c>
      <c r="AA182" s="267">
        <v>1147409</v>
      </c>
      <c r="AB182" s="267">
        <v>12577191</v>
      </c>
      <c r="AC182" s="267">
        <v>4804402</v>
      </c>
      <c r="AD182" s="267">
        <v>1495028</v>
      </c>
      <c r="AE182" s="1232">
        <v>1923979</v>
      </c>
      <c r="AF182" s="267">
        <v>2064663</v>
      </c>
      <c r="AG182" s="267">
        <v>16051872</v>
      </c>
      <c r="AH182" s="267">
        <v>5001884</v>
      </c>
      <c r="AI182" s="267">
        <v>1321731</v>
      </c>
      <c r="AJ182" s="267">
        <v>29665698</v>
      </c>
      <c r="AK182" s="267">
        <v>302719</v>
      </c>
      <c r="AL182" s="267">
        <v>851500</v>
      </c>
      <c r="AM182" s="267">
        <v>0</v>
      </c>
      <c r="AN182" s="267">
        <v>14284631</v>
      </c>
      <c r="AO182" s="267">
        <v>0</v>
      </c>
      <c r="AP182" s="267">
        <v>0</v>
      </c>
      <c r="AQ182" s="267">
        <v>34769</v>
      </c>
      <c r="AR182" s="267">
        <v>4457436</v>
      </c>
      <c r="AS182" s="267">
        <v>5926194</v>
      </c>
      <c r="AT182" s="267">
        <v>459943</v>
      </c>
      <c r="AU182" s="267">
        <v>2310188</v>
      </c>
      <c r="AV182" s="267">
        <v>0</v>
      </c>
      <c r="AW182" s="267">
        <v>15007377</v>
      </c>
      <c r="AX182" s="267">
        <v>3412724</v>
      </c>
      <c r="AY182" s="267">
        <v>1633977</v>
      </c>
      <c r="AZ182" s="267">
        <v>6559255</v>
      </c>
      <c r="BA182" s="267">
        <v>931693</v>
      </c>
      <c r="BB182" s="267">
        <v>1324452</v>
      </c>
      <c r="BC182" s="267">
        <v>16570</v>
      </c>
      <c r="BD182" s="267">
        <v>0</v>
      </c>
      <c r="BE182" s="267">
        <v>9577055</v>
      </c>
      <c r="BF182" s="267">
        <v>99808</v>
      </c>
      <c r="BG182" s="267">
        <v>527026</v>
      </c>
      <c r="BH182" s="267">
        <v>136253</v>
      </c>
      <c r="BI182" s="267">
        <v>86860</v>
      </c>
      <c r="BJ182" s="267">
        <v>230133</v>
      </c>
      <c r="BK182" s="267">
        <v>144758</v>
      </c>
      <c r="BL182" s="267">
        <v>3325911</v>
      </c>
      <c r="BM182" s="267">
        <v>0</v>
      </c>
      <c r="BN182" s="267">
        <v>1750250</v>
      </c>
      <c r="BO182" s="267">
        <v>5396975</v>
      </c>
      <c r="BP182" s="267">
        <v>1209090</v>
      </c>
      <c r="BQ182" s="267">
        <v>1781069</v>
      </c>
      <c r="BR182" s="267">
        <v>17526893</v>
      </c>
      <c r="BS182" s="267">
        <v>1325462</v>
      </c>
      <c r="BT182" s="267">
        <v>12344954</v>
      </c>
      <c r="BU182" s="267">
        <v>647489</v>
      </c>
      <c r="BV182" s="267">
        <v>4554500</v>
      </c>
      <c r="BW182" s="267">
        <v>671127</v>
      </c>
      <c r="BX182" s="267">
        <v>2098284</v>
      </c>
      <c r="BY182" s="267">
        <v>703929</v>
      </c>
      <c r="BZ182" s="267">
        <v>80047</v>
      </c>
      <c r="CA182" s="1232">
        <v>228197</v>
      </c>
      <c r="CB182" s="267">
        <v>122165</v>
      </c>
      <c r="CC182" s="267">
        <v>0</v>
      </c>
      <c r="CD182" s="267">
        <v>0</v>
      </c>
      <c r="CE182" s="267">
        <v>60299</v>
      </c>
    </row>
    <row r="183" spans="1:83" x14ac:dyDescent="0.3">
      <c r="A183" s="267">
        <v>533</v>
      </c>
      <c r="B183" s="267">
        <v>533</v>
      </c>
      <c r="C183" s="267" t="s">
        <v>569</v>
      </c>
      <c r="D183" s="267" t="s">
        <v>500</v>
      </c>
      <c r="E183" s="267">
        <v>0</v>
      </c>
      <c r="F183" s="267">
        <v>0</v>
      </c>
      <c r="G183" s="267">
        <v>32200</v>
      </c>
      <c r="H183" s="267">
        <v>0</v>
      </c>
      <c r="I183" s="267">
        <v>0</v>
      </c>
      <c r="J183" s="267">
        <v>0</v>
      </c>
      <c r="K183" s="267">
        <v>0</v>
      </c>
      <c r="L183" s="267">
        <v>0</v>
      </c>
      <c r="M183" s="267">
        <v>0</v>
      </c>
      <c r="N183" s="267">
        <v>385639</v>
      </c>
      <c r="O183" s="267">
        <v>41000</v>
      </c>
      <c r="P183" s="267">
        <v>0</v>
      </c>
      <c r="Q183" s="267">
        <v>0</v>
      </c>
      <c r="R183" s="267">
        <v>748171</v>
      </c>
      <c r="S183" s="267">
        <v>0</v>
      </c>
      <c r="T183" s="267">
        <v>0</v>
      </c>
      <c r="U183" s="267">
        <v>0</v>
      </c>
      <c r="V183" s="267">
        <v>0</v>
      </c>
      <c r="W183" s="267">
        <v>918948</v>
      </c>
      <c r="X183" s="267">
        <v>0</v>
      </c>
      <c r="Y183" s="267">
        <v>0</v>
      </c>
      <c r="Z183" s="267">
        <v>0</v>
      </c>
      <c r="AA183" s="267">
        <v>0</v>
      </c>
      <c r="AB183" s="267">
        <v>0</v>
      </c>
      <c r="AC183" s="267">
        <v>0</v>
      </c>
      <c r="AD183" s="267">
        <v>0</v>
      </c>
      <c r="AE183" s="267">
        <v>0</v>
      </c>
      <c r="AF183" s="267">
        <v>0</v>
      </c>
      <c r="AG183" s="267">
        <v>2217383</v>
      </c>
      <c r="AH183" s="267">
        <v>0</v>
      </c>
      <c r="AI183" s="267">
        <v>0</v>
      </c>
      <c r="AJ183" s="267">
        <v>1629798</v>
      </c>
      <c r="AK183" s="267">
        <v>0</v>
      </c>
      <c r="AL183" s="267">
        <v>0</v>
      </c>
      <c r="AM183" s="267">
        <v>0</v>
      </c>
      <c r="AN183" s="267">
        <v>900868</v>
      </c>
      <c r="AO183" s="267">
        <v>0</v>
      </c>
      <c r="AP183" s="267">
        <v>0</v>
      </c>
      <c r="AQ183" s="267">
        <v>0</v>
      </c>
      <c r="AR183" s="267">
        <v>0</v>
      </c>
      <c r="AS183" s="267">
        <v>0</v>
      </c>
      <c r="AT183" s="267">
        <v>0</v>
      </c>
      <c r="AU183" s="267">
        <v>0</v>
      </c>
      <c r="AV183" s="267">
        <v>0</v>
      </c>
      <c r="AW183" s="267">
        <v>0</v>
      </c>
      <c r="AX183" s="267">
        <v>1620000</v>
      </c>
      <c r="AY183" s="267">
        <v>0</v>
      </c>
      <c r="AZ183" s="267">
        <v>1000000</v>
      </c>
      <c r="BA183" s="267">
        <v>49000</v>
      </c>
      <c r="BB183" s="267">
        <v>0</v>
      </c>
      <c r="BC183" s="267">
        <v>0</v>
      </c>
      <c r="BD183" s="267">
        <v>0</v>
      </c>
      <c r="BE183" s="267">
        <v>779306</v>
      </c>
      <c r="BF183" s="267">
        <v>0</v>
      </c>
      <c r="BG183" s="267">
        <v>0</v>
      </c>
      <c r="BH183" s="267">
        <v>0</v>
      </c>
      <c r="BI183" s="267">
        <v>0</v>
      </c>
      <c r="BJ183" s="267">
        <v>0</v>
      </c>
      <c r="BK183" s="267">
        <v>0</v>
      </c>
      <c r="BL183" s="267">
        <v>0</v>
      </c>
      <c r="BM183" s="267">
        <v>0</v>
      </c>
      <c r="BN183" s="267">
        <v>0</v>
      </c>
      <c r="BO183" s="267">
        <v>230000</v>
      </c>
      <c r="BP183" s="267">
        <v>0</v>
      </c>
      <c r="BQ183" s="267">
        <v>0</v>
      </c>
      <c r="BR183" s="267">
        <v>0</v>
      </c>
      <c r="BS183" s="267">
        <v>0</v>
      </c>
      <c r="BT183" s="267">
        <v>0</v>
      </c>
      <c r="BU183" s="267">
        <v>0</v>
      </c>
      <c r="BV183" s="267">
        <v>157000</v>
      </c>
      <c r="BW183" s="267">
        <v>0</v>
      </c>
      <c r="BX183" s="267">
        <v>0</v>
      </c>
      <c r="BY183" s="267">
        <v>0</v>
      </c>
      <c r="BZ183" s="267">
        <v>0</v>
      </c>
      <c r="CA183" s="267">
        <v>0</v>
      </c>
      <c r="CB183" s="267">
        <v>0</v>
      </c>
      <c r="CC183" s="267">
        <v>0</v>
      </c>
      <c r="CD183" s="267">
        <v>0</v>
      </c>
      <c r="CE183" s="267">
        <v>0</v>
      </c>
    </row>
    <row r="184" spans="1:83" x14ac:dyDescent="0.3">
      <c r="B184" s="267">
        <v>534</v>
      </c>
      <c r="C184" s="267" t="s">
        <v>275</v>
      </c>
      <c r="D184" s="267" t="s">
        <v>501</v>
      </c>
    </row>
    <row r="185" spans="1:83" x14ac:dyDescent="0.3">
      <c r="A185" s="267">
        <v>535</v>
      </c>
      <c r="B185" s="267">
        <v>535</v>
      </c>
      <c r="C185" s="267" t="s">
        <v>253</v>
      </c>
      <c r="D185" s="267" t="s">
        <v>502</v>
      </c>
      <c r="E185" s="267">
        <v>0</v>
      </c>
      <c r="F185" s="267">
        <v>0</v>
      </c>
      <c r="G185" s="267">
        <v>0</v>
      </c>
      <c r="H185" s="267">
        <v>0</v>
      </c>
      <c r="I185" s="267">
        <v>0</v>
      </c>
      <c r="J185" s="267">
        <v>0</v>
      </c>
      <c r="K185" s="267">
        <v>0</v>
      </c>
      <c r="L185" s="267">
        <v>0</v>
      </c>
      <c r="M185" s="267">
        <v>0</v>
      </c>
      <c r="N185" s="267">
        <v>0</v>
      </c>
      <c r="O185" s="267">
        <v>0</v>
      </c>
      <c r="P185" s="267">
        <v>0</v>
      </c>
      <c r="Q185" s="267">
        <v>0</v>
      </c>
      <c r="R185" s="267">
        <v>13491568</v>
      </c>
      <c r="S185" s="267">
        <v>994106</v>
      </c>
      <c r="T185" s="267">
        <v>0</v>
      </c>
      <c r="U185" s="267">
        <v>17873350</v>
      </c>
      <c r="V185" s="267">
        <v>0</v>
      </c>
      <c r="W185" s="267">
        <v>0</v>
      </c>
      <c r="X185" s="267">
        <v>8875328</v>
      </c>
      <c r="Y185" s="267">
        <v>0</v>
      </c>
      <c r="Z185" s="267">
        <v>0</v>
      </c>
      <c r="AA185" s="267">
        <v>0</v>
      </c>
      <c r="AB185" s="267">
        <v>224573</v>
      </c>
      <c r="AC185" s="267">
        <v>0</v>
      </c>
      <c r="AD185" s="267">
        <v>0</v>
      </c>
      <c r="AE185" s="267">
        <v>0</v>
      </c>
      <c r="AF185" s="267">
        <v>0</v>
      </c>
      <c r="AG185" s="267">
        <v>25656914</v>
      </c>
      <c r="AH185" s="267">
        <v>0</v>
      </c>
      <c r="AI185" s="267">
        <v>0</v>
      </c>
      <c r="AJ185" s="267">
        <v>0</v>
      </c>
      <c r="AK185" s="267">
        <v>0</v>
      </c>
      <c r="AL185" s="267">
        <v>0</v>
      </c>
      <c r="AM185" s="267">
        <v>0</v>
      </c>
      <c r="AN185" s="267">
        <v>154116</v>
      </c>
      <c r="AO185" s="267">
        <v>0</v>
      </c>
      <c r="AP185" s="267">
        <v>0</v>
      </c>
      <c r="AQ185" s="267">
        <v>0</v>
      </c>
      <c r="AR185" s="267">
        <v>0</v>
      </c>
      <c r="AS185" s="267">
        <v>0</v>
      </c>
      <c r="AT185" s="267">
        <v>0</v>
      </c>
      <c r="AU185" s="267">
        <v>0</v>
      </c>
      <c r="AV185" s="267">
        <v>0</v>
      </c>
      <c r="AW185" s="267">
        <v>8790703</v>
      </c>
      <c r="AX185" s="267">
        <v>0</v>
      </c>
      <c r="AY185" s="267">
        <v>0</v>
      </c>
      <c r="AZ185" s="267">
        <v>5717477</v>
      </c>
      <c r="BA185" s="267">
        <v>0</v>
      </c>
      <c r="BB185" s="267">
        <v>0</v>
      </c>
      <c r="BC185" s="267">
        <v>0</v>
      </c>
      <c r="BD185" s="267">
        <v>0</v>
      </c>
      <c r="BE185" s="267">
        <v>0</v>
      </c>
      <c r="BF185" s="267">
        <v>0</v>
      </c>
      <c r="BG185" s="267">
        <v>1</v>
      </c>
      <c r="BH185" s="267">
        <v>0</v>
      </c>
      <c r="BI185" s="267">
        <v>1</v>
      </c>
      <c r="BJ185" s="267">
        <v>0</v>
      </c>
      <c r="BK185" s="267">
        <v>0</v>
      </c>
      <c r="BL185" s="267">
        <v>1</v>
      </c>
      <c r="BM185" s="267">
        <v>0</v>
      </c>
      <c r="BN185" s="267">
        <v>0</v>
      </c>
      <c r="BO185" s="267">
        <v>0</v>
      </c>
      <c r="BP185" s="267">
        <v>0</v>
      </c>
      <c r="BQ185" s="267">
        <v>0</v>
      </c>
      <c r="BR185" s="267">
        <v>0</v>
      </c>
      <c r="BS185" s="267">
        <v>0</v>
      </c>
      <c r="BT185" s="267">
        <v>0</v>
      </c>
      <c r="BU185" s="267">
        <v>0</v>
      </c>
      <c r="BV185" s="267">
        <v>24381</v>
      </c>
      <c r="BW185" s="267">
        <v>0</v>
      </c>
      <c r="BX185" s="267">
        <v>0</v>
      </c>
      <c r="BY185" s="267">
        <v>0</v>
      </c>
      <c r="BZ185" s="267">
        <v>0</v>
      </c>
      <c r="CA185" s="267">
        <v>0</v>
      </c>
      <c r="CB185" s="267">
        <v>0</v>
      </c>
      <c r="CC185" s="267">
        <v>0</v>
      </c>
      <c r="CD185" s="267">
        <v>0</v>
      </c>
      <c r="CE185" s="267">
        <v>1</v>
      </c>
    </row>
    <row r="186" spans="1:83" x14ac:dyDescent="0.3">
      <c r="A186" s="267">
        <v>536</v>
      </c>
      <c r="B186" s="267">
        <v>536</v>
      </c>
      <c r="C186" s="267" t="s">
        <v>199</v>
      </c>
      <c r="D186" s="267" t="s">
        <v>503</v>
      </c>
      <c r="E186" s="267">
        <v>0</v>
      </c>
      <c r="F186" s="267">
        <v>34379</v>
      </c>
      <c r="G186" s="267">
        <v>110789</v>
      </c>
      <c r="H186" s="267">
        <v>211409</v>
      </c>
      <c r="I186" s="267">
        <v>0</v>
      </c>
      <c r="J186" s="267">
        <v>122381</v>
      </c>
      <c r="K186" s="267">
        <v>0</v>
      </c>
      <c r="L186" s="267">
        <v>21341</v>
      </c>
      <c r="M186" s="267">
        <v>0</v>
      </c>
      <c r="N186" s="267">
        <v>1073655</v>
      </c>
      <c r="O186" s="267">
        <v>84991</v>
      </c>
      <c r="P186" s="267">
        <v>700189</v>
      </c>
      <c r="Q186" s="267">
        <v>0</v>
      </c>
      <c r="R186" s="267">
        <v>1800869</v>
      </c>
      <c r="S186" s="267">
        <v>281397</v>
      </c>
      <c r="T186" s="267">
        <v>0</v>
      </c>
      <c r="U186" s="267">
        <v>4309070</v>
      </c>
      <c r="V186" s="267">
        <v>846442</v>
      </c>
      <c r="W186" s="267">
        <v>1855858</v>
      </c>
      <c r="X186" s="267">
        <v>3070684</v>
      </c>
      <c r="Y186" s="267">
        <v>130821</v>
      </c>
      <c r="Z186" s="267">
        <v>855316</v>
      </c>
      <c r="AA186" s="267">
        <v>120108</v>
      </c>
      <c r="AB186" s="267">
        <v>1616621</v>
      </c>
      <c r="AC186" s="267">
        <v>227898</v>
      </c>
      <c r="AD186" s="267">
        <v>65892</v>
      </c>
      <c r="AE186" s="267">
        <v>0</v>
      </c>
      <c r="AF186" s="267">
        <v>256180</v>
      </c>
      <c r="AG186" s="267">
        <v>11324238</v>
      </c>
      <c r="AH186" s="267">
        <v>128919</v>
      </c>
      <c r="AI186" s="267">
        <v>54432</v>
      </c>
      <c r="AJ186" s="267">
        <v>2178618</v>
      </c>
      <c r="AK186" s="267">
        <v>154775</v>
      </c>
      <c r="AL186" s="267">
        <v>22290</v>
      </c>
      <c r="AM186" s="267">
        <v>0</v>
      </c>
      <c r="AN186" s="267">
        <v>1239889</v>
      </c>
      <c r="AO186" s="267">
        <v>0</v>
      </c>
      <c r="AP186" s="267">
        <v>0</v>
      </c>
      <c r="AQ186" s="267">
        <v>0</v>
      </c>
      <c r="AR186" s="267">
        <v>0</v>
      </c>
      <c r="AS186" s="267">
        <v>114427</v>
      </c>
      <c r="AT186" s="267">
        <v>87246</v>
      </c>
      <c r="AU186" s="267">
        <v>409381</v>
      </c>
      <c r="AV186" s="267">
        <v>0</v>
      </c>
      <c r="AW186" s="267">
        <v>1252958</v>
      </c>
      <c r="AX186" s="267">
        <v>15163</v>
      </c>
      <c r="AY186" s="267">
        <v>211142</v>
      </c>
      <c r="AZ186" s="267">
        <v>179465</v>
      </c>
      <c r="BA186" s="267">
        <v>33602</v>
      </c>
      <c r="BB186" s="267">
        <v>404404</v>
      </c>
      <c r="BC186" s="267">
        <v>0</v>
      </c>
      <c r="BD186" s="267">
        <v>0</v>
      </c>
      <c r="BE186" s="267">
        <v>801248</v>
      </c>
      <c r="BF186" s="267">
        <v>35395</v>
      </c>
      <c r="BG186" s="267">
        <v>7266</v>
      </c>
      <c r="BH186" s="267">
        <v>20190</v>
      </c>
      <c r="BI186" s="267">
        <v>0</v>
      </c>
      <c r="BJ186" s="267">
        <v>65147</v>
      </c>
      <c r="BK186" s="267">
        <v>54354</v>
      </c>
      <c r="BL186" s="267">
        <v>630</v>
      </c>
      <c r="BM186" s="267">
        <v>0</v>
      </c>
      <c r="BN186" s="267">
        <v>701</v>
      </c>
      <c r="BO186" s="267">
        <v>212600</v>
      </c>
      <c r="BP186" s="267">
        <v>84797</v>
      </c>
      <c r="BQ186" s="267">
        <v>131193</v>
      </c>
      <c r="BR186" s="267">
        <v>0</v>
      </c>
      <c r="BS186" s="267">
        <v>149467</v>
      </c>
      <c r="BT186" s="267">
        <v>377685</v>
      </c>
      <c r="BU186" s="267">
        <v>124773</v>
      </c>
      <c r="BV186" s="267">
        <v>305831</v>
      </c>
      <c r="BW186" s="267">
        <v>0</v>
      </c>
      <c r="BX186" s="267">
        <v>93896</v>
      </c>
      <c r="BY186" s="267">
        <v>408426</v>
      </c>
      <c r="BZ186" s="267">
        <v>172036</v>
      </c>
      <c r="CA186" s="1232">
        <v>35587</v>
      </c>
      <c r="CB186" s="267">
        <v>14363</v>
      </c>
      <c r="CC186" s="267">
        <v>0</v>
      </c>
      <c r="CD186" s="267">
        <v>0</v>
      </c>
      <c r="CE186" s="267">
        <v>19647</v>
      </c>
    </row>
    <row r="187" spans="1:83" x14ac:dyDescent="0.3">
      <c r="A187" s="267">
        <v>537</v>
      </c>
      <c r="B187" s="267">
        <v>537</v>
      </c>
      <c r="C187" s="267" t="s">
        <v>847</v>
      </c>
      <c r="D187" s="267" t="s">
        <v>504</v>
      </c>
      <c r="E187" s="267">
        <v>0</v>
      </c>
      <c r="F187" s="267">
        <v>2</v>
      </c>
      <c r="G187" s="267">
        <v>2</v>
      </c>
      <c r="H187" s="267">
        <v>2</v>
      </c>
      <c r="I187" s="267">
        <v>0</v>
      </c>
      <c r="J187" s="267">
        <v>0</v>
      </c>
      <c r="K187" s="267">
        <v>2</v>
      </c>
      <c r="L187" s="267">
        <v>0</v>
      </c>
      <c r="M187" s="267">
        <v>2</v>
      </c>
      <c r="N187" s="267">
        <v>2</v>
      </c>
      <c r="O187" s="267">
        <v>0</v>
      </c>
      <c r="P187" s="267">
        <v>2</v>
      </c>
      <c r="Q187" s="267">
        <v>0</v>
      </c>
      <c r="R187" s="267">
        <v>1</v>
      </c>
      <c r="S187" s="267">
        <v>2</v>
      </c>
      <c r="T187" s="267">
        <v>0</v>
      </c>
      <c r="U187" s="267">
        <v>2</v>
      </c>
      <c r="V187" s="267">
        <v>2</v>
      </c>
      <c r="W187" s="267">
        <v>1</v>
      </c>
      <c r="X187" s="267">
        <v>2</v>
      </c>
      <c r="Y187" s="267">
        <v>2</v>
      </c>
      <c r="Z187" s="267">
        <v>1</v>
      </c>
      <c r="AA187" s="267">
        <v>2</v>
      </c>
      <c r="AB187" s="267">
        <v>2</v>
      </c>
      <c r="AC187" s="267">
        <v>2</v>
      </c>
      <c r="AD187" s="267">
        <v>1</v>
      </c>
      <c r="AE187" s="267">
        <v>2</v>
      </c>
      <c r="AF187" s="267">
        <v>2</v>
      </c>
      <c r="AG187" s="267">
        <v>1</v>
      </c>
      <c r="AH187" s="267">
        <v>2</v>
      </c>
      <c r="AI187" s="267">
        <v>2</v>
      </c>
      <c r="AJ187" s="267">
        <v>2</v>
      </c>
      <c r="AK187" s="267">
        <v>2</v>
      </c>
      <c r="AL187" s="267">
        <v>2</v>
      </c>
      <c r="AM187" s="267">
        <v>0</v>
      </c>
      <c r="AN187" s="267">
        <v>1</v>
      </c>
      <c r="AO187" s="267">
        <v>0</v>
      </c>
      <c r="AP187" s="267">
        <v>0</v>
      </c>
      <c r="AQ187" s="267">
        <v>0</v>
      </c>
      <c r="AR187" s="267">
        <v>0</v>
      </c>
      <c r="AS187" s="267">
        <v>2</v>
      </c>
      <c r="AT187" s="267">
        <v>1</v>
      </c>
      <c r="AU187" s="267">
        <v>2</v>
      </c>
      <c r="AV187" s="267">
        <v>0</v>
      </c>
      <c r="AW187" s="267">
        <v>2</v>
      </c>
      <c r="AX187" s="267">
        <v>2</v>
      </c>
      <c r="AY187" s="267">
        <v>2</v>
      </c>
      <c r="AZ187" s="267">
        <v>2</v>
      </c>
      <c r="BA187" s="267">
        <v>2</v>
      </c>
      <c r="BB187" s="267">
        <v>2</v>
      </c>
      <c r="BC187" s="267">
        <v>2</v>
      </c>
      <c r="BD187" s="267">
        <v>0</v>
      </c>
      <c r="BE187" s="267">
        <v>2</v>
      </c>
      <c r="BF187" s="267">
        <v>0</v>
      </c>
      <c r="BG187" s="267">
        <v>2</v>
      </c>
      <c r="BH187" s="267">
        <v>2</v>
      </c>
      <c r="BI187" s="267">
        <v>0</v>
      </c>
      <c r="BJ187" s="267">
        <v>1</v>
      </c>
      <c r="BK187" s="267">
        <v>2</v>
      </c>
      <c r="BL187" s="267">
        <v>2</v>
      </c>
      <c r="BM187" s="267">
        <v>0</v>
      </c>
      <c r="BN187" s="267">
        <v>1</v>
      </c>
      <c r="BO187" s="267">
        <v>2</v>
      </c>
      <c r="BP187" s="267">
        <v>0</v>
      </c>
      <c r="BQ187" s="267">
        <v>2</v>
      </c>
      <c r="BR187" s="267">
        <v>2</v>
      </c>
      <c r="BS187" s="267">
        <v>2</v>
      </c>
      <c r="BT187" s="267">
        <v>2</v>
      </c>
      <c r="BU187" s="267">
        <v>2</v>
      </c>
      <c r="BV187" s="267">
        <v>2</v>
      </c>
      <c r="BW187" s="267">
        <v>2</v>
      </c>
      <c r="BX187" s="267">
        <v>2</v>
      </c>
      <c r="BY187" s="267">
        <v>1</v>
      </c>
      <c r="BZ187" s="267">
        <v>2</v>
      </c>
      <c r="CA187" s="267">
        <v>2</v>
      </c>
      <c r="CB187" s="267">
        <v>2</v>
      </c>
      <c r="CC187" s="267">
        <v>0</v>
      </c>
      <c r="CD187" s="267">
        <v>0</v>
      </c>
      <c r="CE187" s="267">
        <v>2</v>
      </c>
    </row>
    <row r="188" spans="1:83" x14ac:dyDescent="0.3">
      <c r="A188" s="267">
        <v>538</v>
      </c>
      <c r="B188" s="267">
        <v>538</v>
      </c>
      <c r="C188" s="267" t="s">
        <v>848</v>
      </c>
      <c r="D188" s="267" t="s">
        <v>505</v>
      </c>
      <c r="E188" s="267">
        <v>0</v>
      </c>
      <c r="F188" s="267">
        <v>2</v>
      </c>
      <c r="G188" s="267">
        <v>2</v>
      </c>
      <c r="H188" s="267">
        <v>2</v>
      </c>
      <c r="I188" s="267">
        <v>0</v>
      </c>
      <c r="J188" s="267">
        <v>0</v>
      </c>
      <c r="K188" s="267">
        <v>2</v>
      </c>
      <c r="L188" s="267">
        <v>0</v>
      </c>
      <c r="M188" s="267">
        <v>2</v>
      </c>
      <c r="N188" s="267">
        <v>2</v>
      </c>
      <c r="O188" s="267">
        <v>0</v>
      </c>
      <c r="P188" s="267">
        <v>2</v>
      </c>
      <c r="Q188" s="267">
        <v>0</v>
      </c>
      <c r="R188" s="267">
        <v>1</v>
      </c>
      <c r="S188" s="267">
        <v>2</v>
      </c>
      <c r="T188" s="267">
        <v>0</v>
      </c>
      <c r="U188" s="267">
        <v>2</v>
      </c>
      <c r="V188" s="267">
        <v>2</v>
      </c>
      <c r="W188" s="267">
        <v>2</v>
      </c>
      <c r="X188" s="267">
        <v>2</v>
      </c>
      <c r="Y188" s="267">
        <v>2</v>
      </c>
      <c r="Z188" s="267">
        <v>2</v>
      </c>
      <c r="AA188" s="267">
        <v>1</v>
      </c>
      <c r="AB188" s="267">
        <v>1</v>
      </c>
      <c r="AC188" s="267">
        <v>2</v>
      </c>
      <c r="AD188" s="267">
        <v>1</v>
      </c>
      <c r="AE188" s="267">
        <v>2</v>
      </c>
      <c r="AF188" s="267">
        <v>1</v>
      </c>
      <c r="AG188" s="267">
        <v>1</v>
      </c>
      <c r="AH188" s="267">
        <v>2</v>
      </c>
      <c r="AI188" s="267">
        <v>2</v>
      </c>
      <c r="AJ188" s="267">
        <v>2</v>
      </c>
      <c r="AK188" s="267">
        <v>2</v>
      </c>
      <c r="AL188" s="267">
        <v>2</v>
      </c>
      <c r="AM188" s="267">
        <v>0</v>
      </c>
      <c r="AN188" s="267">
        <v>1</v>
      </c>
      <c r="AO188" s="267">
        <v>0</v>
      </c>
      <c r="AP188" s="267">
        <v>0</v>
      </c>
      <c r="AQ188" s="267">
        <v>0</v>
      </c>
      <c r="AR188" s="267">
        <v>0</v>
      </c>
      <c r="AS188" s="267">
        <v>2</v>
      </c>
      <c r="AT188" s="267">
        <v>2</v>
      </c>
      <c r="AU188" s="267">
        <v>2</v>
      </c>
      <c r="AV188" s="267">
        <v>0</v>
      </c>
      <c r="AW188" s="267">
        <v>2</v>
      </c>
      <c r="AX188" s="267">
        <v>2</v>
      </c>
      <c r="AY188" s="267">
        <v>2</v>
      </c>
      <c r="AZ188" s="267">
        <v>2</v>
      </c>
      <c r="BA188" s="267">
        <v>1</v>
      </c>
      <c r="BB188" s="267">
        <v>2</v>
      </c>
      <c r="BC188" s="267">
        <v>2</v>
      </c>
      <c r="BD188" s="267">
        <v>0</v>
      </c>
      <c r="BE188" s="267">
        <v>2</v>
      </c>
      <c r="BF188" s="267">
        <v>0</v>
      </c>
      <c r="BG188" s="267">
        <v>2</v>
      </c>
      <c r="BH188" s="267">
        <v>2</v>
      </c>
      <c r="BI188" s="267">
        <v>0</v>
      </c>
      <c r="BJ188" s="267">
        <v>1</v>
      </c>
      <c r="BK188" s="267">
        <v>2</v>
      </c>
      <c r="BL188" s="267">
        <v>2</v>
      </c>
      <c r="BM188" s="267">
        <v>0</v>
      </c>
      <c r="BN188" s="267">
        <v>1</v>
      </c>
      <c r="BO188" s="267">
        <v>2</v>
      </c>
      <c r="BP188" s="267">
        <v>0</v>
      </c>
      <c r="BQ188" s="267">
        <v>2</v>
      </c>
      <c r="BR188" s="267">
        <v>2</v>
      </c>
      <c r="BS188" s="267">
        <v>2</v>
      </c>
      <c r="BT188" s="267">
        <v>2</v>
      </c>
      <c r="BU188" s="267">
        <v>2</v>
      </c>
      <c r="BV188" s="267">
        <v>2</v>
      </c>
      <c r="BW188" s="267">
        <v>2</v>
      </c>
      <c r="BX188" s="267">
        <v>2</v>
      </c>
      <c r="BY188" s="267">
        <v>1</v>
      </c>
      <c r="BZ188" s="267">
        <v>2</v>
      </c>
      <c r="CA188" s="267">
        <v>2</v>
      </c>
      <c r="CB188" s="267">
        <v>2</v>
      </c>
      <c r="CC188" s="267">
        <v>0</v>
      </c>
      <c r="CD188" s="267">
        <v>0</v>
      </c>
      <c r="CE188" s="267">
        <v>2</v>
      </c>
    </row>
    <row r="189" spans="1:83" x14ac:dyDescent="0.3">
      <c r="B189" s="267">
        <v>539</v>
      </c>
      <c r="C189" s="267" t="s">
        <v>849</v>
      </c>
      <c r="D189" s="267" t="s">
        <v>506</v>
      </c>
    </row>
    <row r="190" spans="1:83" x14ac:dyDescent="0.3">
      <c r="A190" s="267">
        <v>540</v>
      </c>
      <c r="B190" s="267">
        <v>540</v>
      </c>
      <c r="C190" s="267" t="s">
        <v>850</v>
      </c>
      <c r="D190" s="267" t="s">
        <v>507</v>
      </c>
      <c r="E190" s="267">
        <v>0</v>
      </c>
      <c r="F190" s="267">
        <v>0</v>
      </c>
      <c r="G190" s="267">
        <v>90158</v>
      </c>
      <c r="H190" s="267">
        <v>0</v>
      </c>
      <c r="I190" s="267">
        <v>957735</v>
      </c>
      <c r="J190" s="267">
        <v>0</v>
      </c>
      <c r="K190" s="267">
        <v>0</v>
      </c>
      <c r="L190" s="267">
        <v>0</v>
      </c>
      <c r="M190" s="267">
        <v>0</v>
      </c>
      <c r="N190" s="267">
        <v>815566</v>
      </c>
      <c r="O190" s="267">
        <v>12170</v>
      </c>
      <c r="P190" s="267">
        <v>0</v>
      </c>
      <c r="Q190" s="267">
        <v>0</v>
      </c>
      <c r="R190" s="267">
        <v>2755544</v>
      </c>
      <c r="S190" s="267">
        <v>0</v>
      </c>
      <c r="T190" s="267">
        <v>0</v>
      </c>
      <c r="U190" s="267">
        <v>0</v>
      </c>
      <c r="V190" s="267">
        <v>484060</v>
      </c>
      <c r="W190" s="267">
        <v>0</v>
      </c>
      <c r="X190" s="267">
        <v>0</v>
      </c>
      <c r="Y190" s="267">
        <v>0</v>
      </c>
      <c r="Z190" s="267">
        <v>250741</v>
      </c>
      <c r="AA190" s="267">
        <v>223411</v>
      </c>
      <c r="AB190" s="267">
        <v>1233399</v>
      </c>
      <c r="AC190" s="267">
        <v>0</v>
      </c>
      <c r="AD190" s="267">
        <v>125000</v>
      </c>
      <c r="AE190" s="267">
        <v>0</v>
      </c>
      <c r="AF190" s="267">
        <v>322905</v>
      </c>
      <c r="AG190" s="267">
        <v>411332</v>
      </c>
      <c r="AH190" s="267">
        <v>120000</v>
      </c>
      <c r="AI190" s="267">
        <v>482466</v>
      </c>
      <c r="AJ190" s="267">
        <v>0</v>
      </c>
      <c r="AK190" s="267">
        <v>264125</v>
      </c>
      <c r="AL190" s="267">
        <v>0</v>
      </c>
      <c r="AM190" s="267">
        <v>0</v>
      </c>
      <c r="AN190" s="267">
        <v>316300</v>
      </c>
      <c r="AO190" s="267">
        <v>0</v>
      </c>
      <c r="AP190" s="267">
        <v>0</v>
      </c>
      <c r="AQ190" s="267">
        <v>34713</v>
      </c>
      <c r="AR190" s="267">
        <v>0</v>
      </c>
      <c r="AS190" s="267">
        <v>12737</v>
      </c>
      <c r="AT190" s="267">
        <v>0</v>
      </c>
      <c r="AU190" s="267">
        <v>301000</v>
      </c>
      <c r="AV190" s="267">
        <v>0</v>
      </c>
      <c r="AW190" s="267">
        <v>271569</v>
      </c>
      <c r="AX190" s="267">
        <v>503476</v>
      </c>
      <c r="AY190" s="267">
        <v>0</v>
      </c>
      <c r="AZ190" s="267">
        <v>0</v>
      </c>
      <c r="BA190" s="267">
        <v>0</v>
      </c>
      <c r="BB190" s="267">
        <v>0</v>
      </c>
      <c r="BC190" s="267">
        <v>0</v>
      </c>
      <c r="BD190" s="267">
        <v>0</v>
      </c>
      <c r="BE190" s="267">
        <v>538500</v>
      </c>
      <c r="BF190" s="267">
        <v>0</v>
      </c>
      <c r="BG190" s="267">
        <v>20000</v>
      </c>
      <c r="BH190" s="267">
        <v>0</v>
      </c>
      <c r="BI190" s="267">
        <v>0</v>
      </c>
      <c r="BJ190" s="267">
        <v>156572</v>
      </c>
      <c r="BK190" s="267">
        <v>10000</v>
      </c>
      <c r="BL190" s="267">
        <v>0</v>
      </c>
      <c r="BM190" s="267">
        <v>0</v>
      </c>
      <c r="BN190" s="267">
        <v>20000</v>
      </c>
      <c r="BO190" s="267">
        <v>195000</v>
      </c>
      <c r="BP190" s="267">
        <v>25000</v>
      </c>
      <c r="BQ190" s="267">
        <v>340000</v>
      </c>
      <c r="BR190" s="267">
        <v>755967</v>
      </c>
      <c r="BS190" s="267">
        <v>0</v>
      </c>
      <c r="BT190" s="267">
        <v>293185</v>
      </c>
      <c r="BU190" s="267">
        <v>0</v>
      </c>
      <c r="BV190" s="267">
        <v>14386</v>
      </c>
      <c r="BW190" s="267">
        <v>0</v>
      </c>
      <c r="BX190" s="267">
        <v>0</v>
      </c>
      <c r="BY190" s="267">
        <v>30831</v>
      </c>
      <c r="BZ190" s="267">
        <v>0</v>
      </c>
      <c r="CA190" s="1232">
        <v>22369</v>
      </c>
      <c r="CB190" s="267">
        <v>0</v>
      </c>
      <c r="CC190" s="267">
        <v>0</v>
      </c>
      <c r="CD190" s="267">
        <v>0</v>
      </c>
      <c r="CE190" s="267">
        <v>0</v>
      </c>
    </row>
    <row r="191" spans="1:83" x14ac:dyDescent="0.3">
      <c r="A191" s="267">
        <v>541</v>
      </c>
      <c r="B191" s="267">
        <v>541</v>
      </c>
      <c r="C191" s="267" t="s">
        <v>851</v>
      </c>
      <c r="D191" s="267" t="s">
        <v>508</v>
      </c>
      <c r="E191" s="267">
        <v>0</v>
      </c>
      <c r="F191" s="267">
        <v>0</v>
      </c>
      <c r="G191" s="267">
        <v>62001</v>
      </c>
      <c r="H191" s="267">
        <v>0</v>
      </c>
      <c r="I191" s="267">
        <v>0</v>
      </c>
      <c r="J191" s="267">
        <v>0</v>
      </c>
      <c r="K191" s="267">
        <v>-6988</v>
      </c>
      <c r="L191" s="267">
        <v>0</v>
      </c>
      <c r="M191" s="267">
        <v>0</v>
      </c>
      <c r="N191" s="267">
        <v>0</v>
      </c>
      <c r="O191" s="267">
        <v>0</v>
      </c>
      <c r="P191" s="267">
        <v>-43324</v>
      </c>
      <c r="Q191" s="267">
        <v>0</v>
      </c>
      <c r="R191" s="267">
        <v>4423249</v>
      </c>
      <c r="S191" s="267">
        <v>2011</v>
      </c>
      <c r="T191" s="267">
        <v>0</v>
      </c>
      <c r="U191" s="267">
        <v>2774026</v>
      </c>
      <c r="V191" s="267">
        <v>946227</v>
      </c>
      <c r="W191" s="267">
        <v>1858271</v>
      </c>
      <c r="X191" s="267">
        <v>0</v>
      </c>
      <c r="Y191" s="267">
        <v>91668</v>
      </c>
      <c r="Z191" s="267">
        <v>349654</v>
      </c>
      <c r="AA191" s="267">
        <v>131717</v>
      </c>
      <c r="AB191" s="267">
        <v>262178</v>
      </c>
      <c r="AC191" s="267">
        <v>100306</v>
      </c>
      <c r="AD191" s="267">
        <v>133241</v>
      </c>
      <c r="AE191" s="1232">
        <v>-94656</v>
      </c>
      <c r="AF191" s="267">
        <v>62256</v>
      </c>
      <c r="AG191" s="267">
        <v>-45778</v>
      </c>
      <c r="AH191" s="267">
        <v>168287</v>
      </c>
      <c r="AI191" s="267">
        <v>256494</v>
      </c>
      <c r="AJ191" s="267">
        <v>2293721</v>
      </c>
      <c r="AK191" s="267">
        <v>20538</v>
      </c>
      <c r="AL191" s="267">
        <v>18054</v>
      </c>
      <c r="AM191" s="267">
        <v>0</v>
      </c>
      <c r="AN191" s="267">
        <v>-24812</v>
      </c>
      <c r="AO191" s="267">
        <v>0</v>
      </c>
      <c r="AP191" s="267">
        <v>0</v>
      </c>
      <c r="AQ191" s="267">
        <v>0</v>
      </c>
      <c r="AR191" s="267">
        <v>0</v>
      </c>
      <c r="AS191" s="267">
        <v>387307</v>
      </c>
      <c r="AT191" s="267">
        <v>2790</v>
      </c>
      <c r="AU191" s="267">
        <v>-54911</v>
      </c>
      <c r="AV191" s="267">
        <v>0</v>
      </c>
      <c r="AW191" s="267">
        <v>-5616167</v>
      </c>
      <c r="AX191" s="267">
        <v>0</v>
      </c>
      <c r="AY191" s="267">
        <v>-11392</v>
      </c>
      <c r="AZ191" s="267">
        <v>562607</v>
      </c>
      <c r="BA191" s="267">
        <v>70317</v>
      </c>
      <c r="BB191" s="267">
        <v>13112</v>
      </c>
      <c r="BC191" s="267">
        <v>0</v>
      </c>
      <c r="BD191" s="267">
        <v>0</v>
      </c>
      <c r="BE191" s="267">
        <v>2419757</v>
      </c>
      <c r="BF191" s="267">
        <v>0</v>
      </c>
      <c r="BG191" s="267">
        <v>25190</v>
      </c>
      <c r="BH191" s="267">
        <v>14033</v>
      </c>
      <c r="BI191" s="267">
        <v>0</v>
      </c>
      <c r="BJ191" s="267">
        <v>53813</v>
      </c>
      <c r="BK191" s="267">
        <v>0</v>
      </c>
      <c r="BL191" s="267">
        <v>214512</v>
      </c>
      <c r="BM191" s="267">
        <v>0</v>
      </c>
      <c r="BN191" s="267">
        <v>33674</v>
      </c>
      <c r="BO191" s="267">
        <v>140234</v>
      </c>
      <c r="BP191" s="267">
        <v>-11459</v>
      </c>
      <c r="BQ191" s="267">
        <v>125553</v>
      </c>
      <c r="BR191" s="267">
        <v>0</v>
      </c>
      <c r="BS191" s="267">
        <v>-121645</v>
      </c>
      <c r="BT191" s="267">
        <v>0</v>
      </c>
      <c r="BU191" s="267">
        <v>-53508</v>
      </c>
      <c r="BV191" s="267">
        <v>76591</v>
      </c>
      <c r="BW191" s="267">
        <v>0</v>
      </c>
      <c r="BX191" s="267">
        <v>105532</v>
      </c>
      <c r="BY191" s="267">
        <v>-65960</v>
      </c>
      <c r="BZ191" s="267">
        <v>-4237</v>
      </c>
      <c r="CA191" s="1232">
        <v>-23945</v>
      </c>
      <c r="CB191" s="267">
        <v>16850</v>
      </c>
      <c r="CC191" s="267">
        <v>0</v>
      </c>
      <c r="CD191" s="267">
        <v>0</v>
      </c>
      <c r="CE191" s="267">
        <v>2601</v>
      </c>
    </row>
    <row r="192" spans="1:83" x14ac:dyDescent="0.3">
      <c r="A192" s="267">
        <v>542</v>
      </c>
      <c r="B192" s="267">
        <v>542</v>
      </c>
      <c r="C192" s="267" t="s">
        <v>852</v>
      </c>
      <c r="D192" s="267" t="s">
        <v>509</v>
      </c>
      <c r="E192" s="267">
        <v>0</v>
      </c>
      <c r="F192" s="267">
        <v>0</v>
      </c>
      <c r="G192" s="267">
        <v>7175</v>
      </c>
      <c r="H192" s="267">
        <v>0</v>
      </c>
      <c r="I192" s="267">
        <v>0</v>
      </c>
      <c r="J192" s="267">
        <v>0</v>
      </c>
      <c r="K192" s="267">
        <v>0</v>
      </c>
      <c r="L192" s="267">
        <v>0</v>
      </c>
      <c r="M192" s="267">
        <v>0</v>
      </c>
      <c r="N192" s="267">
        <v>0</v>
      </c>
      <c r="O192" s="267">
        <v>0</v>
      </c>
      <c r="P192" s="267">
        <v>0</v>
      </c>
      <c r="Q192" s="267">
        <v>0</v>
      </c>
      <c r="R192" s="267">
        <v>700000</v>
      </c>
      <c r="S192" s="267">
        <v>0</v>
      </c>
      <c r="T192" s="267">
        <v>0</v>
      </c>
      <c r="U192" s="267">
        <v>0</v>
      </c>
      <c r="V192" s="267">
        <v>0</v>
      </c>
      <c r="W192" s="267">
        <v>0</v>
      </c>
      <c r="X192" s="267">
        <v>0</v>
      </c>
      <c r="Y192" s="267">
        <v>0</v>
      </c>
      <c r="Z192" s="267">
        <v>65340</v>
      </c>
      <c r="AA192" s="267">
        <v>73000</v>
      </c>
      <c r="AB192" s="267">
        <v>225668</v>
      </c>
      <c r="AC192" s="267">
        <v>0</v>
      </c>
      <c r="AD192" s="267">
        <v>0</v>
      </c>
      <c r="AE192" s="267">
        <v>0</v>
      </c>
      <c r="AF192" s="267">
        <v>0</v>
      </c>
      <c r="AG192" s="267">
        <v>595383</v>
      </c>
      <c r="AH192" s="267">
        <v>0</v>
      </c>
      <c r="AI192" s="267">
        <v>0</v>
      </c>
      <c r="AJ192" s="267">
        <v>0</v>
      </c>
      <c r="AK192" s="267">
        <v>0</v>
      </c>
      <c r="AL192" s="267">
        <v>0</v>
      </c>
      <c r="AM192" s="267">
        <v>0</v>
      </c>
      <c r="AN192" s="267">
        <v>0</v>
      </c>
      <c r="AO192" s="267">
        <v>0</v>
      </c>
      <c r="AP192" s="267">
        <v>0</v>
      </c>
      <c r="AQ192" s="267">
        <v>0</v>
      </c>
      <c r="AR192" s="267">
        <v>0</v>
      </c>
      <c r="AS192" s="267">
        <v>0</v>
      </c>
      <c r="AT192" s="267">
        <v>0</v>
      </c>
      <c r="AU192" s="267">
        <v>0</v>
      </c>
      <c r="AV192" s="267">
        <v>0</v>
      </c>
      <c r="AW192" s="267">
        <v>0</v>
      </c>
      <c r="AX192" s="267">
        <v>0</v>
      </c>
      <c r="AY192" s="267">
        <v>0</v>
      </c>
      <c r="AZ192" s="267">
        <v>0</v>
      </c>
      <c r="BA192" s="267">
        <v>0</v>
      </c>
      <c r="BB192" s="267">
        <v>0</v>
      </c>
      <c r="BC192" s="267">
        <v>0</v>
      </c>
      <c r="BD192" s="267">
        <v>0</v>
      </c>
      <c r="BE192" s="267">
        <v>0</v>
      </c>
      <c r="BF192" s="267">
        <v>0</v>
      </c>
      <c r="BG192" s="267">
        <v>0</v>
      </c>
      <c r="BH192" s="267">
        <v>0</v>
      </c>
      <c r="BI192" s="267">
        <v>0</v>
      </c>
      <c r="BJ192" s="267">
        <v>17357</v>
      </c>
      <c r="BK192" s="267">
        <v>0</v>
      </c>
      <c r="BL192" s="267">
        <v>0</v>
      </c>
      <c r="BM192" s="267">
        <v>0</v>
      </c>
      <c r="BN192" s="267">
        <v>0</v>
      </c>
      <c r="BO192" s="267">
        <v>0</v>
      </c>
      <c r="BP192" s="267">
        <v>0</v>
      </c>
      <c r="BQ192" s="267">
        <v>0</v>
      </c>
      <c r="BR192" s="267">
        <v>0</v>
      </c>
      <c r="BS192" s="267">
        <v>0</v>
      </c>
      <c r="BT192" s="267">
        <v>0</v>
      </c>
      <c r="BU192" s="267">
        <v>0</v>
      </c>
      <c r="BV192" s="267">
        <v>0</v>
      </c>
      <c r="BW192" s="267">
        <v>0</v>
      </c>
      <c r="BX192" s="267">
        <v>0</v>
      </c>
      <c r="BY192" s="267">
        <v>0</v>
      </c>
      <c r="BZ192" s="267">
        <v>0</v>
      </c>
      <c r="CA192" s="267">
        <v>0</v>
      </c>
      <c r="CB192" s="267">
        <v>0</v>
      </c>
      <c r="CC192" s="267">
        <v>0</v>
      </c>
      <c r="CD192" s="267">
        <v>0</v>
      </c>
      <c r="CE192" s="267">
        <v>0</v>
      </c>
    </row>
    <row r="193" spans="1:83" x14ac:dyDescent="0.3">
      <c r="B193" s="267">
        <v>543</v>
      </c>
      <c r="C193" s="267" t="s">
        <v>853</v>
      </c>
      <c r="D193" s="267" t="s">
        <v>510</v>
      </c>
      <c r="E193" s="267">
        <v>0</v>
      </c>
      <c r="F193" s="267">
        <v>0</v>
      </c>
      <c r="G193" s="267">
        <v>0</v>
      </c>
      <c r="H193" s="267">
        <v>0</v>
      </c>
      <c r="I193" s="267">
        <v>0</v>
      </c>
      <c r="J193" s="267">
        <v>0</v>
      </c>
      <c r="K193" s="267">
        <v>0</v>
      </c>
      <c r="L193" s="267">
        <v>0</v>
      </c>
      <c r="M193" s="267">
        <v>0</v>
      </c>
      <c r="N193" s="267">
        <v>0</v>
      </c>
      <c r="O193" s="267">
        <v>0</v>
      </c>
      <c r="P193" s="267">
        <v>0</v>
      </c>
      <c r="Q193" s="267">
        <v>0</v>
      </c>
      <c r="R193" s="267">
        <v>0</v>
      </c>
      <c r="S193" s="267">
        <v>0</v>
      </c>
      <c r="T193" s="267">
        <v>0</v>
      </c>
      <c r="U193" s="267">
        <v>0</v>
      </c>
      <c r="V193" s="267">
        <v>0</v>
      </c>
      <c r="W193" s="267">
        <v>0</v>
      </c>
      <c r="X193" s="267">
        <v>0</v>
      </c>
      <c r="Y193" s="267">
        <v>0</v>
      </c>
      <c r="Z193" s="267">
        <v>0</v>
      </c>
      <c r="AA193" s="267">
        <v>0</v>
      </c>
      <c r="AB193" s="267">
        <v>0</v>
      </c>
      <c r="AC193" s="267">
        <v>0</v>
      </c>
      <c r="AD193" s="267">
        <v>0</v>
      </c>
      <c r="AE193" s="267">
        <v>0</v>
      </c>
      <c r="AF193" s="267">
        <v>0</v>
      </c>
      <c r="AG193" s="267">
        <v>0</v>
      </c>
      <c r="AH193" s="267">
        <v>0</v>
      </c>
      <c r="AI193" s="267">
        <v>0</v>
      </c>
      <c r="AJ193" s="267">
        <v>0</v>
      </c>
      <c r="AK193" s="267">
        <v>0</v>
      </c>
      <c r="AL193" s="267">
        <v>0</v>
      </c>
      <c r="AM193" s="267">
        <v>0</v>
      </c>
      <c r="AN193" s="267">
        <v>0</v>
      </c>
      <c r="AO193" s="267">
        <v>0</v>
      </c>
      <c r="AP193" s="267">
        <v>0</v>
      </c>
      <c r="AQ193" s="267">
        <v>0</v>
      </c>
      <c r="AR193" s="267">
        <v>0</v>
      </c>
      <c r="AS193" s="267">
        <v>0</v>
      </c>
      <c r="AT193" s="267">
        <v>0</v>
      </c>
      <c r="AU193" s="267">
        <v>0</v>
      </c>
      <c r="AV193" s="267">
        <v>0</v>
      </c>
      <c r="AW193" s="267">
        <v>0</v>
      </c>
      <c r="AX193" s="267">
        <v>0</v>
      </c>
      <c r="AY193" s="267">
        <v>0</v>
      </c>
      <c r="AZ193" s="267">
        <v>0</v>
      </c>
      <c r="BA193" s="267">
        <v>0</v>
      </c>
      <c r="BB193" s="267">
        <v>0</v>
      </c>
      <c r="BC193" s="267">
        <v>0</v>
      </c>
      <c r="BD193" s="267">
        <v>0</v>
      </c>
      <c r="BE193" s="267">
        <v>0</v>
      </c>
      <c r="BF193" s="267">
        <v>0</v>
      </c>
      <c r="BG193" s="267">
        <v>0</v>
      </c>
      <c r="BH193" s="267">
        <v>0</v>
      </c>
      <c r="BI193" s="267">
        <v>0</v>
      </c>
      <c r="BJ193" s="267">
        <v>0</v>
      </c>
      <c r="BK193" s="267">
        <v>0</v>
      </c>
      <c r="BL193" s="267">
        <v>0</v>
      </c>
      <c r="BM193" s="267">
        <v>0</v>
      </c>
      <c r="BN193" s="267">
        <v>0</v>
      </c>
      <c r="BO193" s="267">
        <v>0</v>
      </c>
      <c r="BP193" s="267">
        <v>0</v>
      </c>
      <c r="BQ193" s="267">
        <v>0</v>
      </c>
      <c r="BR193" s="267">
        <v>0</v>
      </c>
      <c r="BS193" s="267">
        <v>0</v>
      </c>
      <c r="BT193" s="267">
        <v>0</v>
      </c>
      <c r="BU193" s="267">
        <v>0</v>
      </c>
      <c r="BV193" s="267">
        <v>0</v>
      </c>
      <c r="BW193" s="267">
        <v>0</v>
      </c>
      <c r="BX193" s="267">
        <v>0</v>
      </c>
      <c r="BY193" s="267">
        <v>0</v>
      </c>
      <c r="BZ193" s="267">
        <v>0</v>
      </c>
      <c r="CA193" s="267">
        <v>0</v>
      </c>
      <c r="CB193" s="267">
        <v>0</v>
      </c>
      <c r="CC193" s="267">
        <v>0</v>
      </c>
      <c r="CD193" s="267">
        <v>0</v>
      </c>
      <c r="CE193" s="267">
        <v>0</v>
      </c>
    </row>
    <row r="194" spans="1:83" x14ac:dyDescent="0.3">
      <c r="A194" s="267">
        <v>544</v>
      </c>
      <c r="B194" s="267">
        <v>544</v>
      </c>
      <c r="C194" s="267" t="s">
        <v>53</v>
      </c>
      <c r="D194" s="267" t="s">
        <v>511</v>
      </c>
      <c r="E194" s="267">
        <v>0</v>
      </c>
      <c r="F194" s="267">
        <v>0</v>
      </c>
      <c r="G194" s="267">
        <v>0</v>
      </c>
      <c r="H194" s="267">
        <v>0</v>
      </c>
      <c r="I194" s="267">
        <v>0</v>
      </c>
      <c r="J194" s="267">
        <v>0</v>
      </c>
      <c r="K194" s="267">
        <v>0</v>
      </c>
      <c r="L194" s="267">
        <v>0</v>
      </c>
      <c r="M194" s="267">
        <v>0</v>
      </c>
      <c r="N194" s="267">
        <v>0</v>
      </c>
      <c r="O194" s="267">
        <v>0</v>
      </c>
      <c r="P194" s="267">
        <v>0</v>
      </c>
      <c r="Q194" s="267">
        <v>0</v>
      </c>
      <c r="R194" s="267">
        <v>0.03</v>
      </c>
      <c r="S194" s="267">
        <v>0</v>
      </c>
      <c r="T194" s="267">
        <v>0</v>
      </c>
      <c r="U194" s="267">
        <v>0</v>
      </c>
      <c r="V194" s="267">
        <v>0</v>
      </c>
      <c r="W194" s="267">
        <v>0.04</v>
      </c>
      <c r="X194" s="267">
        <v>0</v>
      </c>
      <c r="Y194" s="267">
        <v>0</v>
      </c>
      <c r="Z194" s="267">
        <v>0.12</v>
      </c>
      <c r="AA194" s="267">
        <v>0</v>
      </c>
      <c r="AB194" s="267">
        <v>0</v>
      </c>
      <c r="AC194" s="267">
        <v>0.05</v>
      </c>
      <c r="AD194" s="267">
        <v>0</v>
      </c>
      <c r="AE194" s="267">
        <v>0</v>
      </c>
      <c r="AF194" s="267">
        <v>0</v>
      </c>
      <c r="AG194" s="267">
        <v>0.01</v>
      </c>
      <c r="AH194" s="267">
        <v>0.02</v>
      </c>
      <c r="AI194" s="267">
        <v>0</v>
      </c>
      <c r="AJ194" s="267">
        <v>0</v>
      </c>
      <c r="AK194" s="267">
        <v>0</v>
      </c>
      <c r="AL194" s="267">
        <v>0</v>
      </c>
      <c r="AM194" s="267">
        <v>0</v>
      </c>
      <c r="AN194" s="267">
        <v>0</v>
      </c>
      <c r="AO194" s="267">
        <v>0</v>
      </c>
      <c r="AP194" s="267">
        <v>0</v>
      </c>
      <c r="AQ194" s="267">
        <v>0</v>
      </c>
      <c r="AR194" s="267">
        <v>0</v>
      </c>
      <c r="AS194" s="267">
        <v>0</v>
      </c>
      <c r="AT194" s="267">
        <v>0</v>
      </c>
      <c r="AU194" s="267">
        <v>0</v>
      </c>
      <c r="AV194" s="267">
        <v>0</v>
      </c>
      <c r="AW194" s="267">
        <v>0.03</v>
      </c>
      <c r="AX194" s="267">
        <v>0</v>
      </c>
      <c r="AY194" s="267">
        <v>0</v>
      </c>
      <c r="AZ194" s="267">
        <v>0</v>
      </c>
      <c r="BA194" s="267">
        <v>0</v>
      </c>
      <c r="BB194" s="267">
        <v>0</v>
      </c>
      <c r="BC194" s="267">
        <v>0</v>
      </c>
      <c r="BD194" s="267">
        <v>0</v>
      </c>
      <c r="BE194" s="267">
        <v>0</v>
      </c>
      <c r="BF194" s="267">
        <v>0</v>
      </c>
      <c r="BG194" s="267">
        <v>0</v>
      </c>
      <c r="BH194" s="267">
        <v>0</v>
      </c>
      <c r="BI194" s="267">
        <v>0.15</v>
      </c>
      <c r="BJ194" s="267">
        <v>0</v>
      </c>
      <c r="BK194" s="267">
        <v>0</v>
      </c>
      <c r="BL194" s="267">
        <v>0</v>
      </c>
      <c r="BM194" s="267">
        <v>0</v>
      </c>
      <c r="BN194" s="267">
        <v>0</v>
      </c>
      <c r="BO194" s="267">
        <v>0</v>
      </c>
      <c r="BP194" s="267">
        <v>0</v>
      </c>
      <c r="BQ194" s="267">
        <v>0</v>
      </c>
      <c r="BR194" s="267">
        <v>0</v>
      </c>
      <c r="BS194" s="267">
        <v>0</v>
      </c>
      <c r="BT194" s="267">
        <v>0</v>
      </c>
      <c r="BU194" s="267">
        <v>0</v>
      </c>
      <c r="BV194" s="267">
        <v>0</v>
      </c>
      <c r="BW194" s="267">
        <v>0</v>
      </c>
      <c r="BX194" s="267">
        <v>0</v>
      </c>
      <c r="BY194" s="267">
        <v>0</v>
      </c>
      <c r="BZ194" s="267">
        <v>0</v>
      </c>
      <c r="CA194" s="267">
        <v>0</v>
      </c>
      <c r="CB194" s="267">
        <v>0</v>
      </c>
      <c r="CC194" s="267">
        <v>0</v>
      </c>
      <c r="CD194" s="267">
        <v>0</v>
      </c>
      <c r="CE194" s="267">
        <v>0</v>
      </c>
    </row>
    <row r="195" spans="1:83" x14ac:dyDescent="0.3">
      <c r="A195" s="267">
        <v>545</v>
      </c>
      <c r="B195" s="267">
        <v>545</v>
      </c>
      <c r="C195" s="267" t="s">
        <v>54</v>
      </c>
      <c r="D195" s="267" t="s">
        <v>512</v>
      </c>
      <c r="E195" s="267">
        <v>0</v>
      </c>
      <c r="F195" s="267">
        <v>0</v>
      </c>
      <c r="G195" s="267">
        <v>0</v>
      </c>
      <c r="H195" s="267">
        <v>0.02</v>
      </c>
      <c r="I195" s="267">
        <v>0</v>
      </c>
      <c r="J195" s="267">
        <v>0.01</v>
      </c>
      <c r="K195" s="267">
        <v>0</v>
      </c>
      <c r="L195" s="267">
        <v>0</v>
      </c>
      <c r="M195" s="267">
        <v>0</v>
      </c>
      <c r="N195" s="267">
        <v>0</v>
      </c>
      <c r="O195" s="267">
        <v>0</v>
      </c>
      <c r="P195" s="267">
        <v>0</v>
      </c>
      <c r="Q195" s="267">
        <v>0</v>
      </c>
      <c r="R195" s="267">
        <v>0</v>
      </c>
      <c r="S195" s="267">
        <v>0</v>
      </c>
      <c r="T195" s="267">
        <v>0</v>
      </c>
      <c r="U195" s="267">
        <v>0</v>
      </c>
      <c r="V195" s="267">
        <v>0</v>
      </c>
      <c r="W195" s="267">
        <v>0</v>
      </c>
      <c r="X195" s="267">
        <v>0</v>
      </c>
      <c r="Y195" s="267">
        <v>0</v>
      </c>
      <c r="Z195" s="267">
        <v>0</v>
      </c>
      <c r="AA195" s="267">
        <v>0</v>
      </c>
      <c r="AB195" s="267">
        <v>0</v>
      </c>
      <c r="AC195" s="267">
        <v>0</v>
      </c>
      <c r="AD195" s="267">
        <v>0</v>
      </c>
      <c r="AE195" s="267">
        <v>0</v>
      </c>
      <c r="AF195" s="267">
        <v>0</v>
      </c>
      <c r="AG195" s="267">
        <v>0.01</v>
      </c>
      <c r="AH195" s="267">
        <v>0</v>
      </c>
      <c r="AI195" s="267">
        <v>0</v>
      </c>
      <c r="AJ195" s="267">
        <v>0.02</v>
      </c>
      <c r="AK195" s="267">
        <v>0</v>
      </c>
      <c r="AL195" s="267">
        <v>0</v>
      </c>
      <c r="AM195" s="267">
        <v>0</v>
      </c>
      <c r="AN195" s="267">
        <v>0</v>
      </c>
      <c r="AO195" s="267">
        <v>0</v>
      </c>
      <c r="AP195" s="267">
        <v>0</v>
      </c>
      <c r="AQ195" s="267">
        <v>0</v>
      </c>
      <c r="AR195" s="267">
        <v>0.06</v>
      </c>
      <c r="AS195" s="267">
        <v>0</v>
      </c>
      <c r="AT195" s="267">
        <v>0</v>
      </c>
      <c r="AU195" s="267">
        <v>0</v>
      </c>
      <c r="AV195" s="267">
        <v>0</v>
      </c>
      <c r="AW195" s="267">
        <v>0</v>
      </c>
      <c r="AX195" s="267">
        <v>0</v>
      </c>
      <c r="AY195" s="267">
        <v>0</v>
      </c>
      <c r="AZ195" s="267">
        <v>0</v>
      </c>
      <c r="BA195" s="267">
        <v>0</v>
      </c>
      <c r="BB195" s="267">
        <v>0</v>
      </c>
      <c r="BC195" s="267">
        <v>0</v>
      </c>
      <c r="BD195" s="267">
        <v>0</v>
      </c>
      <c r="BE195" s="267">
        <v>0</v>
      </c>
      <c r="BF195" s="267">
        <v>0</v>
      </c>
      <c r="BG195" s="267">
        <v>0</v>
      </c>
      <c r="BH195" s="267">
        <v>0</v>
      </c>
      <c r="BI195" s="267">
        <v>0</v>
      </c>
      <c r="BJ195" s="267">
        <v>0</v>
      </c>
      <c r="BK195" s="267">
        <v>0</v>
      </c>
      <c r="BL195" s="267">
        <v>0</v>
      </c>
      <c r="BM195" s="267">
        <v>0</v>
      </c>
      <c r="BN195" s="267">
        <v>0</v>
      </c>
      <c r="BO195" s="267">
        <v>0</v>
      </c>
      <c r="BP195" s="267">
        <v>0</v>
      </c>
      <c r="BQ195" s="267">
        <v>0</v>
      </c>
      <c r="BR195" s="267">
        <v>0.5</v>
      </c>
      <c r="BS195" s="267">
        <v>0</v>
      </c>
      <c r="BT195" s="267">
        <v>0</v>
      </c>
      <c r="BU195" s="267">
        <v>0</v>
      </c>
      <c r="BV195" s="267">
        <v>0</v>
      </c>
      <c r="BW195" s="267">
        <v>0</v>
      </c>
      <c r="BX195" s="267">
        <v>0</v>
      </c>
      <c r="BY195" s="267">
        <v>0</v>
      </c>
      <c r="BZ195" s="267">
        <v>0</v>
      </c>
      <c r="CA195" s="267">
        <v>0</v>
      </c>
      <c r="CB195" s="267">
        <v>0</v>
      </c>
      <c r="CC195" s="267">
        <v>0</v>
      </c>
      <c r="CD195" s="267">
        <v>0</v>
      </c>
      <c r="CE195" s="267">
        <v>0</v>
      </c>
    </row>
    <row r="196" spans="1:83" x14ac:dyDescent="0.3">
      <c r="B196" s="267">
        <v>546</v>
      </c>
      <c r="C196" s="267" t="s">
        <v>854</v>
      </c>
      <c r="D196" s="267" t="s">
        <v>513</v>
      </c>
    </row>
    <row r="197" spans="1:83" x14ac:dyDescent="0.3">
      <c r="A197" s="267">
        <v>547</v>
      </c>
      <c r="B197" s="267">
        <v>547</v>
      </c>
      <c r="C197" s="267" t="s">
        <v>860</v>
      </c>
      <c r="D197" s="267" t="s">
        <v>514</v>
      </c>
      <c r="E197" s="267">
        <v>0</v>
      </c>
      <c r="F197" s="267">
        <v>2</v>
      </c>
      <c r="G197" s="267">
        <v>2</v>
      </c>
      <c r="H197" s="267">
        <v>2</v>
      </c>
      <c r="I197" s="267">
        <v>2</v>
      </c>
      <c r="J197" s="267">
        <v>2</v>
      </c>
      <c r="K197" s="267">
        <v>2</v>
      </c>
      <c r="L197" s="267">
        <v>2</v>
      </c>
      <c r="M197" s="267">
        <v>2</v>
      </c>
      <c r="N197" s="267">
        <v>3</v>
      </c>
      <c r="O197" s="267">
        <v>2</v>
      </c>
      <c r="P197" s="267">
        <v>3</v>
      </c>
      <c r="Q197" s="267">
        <v>2</v>
      </c>
      <c r="R197" s="267">
        <v>3</v>
      </c>
      <c r="S197" s="267">
        <v>2</v>
      </c>
      <c r="T197" s="267">
        <v>2</v>
      </c>
      <c r="U197" s="267">
        <v>3</v>
      </c>
      <c r="V197" s="267">
        <v>3</v>
      </c>
      <c r="W197" s="267">
        <v>3</v>
      </c>
      <c r="X197" s="267">
        <v>3</v>
      </c>
      <c r="Y197" s="267">
        <v>2</v>
      </c>
      <c r="Z197" s="267">
        <v>2</v>
      </c>
      <c r="AA197" s="267">
        <v>2</v>
      </c>
      <c r="AB197" s="267">
        <v>3</v>
      </c>
      <c r="AC197" s="267">
        <v>2</v>
      </c>
      <c r="AD197" s="267">
        <v>3</v>
      </c>
      <c r="AE197" s="267">
        <v>2</v>
      </c>
      <c r="AF197" s="267">
        <v>2</v>
      </c>
      <c r="AG197" s="267">
        <v>3</v>
      </c>
      <c r="AH197" s="267">
        <v>3</v>
      </c>
      <c r="AI197" s="267">
        <v>2</v>
      </c>
      <c r="AJ197" s="267">
        <v>3</v>
      </c>
      <c r="AK197" s="267">
        <v>2</v>
      </c>
      <c r="AL197" s="267">
        <v>2</v>
      </c>
      <c r="AM197" s="267">
        <v>0</v>
      </c>
      <c r="AN197" s="267">
        <v>3</v>
      </c>
      <c r="AO197" s="267">
        <v>0</v>
      </c>
      <c r="AP197" s="267">
        <v>0</v>
      </c>
      <c r="AQ197" s="267">
        <v>2</v>
      </c>
      <c r="AR197" s="267">
        <v>2</v>
      </c>
      <c r="AS197" s="267">
        <v>3</v>
      </c>
      <c r="AT197" s="267">
        <v>2</v>
      </c>
      <c r="AU197" s="267">
        <v>3</v>
      </c>
      <c r="AV197" s="267">
        <v>0</v>
      </c>
      <c r="AW197" s="267">
        <v>3</v>
      </c>
      <c r="AX197" s="267">
        <v>2</v>
      </c>
      <c r="AY197" s="267">
        <v>2</v>
      </c>
      <c r="AZ197" s="267">
        <v>2</v>
      </c>
      <c r="BA197" s="267">
        <v>2</v>
      </c>
      <c r="BB197" s="267">
        <v>2</v>
      </c>
      <c r="BC197" s="267">
        <v>2</v>
      </c>
      <c r="BD197" s="267">
        <v>0</v>
      </c>
      <c r="BE197" s="267">
        <v>3</v>
      </c>
      <c r="BF197" s="267">
        <v>2</v>
      </c>
      <c r="BG197" s="267">
        <v>2</v>
      </c>
      <c r="BH197" s="267">
        <v>2</v>
      </c>
      <c r="BI197" s="267">
        <v>2</v>
      </c>
      <c r="BJ197" s="267">
        <v>2</v>
      </c>
      <c r="BK197" s="267">
        <v>2</v>
      </c>
      <c r="BL197" s="267">
        <v>3</v>
      </c>
      <c r="BM197" s="267">
        <v>0</v>
      </c>
      <c r="BN197" s="267">
        <v>3</v>
      </c>
      <c r="BO197" s="267">
        <v>2</v>
      </c>
      <c r="BP197" s="267">
        <v>2</v>
      </c>
      <c r="BQ197" s="267">
        <v>2</v>
      </c>
      <c r="BR197" s="267">
        <v>2</v>
      </c>
      <c r="BS197" s="267">
        <v>3</v>
      </c>
      <c r="BT197" s="267">
        <v>3</v>
      </c>
      <c r="BU197" s="267">
        <v>3</v>
      </c>
      <c r="BV197" s="267">
        <v>3</v>
      </c>
      <c r="BW197" s="267">
        <v>2</v>
      </c>
      <c r="BX197" s="267">
        <v>2</v>
      </c>
      <c r="BY197" s="267">
        <v>3</v>
      </c>
      <c r="BZ197" s="267">
        <v>2</v>
      </c>
      <c r="CA197" s="267">
        <v>2</v>
      </c>
      <c r="CB197" s="267">
        <v>2</v>
      </c>
      <c r="CC197" s="267">
        <v>0</v>
      </c>
      <c r="CD197" s="267">
        <v>0</v>
      </c>
      <c r="CE197" s="267">
        <v>2</v>
      </c>
    </row>
    <row r="198" spans="1:83" x14ac:dyDescent="0.3">
      <c r="B198" s="267">
        <v>548</v>
      </c>
      <c r="C198" s="267" t="s">
        <v>540</v>
      </c>
      <c r="D198" s="267" t="s">
        <v>570</v>
      </c>
      <c r="E198" s="267">
        <v>0</v>
      </c>
      <c r="F198" s="267">
        <v>0</v>
      </c>
      <c r="G198" s="267">
        <v>0</v>
      </c>
      <c r="H198" s="267">
        <v>0</v>
      </c>
      <c r="I198" s="267">
        <v>0</v>
      </c>
      <c r="J198" s="267">
        <v>0</v>
      </c>
      <c r="K198" s="267">
        <v>0</v>
      </c>
      <c r="L198" s="267">
        <v>0</v>
      </c>
      <c r="M198" s="267">
        <v>0</v>
      </c>
      <c r="N198" s="267">
        <v>0</v>
      </c>
      <c r="O198" s="267">
        <v>0</v>
      </c>
      <c r="P198" s="267">
        <v>0</v>
      </c>
      <c r="Q198" s="267">
        <v>0</v>
      </c>
      <c r="R198" s="267">
        <v>0</v>
      </c>
      <c r="S198" s="267">
        <v>0</v>
      </c>
      <c r="T198" s="267">
        <v>0</v>
      </c>
      <c r="U198" s="267">
        <v>0</v>
      </c>
      <c r="V198" s="267">
        <v>0</v>
      </c>
      <c r="W198" s="267">
        <v>0</v>
      </c>
      <c r="X198" s="267">
        <v>0</v>
      </c>
      <c r="Y198" s="267">
        <v>0</v>
      </c>
      <c r="Z198" s="267">
        <v>0</v>
      </c>
      <c r="AA198" s="267">
        <v>0</v>
      </c>
      <c r="AB198" s="267">
        <v>0</v>
      </c>
      <c r="AC198" s="267">
        <v>0</v>
      </c>
      <c r="AD198" s="267">
        <v>0</v>
      </c>
      <c r="AE198" s="267">
        <v>0</v>
      </c>
      <c r="AF198" s="267">
        <v>0</v>
      </c>
      <c r="AG198" s="267">
        <v>0</v>
      </c>
      <c r="AH198" s="267">
        <v>0</v>
      </c>
      <c r="AI198" s="267">
        <v>0</v>
      </c>
      <c r="AJ198" s="267">
        <v>0</v>
      </c>
      <c r="AK198" s="267">
        <v>0</v>
      </c>
      <c r="AL198" s="267">
        <v>0</v>
      </c>
      <c r="AM198" s="267">
        <v>0</v>
      </c>
      <c r="AN198" s="267">
        <v>0</v>
      </c>
      <c r="AO198" s="267">
        <v>0</v>
      </c>
      <c r="AP198" s="267">
        <v>0</v>
      </c>
      <c r="AQ198" s="267">
        <v>0</v>
      </c>
      <c r="AR198" s="267">
        <v>0</v>
      </c>
      <c r="AS198" s="267">
        <v>0</v>
      </c>
      <c r="AT198" s="267">
        <v>0</v>
      </c>
      <c r="AU198" s="267">
        <v>0</v>
      </c>
      <c r="AV198" s="267">
        <v>0</v>
      </c>
      <c r="AW198" s="267">
        <v>0</v>
      </c>
      <c r="AX198" s="267">
        <v>0</v>
      </c>
      <c r="AY198" s="267">
        <v>0</v>
      </c>
      <c r="AZ198" s="267">
        <v>0</v>
      </c>
      <c r="BA198" s="267">
        <v>0</v>
      </c>
      <c r="BB198" s="267">
        <v>0</v>
      </c>
      <c r="BC198" s="267">
        <v>0</v>
      </c>
      <c r="BD198" s="267">
        <v>0</v>
      </c>
      <c r="BE198" s="267">
        <v>0</v>
      </c>
      <c r="BF198" s="267">
        <v>0</v>
      </c>
      <c r="BG198" s="267">
        <v>0</v>
      </c>
      <c r="BH198" s="267">
        <v>0</v>
      </c>
      <c r="BI198" s="267">
        <v>0</v>
      </c>
      <c r="BJ198" s="267">
        <v>0</v>
      </c>
      <c r="BK198" s="267">
        <v>0</v>
      </c>
      <c r="BL198" s="267">
        <v>0</v>
      </c>
      <c r="BM198" s="267">
        <v>0</v>
      </c>
      <c r="BN198" s="267">
        <v>0</v>
      </c>
      <c r="BO198" s="267">
        <v>0</v>
      </c>
      <c r="BP198" s="267">
        <v>0</v>
      </c>
      <c r="BQ198" s="267">
        <v>0</v>
      </c>
      <c r="BR198" s="267">
        <v>0</v>
      </c>
      <c r="BS198" s="267">
        <v>0</v>
      </c>
      <c r="BT198" s="267">
        <v>0</v>
      </c>
      <c r="BU198" s="267">
        <v>0</v>
      </c>
      <c r="BV198" s="267">
        <v>0</v>
      </c>
      <c r="BW198" s="267">
        <v>0</v>
      </c>
      <c r="BX198" s="267">
        <v>0</v>
      </c>
      <c r="BY198" s="267">
        <v>0</v>
      </c>
      <c r="BZ198" s="267">
        <v>0</v>
      </c>
      <c r="CA198" s="267">
        <v>0</v>
      </c>
      <c r="CB198" s="267">
        <v>0</v>
      </c>
      <c r="CC198" s="267">
        <v>0</v>
      </c>
      <c r="CD198" s="267">
        <v>0</v>
      </c>
      <c r="CE198" s="267">
        <v>0</v>
      </c>
    </row>
    <row r="199" spans="1:83" x14ac:dyDescent="0.3">
      <c r="B199" s="267">
        <v>549</v>
      </c>
      <c r="C199" s="267" t="s">
        <v>855</v>
      </c>
      <c r="D199" s="267" t="s">
        <v>571</v>
      </c>
      <c r="E199" s="267">
        <v>0</v>
      </c>
      <c r="F199" s="267">
        <v>0</v>
      </c>
      <c r="G199" s="267">
        <v>0</v>
      </c>
      <c r="H199" s="267">
        <v>0</v>
      </c>
      <c r="I199" s="267">
        <v>0</v>
      </c>
      <c r="J199" s="267">
        <v>0</v>
      </c>
      <c r="K199" s="267">
        <v>0</v>
      </c>
      <c r="L199" s="267">
        <v>0</v>
      </c>
      <c r="M199" s="267">
        <v>0</v>
      </c>
      <c r="N199" s="267">
        <v>0</v>
      </c>
      <c r="O199" s="267">
        <v>0</v>
      </c>
      <c r="P199" s="267">
        <v>0</v>
      </c>
      <c r="Q199" s="267">
        <v>0</v>
      </c>
      <c r="R199" s="267">
        <v>0</v>
      </c>
      <c r="S199" s="267">
        <v>0</v>
      </c>
      <c r="T199" s="267">
        <v>0</v>
      </c>
      <c r="U199" s="267">
        <v>0</v>
      </c>
      <c r="V199" s="267">
        <v>0</v>
      </c>
      <c r="W199" s="267">
        <v>0</v>
      </c>
      <c r="X199" s="267">
        <v>0</v>
      </c>
      <c r="Y199" s="267">
        <v>0</v>
      </c>
      <c r="Z199" s="267">
        <v>0</v>
      </c>
      <c r="AA199" s="267">
        <v>0</v>
      </c>
      <c r="AB199" s="267">
        <v>0</v>
      </c>
      <c r="AC199" s="267">
        <v>0</v>
      </c>
      <c r="AD199" s="267">
        <v>0</v>
      </c>
      <c r="AE199" s="267">
        <v>0</v>
      </c>
      <c r="AF199" s="267">
        <v>0</v>
      </c>
      <c r="AG199" s="267">
        <v>0</v>
      </c>
      <c r="AH199" s="267">
        <v>0</v>
      </c>
      <c r="AI199" s="267">
        <v>0</v>
      </c>
      <c r="AJ199" s="267">
        <v>0</v>
      </c>
      <c r="AK199" s="267">
        <v>0</v>
      </c>
      <c r="AL199" s="267">
        <v>0</v>
      </c>
      <c r="AM199" s="267">
        <v>0</v>
      </c>
      <c r="AN199" s="267">
        <v>0</v>
      </c>
      <c r="AO199" s="267">
        <v>0</v>
      </c>
      <c r="AP199" s="267">
        <v>0</v>
      </c>
      <c r="AQ199" s="267">
        <v>0</v>
      </c>
      <c r="AR199" s="267">
        <v>0</v>
      </c>
      <c r="AS199" s="267">
        <v>0</v>
      </c>
      <c r="AT199" s="267">
        <v>0</v>
      </c>
      <c r="AU199" s="267">
        <v>0</v>
      </c>
      <c r="AV199" s="267">
        <v>0</v>
      </c>
      <c r="AW199" s="267">
        <v>0</v>
      </c>
      <c r="AX199" s="267">
        <v>0</v>
      </c>
      <c r="AY199" s="267">
        <v>0</v>
      </c>
      <c r="AZ199" s="267">
        <v>0</v>
      </c>
      <c r="BA199" s="267">
        <v>0</v>
      </c>
      <c r="BB199" s="267">
        <v>0</v>
      </c>
      <c r="BC199" s="267">
        <v>0</v>
      </c>
      <c r="BD199" s="267">
        <v>0</v>
      </c>
      <c r="BE199" s="267">
        <v>0</v>
      </c>
      <c r="BF199" s="267">
        <v>0</v>
      </c>
      <c r="BG199" s="267">
        <v>0</v>
      </c>
      <c r="BH199" s="267">
        <v>0</v>
      </c>
      <c r="BI199" s="267">
        <v>0</v>
      </c>
      <c r="BJ199" s="267">
        <v>0</v>
      </c>
      <c r="BK199" s="267">
        <v>0</v>
      </c>
      <c r="BL199" s="267">
        <v>0</v>
      </c>
      <c r="BM199" s="267">
        <v>0</v>
      </c>
      <c r="BN199" s="267">
        <v>0</v>
      </c>
      <c r="BO199" s="267">
        <v>0</v>
      </c>
      <c r="BP199" s="267">
        <v>0</v>
      </c>
      <c r="BQ199" s="267">
        <v>0</v>
      </c>
      <c r="BR199" s="267">
        <v>0</v>
      </c>
      <c r="BS199" s="267">
        <v>0</v>
      </c>
      <c r="BT199" s="267">
        <v>0</v>
      </c>
      <c r="BU199" s="267">
        <v>0</v>
      </c>
      <c r="BV199" s="267">
        <v>0</v>
      </c>
      <c r="BW199" s="267">
        <v>0</v>
      </c>
      <c r="BX199" s="267">
        <v>0</v>
      </c>
      <c r="BY199" s="267">
        <v>0</v>
      </c>
      <c r="BZ199" s="267">
        <v>0</v>
      </c>
      <c r="CA199" s="267">
        <v>0</v>
      </c>
      <c r="CB199" s="267">
        <v>0</v>
      </c>
      <c r="CC199" s="267">
        <v>0</v>
      </c>
      <c r="CD199" s="267">
        <v>0</v>
      </c>
      <c r="CE199" s="267">
        <v>0</v>
      </c>
    </row>
    <row r="200" spans="1:83" x14ac:dyDescent="0.3">
      <c r="B200" s="267">
        <v>550</v>
      </c>
      <c r="C200" s="267" t="s">
        <v>572</v>
      </c>
      <c r="D200" s="267" t="s">
        <v>573</v>
      </c>
      <c r="E200" s="267">
        <v>0</v>
      </c>
      <c r="F200" s="267">
        <v>0</v>
      </c>
      <c r="G200" s="267">
        <v>0</v>
      </c>
      <c r="H200" s="267">
        <v>0</v>
      </c>
      <c r="I200" s="267">
        <v>0</v>
      </c>
      <c r="J200" s="267">
        <v>0</v>
      </c>
      <c r="K200" s="267">
        <v>0</v>
      </c>
      <c r="L200" s="267">
        <v>0</v>
      </c>
      <c r="M200" s="267">
        <v>0</v>
      </c>
      <c r="N200" s="267">
        <v>0</v>
      </c>
      <c r="O200" s="267">
        <v>0</v>
      </c>
      <c r="P200" s="267">
        <v>0</v>
      </c>
      <c r="Q200" s="267">
        <v>0</v>
      </c>
      <c r="R200" s="267">
        <v>0</v>
      </c>
      <c r="S200" s="267">
        <v>0</v>
      </c>
      <c r="T200" s="267">
        <v>0</v>
      </c>
      <c r="U200" s="267">
        <v>0</v>
      </c>
      <c r="V200" s="267">
        <v>0</v>
      </c>
      <c r="W200" s="267">
        <v>0</v>
      </c>
      <c r="X200" s="267">
        <v>0</v>
      </c>
      <c r="Y200" s="267">
        <v>0</v>
      </c>
      <c r="Z200" s="267">
        <v>0</v>
      </c>
      <c r="AA200" s="267">
        <v>0</v>
      </c>
      <c r="AB200" s="267">
        <v>0</v>
      </c>
      <c r="AC200" s="267">
        <v>0</v>
      </c>
      <c r="AD200" s="267">
        <v>0</v>
      </c>
      <c r="AE200" s="267">
        <v>0</v>
      </c>
      <c r="AF200" s="267">
        <v>0</v>
      </c>
      <c r="AG200" s="267">
        <v>0</v>
      </c>
      <c r="AH200" s="267">
        <v>0</v>
      </c>
      <c r="AI200" s="267">
        <v>0</v>
      </c>
      <c r="AJ200" s="267">
        <v>0</v>
      </c>
      <c r="AK200" s="267">
        <v>0</v>
      </c>
      <c r="AL200" s="267">
        <v>0</v>
      </c>
      <c r="AM200" s="267">
        <v>0</v>
      </c>
      <c r="AN200" s="267">
        <v>0</v>
      </c>
      <c r="AO200" s="267">
        <v>0</v>
      </c>
      <c r="AP200" s="267">
        <v>0</v>
      </c>
      <c r="AQ200" s="267">
        <v>0</v>
      </c>
      <c r="AR200" s="267">
        <v>0</v>
      </c>
      <c r="AS200" s="267">
        <v>0</v>
      </c>
      <c r="AT200" s="267">
        <v>0</v>
      </c>
      <c r="AU200" s="267">
        <v>0</v>
      </c>
      <c r="AV200" s="267">
        <v>0</v>
      </c>
      <c r="AW200" s="267">
        <v>0</v>
      </c>
      <c r="AX200" s="267">
        <v>0</v>
      </c>
      <c r="AY200" s="267">
        <v>0</v>
      </c>
      <c r="AZ200" s="267">
        <v>0</v>
      </c>
      <c r="BA200" s="267">
        <v>0</v>
      </c>
      <c r="BB200" s="267">
        <v>0</v>
      </c>
      <c r="BC200" s="267">
        <v>0</v>
      </c>
      <c r="BD200" s="267">
        <v>0</v>
      </c>
      <c r="BE200" s="267">
        <v>0</v>
      </c>
      <c r="BF200" s="267">
        <v>0</v>
      </c>
      <c r="BG200" s="267">
        <v>0</v>
      </c>
      <c r="BH200" s="267">
        <v>0</v>
      </c>
      <c r="BI200" s="267">
        <v>0</v>
      </c>
      <c r="BJ200" s="267">
        <v>0</v>
      </c>
      <c r="BK200" s="267">
        <v>0</v>
      </c>
      <c r="BL200" s="267">
        <v>0</v>
      </c>
      <c r="BM200" s="267">
        <v>0</v>
      </c>
      <c r="BN200" s="267">
        <v>0</v>
      </c>
      <c r="BO200" s="267">
        <v>0</v>
      </c>
      <c r="BP200" s="267">
        <v>0</v>
      </c>
      <c r="BQ200" s="267">
        <v>0</v>
      </c>
      <c r="BR200" s="267">
        <v>0</v>
      </c>
      <c r="BS200" s="267">
        <v>0</v>
      </c>
      <c r="BT200" s="267">
        <v>0</v>
      </c>
      <c r="BU200" s="267">
        <v>0</v>
      </c>
      <c r="BV200" s="267">
        <v>0</v>
      </c>
      <c r="BW200" s="267">
        <v>0</v>
      </c>
      <c r="BX200" s="267">
        <v>0</v>
      </c>
      <c r="BY200" s="267">
        <v>0</v>
      </c>
      <c r="BZ200" s="267">
        <v>0</v>
      </c>
      <c r="CA200" s="267">
        <v>0</v>
      </c>
      <c r="CB200" s="267">
        <v>0</v>
      </c>
      <c r="CC200" s="267">
        <v>0</v>
      </c>
      <c r="CD200" s="267">
        <v>0</v>
      </c>
      <c r="CE200" s="267">
        <v>0</v>
      </c>
    </row>
    <row r="201" spans="1:83" x14ac:dyDescent="0.3">
      <c r="B201" s="267">
        <v>551</v>
      </c>
      <c r="C201" s="267" t="s">
        <v>856</v>
      </c>
      <c r="D201" s="267" t="s">
        <v>574</v>
      </c>
      <c r="E201" s="267">
        <v>0</v>
      </c>
      <c r="F201" s="267">
        <v>0</v>
      </c>
      <c r="G201" s="267">
        <v>0</v>
      </c>
      <c r="H201" s="267">
        <v>0</v>
      </c>
      <c r="I201" s="267">
        <v>0</v>
      </c>
      <c r="J201" s="267">
        <v>0</v>
      </c>
      <c r="K201" s="267">
        <v>0</v>
      </c>
      <c r="L201" s="267">
        <v>0</v>
      </c>
      <c r="M201" s="267">
        <v>0</v>
      </c>
      <c r="N201" s="267">
        <v>0</v>
      </c>
      <c r="O201" s="267">
        <v>0</v>
      </c>
      <c r="P201" s="267">
        <v>0</v>
      </c>
      <c r="Q201" s="267">
        <v>0</v>
      </c>
      <c r="R201" s="267">
        <v>0</v>
      </c>
      <c r="S201" s="267">
        <v>0</v>
      </c>
      <c r="T201" s="267">
        <v>0</v>
      </c>
      <c r="U201" s="267">
        <v>0</v>
      </c>
      <c r="V201" s="267">
        <v>0</v>
      </c>
      <c r="W201" s="267">
        <v>0</v>
      </c>
      <c r="X201" s="267">
        <v>0</v>
      </c>
      <c r="Y201" s="267">
        <v>0</v>
      </c>
      <c r="Z201" s="267">
        <v>0</v>
      </c>
      <c r="AA201" s="267">
        <v>0</v>
      </c>
      <c r="AB201" s="267">
        <v>0</v>
      </c>
      <c r="AC201" s="267">
        <v>0</v>
      </c>
      <c r="AD201" s="267">
        <v>0</v>
      </c>
      <c r="AE201" s="267">
        <v>0</v>
      </c>
      <c r="AF201" s="267">
        <v>0</v>
      </c>
      <c r="AG201" s="267">
        <v>0</v>
      </c>
      <c r="AH201" s="267">
        <v>0</v>
      </c>
      <c r="AI201" s="267">
        <v>0</v>
      </c>
      <c r="AJ201" s="267">
        <v>0</v>
      </c>
      <c r="AK201" s="267">
        <v>0</v>
      </c>
      <c r="AL201" s="267">
        <v>0</v>
      </c>
      <c r="AM201" s="267">
        <v>0</v>
      </c>
      <c r="AN201" s="267">
        <v>0</v>
      </c>
      <c r="AO201" s="267">
        <v>0</v>
      </c>
      <c r="AP201" s="267">
        <v>0</v>
      </c>
      <c r="AQ201" s="267">
        <v>0</v>
      </c>
      <c r="AR201" s="267">
        <v>0</v>
      </c>
      <c r="AS201" s="267">
        <v>0</v>
      </c>
      <c r="AT201" s="267">
        <v>0</v>
      </c>
      <c r="AU201" s="267">
        <v>0</v>
      </c>
      <c r="AV201" s="267">
        <v>0</v>
      </c>
      <c r="AW201" s="267">
        <v>0</v>
      </c>
      <c r="AX201" s="267">
        <v>0</v>
      </c>
      <c r="AY201" s="267">
        <v>0</v>
      </c>
      <c r="AZ201" s="267">
        <v>0</v>
      </c>
      <c r="BA201" s="267">
        <v>0</v>
      </c>
      <c r="BB201" s="267">
        <v>0</v>
      </c>
      <c r="BC201" s="267">
        <v>0</v>
      </c>
      <c r="BD201" s="267">
        <v>0</v>
      </c>
      <c r="BE201" s="267">
        <v>0</v>
      </c>
      <c r="BF201" s="267">
        <v>0</v>
      </c>
      <c r="BG201" s="267">
        <v>0</v>
      </c>
      <c r="BH201" s="267">
        <v>0</v>
      </c>
      <c r="BI201" s="267">
        <v>0</v>
      </c>
      <c r="BJ201" s="267">
        <v>0</v>
      </c>
      <c r="BK201" s="267">
        <v>0</v>
      </c>
      <c r="BL201" s="267">
        <v>0</v>
      </c>
      <c r="BM201" s="267">
        <v>0</v>
      </c>
      <c r="BN201" s="267">
        <v>0</v>
      </c>
      <c r="BO201" s="267">
        <v>0</v>
      </c>
      <c r="BP201" s="267">
        <v>0</v>
      </c>
      <c r="BQ201" s="267">
        <v>0</v>
      </c>
      <c r="BR201" s="267">
        <v>0</v>
      </c>
      <c r="BS201" s="267">
        <v>0</v>
      </c>
      <c r="BT201" s="267">
        <v>0</v>
      </c>
      <c r="BU201" s="267">
        <v>0</v>
      </c>
      <c r="BV201" s="267">
        <v>0</v>
      </c>
      <c r="BW201" s="267">
        <v>0</v>
      </c>
      <c r="BX201" s="267">
        <v>0</v>
      </c>
      <c r="BY201" s="267">
        <v>0</v>
      </c>
      <c r="BZ201" s="267">
        <v>0</v>
      </c>
      <c r="CA201" s="267">
        <v>0</v>
      </c>
      <c r="CB201" s="267">
        <v>0</v>
      </c>
      <c r="CC201" s="267">
        <v>0</v>
      </c>
      <c r="CD201" s="267">
        <v>0</v>
      </c>
      <c r="CE201" s="267">
        <v>0</v>
      </c>
    </row>
    <row r="202" spans="1:83" x14ac:dyDescent="0.3">
      <c r="B202" s="267">
        <v>552</v>
      </c>
      <c r="C202" s="267" t="s">
        <v>542</v>
      </c>
      <c r="D202" s="267" t="s">
        <v>575</v>
      </c>
      <c r="E202" s="267">
        <v>0</v>
      </c>
      <c r="F202" s="267">
        <v>0</v>
      </c>
      <c r="G202" s="267">
        <v>0</v>
      </c>
      <c r="H202" s="267">
        <v>0</v>
      </c>
      <c r="I202" s="267">
        <v>0</v>
      </c>
      <c r="J202" s="267">
        <v>0</v>
      </c>
      <c r="K202" s="267">
        <v>0</v>
      </c>
      <c r="L202" s="267">
        <v>0</v>
      </c>
      <c r="M202" s="267">
        <v>0</v>
      </c>
      <c r="N202" s="267">
        <v>0</v>
      </c>
      <c r="O202" s="267">
        <v>0</v>
      </c>
      <c r="P202" s="267">
        <v>0</v>
      </c>
      <c r="Q202" s="267">
        <v>0</v>
      </c>
      <c r="R202" s="267">
        <v>0</v>
      </c>
      <c r="S202" s="267">
        <v>0</v>
      </c>
      <c r="T202" s="267">
        <v>0</v>
      </c>
      <c r="U202" s="267">
        <v>0</v>
      </c>
      <c r="V202" s="267">
        <v>0</v>
      </c>
      <c r="W202" s="267">
        <v>0</v>
      </c>
      <c r="X202" s="267">
        <v>0</v>
      </c>
      <c r="Y202" s="267">
        <v>0</v>
      </c>
      <c r="Z202" s="267">
        <v>0</v>
      </c>
      <c r="AA202" s="267">
        <v>0</v>
      </c>
      <c r="AB202" s="267">
        <v>0</v>
      </c>
      <c r="AC202" s="267">
        <v>0</v>
      </c>
      <c r="AD202" s="267">
        <v>0</v>
      </c>
      <c r="AE202" s="267">
        <v>0</v>
      </c>
      <c r="AF202" s="267">
        <v>0</v>
      </c>
      <c r="AG202" s="267">
        <v>0</v>
      </c>
      <c r="AH202" s="267">
        <v>0</v>
      </c>
      <c r="AI202" s="267">
        <v>0</v>
      </c>
      <c r="AJ202" s="267">
        <v>0</v>
      </c>
      <c r="AK202" s="267">
        <v>0</v>
      </c>
      <c r="AL202" s="267">
        <v>0</v>
      </c>
      <c r="AM202" s="267">
        <v>0</v>
      </c>
      <c r="AN202" s="267">
        <v>0</v>
      </c>
      <c r="AO202" s="267">
        <v>0</v>
      </c>
      <c r="AP202" s="267">
        <v>0</v>
      </c>
      <c r="AQ202" s="267">
        <v>0</v>
      </c>
      <c r="AR202" s="267">
        <v>0</v>
      </c>
      <c r="AS202" s="267">
        <v>0</v>
      </c>
      <c r="AT202" s="267">
        <v>0</v>
      </c>
      <c r="AU202" s="267">
        <v>0</v>
      </c>
      <c r="AV202" s="267">
        <v>0</v>
      </c>
      <c r="AW202" s="267">
        <v>0</v>
      </c>
      <c r="AX202" s="267">
        <v>0</v>
      </c>
      <c r="AY202" s="267">
        <v>0</v>
      </c>
      <c r="AZ202" s="267">
        <v>0</v>
      </c>
      <c r="BA202" s="267">
        <v>0</v>
      </c>
      <c r="BB202" s="267">
        <v>0</v>
      </c>
      <c r="BC202" s="267">
        <v>0</v>
      </c>
      <c r="BD202" s="267">
        <v>0</v>
      </c>
      <c r="BE202" s="267">
        <v>0</v>
      </c>
      <c r="BF202" s="267">
        <v>0</v>
      </c>
      <c r="BG202" s="267">
        <v>0</v>
      </c>
      <c r="BH202" s="267">
        <v>0</v>
      </c>
      <c r="BI202" s="267">
        <v>0</v>
      </c>
      <c r="BJ202" s="267">
        <v>0</v>
      </c>
      <c r="BK202" s="267">
        <v>0</v>
      </c>
      <c r="BL202" s="267">
        <v>0</v>
      </c>
      <c r="BM202" s="267">
        <v>0</v>
      </c>
      <c r="BN202" s="267">
        <v>0</v>
      </c>
      <c r="BO202" s="267">
        <v>0</v>
      </c>
      <c r="BP202" s="267">
        <v>0</v>
      </c>
      <c r="BQ202" s="267">
        <v>0</v>
      </c>
      <c r="BR202" s="267">
        <v>0</v>
      </c>
      <c r="BS202" s="267">
        <v>0</v>
      </c>
      <c r="BT202" s="267">
        <v>0</v>
      </c>
      <c r="BU202" s="267">
        <v>0</v>
      </c>
      <c r="BV202" s="267">
        <v>0</v>
      </c>
      <c r="BW202" s="267">
        <v>0</v>
      </c>
      <c r="BX202" s="267">
        <v>0</v>
      </c>
      <c r="BY202" s="267">
        <v>0</v>
      </c>
      <c r="BZ202" s="267">
        <v>0</v>
      </c>
      <c r="CA202" s="267">
        <v>0</v>
      </c>
      <c r="CB202" s="267">
        <v>0</v>
      </c>
      <c r="CC202" s="267">
        <v>0</v>
      </c>
      <c r="CD202" s="267">
        <v>0</v>
      </c>
      <c r="CE202" s="267">
        <v>0</v>
      </c>
    </row>
    <row r="203" spans="1:83" x14ac:dyDescent="0.3">
      <c r="B203" s="267">
        <v>553</v>
      </c>
      <c r="C203" s="267" t="s">
        <v>576</v>
      </c>
      <c r="D203" s="267" t="s">
        <v>577</v>
      </c>
    </row>
    <row r="204" spans="1:83" x14ac:dyDescent="0.3">
      <c r="A204" s="267">
        <v>554</v>
      </c>
      <c r="B204" s="267">
        <v>554</v>
      </c>
      <c r="C204" s="267" t="s">
        <v>578</v>
      </c>
      <c r="D204" s="267" t="s">
        <v>579</v>
      </c>
      <c r="E204" s="267">
        <v>0</v>
      </c>
      <c r="F204" s="267">
        <v>0</v>
      </c>
      <c r="G204" s="267">
        <v>0</v>
      </c>
      <c r="H204" s="267">
        <v>0</v>
      </c>
      <c r="I204" s="267">
        <v>0</v>
      </c>
      <c r="J204" s="267">
        <v>0</v>
      </c>
      <c r="K204" s="267">
        <v>0</v>
      </c>
      <c r="L204" s="267">
        <v>0</v>
      </c>
      <c r="M204" s="267">
        <v>0</v>
      </c>
      <c r="N204" s="267">
        <v>0</v>
      </c>
      <c r="O204" s="267">
        <v>0</v>
      </c>
      <c r="P204" s="267">
        <v>0</v>
      </c>
      <c r="Q204" s="267">
        <v>0</v>
      </c>
      <c r="R204" s="267">
        <v>1512421</v>
      </c>
      <c r="S204" s="267">
        <v>0</v>
      </c>
      <c r="T204" s="267">
        <v>0</v>
      </c>
      <c r="U204" s="267">
        <v>1491399</v>
      </c>
      <c r="V204" s="267">
        <v>0</v>
      </c>
      <c r="W204" s="267">
        <v>247972</v>
      </c>
      <c r="X204" s="267">
        <v>757529</v>
      </c>
      <c r="Y204" s="267">
        <v>0</v>
      </c>
      <c r="Z204" s="267">
        <v>0</v>
      </c>
      <c r="AA204" s="267">
        <v>0</v>
      </c>
      <c r="AB204" s="267">
        <v>0</v>
      </c>
      <c r="AC204" s="267">
        <v>1145032</v>
      </c>
      <c r="AD204" s="267">
        <v>0</v>
      </c>
      <c r="AE204" s="267">
        <v>0</v>
      </c>
      <c r="AF204" s="267">
        <v>188693</v>
      </c>
      <c r="AG204" s="267">
        <v>6504990</v>
      </c>
      <c r="AH204" s="267">
        <v>0</v>
      </c>
      <c r="AI204" s="267">
        <v>0</v>
      </c>
      <c r="AJ204" s="267">
        <v>899809</v>
      </c>
      <c r="AK204" s="267">
        <v>0</v>
      </c>
      <c r="AL204" s="267">
        <v>0</v>
      </c>
      <c r="AM204" s="267">
        <v>0</v>
      </c>
      <c r="AN204" s="267">
        <v>262058</v>
      </c>
      <c r="AO204" s="267">
        <v>0</v>
      </c>
      <c r="AP204" s="267">
        <v>0</v>
      </c>
      <c r="AQ204" s="267">
        <v>0</v>
      </c>
      <c r="AR204" s="267">
        <v>1717577</v>
      </c>
      <c r="AS204" s="267">
        <v>0</v>
      </c>
      <c r="AT204" s="267">
        <v>0</v>
      </c>
      <c r="AU204" s="267">
        <v>0</v>
      </c>
      <c r="AV204" s="267">
        <v>0</v>
      </c>
      <c r="AW204" s="267">
        <v>1826557</v>
      </c>
      <c r="AX204" s="267">
        <v>0</v>
      </c>
      <c r="AY204" s="267">
        <v>0</v>
      </c>
      <c r="AZ204" s="267">
        <v>0</v>
      </c>
      <c r="BA204" s="267">
        <v>0</v>
      </c>
      <c r="BB204" s="267">
        <v>0</v>
      </c>
      <c r="BC204" s="267">
        <v>0</v>
      </c>
      <c r="BD204" s="267">
        <v>0</v>
      </c>
      <c r="BE204" s="267">
        <v>2275985</v>
      </c>
      <c r="BF204" s="267">
        <v>0</v>
      </c>
      <c r="BG204" s="267">
        <v>0</v>
      </c>
      <c r="BH204" s="267">
        <v>0</v>
      </c>
      <c r="BI204" s="267">
        <v>0</v>
      </c>
      <c r="BJ204" s="267">
        <v>0</v>
      </c>
      <c r="BK204" s="267">
        <v>0</v>
      </c>
      <c r="BL204" s="267">
        <v>121234</v>
      </c>
      <c r="BM204" s="267">
        <v>0</v>
      </c>
      <c r="BN204" s="267">
        <v>0</v>
      </c>
      <c r="BO204" s="267">
        <v>934232</v>
      </c>
      <c r="BP204" s="267">
        <v>0</v>
      </c>
      <c r="BQ204" s="267">
        <v>0</v>
      </c>
      <c r="BR204" s="267">
        <v>256204</v>
      </c>
      <c r="BS204" s="267">
        <v>0</v>
      </c>
      <c r="BT204" s="267">
        <v>0</v>
      </c>
      <c r="BU204" s="267">
        <v>0</v>
      </c>
      <c r="BV204" s="267">
        <v>0</v>
      </c>
      <c r="BW204" s="267">
        <v>0</v>
      </c>
      <c r="BX204" s="267">
        <v>0</v>
      </c>
      <c r="BY204" s="267">
        <v>0</v>
      </c>
      <c r="BZ204" s="267">
        <v>0</v>
      </c>
      <c r="CA204" s="267">
        <v>0</v>
      </c>
      <c r="CB204" s="267">
        <v>0</v>
      </c>
      <c r="CC204" s="267">
        <v>0</v>
      </c>
      <c r="CD204" s="267">
        <v>0</v>
      </c>
      <c r="CE204" s="267">
        <v>0</v>
      </c>
    </row>
    <row r="205" spans="1:83" x14ac:dyDescent="0.3">
      <c r="A205" s="267">
        <v>555</v>
      </c>
      <c r="B205" s="267">
        <v>555</v>
      </c>
      <c r="C205" s="267" t="s">
        <v>580</v>
      </c>
      <c r="D205" s="267" t="s">
        <v>581</v>
      </c>
      <c r="E205" s="267">
        <v>0</v>
      </c>
      <c r="F205" s="267">
        <v>0</v>
      </c>
      <c r="G205" s="267">
        <v>0</v>
      </c>
      <c r="H205" s="267">
        <v>0</v>
      </c>
      <c r="I205" s="267">
        <v>0</v>
      </c>
      <c r="J205" s="267">
        <v>0</v>
      </c>
      <c r="K205" s="267">
        <v>0</v>
      </c>
      <c r="L205" s="267">
        <v>0</v>
      </c>
      <c r="M205" s="267">
        <v>0</v>
      </c>
      <c r="N205" s="267">
        <v>0</v>
      </c>
      <c r="O205" s="267">
        <v>0</v>
      </c>
      <c r="P205" s="267">
        <v>0</v>
      </c>
      <c r="Q205" s="267">
        <v>0</v>
      </c>
      <c r="R205" s="267">
        <v>867506</v>
      </c>
      <c r="S205" s="267">
        <v>0</v>
      </c>
      <c r="T205" s="267">
        <v>0</v>
      </c>
      <c r="U205" s="267">
        <v>799321</v>
      </c>
      <c r="V205" s="267">
        <v>0</v>
      </c>
      <c r="W205" s="267">
        <v>0</v>
      </c>
      <c r="X205" s="267">
        <v>751123</v>
      </c>
      <c r="Y205" s="267">
        <v>0</v>
      </c>
      <c r="Z205" s="267">
        <v>0</v>
      </c>
      <c r="AA205" s="267">
        <v>0</v>
      </c>
      <c r="AB205" s="267">
        <v>0</v>
      </c>
      <c r="AC205" s="267">
        <v>896169</v>
      </c>
      <c r="AD205" s="267">
        <v>0</v>
      </c>
      <c r="AE205" s="267">
        <v>0</v>
      </c>
      <c r="AF205" s="267">
        <v>0</v>
      </c>
      <c r="AG205" s="267">
        <v>6492439</v>
      </c>
      <c r="AH205" s="267">
        <v>0</v>
      </c>
      <c r="AI205" s="267">
        <v>0</v>
      </c>
      <c r="AJ205" s="267">
        <v>655877</v>
      </c>
      <c r="AK205" s="267">
        <v>0</v>
      </c>
      <c r="AL205" s="267">
        <v>0</v>
      </c>
      <c r="AM205" s="267">
        <v>0</v>
      </c>
      <c r="AN205" s="267">
        <v>0</v>
      </c>
      <c r="AO205" s="267">
        <v>0</v>
      </c>
      <c r="AP205" s="267">
        <v>0</v>
      </c>
      <c r="AQ205" s="267">
        <v>0</v>
      </c>
      <c r="AR205" s="267">
        <v>1717577</v>
      </c>
      <c r="AS205" s="267">
        <v>0</v>
      </c>
      <c r="AT205" s="267">
        <v>0</v>
      </c>
      <c r="AU205" s="267">
        <v>0</v>
      </c>
      <c r="AV205" s="267">
        <v>0</v>
      </c>
      <c r="AW205" s="267">
        <v>1826557</v>
      </c>
      <c r="AX205" s="267">
        <v>0</v>
      </c>
      <c r="AY205" s="267">
        <v>0</v>
      </c>
      <c r="AZ205" s="267">
        <v>0</v>
      </c>
      <c r="BA205" s="267">
        <v>0</v>
      </c>
      <c r="BB205" s="267">
        <v>0</v>
      </c>
      <c r="BC205" s="267">
        <v>0</v>
      </c>
      <c r="BD205" s="267">
        <v>0</v>
      </c>
      <c r="BE205" s="267">
        <v>2242181</v>
      </c>
      <c r="BF205" s="267">
        <v>0</v>
      </c>
      <c r="BG205" s="267">
        <v>0</v>
      </c>
      <c r="BH205" s="267">
        <v>0</v>
      </c>
      <c r="BI205" s="267">
        <v>0</v>
      </c>
      <c r="BJ205" s="267">
        <v>0</v>
      </c>
      <c r="BK205" s="267">
        <v>0</v>
      </c>
      <c r="BL205" s="267">
        <v>0</v>
      </c>
      <c r="BM205" s="267">
        <v>0</v>
      </c>
      <c r="BN205" s="267">
        <v>0</v>
      </c>
      <c r="BO205" s="267">
        <v>934232</v>
      </c>
      <c r="BP205" s="267">
        <v>0</v>
      </c>
      <c r="BQ205" s="267">
        <v>0</v>
      </c>
      <c r="BR205" s="267">
        <v>0</v>
      </c>
      <c r="BS205" s="267">
        <v>0</v>
      </c>
      <c r="BT205" s="267">
        <v>0</v>
      </c>
      <c r="BU205" s="267">
        <v>0</v>
      </c>
      <c r="BV205" s="267">
        <v>0</v>
      </c>
      <c r="BW205" s="267">
        <v>0</v>
      </c>
      <c r="BX205" s="267">
        <v>0</v>
      </c>
      <c r="BY205" s="267">
        <v>0</v>
      </c>
      <c r="BZ205" s="267">
        <v>0</v>
      </c>
      <c r="CA205" s="267">
        <v>0</v>
      </c>
      <c r="CB205" s="267">
        <v>0</v>
      </c>
      <c r="CC205" s="267">
        <v>0</v>
      </c>
      <c r="CD205" s="267">
        <v>0</v>
      </c>
      <c r="CE205" s="267">
        <v>0</v>
      </c>
    </row>
    <row r="206" spans="1:83" x14ac:dyDescent="0.3">
      <c r="A206" s="267">
        <v>556</v>
      </c>
      <c r="B206" s="267">
        <v>556</v>
      </c>
      <c r="C206" s="267" t="s">
        <v>582</v>
      </c>
      <c r="D206" s="267" t="s">
        <v>583</v>
      </c>
      <c r="E206" s="267">
        <v>0</v>
      </c>
      <c r="F206" s="267">
        <v>0</v>
      </c>
      <c r="G206" s="267">
        <v>0</v>
      </c>
      <c r="H206" s="267">
        <v>0</v>
      </c>
      <c r="I206" s="267">
        <v>0</v>
      </c>
      <c r="J206" s="267">
        <v>0</v>
      </c>
      <c r="K206" s="267">
        <v>0</v>
      </c>
      <c r="L206" s="267">
        <v>0</v>
      </c>
      <c r="M206" s="267">
        <v>0</v>
      </c>
      <c r="N206" s="267">
        <v>594238</v>
      </c>
      <c r="O206" s="267">
        <v>0</v>
      </c>
      <c r="P206" s="267">
        <v>0</v>
      </c>
      <c r="Q206" s="267">
        <v>0</v>
      </c>
      <c r="R206" s="267">
        <v>1420722</v>
      </c>
      <c r="S206" s="267">
        <v>0</v>
      </c>
      <c r="T206" s="267">
        <v>0</v>
      </c>
      <c r="U206" s="267">
        <v>1124331</v>
      </c>
      <c r="V206" s="267">
        <v>0</v>
      </c>
      <c r="W206" s="267">
        <v>1948177</v>
      </c>
      <c r="X206" s="267">
        <v>0</v>
      </c>
      <c r="Y206" s="267">
        <v>0</v>
      </c>
      <c r="Z206" s="267">
        <v>0</v>
      </c>
      <c r="AA206" s="267">
        <v>0</v>
      </c>
      <c r="AB206" s="267">
        <v>0</v>
      </c>
      <c r="AC206" s="267">
        <v>295340</v>
      </c>
      <c r="AD206" s="267">
        <v>0</v>
      </c>
      <c r="AE206" s="267">
        <v>0</v>
      </c>
      <c r="AF206" s="267">
        <v>1579932</v>
      </c>
      <c r="AG206" s="267">
        <v>2565388</v>
      </c>
      <c r="AH206" s="267">
        <v>0</v>
      </c>
      <c r="AI206" s="267">
        <v>0</v>
      </c>
      <c r="AJ206" s="267">
        <v>904940</v>
      </c>
      <c r="AK206" s="267">
        <v>0</v>
      </c>
      <c r="AL206" s="267">
        <v>0</v>
      </c>
      <c r="AM206" s="267">
        <v>0</v>
      </c>
      <c r="AN206" s="267">
        <v>660358</v>
      </c>
      <c r="AO206" s="267">
        <v>0</v>
      </c>
      <c r="AP206" s="267">
        <v>0</v>
      </c>
      <c r="AQ206" s="267">
        <v>0</v>
      </c>
      <c r="AR206" s="267">
        <v>2646009</v>
      </c>
      <c r="AS206" s="267">
        <v>0</v>
      </c>
      <c r="AT206" s="267">
        <v>0</v>
      </c>
      <c r="AU206" s="267">
        <v>0</v>
      </c>
      <c r="AV206" s="267">
        <v>0</v>
      </c>
      <c r="AW206" s="267">
        <v>955572</v>
      </c>
      <c r="AX206" s="267">
        <v>0</v>
      </c>
      <c r="AY206" s="267">
        <v>0</v>
      </c>
      <c r="AZ206" s="267">
        <v>0</v>
      </c>
      <c r="BA206" s="267">
        <v>0</v>
      </c>
      <c r="BB206" s="267">
        <v>0</v>
      </c>
      <c r="BC206" s="267">
        <v>0</v>
      </c>
      <c r="BD206" s="267">
        <v>0</v>
      </c>
      <c r="BE206" s="267">
        <v>2621621</v>
      </c>
      <c r="BF206" s="267">
        <v>0</v>
      </c>
      <c r="BG206" s="267">
        <v>0</v>
      </c>
      <c r="BH206" s="267">
        <v>0</v>
      </c>
      <c r="BI206" s="267">
        <v>0</v>
      </c>
      <c r="BJ206" s="267">
        <v>0</v>
      </c>
      <c r="BK206" s="267">
        <v>0</v>
      </c>
      <c r="BL206" s="267">
        <v>1070966</v>
      </c>
      <c r="BM206" s="267">
        <v>0</v>
      </c>
      <c r="BN206" s="267">
        <v>0</v>
      </c>
      <c r="BO206" s="267">
        <v>330642</v>
      </c>
      <c r="BP206" s="267">
        <v>0</v>
      </c>
      <c r="BQ206" s="267">
        <v>0</v>
      </c>
      <c r="BR206" s="267">
        <v>577575</v>
      </c>
      <c r="BS206" s="267">
        <v>0</v>
      </c>
      <c r="BT206" s="267">
        <v>0</v>
      </c>
      <c r="BU206" s="267">
        <v>0</v>
      </c>
      <c r="BV206" s="267">
        <v>0</v>
      </c>
      <c r="BW206" s="267">
        <v>0</v>
      </c>
      <c r="BX206" s="267">
        <v>0</v>
      </c>
      <c r="BY206" s="267">
        <v>0</v>
      </c>
      <c r="BZ206" s="267">
        <v>0</v>
      </c>
      <c r="CA206" s="267">
        <v>0</v>
      </c>
      <c r="CB206" s="267">
        <v>0</v>
      </c>
      <c r="CC206" s="267">
        <v>0</v>
      </c>
      <c r="CD206" s="267">
        <v>0</v>
      </c>
      <c r="CE206" s="267">
        <v>0</v>
      </c>
    </row>
    <row r="207" spans="1:83" x14ac:dyDescent="0.3">
      <c r="A207" s="267">
        <v>557</v>
      </c>
      <c r="B207" s="267">
        <v>557</v>
      </c>
      <c r="C207" s="267" t="s">
        <v>584</v>
      </c>
      <c r="D207" s="267" t="s">
        <v>585</v>
      </c>
      <c r="E207" s="267">
        <v>0</v>
      </c>
      <c r="F207" s="267">
        <v>0</v>
      </c>
      <c r="G207" s="267">
        <v>0</v>
      </c>
      <c r="H207" s="267">
        <v>0</v>
      </c>
      <c r="I207" s="267">
        <v>0</v>
      </c>
      <c r="J207" s="267">
        <v>0</v>
      </c>
      <c r="K207" s="267">
        <v>0</v>
      </c>
      <c r="L207" s="267">
        <v>0</v>
      </c>
      <c r="M207" s="267">
        <v>0</v>
      </c>
      <c r="N207" s="267">
        <v>594238</v>
      </c>
      <c r="O207" s="267">
        <v>0</v>
      </c>
      <c r="P207" s="267">
        <v>0</v>
      </c>
      <c r="Q207" s="267">
        <v>0</v>
      </c>
      <c r="R207" s="267">
        <v>1345532</v>
      </c>
      <c r="S207" s="267">
        <v>0</v>
      </c>
      <c r="T207" s="267">
        <v>0</v>
      </c>
      <c r="U207" s="267">
        <v>1098955</v>
      </c>
      <c r="V207" s="267">
        <v>0</v>
      </c>
      <c r="W207" s="267">
        <v>1517589</v>
      </c>
      <c r="X207" s="267">
        <v>0</v>
      </c>
      <c r="Y207" s="267">
        <v>0</v>
      </c>
      <c r="Z207" s="267">
        <v>0</v>
      </c>
      <c r="AA207" s="267">
        <v>0</v>
      </c>
      <c r="AB207" s="267">
        <v>0</v>
      </c>
      <c r="AC207" s="267">
        <v>0</v>
      </c>
      <c r="AD207" s="267">
        <v>0</v>
      </c>
      <c r="AE207" s="267">
        <v>0</v>
      </c>
      <c r="AF207" s="267">
        <v>1183771</v>
      </c>
      <c r="AG207" s="267">
        <v>2164146</v>
      </c>
      <c r="AH207" s="267">
        <v>0</v>
      </c>
      <c r="AI207" s="267">
        <v>0</v>
      </c>
      <c r="AJ207" s="267">
        <v>865707</v>
      </c>
      <c r="AK207" s="267">
        <v>0</v>
      </c>
      <c r="AL207" s="267">
        <v>0</v>
      </c>
      <c r="AM207" s="267">
        <v>0</v>
      </c>
      <c r="AN207" s="267">
        <v>300058</v>
      </c>
      <c r="AO207" s="267">
        <v>0</v>
      </c>
      <c r="AP207" s="267">
        <v>0</v>
      </c>
      <c r="AQ207" s="267">
        <v>0</v>
      </c>
      <c r="AR207" s="267">
        <v>2567526</v>
      </c>
      <c r="AS207" s="267">
        <v>0</v>
      </c>
      <c r="AT207" s="267">
        <v>0</v>
      </c>
      <c r="AU207" s="267">
        <v>0</v>
      </c>
      <c r="AV207" s="267">
        <v>0</v>
      </c>
      <c r="AW207" s="267">
        <v>693366</v>
      </c>
      <c r="AX207" s="267">
        <v>0</v>
      </c>
      <c r="AY207" s="267">
        <v>0</v>
      </c>
      <c r="AZ207" s="267">
        <v>0</v>
      </c>
      <c r="BA207" s="267">
        <v>0</v>
      </c>
      <c r="BB207" s="267">
        <v>0</v>
      </c>
      <c r="BC207" s="267">
        <v>0</v>
      </c>
      <c r="BD207" s="267">
        <v>0</v>
      </c>
      <c r="BE207" s="267">
        <v>2380287</v>
      </c>
      <c r="BF207" s="267">
        <v>0</v>
      </c>
      <c r="BG207" s="267">
        <v>0</v>
      </c>
      <c r="BH207" s="267">
        <v>0</v>
      </c>
      <c r="BI207" s="267">
        <v>0</v>
      </c>
      <c r="BJ207" s="267">
        <v>0</v>
      </c>
      <c r="BK207" s="267">
        <v>0</v>
      </c>
      <c r="BL207" s="267">
        <v>757280</v>
      </c>
      <c r="BM207" s="267">
        <v>0</v>
      </c>
      <c r="BN207" s="267">
        <v>0</v>
      </c>
      <c r="BO207" s="267">
        <v>0</v>
      </c>
      <c r="BP207" s="267">
        <v>0</v>
      </c>
      <c r="BQ207" s="267">
        <v>0</v>
      </c>
      <c r="BR207" s="267">
        <v>498488</v>
      </c>
      <c r="BS207" s="267">
        <v>0</v>
      </c>
      <c r="BT207" s="267">
        <v>0</v>
      </c>
      <c r="BU207" s="267">
        <v>0</v>
      </c>
      <c r="BV207" s="267">
        <v>0</v>
      </c>
      <c r="BW207" s="267">
        <v>0</v>
      </c>
      <c r="BX207" s="267">
        <v>0</v>
      </c>
      <c r="BY207" s="267">
        <v>0</v>
      </c>
      <c r="BZ207" s="267">
        <v>0</v>
      </c>
      <c r="CA207" s="267">
        <v>0</v>
      </c>
      <c r="CB207" s="267">
        <v>0</v>
      </c>
      <c r="CC207" s="267">
        <v>0</v>
      </c>
      <c r="CD207" s="267">
        <v>0</v>
      </c>
      <c r="CE207" s="267">
        <v>0</v>
      </c>
    </row>
    <row r="208" spans="1:83" x14ac:dyDescent="0.3">
      <c r="B208" s="267">
        <v>558</v>
      </c>
      <c r="D208" s="267" t="s">
        <v>586</v>
      </c>
    </row>
    <row r="209" spans="2:4" x14ac:dyDescent="0.3">
      <c r="B209" s="267">
        <v>559</v>
      </c>
      <c r="D209" s="267" t="s">
        <v>587</v>
      </c>
    </row>
    <row r="210" spans="2:4" x14ac:dyDescent="0.3">
      <c r="B210" s="267">
        <v>560</v>
      </c>
      <c r="D210" s="267" t="s">
        <v>588</v>
      </c>
    </row>
    <row r="211" spans="2:4" x14ac:dyDescent="0.3">
      <c r="B211" s="267">
        <v>561</v>
      </c>
      <c r="D211" s="267" t="s">
        <v>589</v>
      </c>
    </row>
    <row r="212" spans="2:4" x14ac:dyDescent="0.3">
      <c r="B212" s="267">
        <v>562</v>
      </c>
      <c r="D212" s="267" t="s">
        <v>590</v>
      </c>
    </row>
    <row r="213" spans="2:4" x14ac:dyDescent="0.3">
      <c r="B213" s="267">
        <v>563</v>
      </c>
      <c r="D213" s="267" t="s">
        <v>591</v>
      </c>
    </row>
    <row r="214" spans="2:4" x14ac:dyDescent="0.3">
      <c r="B214" s="267">
        <v>564</v>
      </c>
      <c r="D214" s="267" t="s">
        <v>592</v>
      </c>
    </row>
    <row r="215" spans="2:4" x14ac:dyDescent="0.3">
      <c r="B215" s="267">
        <v>565</v>
      </c>
      <c r="D215" s="267" t="s">
        <v>593</v>
      </c>
    </row>
    <row r="216" spans="2:4" x14ac:dyDescent="0.3">
      <c r="B216" s="267">
        <v>566</v>
      </c>
      <c r="D216" s="267" t="s">
        <v>594</v>
      </c>
    </row>
    <row r="217" spans="2:4" x14ac:dyDescent="0.3">
      <c r="B217" s="267">
        <v>567</v>
      </c>
      <c r="D217" s="267" t="s">
        <v>595</v>
      </c>
    </row>
    <row r="218" spans="2:4" x14ac:dyDescent="0.3">
      <c r="B218" s="267">
        <v>568</v>
      </c>
      <c r="D218" s="267" t="s">
        <v>596</v>
      </c>
    </row>
    <row r="219" spans="2:4" x14ac:dyDescent="0.3">
      <c r="B219" s="267">
        <v>569</v>
      </c>
      <c r="D219" s="267" t="s">
        <v>597</v>
      </c>
    </row>
    <row r="220" spans="2:4" x14ac:dyDescent="0.3">
      <c r="B220" s="267">
        <v>570</v>
      </c>
      <c r="D220" s="267" t="s">
        <v>598</v>
      </c>
    </row>
    <row r="221" spans="2:4" x14ac:dyDescent="0.3">
      <c r="B221" s="267">
        <v>571</v>
      </c>
      <c r="D221" s="267" t="s">
        <v>599</v>
      </c>
    </row>
    <row r="222" spans="2:4" x14ac:dyDescent="0.3">
      <c r="B222" s="267">
        <v>572</v>
      </c>
      <c r="D222" s="267" t="s">
        <v>600</v>
      </c>
    </row>
    <row r="223" spans="2:4" x14ac:dyDescent="0.3">
      <c r="B223" s="267">
        <v>573</v>
      </c>
      <c r="D223" s="267" t="s">
        <v>601</v>
      </c>
    </row>
    <row r="224" spans="2:4" x14ac:dyDescent="0.3">
      <c r="B224" s="267">
        <v>574</v>
      </c>
      <c r="D224" s="267" t="s">
        <v>602</v>
      </c>
    </row>
    <row r="225" spans="1:83" x14ac:dyDescent="0.3">
      <c r="A225" s="267">
        <v>575</v>
      </c>
      <c r="B225" s="267">
        <v>575</v>
      </c>
      <c r="C225" s="267" t="s">
        <v>547</v>
      </c>
      <c r="D225" s="267" t="s">
        <v>643</v>
      </c>
      <c r="E225" s="267">
        <v>0</v>
      </c>
      <c r="F225" s="267">
        <v>0</v>
      </c>
      <c r="G225" s="267">
        <v>0</v>
      </c>
      <c r="H225" s="267">
        <v>0</v>
      </c>
      <c r="I225" s="267">
        <v>0</v>
      </c>
      <c r="J225" s="267">
        <v>0</v>
      </c>
      <c r="K225" s="267">
        <v>0</v>
      </c>
      <c r="L225" s="267">
        <v>0</v>
      </c>
      <c r="M225" s="267">
        <v>0</v>
      </c>
      <c r="N225" s="267">
        <v>0</v>
      </c>
      <c r="O225" s="267">
        <v>0</v>
      </c>
      <c r="P225" s="267">
        <v>50000</v>
      </c>
      <c r="Q225" s="267">
        <v>0</v>
      </c>
      <c r="R225" s="267">
        <v>0</v>
      </c>
      <c r="S225" s="267">
        <v>0</v>
      </c>
      <c r="T225" s="267">
        <v>0</v>
      </c>
      <c r="U225" s="267">
        <v>0</v>
      </c>
      <c r="V225" s="267">
        <v>0</v>
      </c>
      <c r="W225" s="267">
        <v>0</v>
      </c>
      <c r="X225" s="267">
        <v>0</v>
      </c>
      <c r="Y225" s="267">
        <v>10997</v>
      </c>
      <c r="Z225" s="267">
        <v>0</v>
      </c>
      <c r="AA225" s="267">
        <v>0</v>
      </c>
      <c r="AB225" s="267">
        <v>0</v>
      </c>
      <c r="AC225" s="267">
        <v>397669</v>
      </c>
      <c r="AD225" s="267">
        <v>0</v>
      </c>
      <c r="AE225" s="1232">
        <v>35719</v>
      </c>
      <c r="AF225" s="267">
        <v>0</v>
      </c>
      <c r="AG225" s="267">
        <v>0</v>
      </c>
      <c r="AH225" s="267">
        <v>0</v>
      </c>
      <c r="AI225" s="267">
        <v>0</v>
      </c>
      <c r="AJ225" s="267">
        <v>1500000</v>
      </c>
      <c r="AK225" s="267">
        <v>0</v>
      </c>
      <c r="AL225" s="267">
        <v>0</v>
      </c>
      <c r="AM225" s="267">
        <v>0</v>
      </c>
      <c r="AN225" s="267">
        <v>0</v>
      </c>
      <c r="AO225" s="267">
        <v>0</v>
      </c>
      <c r="AP225" s="267">
        <v>0</v>
      </c>
      <c r="AQ225" s="267">
        <v>0</v>
      </c>
      <c r="AR225" s="267">
        <v>0</v>
      </c>
      <c r="AS225" s="267">
        <v>358903</v>
      </c>
      <c r="AT225" s="267">
        <v>42000</v>
      </c>
      <c r="AU225" s="267">
        <v>73061</v>
      </c>
      <c r="AV225" s="267">
        <v>0</v>
      </c>
      <c r="AW225" s="267">
        <v>0</v>
      </c>
      <c r="AX225" s="267">
        <v>0</v>
      </c>
      <c r="AY225" s="267">
        <v>0</v>
      </c>
      <c r="AZ225" s="267">
        <v>67034</v>
      </c>
      <c r="BA225" s="267">
        <v>0</v>
      </c>
      <c r="BB225" s="267">
        <v>0</v>
      </c>
      <c r="BC225" s="267">
        <v>0</v>
      </c>
      <c r="BD225" s="267">
        <v>0</v>
      </c>
      <c r="BE225" s="267">
        <v>0</v>
      </c>
      <c r="BF225" s="267">
        <v>0</v>
      </c>
      <c r="BG225" s="267">
        <v>73172</v>
      </c>
      <c r="BH225" s="267">
        <v>0</v>
      </c>
      <c r="BI225" s="267">
        <v>0</v>
      </c>
      <c r="BJ225" s="267">
        <v>0</v>
      </c>
      <c r="BK225" s="267">
        <v>0</v>
      </c>
      <c r="BL225" s="267">
        <v>0</v>
      </c>
      <c r="BM225" s="267">
        <v>0</v>
      </c>
      <c r="BN225" s="267">
        <v>445566</v>
      </c>
      <c r="BO225" s="267">
        <v>0</v>
      </c>
      <c r="BP225" s="267">
        <v>0</v>
      </c>
      <c r="BQ225" s="267">
        <v>0</v>
      </c>
      <c r="BR225" s="267">
        <v>0</v>
      </c>
      <c r="BS225" s="267">
        <v>0</v>
      </c>
      <c r="BT225" s="267">
        <v>0</v>
      </c>
      <c r="BU225" s="267">
        <v>4694</v>
      </c>
      <c r="BV225" s="267">
        <v>0</v>
      </c>
      <c r="BW225" s="267">
        <v>0</v>
      </c>
      <c r="BX225" s="267">
        <v>45437</v>
      </c>
      <c r="BY225" s="267">
        <v>0</v>
      </c>
      <c r="BZ225" s="267">
        <v>8936</v>
      </c>
      <c r="CA225" s="1232">
        <v>18767</v>
      </c>
      <c r="CB225" s="267">
        <v>0</v>
      </c>
      <c r="CC225" s="267">
        <v>0</v>
      </c>
      <c r="CD225" s="267">
        <v>0</v>
      </c>
      <c r="CE225" s="267">
        <v>237</v>
      </c>
    </row>
    <row r="226" spans="1:83" x14ac:dyDescent="0.3">
      <c r="A226" s="267">
        <v>576</v>
      </c>
      <c r="B226" s="267">
        <v>576</v>
      </c>
      <c r="C226" s="267" t="s">
        <v>548</v>
      </c>
      <c r="D226" s="267" t="s">
        <v>644</v>
      </c>
      <c r="E226" s="267">
        <v>0</v>
      </c>
      <c r="F226" s="267">
        <v>0</v>
      </c>
      <c r="G226" s="267">
        <v>0</v>
      </c>
      <c r="H226" s="267">
        <v>0</v>
      </c>
      <c r="I226" s="267">
        <v>0</v>
      </c>
      <c r="J226" s="267">
        <v>0</v>
      </c>
      <c r="K226" s="267">
        <v>0</v>
      </c>
      <c r="L226" s="267">
        <v>0</v>
      </c>
      <c r="M226" s="267">
        <v>0</v>
      </c>
      <c r="N226" s="267">
        <v>0</v>
      </c>
      <c r="O226" s="267">
        <v>0</v>
      </c>
      <c r="P226" s="267">
        <v>0</v>
      </c>
      <c r="Q226" s="267">
        <v>0</v>
      </c>
      <c r="R226" s="267">
        <v>105343</v>
      </c>
      <c r="S226" s="267">
        <v>0</v>
      </c>
      <c r="T226" s="267">
        <v>0</v>
      </c>
      <c r="U226" s="267">
        <v>0</v>
      </c>
      <c r="V226" s="267">
        <v>0</v>
      </c>
      <c r="W226" s="267">
        <v>0</v>
      </c>
      <c r="X226" s="267">
        <v>0</v>
      </c>
      <c r="Y226" s="267">
        <v>0</v>
      </c>
      <c r="Z226" s="267">
        <v>108560</v>
      </c>
      <c r="AA226" s="267">
        <v>0</v>
      </c>
      <c r="AB226" s="267">
        <v>0</v>
      </c>
      <c r="AC226" s="267">
        <v>0</v>
      </c>
      <c r="AD226" s="267">
        <v>3908</v>
      </c>
      <c r="AE226" s="267">
        <v>0</v>
      </c>
      <c r="AF226" s="267">
        <v>10135</v>
      </c>
      <c r="AG226" s="267">
        <v>0</v>
      </c>
      <c r="AH226" s="267">
        <v>33481</v>
      </c>
      <c r="AI226" s="267">
        <v>0</v>
      </c>
      <c r="AJ226" s="267">
        <v>993965</v>
      </c>
      <c r="AK226" s="267">
        <v>0</v>
      </c>
      <c r="AL226" s="267">
        <v>0</v>
      </c>
      <c r="AM226" s="267">
        <v>0</v>
      </c>
      <c r="AN226" s="267">
        <v>352561</v>
      </c>
      <c r="AO226" s="267">
        <v>0</v>
      </c>
      <c r="AP226" s="267">
        <v>0</v>
      </c>
      <c r="AQ226" s="267">
        <v>0</v>
      </c>
      <c r="AR226" s="267">
        <v>0</v>
      </c>
      <c r="AS226" s="267">
        <v>7570</v>
      </c>
      <c r="AT226" s="267">
        <v>0</v>
      </c>
      <c r="AU226" s="267">
        <v>0</v>
      </c>
      <c r="AV226" s="267">
        <v>0</v>
      </c>
      <c r="AW226" s="267">
        <v>0</v>
      </c>
      <c r="AX226" s="267">
        <v>0</v>
      </c>
      <c r="AY226" s="267">
        <v>0</v>
      </c>
      <c r="AZ226" s="267">
        <v>0</v>
      </c>
      <c r="BA226" s="267">
        <v>0</v>
      </c>
      <c r="BB226" s="267">
        <v>0</v>
      </c>
      <c r="BC226" s="267">
        <v>0</v>
      </c>
      <c r="BD226" s="267">
        <v>0</v>
      </c>
      <c r="BE226" s="267">
        <v>0</v>
      </c>
      <c r="BF226" s="267">
        <v>0</v>
      </c>
      <c r="BG226" s="267">
        <v>0</v>
      </c>
      <c r="BH226" s="267">
        <v>13361</v>
      </c>
      <c r="BI226" s="267">
        <v>0</v>
      </c>
      <c r="BJ226" s="267">
        <v>0</v>
      </c>
      <c r="BK226" s="267">
        <v>0</v>
      </c>
      <c r="BL226" s="267">
        <v>0</v>
      </c>
      <c r="BM226" s="267">
        <v>0</v>
      </c>
      <c r="BN226" s="267">
        <v>0</v>
      </c>
      <c r="BO226" s="267">
        <v>0</v>
      </c>
      <c r="BP226" s="267">
        <v>0</v>
      </c>
      <c r="BQ226" s="267">
        <v>0</v>
      </c>
      <c r="BR226" s="267">
        <v>0</v>
      </c>
      <c r="BS226" s="267">
        <v>32063</v>
      </c>
      <c r="BT226" s="267">
        <v>0</v>
      </c>
      <c r="BU226" s="267">
        <v>0</v>
      </c>
      <c r="BV226" s="267">
        <v>0</v>
      </c>
      <c r="BW226" s="267">
        <v>0</v>
      </c>
      <c r="BX226" s="267">
        <v>0</v>
      </c>
      <c r="BY226" s="267">
        <v>0</v>
      </c>
      <c r="BZ226" s="267">
        <v>0</v>
      </c>
      <c r="CA226" s="267">
        <v>0</v>
      </c>
      <c r="CB226" s="267">
        <v>0</v>
      </c>
      <c r="CC226" s="267">
        <v>0</v>
      </c>
      <c r="CD226" s="267">
        <v>0</v>
      </c>
      <c r="CE226" s="267">
        <v>0</v>
      </c>
    </row>
    <row r="227" spans="1:83" x14ac:dyDescent="0.3">
      <c r="A227" s="267">
        <v>577</v>
      </c>
      <c r="B227" s="267">
        <v>577</v>
      </c>
      <c r="C227" s="267" t="s">
        <v>645</v>
      </c>
      <c r="D227" s="267" t="s">
        <v>646</v>
      </c>
      <c r="E227" s="267">
        <v>0</v>
      </c>
      <c r="F227" s="267">
        <v>2</v>
      </c>
      <c r="G227" s="267">
        <v>2</v>
      </c>
      <c r="H227" s="267">
        <v>2</v>
      </c>
      <c r="I227" s="267">
        <v>2</v>
      </c>
      <c r="J227" s="267">
        <v>2</v>
      </c>
      <c r="K227" s="267">
        <v>2</v>
      </c>
      <c r="L227" s="267">
        <v>0</v>
      </c>
      <c r="M227" s="267">
        <v>2</v>
      </c>
      <c r="N227" s="267">
        <v>2</v>
      </c>
      <c r="O227" s="267">
        <v>2</v>
      </c>
      <c r="P227" s="267">
        <v>2</v>
      </c>
      <c r="Q227" s="267">
        <v>0</v>
      </c>
      <c r="R227" s="267">
        <v>2</v>
      </c>
      <c r="S227" s="267">
        <v>2</v>
      </c>
      <c r="T227" s="267">
        <v>2</v>
      </c>
      <c r="U227" s="267">
        <v>2</v>
      </c>
      <c r="V227" s="267">
        <v>2</v>
      </c>
      <c r="W227" s="267">
        <v>2</v>
      </c>
      <c r="X227" s="267">
        <v>2</v>
      </c>
      <c r="Y227" s="267">
        <v>2</v>
      </c>
      <c r="Z227" s="267">
        <v>1</v>
      </c>
      <c r="AA227" s="267">
        <v>2</v>
      </c>
      <c r="AB227" s="267">
        <v>1</v>
      </c>
      <c r="AC227" s="267">
        <v>2</v>
      </c>
      <c r="AD227" s="267">
        <v>2</v>
      </c>
      <c r="AE227" s="267">
        <v>0</v>
      </c>
      <c r="AF227" s="267">
        <v>2</v>
      </c>
      <c r="AG227" s="267">
        <v>2</v>
      </c>
      <c r="AH227" s="267">
        <v>0</v>
      </c>
      <c r="AI227" s="267">
        <v>2</v>
      </c>
      <c r="AJ227" s="267">
        <v>2</v>
      </c>
      <c r="AK227" s="267">
        <v>2</v>
      </c>
      <c r="AL227" s="267">
        <v>2</v>
      </c>
      <c r="AM227" s="267">
        <v>0</v>
      </c>
      <c r="AN227" s="267">
        <v>2</v>
      </c>
      <c r="AO227" s="267">
        <v>0</v>
      </c>
      <c r="AP227" s="267">
        <v>0</v>
      </c>
      <c r="AQ227" s="267">
        <v>2</v>
      </c>
      <c r="AR227" s="267">
        <v>2</v>
      </c>
      <c r="AS227" s="267">
        <v>2</v>
      </c>
      <c r="AT227" s="267">
        <v>2</v>
      </c>
      <c r="AU227" s="267">
        <v>2</v>
      </c>
      <c r="AV227" s="267">
        <v>0</v>
      </c>
      <c r="AW227" s="267">
        <v>2</v>
      </c>
      <c r="AX227" s="267">
        <v>2</v>
      </c>
      <c r="AY227" s="267">
        <v>2</v>
      </c>
      <c r="AZ227" s="267">
        <v>2</v>
      </c>
      <c r="BA227" s="267">
        <v>2</v>
      </c>
      <c r="BB227" s="267">
        <v>2</v>
      </c>
      <c r="BC227" s="267">
        <v>2</v>
      </c>
      <c r="BD227" s="267">
        <v>0</v>
      </c>
      <c r="BE227" s="267">
        <v>2</v>
      </c>
      <c r="BF227" s="267">
        <v>2</v>
      </c>
      <c r="BG227" s="267">
        <v>2</v>
      </c>
      <c r="BH227" s="267">
        <v>0</v>
      </c>
      <c r="BI227" s="267">
        <v>2</v>
      </c>
      <c r="BJ227" s="267">
        <v>2</v>
      </c>
      <c r="BK227" s="267">
        <v>2</v>
      </c>
      <c r="BL227" s="267">
        <v>2</v>
      </c>
      <c r="BM227" s="267">
        <v>0</v>
      </c>
      <c r="BN227" s="267">
        <v>2</v>
      </c>
      <c r="BO227" s="267">
        <v>2</v>
      </c>
      <c r="BP227" s="267">
        <v>2</v>
      </c>
      <c r="BQ227" s="267">
        <v>0</v>
      </c>
      <c r="BR227" s="267">
        <v>2</v>
      </c>
      <c r="BS227" s="267">
        <v>0</v>
      </c>
      <c r="BT227" s="267">
        <v>2</v>
      </c>
      <c r="BU227" s="267">
        <v>2</v>
      </c>
      <c r="BV227" s="267">
        <v>2</v>
      </c>
      <c r="BW227" s="267">
        <v>2</v>
      </c>
      <c r="BX227" s="267">
        <v>2</v>
      </c>
      <c r="BY227" s="267">
        <v>2</v>
      </c>
      <c r="BZ227" s="267">
        <v>2</v>
      </c>
      <c r="CA227" s="267">
        <v>2</v>
      </c>
      <c r="CB227" s="267">
        <v>2</v>
      </c>
      <c r="CC227" s="267">
        <v>0</v>
      </c>
      <c r="CD227" s="267">
        <v>0</v>
      </c>
      <c r="CE227" s="267">
        <v>2</v>
      </c>
    </row>
    <row r="228" spans="1:83" x14ac:dyDescent="0.3">
      <c r="A228" s="267">
        <v>578</v>
      </c>
      <c r="B228" s="267">
        <v>578</v>
      </c>
      <c r="C228" s="267" t="s">
        <v>647</v>
      </c>
      <c r="D228" s="267" t="s">
        <v>648</v>
      </c>
      <c r="E228" s="267">
        <v>0</v>
      </c>
      <c r="F228" s="267">
        <v>0</v>
      </c>
      <c r="G228" s="267">
        <v>0</v>
      </c>
      <c r="H228" s="267">
        <v>0</v>
      </c>
      <c r="I228" s="267">
        <v>0</v>
      </c>
      <c r="J228" s="267">
        <v>0</v>
      </c>
      <c r="K228" s="267">
        <v>0</v>
      </c>
      <c r="L228" s="267">
        <v>0</v>
      </c>
      <c r="M228" s="267">
        <v>0</v>
      </c>
      <c r="N228" s="267">
        <v>0</v>
      </c>
      <c r="O228" s="267">
        <v>0</v>
      </c>
      <c r="P228" s="267">
        <v>0</v>
      </c>
      <c r="Q228" s="267">
        <v>0</v>
      </c>
      <c r="R228" s="267">
        <v>0</v>
      </c>
      <c r="S228" s="267">
        <v>0</v>
      </c>
      <c r="T228" s="267">
        <v>0</v>
      </c>
      <c r="U228" s="267">
        <v>0</v>
      </c>
      <c r="V228" s="267">
        <v>0</v>
      </c>
      <c r="W228" s="267">
        <v>0</v>
      </c>
      <c r="X228" s="267">
        <v>0</v>
      </c>
      <c r="Y228" s="267">
        <v>10997</v>
      </c>
      <c r="Z228" s="267">
        <v>0</v>
      </c>
      <c r="AA228" s="267">
        <v>0</v>
      </c>
      <c r="AB228" s="267">
        <v>0</v>
      </c>
      <c r="AC228" s="267">
        <v>0</v>
      </c>
      <c r="AD228" s="267">
        <v>0</v>
      </c>
      <c r="AE228" s="267">
        <v>0</v>
      </c>
      <c r="AF228" s="267">
        <v>0</v>
      </c>
      <c r="AG228" s="267">
        <v>0</v>
      </c>
      <c r="AH228" s="267">
        <v>0</v>
      </c>
      <c r="AI228" s="267">
        <v>0</v>
      </c>
      <c r="AJ228" s="267">
        <v>0</v>
      </c>
      <c r="AK228" s="267">
        <v>0</v>
      </c>
      <c r="AL228" s="267">
        <v>0</v>
      </c>
      <c r="AM228" s="267">
        <v>0</v>
      </c>
      <c r="AN228" s="267">
        <v>0</v>
      </c>
      <c r="AO228" s="267">
        <v>0</v>
      </c>
      <c r="AP228" s="267">
        <v>0</v>
      </c>
      <c r="AQ228" s="267">
        <v>0</v>
      </c>
      <c r="AR228" s="267">
        <v>0</v>
      </c>
      <c r="AS228" s="267">
        <v>0</v>
      </c>
      <c r="AT228" s="267">
        <v>0</v>
      </c>
      <c r="AU228" s="267">
        <v>0</v>
      </c>
      <c r="AV228" s="267">
        <v>0</v>
      </c>
      <c r="AW228" s="267">
        <v>0</v>
      </c>
      <c r="AX228" s="267">
        <v>0</v>
      </c>
      <c r="AY228" s="267">
        <v>0</v>
      </c>
      <c r="AZ228" s="267">
        <v>0</v>
      </c>
      <c r="BA228" s="267">
        <v>0</v>
      </c>
      <c r="BB228" s="267">
        <v>0</v>
      </c>
      <c r="BC228" s="267">
        <v>0</v>
      </c>
      <c r="BD228" s="267">
        <v>0</v>
      </c>
      <c r="BE228" s="267">
        <v>0</v>
      </c>
      <c r="BF228" s="267">
        <v>0</v>
      </c>
      <c r="BG228" s="267">
        <v>0</v>
      </c>
      <c r="BH228" s="267">
        <v>0</v>
      </c>
      <c r="BI228" s="267">
        <v>0</v>
      </c>
      <c r="BJ228" s="267">
        <v>0</v>
      </c>
      <c r="BK228" s="267">
        <v>0</v>
      </c>
      <c r="BL228" s="267">
        <v>0</v>
      </c>
      <c r="BM228" s="267">
        <v>0</v>
      </c>
      <c r="BN228" s="267">
        <v>0</v>
      </c>
      <c r="BO228" s="267">
        <v>0</v>
      </c>
      <c r="BP228" s="267">
        <v>0</v>
      </c>
      <c r="BQ228" s="267">
        <v>0</v>
      </c>
      <c r="BR228" s="267">
        <v>0</v>
      </c>
      <c r="BS228" s="267">
        <v>0</v>
      </c>
      <c r="BT228" s="267">
        <v>0</v>
      </c>
      <c r="BU228" s="267">
        <v>0</v>
      </c>
      <c r="BV228" s="267">
        <v>0</v>
      </c>
      <c r="BW228" s="267">
        <v>0</v>
      </c>
      <c r="BX228" s="267">
        <v>0</v>
      </c>
      <c r="BY228" s="267">
        <v>0</v>
      </c>
      <c r="BZ228" s="267">
        <v>0</v>
      </c>
      <c r="CA228" s="267">
        <v>0</v>
      </c>
      <c r="CB228" s="267">
        <v>0</v>
      </c>
      <c r="CC228" s="267">
        <v>0</v>
      </c>
      <c r="CD228" s="267">
        <v>0</v>
      </c>
      <c r="CE228" s="267">
        <v>0</v>
      </c>
    </row>
    <row r="229" spans="1:83" x14ac:dyDescent="0.3">
      <c r="A229" s="267">
        <v>579</v>
      </c>
      <c r="B229" s="267">
        <v>579</v>
      </c>
      <c r="C229" s="267" t="s">
        <v>649</v>
      </c>
      <c r="D229" s="267" t="s">
        <v>650</v>
      </c>
      <c r="E229" s="267">
        <v>0</v>
      </c>
      <c r="F229" s="267">
        <v>0</v>
      </c>
      <c r="G229" s="267">
        <v>0</v>
      </c>
      <c r="H229" s="267">
        <v>0</v>
      </c>
      <c r="I229" s="267">
        <v>0</v>
      </c>
      <c r="J229" s="267">
        <v>0</v>
      </c>
      <c r="K229" s="267">
        <v>0</v>
      </c>
      <c r="L229" s="267">
        <v>0</v>
      </c>
      <c r="M229" s="267">
        <v>0</v>
      </c>
      <c r="N229" s="267">
        <v>0</v>
      </c>
      <c r="O229" s="267">
        <v>0</v>
      </c>
      <c r="P229" s="267">
        <v>0</v>
      </c>
      <c r="Q229" s="267">
        <v>0</v>
      </c>
      <c r="R229" s="267">
        <v>0</v>
      </c>
      <c r="S229" s="267">
        <v>0</v>
      </c>
      <c r="T229" s="267">
        <v>0</v>
      </c>
      <c r="U229" s="267">
        <v>0</v>
      </c>
      <c r="V229" s="267">
        <v>0</v>
      </c>
      <c r="W229" s="267">
        <v>2411884</v>
      </c>
      <c r="X229" s="267">
        <v>0</v>
      </c>
      <c r="Y229" s="267">
        <v>0</v>
      </c>
      <c r="Z229" s="267">
        <v>0</v>
      </c>
      <c r="AA229" s="267">
        <v>0</v>
      </c>
      <c r="AB229" s="267">
        <v>0</v>
      </c>
      <c r="AC229" s="267">
        <v>0</v>
      </c>
      <c r="AD229" s="267">
        <v>0</v>
      </c>
      <c r="AE229" s="267">
        <v>0</v>
      </c>
      <c r="AF229" s="267">
        <v>0</v>
      </c>
      <c r="AG229" s="267">
        <v>0</v>
      </c>
      <c r="AH229" s="267">
        <v>0</v>
      </c>
      <c r="AI229" s="267">
        <v>0</v>
      </c>
      <c r="AJ229" s="267">
        <v>0</v>
      </c>
      <c r="AK229" s="267">
        <v>0</v>
      </c>
      <c r="AL229" s="267">
        <v>0</v>
      </c>
      <c r="AM229" s="267">
        <v>0</v>
      </c>
      <c r="AN229" s="267">
        <v>0</v>
      </c>
      <c r="AO229" s="267">
        <v>0</v>
      </c>
      <c r="AP229" s="267">
        <v>0</v>
      </c>
      <c r="AQ229" s="267">
        <v>0</v>
      </c>
      <c r="AR229" s="267">
        <v>0</v>
      </c>
      <c r="AS229" s="267">
        <v>0</v>
      </c>
      <c r="AT229" s="267">
        <v>0</v>
      </c>
      <c r="AU229" s="267">
        <v>0</v>
      </c>
      <c r="AV229" s="267">
        <v>0</v>
      </c>
      <c r="AW229" s="267">
        <v>0</v>
      </c>
      <c r="AX229" s="267">
        <v>0</v>
      </c>
      <c r="AY229" s="267">
        <v>0</v>
      </c>
      <c r="AZ229" s="267">
        <v>0</v>
      </c>
      <c r="BA229" s="267">
        <v>0</v>
      </c>
      <c r="BB229" s="267">
        <v>0</v>
      </c>
      <c r="BC229" s="267">
        <v>0</v>
      </c>
      <c r="BD229" s="267">
        <v>0</v>
      </c>
      <c r="BE229" s="267">
        <v>0</v>
      </c>
      <c r="BF229" s="267">
        <v>0</v>
      </c>
      <c r="BG229" s="267">
        <v>0</v>
      </c>
      <c r="BH229" s="267">
        <v>0</v>
      </c>
      <c r="BI229" s="267">
        <v>0</v>
      </c>
      <c r="BJ229" s="267">
        <v>0</v>
      </c>
      <c r="BK229" s="267">
        <v>0</v>
      </c>
      <c r="BL229" s="267">
        <v>0</v>
      </c>
      <c r="BM229" s="267">
        <v>0</v>
      </c>
      <c r="BN229" s="267">
        <v>0</v>
      </c>
      <c r="BO229" s="267">
        <v>0</v>
      </c>
      <c r="BP229" s="267">
        <v>0</v>
      </c>
      <c r="BQ229" s="267">
        <v>0</v>
      </c>
      <c r="BR229" s="267">
        <v>0</v>
      </c>
      <c r="BS229" s="267">
        <v>0</v>
      </c>
      <c r="BT229" s="267">
        <v>0</v>
      </c>
      <c r="BU229" s="267">
        <v>0</v>
      </c>
      <c r="BV229" s="267">
        <v>0</v>
      </c>
      <c r="BW229" s="267">
        <v>0</v>
      </c>
      <c r="BX229" s="267">
        <v>0</v>
      </c>
      <c r="BY229" s="267">
        <v>0</v>
      </c>
      <c r="BZ229" s="267">
        <v>0</v>
      </c>
      <c r="CA229" s="267">
        <v>0</v>
      </c>
      <c r="CB229" s="267">
        <v>0</v>
      </c>
      <c r="CC229" s="267">
        <v>0</v>
      </c>
      <c r="CD229" s="267">
        <v>0</v>
      </c>
      <c r="CE229" s="267">
        <v>0</v>
      </c>
    </row>
    <row r="230" spans="1:83" x14ac:dyDescent="0.3">
      <c r="A230" s="267">
        <v>580</v>
      </c>
      <c r="B230" s="267">
        <v>580</v>
      </c>
      <c r="C230" s="267" t="s">
        <v>651</v>
      </c>
      <c r="D230" s="267" t="s">
        <v>652</v>
      </c>
      <c r="E230" s="267">
        <v>0</v>
      </c>
      <c r="F230" s="267">
        <v>0</v>
      </c>
      <c r="G230" s="267">
        <v>0</v>
      </c>
      <c r="H230" s="267">
        <v>0</v>
      </c>
      <c r="I230" s="267">
        <v>0</v>
      </c>
      <c r="J230" s="267">
        <v>0</v>
      </c>
      <c r="K230" s="267">
        <v>0</v>
      </c>
      <c r="L230" s="267">
        <v>0</v>
      </c>
      <c r="M230" s="267">
        <v>0</v>
      </c>
      <c r="N230" s="267">
        <v>0</v>
      </c>
      <c r="O230" s="267">
        <v>0</v>
      </c>
      <c r="P230" s="267">
        <v>0</v>
      </c>
      <c r="Q230" s="267">
        <v>0</v>
      </c>
      <c r="R230" s="267">
        <v>0</v>
      </c>
      <c r="S230" s="267">
        <v>0</v>
      </c>
      <c r="T230" s="267">
        <v>0</v>
      </c>
      <c r="U230" s="267">
        <v>0</v>
      </c>
      <c r="V230" s="267">
        <v>0</v>
      </c>
      <c r="W230" s="267">
        <v>0</v>
      </c>
      <c r="X230" s="267">
        <v>0</v>
      </c>
      <c r="Y230" s="267">
        <v>0</v>
      </c>
      <c r="Z230" s="267">
        <v>0</v>
      </c>
      <c r="AA230" s="267">
        <v>0</v>
      </c>
      <c r="AB230" s="267">
        <v>0</v>
      </c>
      <c r="AC230" s="267">
        <v>0</v>
      </c>
      <c r="AD230" s="267">
        <v>0</v>
      </c>
      <c r="AE230" s="267">
        <v>0</v>
      </c>
      <c r="AF230" s="267">
        <v>0</v>
      </c>
      <c r="AG230" s="267">
        <v>0</v>
      </c>
      <c r="AH230" s="267">
        <v>0</v>
      </c>
      <c r="AI230" s="267">
        <v>0</v>
      </c>
      <c r="AJ230" s="267">
        <v>0</v>
      </c>
      <c r="AK230" s="267">
        <v>0</v>
      </c>
      <c r="AL230" s="267">
        <v>0</v>
      </c>
      <c r="AM230" s="267">
        <v>0</v>
      </c>
      <c r="AN230" s="267">
        <v>0</v>
      </c>
      <c r="AO230" s="267">
        <v>0</v>
      </c>
      <c r="AP230" s="267">
        <v>0</v>
      </c>
      <c r="AQ230" s="267">
        <v>0</v>
      </c>
      <c r="AR230" s="267">
        <v>0</v>
      </c>
      <c r="AS230" s="267">
        <v>0</v>
      </c>
      <c r="AT230" s="267">
        <v>0</v>
      </c>
      <c r="AU230" s="267">
        <v>0</v>
      </c>
      <c r="AV230" s="267">
        <v>0</v>
      </c>
      <c r="AW230" s="267">
        <v>0</v>
      </c>
      <c r="AX230" s="267">
        <v>0</v>
      </c>
      <c r="AY230" s="267">
        <v>0</v>
      </c>
      <c r="AZ230" s="267">
        <v>0</v>
      </c>
      <c r="BA230" s="267">
        <v>0</v>
      </c>
      <c r="BB230" s="267">
        <v>0</v>
      </c>
      <c r="BC230" s="267">
        <v>0</v>
      </c>
      <c r="BD230" s="267">
        <v>0</v>
      </c>
      <c r="BE230" s="267">
        <v>0</v>
      </c>
      <c r="BF230" s="267">
        <v>0</v>
      </c>
      <c r="BG230" s="267">
        <v>0</v>
      </c>
      <c r="BH230" s="267">
        <v>0</v>
      </c>
      <c r="BI230" s="267">
        <v>0</v>
      </c>
      <c r="BJ230" s="267">
        <v>0</v>
      </c>
      <c r="BK230" s="267">
        <v>0</v>
      </c>
      <c r="BL230" s="267">
        <v>0</v>
      </c>
      <c r="BM230" s="267">
        <v>0</v>
      </c>
      <c r="BN230" s="267">
        <v>0</v>
      </c>
      <c r="BO230" s="267">
        <v>0</v>
      </c>
      <c r="BP230" s="267">
        <v>0</v>
      </c>
      <c r="BQ230" s="267">
        <v>0</v>
      </c>
      <c r="BR230" s="267">
        <v>0</v>
      </c>
      <c r="BS230" s="267">
        <v>0</v>
      </c>
      <c r="BT230" s="267">
        <v>0</v>
      </c>
      <c r="BU230" s="267">
        <v>0</v>
      </c>
      <c r="BV230" s="267">
        <v>0</v>
      </c>
      <c r="BW230" s="267">
        <v>0</v>
      </c>
      <c r="BX230" s="267">
        <v>0</v>
      </c>
      <c r="BY230" s="267">
        <v>0</v>
      </c>
      <c r="BZ230" s="267">
        <v>0</v>
      </c>
      <c r="CA230" s="267">
        <v>0</v>
      </c>
      <c r="CB230" s="267">
        <v>0</v>
      </c>
      <c r="CC230" s="267">
        <v>0</v>
      </c>
      <c r="CD230" s="267">
        <v>0</v>
      </c>
      <c r="CE230" s="267">
        <v>0</v>
      </c>
    </row>
    <row r="231" spans="1:83" x14ac:dyDescent="0.3">
      <c r="A231" s="267">
        <v>581</v>
      </c>
      <c r="B231" s="267">
        <v>581</v>
      </c>
      <c r="C231" s="267" t="s">
        <v>653</v>
      </c>
      <c r="D231" s="267" t="s">
        <v>654</v>
      </c>
      <c r="E231" s="267">
        <v>0</v>
      </c>
      <c r="F231" s="267">
        <v>0</v>
      </c>
      <c r="G231" s="267">
        <v>0</v>
      </c>
      <c r="H231" s="267">
        <v>0</v>
      </c>
      <c r="I231" s="267">
        <v>0</v>
      </c>
      <c r="J231" s="267">
        <v>0</v>
      </c>
      <c r="K231" s="267">
        <v>0</v>
      </c>
      <c r="L231" s="267">
        <v>0</v>
      </c>
      <c r="M231" s="267">
        <v>0</v>
      </c>
      <c r="N231" s="267">
        <v>0</v>
      </c>
      <c r="O231" s="267">
        <v>0</v>
      </c>
      <c r="P231" s="267">
        <v>0</v>
      </c>
      <c r="Q231" s="267">
        <v>0</v>
      </c>
      <c r="R231" s="267">
        <v>2051647</v>
      </c>
      <c r="S231" s="267">
        <v>0</v>
      </c>
      <c r="T231" s="267">
        <v>0</v>
      </c>
      <c r="U231" s="267">
        <v>0</v>
      </c>
      <c r="V231" s="267">
        <v>0</v>
      </c>
      <c r="W231" s="267">
        <v>0</v>
      </c>
      <c r="X231" s="267">
        <v>0</v>
      </c>
      <c r="Y231" s="267">
        <v>0</v>
      </c>
      <c r="Z231" s="267">
        <v>0</v>
      </c>
      <c r="AA231" s="267">
        <v>0</v>
      </c>
      <c r="AB231" s="267">
        <v>0</v>
      </c>
      <c r="AC231" s="267">
        <v>0</v>
      </c>
      <c r="AD231" s="267">
        <v>0</v>
      </c>
      <c r="AE231" s="267">
        <v>0</v>
      </c>
      <c r="AF231" s="267">
        <v>0</v>
      </c>
      <c r="AG231" s="267">
        <v>0</v>
      </c>
      <c r="AH231" s="267">
        <v>0</v>
      </c>
      <c r="AI231" s="267">
        <v>0</v>
      </c>
      <c r="AJ231" s="267">
        <v>0</v>
      </c>
      <c r="AK231" s="267">
        <v>0</v>
      </c>
      <c r="AL231" s="267">
        <v>0</v>
      </c>
      <c r="AM231" s="267">
        <v>0</v>
      </c>
      <c r="AN231" s="267">
        <v>0</v>
      </c>
      <c r="AO231" s="267">
        <v>0</v>
      </c>
      <c r="AP231" s="267">
        <v>0</v>
      </c>
      <c r="AQ231" s="267">
        <v>0</v>
      </c>
      <c r="AR231" s="267">
        <v>0</v>
      </c>
      <c r="AS231" s="267">
        <v>0</v>
      </c>
      <c r="AT231" s="267">
        <v>0</v>
      </c>
      <c r="AU231" s="267">
        <v>0</v>
      </c>
      <c r="AV231" s="267">
        <v>0</v>
      </c>
      <c r="AW231" s="267">
        <v>0</v>
      </c>
      <c r="AX231" s="267">
        <v>0</v>
      </c>
      <c r="AY231" s="267">
        <v>0</v>
      </c>
      <c r="AZ231" s="267">
        <v>0</v>
      </c>
      <c r="BA231" s="267">
        <v>0</v>
      </c>
      <c r="BB231" s="267">
        <v>0</v>
      </c>
      <c r="BC231" s="267">
        <v>0</v>
      </c>
      <c r="BD231" s="267">
        <v>0</v>
      </c>
      <c r="BE231" s="267">
        <v>0</v>
      </c>
      <c r="BF231" s="267">
        <v>0</v>
      </c>
      <c r="BG231" s="267">
        <v>0</v>
      </c>
      <c r="BH231" s="267">
        <v>0</v>
      </c>
      <c r="BI231" s="267">
        <v>0</v>
      </c>
      <c r="BJ231" s="267">
        <v>0</v>
      </c>
      <c r="BK231" s="267">
        <v>0</v>
      </c>
      <c r="BL231" s="267">
        <v>0</v>
      </c>
      <c r="BM231" s="267">
        <v>0</v>
      </c>
      <c r="BN231" s="267">
        <v>0</v>
      </c>
      <c r="BO231" s="267">
        <v>0</v>
      </c>
      <c r="BP231" s="267">
        <v>0</v>
      </c>
      <c r="BQ231" s="267">
        <v>0</v>
      </c>
      <c r="BR231" s="267">
        <v>0</v>
      </c>
      <c r="BS231" s="267">
        <v>0</v>
      </c>
      <c r="BT231" s="267">
        <v>0</v>
      </c>
      <c r="BU231" s="267">
        <v>0</v>
      </c>
      <c r="BV231" s="267">
        <v>0</v>
      </c>
      <c r="BW231" s="267">
        <v>0</v>
      </c>
      <c r="BX231" s="267">
        <v>0</v>
      </c>
      <c r="BY231" s="267">
        <v>0</v>
      </c>
      <c r="BZ231" s="267">
        <v>0</v>
      </c>
      <c r="CA231" s="267">
        <v>0</v>
      </c>
      <c r="CB231" s="267">
        <v>0</v>
      </c>
      <c r="CC231" s="267">
        <v>0</v>
      </c>
      <c r="CD231" s="267">
        <v>0</v>
      </c>
      <c r="CE231" s="267">
        <v>0</v>
      </c>
    </row>
    <row r="232" spans="1:83" x14ac:dyDescent="0.3">
      <c r="B232" s="267">
        <v>582</v>
      </c>
      <c r="C232" s="267" t="s">
        <v>655</v>
      </c>
      <c r="D232" s="267" t="s">
        <v>656</v>
      </c>
    </row>
    <row r="233" spans="1:83" x14ac:dyDescent="0.3">
      <c r="B233" s="267">
        <v>583</v>
      </c>
      <c r="C233" s="267" t="s">
        <v>657</v>
      </c>
      <c r="D233" s="267" t="s">
        <v>658</v>
      </c>
    </row>
    <row r="234" spans="1:83" x14ac:dyDescent="0.3">
      <c r="B234" s="267">
        <v>584</v>
      </c>
      <c r="C234" s="267" t="s">
        <v>659</v>
      </c>
      <c r="D234" s="267" t="s">
        <v>660</v>
      </c>
    </row>
    <row r="235" spans="1:83" x14ac:dyDescent="0.3">
      <c r="B235" s="267">
        <v>585</v>
      </c>
      <c r="C235" s="267" t="s">
        <v>661</v>
      </c>
      <c r="D235" s="267" t="s">
        <v>662</v>
      </c>
    </row>
    <row r="236" spans="1:83" x14ac:dyDescent="0.3">
      <c r="A236" s="267">
        <v>586</v>
      </c>
      <c r="B236" s="267">
        <v>586</v>
      </c>
      <c r="C236" s="267" t="s">
        <v>663</v>
      </c>
      <c r="D236" s="267" t="s">
        <v>664</v>
      </c>
      <c r="E236" s="267">
        <v>0</v>
      </c>
      <c r="F236" s="267">
        <v>0</v>
      </c>
      <c r="G236" s="267">
        <v>0</v>
      </c>
      <c r="H236" s="267">
        <v>0</v>
      </c>
      <c r="I236" s="267">
        <v>0</v>
      </c>
      <c r="J236" s="267">
        <v>0</v>
      </c>
      <c r="K236" s="267">
        <v>0</v>
      </c>
      <c r="L236" s="267">
        <v>0</v>
      </c>
      <c r="M236" s="267">
        <v>0</v>
      </c>
      <c r="N236" s="267">
        <v>0</v>
      </c>
      <c r="O236" s="267">
        <v>0</v>
      </c>
      <c r="P236" s="267">
        <v>1154477</v>
      </c>
      <c r="Q236" s="267">
        <v>0</v>
      </c>
      <c r="R236" s="267">
        <v>0</v>
      </c>
      <c r="S236" s="267">
        <v>0</v>
      </c>
      <c r="T236" s="267">
        <v>0</v>
      </c>
      <c r="U236" s="267">
        <v>0</v>
      </c>
      <c r="V236" s="267">
        <v>0</v>
      </c>
      <c r="W236" s="267">
        <v>0</v>
      </c>
      <c r="X236" s="267">
        <v>0</v>
      </c>
      <c r="Y236" s="267">
        <v>14327</v>
      </c>
      <c r="Z236" s="267">
        <v>0</v>
      </c>
      <c r="AA236" s="267">
        <v>0</v>
      </c>
      <c r="AB236" s="267">
        <v>0</v>
      </c>
      <c r="AC236" s="267">
        <v>0</v>
      </c>
      <c r="AD236" s="267">
        <v>0</v>
      </c>
      <c r="AE236" s="267">
        <v>0</v>
      </c>
      <c r="AF236" s="267">
        <v>0</v>
      </c>
      <c r="AG236" s="267">
        <v>0</v>
      </c>
      <c r="AH236" s="267">
        <v>0</v>
      </c>
      <c r="AI236" s="267">
        <v>0</v>
      </c>
      <c r="AJ236" s="267">
        <v>0</v>
      </c>
      <c r="AK236" s="267">
        <v>0</v>
      </c>
      <c r="AL236" s="267">
        <v>0</v>
      </c>
      <c r="AM236" s="267">
        <v>0</v>
      </c>
      <c r="AN236" s="267">
        <v>0</v>
      </c>
      <c r="AO236" s="267">
        <v>0</v>
      </c>
      <c r="AP236" s="267">
        <v>0</v>
      </c>
      <c r="AQ236" s="267">
        <v>0</v>
      </c>
      <c r="AR236" s="267">
        <v>0</v>
      </c>
      <c r="AS236" s="267">
        <v>0</v>
      </c>
      <c r="AT236" s="267">
        <v>0</v>
      </c>
      <c r="AU236" s="267">
        <v>0</v>
      </c>
      <c r="AV236" s="267">
        <v>0</v>
      </c>
      <c r="AW236" s="267">
        <v>0</v>
      </c>
      <c r="AX236" s="267">
        <v>0</v>
      </c>
      <c r="AY236" s="267">
        <v>0</v>
      </c>
      <c r="AZ236" s="267">
        <v>0</v>
      </c>
      <c r="BA236" s="267">
        <v>0</v>
      </c>
      <c r="BB236" s="267">
        <v>0</v>
      </c>
      <c r="BC236" s="267">
        <v>0</v>
      </c>
      <c r="BD236" s="267">
        <v>0</v>
      </c>
      <c r="BE236" s="267">
        <v>0</v>
      </c>
      <c r="BF236" s="267">
        <v>0</v>
      </c>
      <c r="BG236" s="267">
        <v>0</v>
      </c>
      <c r="BH236" s="267">
        <v>0</v>
      </c>
      <c r="BI236" s="267">
        <v>0</v>
      </c>
      <c r="BJ236" s="267">
        <v>0</v>
      </c>
      <c r="BK236" s="267">
        <v>0</v>
      </c>
      <c r="BL236" s="267">
        <v>0</v>
      </c>
      <c r="BM236" s="267">
        <v>0</v>
      </c>
      <c r="BN236" s="267">
        <v>0</v>
      </c>
      <c r="BO236" s="267">
        <v>0</v>
      </c>
      <c r="BP236" s="267">
        <v>0</v>
      </c>
      <c r="BQ236" s="267">
        <v>0</v>
      </c>
      <c r="BR236" s="267">
        <v>0</v>
      </c>
      <c r="BS236" s="267">
        <v>0</v>
      </c>
      <c r="BT236" s="267">
        <v>0</v>
      </c>
      <c r="BU236" s="267">
        <v>0</v>
      </c>
      <c r="BV236" s="267">
        <v>0</v>
      </c>
      <c r="BW236" s="267">
        <v>0</v>
      </c>
      <c r="BX236" s="267">
        <v>0</v>
      </c>
      <c r="BY236" s="267">
        <v>0</v>
      </c>
      <c r="BZ236" s="267">
        <v>0</v>
      </c>
      <c r="CA236" s="267">
        <v>0</v>
      </c>
      <c r="CB236" s="267">
        <v>0</v>
      </c>
      <c r="CC236" s="267">
        <v>0</v>
      </c>
      <c r="CD236" s="267">
        <v>0</v>
      </c>
      <c r="CE236" s="267">
        <v>0</v>
      </c>
    </row>
    <row r="237" spans="1:83" x14ac:dyDescent="0.3">
      <c r="B237" s="267">
        <v>587</v>
      </c>
      <c r="C237" s="267" t="s">
        <v>665</v>
      </c>
      <c r="D237" s="267" t="s">
        <v>666</v>
      </c>
    </row>
    <row r="238" spans="1:83" x14ac:dyDescent="0.3">
      <c r="B238" s="267">
        <v>588</v>
      </c>
      <c r="C238" s="267" t="s">
        <v>667</v>
      </c>
      <c r="D238" s="267" t="s">
        <v>668</v>
      </c>
    </row>
    <row r="239" spans="1:83" x14ac:dyDescent="0.3">
      <c r="B239" s="267">
        <v>589</v>
      </c>
      <c r="C239" s="267" t="s">
        <v>669</v>
      </c>
      <c r="D239" s="267" t="s">
        <v>670</v>
      </c>
    </row>
    <row r="240" spans="1:83" x14ac:dyDescent="0.3">
      <c r="B240" s="267">
        <v>590</v>
      </c>
      <c r="C240" s="267" t="s">
        <v>671</v>
      </c>
      <c r="D240" s="267" t="s">
        <v>672</v>
      </c>
    </row>
    <row r="241" spans="1:83" x14ac:dyDescent="0.3">
      <c r="B241" s="267">
        <v>992</v>
      </c>
      <c r="D241" s="267" t="s">
        <v>603</v>
      </c>
    </row>
    <row r="242" spans="1:83" x14ac:dyDescent="0.3">
      <c r="B242" s="267">
        <v>993</v>
      </c>
      <c r="C242" s="267" t="s">
        <v>515</v>
      </c>
      <c r="D242" s="267" t="s">
        <v>516</v>
      </c>
    </row>
    <row r="243" spans="1:83" x14ac:dyDescent="0.3">
      <c r="B243" s="267">
        <v>994</v>
      </c>
      <c r="C243" s="267" t="s">
        <v>517</v>
      </c>
      <c r="D243" s="267" t="s">
        <v>518</v>
      </c>
    </row>
    <row r="244" spans="1:83" x14ac:dyDescent="0.3">
      <c r="A244" s="267">
        <v>995</v>
      </c>
      <c r="B244" s="267">
        <v>995</v>
      </c>
      <c r="C244" s="267" t="s">
        <v>519</v>
      </c>
      <c r="D244" s="267" t="s">
        <v>520</v>
      </c>
      <c r="E244" s="267">
        <v>0</v>
      </c>
      <c r="F244" s="267">
        <v>0</v>
      </c>
      <c r="G244" s="267">
        <v>0</v>
      </c>
      <c r="H244" s="267">
        <v>0</v>
      </c>
      <c r="I244" s="267">
        <v>0</v>
      </c>
      <c r="J244" s="267">
        <v>0</v>
      </c>
      <c r="K244" s="267">
        <v>0</v>
      </c>
      <c r="L244" s="267">
        <v>0</v>
      </c>
      <c r="M244" s="267">
        <v>0</v>
      </c>
      <c r="N244" s="267">
        <v>0</v>
      </c>
      <c r="O244" s="267">
        <v>0</v>
      </c>
      <c r="P244" s="267">
        <v>0</v>
      </c>
      <c r="Q244" s="267">
        <v>0</v>
      </c>
      <c r="R244" s="267">
        <v>7.0000000000000007E-2</v>
      </c>
      <c r="S244" s="267">
        <v>0</v>
      </c>
      <c r="T244" s="267">
        <v>0</v>
      </c>
      <c r="U244" s="267">
        <v>0</v>
      </c>
      <c r="V244" s="267">
        <v>0</v>
      </c>
      <c r="W244" s="267">
        <v>7.0000000000000007E-2</v>
      </c>
      <c r="X244" s="267">
        <v>0</v>
      </c>
      <c r="Y244" s="267">
        <v>0</v>
      </c>
      <c r="Z244" s="267">
        <v>0</v>
      </c>
      <c r="AA244" s="267">
        <v>0</v>
      </c>
      <c r="AB244" s="267">
        <v>0</v>
      </c>
      <c r="AC244" s="267">
        <v>0</v>
      </c>
      <c r="AD244" s="267">
        <v>0</v>
      </c>
      <c r="AE244" s="267">
        <v>0</v>
      </c>
      <c r="AF244" s="267">
        <v>0</v>
      </c>
      <c r="AG244" s="267">
        <v>0</v>
      </c>
      <c r="AH244" s="267">
        <v>0</v>
      </c>
      <c r="AI244" s="267">
        <v>0</v>
      </c>
      <c r="AJ244" s="267">
        <v>0.08</v>
      </c>
      <c r="AK244" s="267">
        <v>0</v>
      </c>
      <c r="AL244" s="267">
        <v>0</v>
      </c>
      <c r="AM244" s="267">
        <v>0</v>
      </c>
      <c r="AN244" s="267">
        <v>7.0000000000000007E-2</v>
      </c>
      <c r="AO244" s="267">
        <v>0</v>
      </c>
      <c r="AP244" s="267">
        <v>0</v>
      </c>
      <c r="AQ244" s="267">
        <v>0</v>
      </c>
      <c r="AR244" s="267">
        <v>0</v>
      </c>
      <c r="AS244" s="267">
        <v>0</v>
      </c>
      <c r="AT244" s="267">
        <v>0</v>
      </c>
      <c r="AU244" s="267">
        <v>0</v>
      </c>
      <c r="AV244" s="267">
        <v>0.09</v>
      </c>
      <c r="AW244" s="267">
        <v>0</v>
      </c>
      <c r="AX244" s="267">
        <v>0</v>
      </c>
      <c r="AY244" s="267">
        <v>0</v>
      </c>
      <c r="AZ244" s="267">
        <v>0</v>
      </c>
      <c r="BA244" s="267">
        <v>0</v>
      </c>
      <c r="BB244" s="267">
        <v>0</v>
      </c>
      <c r="BC244" s="267">
        <v>0</v>
      </c>
      <c r="BD244" s="267">
        <v>0</v>
      </c>
      <c r="BE244" s="267">
        <v>0</v>
      </c>
      <c r="BF244" s="267">
        <v>0</v>
      </c>
      <c r="BG244" s="267">
        <v>0</v>
      </c>
      <c r="BH244" s="267">
        <v>0</v>
      </c>
      <c r="BI244" s="267">
        <v>0</v>
      </c>
      <c r="BJ244" s="267">
        <v>0</v>
      </c>
      <c r="BK244" s="267">
        <v>0</v>
      </c>
      <c r="BL244" s="267">
        <v>0</v>
      </c>
      <c r="BM244" s="267">
        <v>0.08</v>
      </c>
      <c r="BN244" s="267">
        <v>0</v>
      </c>
      <c r="BO244" s="267">
        <v>0</v>
      </c>
      <c r="BP244" s="267">
        <v>0</v>
      </c>
      <c r="BQ244" s="267">
        <v>0</v>
      </c>
      <c r="BR244" s="267">
        <v>0</v>
      </c>
      <c r="BS244" s="267">
        <v>0.09</v>
      </c>
      <c r="BT244" s="267">
        <v>7.0000000000000007E-2</v>
      </c>
      <c r="BU244" s="267">
        <v>0</v>
      </c>
      <c r="BV244" s="267">
        <v>0</v>
      </c>
      <c r="BW244" s="267">
        <v>0</v>
      </c>
      <c r="BX244" s="267">
        <v>0</v>
      </c>
      <c r="BY244" s="267">
        <v>0</v>
      </c>
      <c r="BZ244" s="267">
        <v>0</v>
      </c>
      <c r="CA244" s="267">
        <v>0</v>
      </c>
      <c r="CB244" s="267">
        <v>0</v>
      </c>
      <c r="CC244" s="267">
        <v>0</v>
      </c>
      <c r="CD244" s="267">
        <v>0</v>
      </c>
      <c r="CE244" s="267">
        <v>0</v>
      </c>
    </row>
    <row r="245" spans="1:83" x14ac:dyDescent="0.3">
      <c r="A245" s="267">
        <v>996</v>
      </c>
      <c r="B245" s="267">
        <v>996</v>
      </c>
      <c r="C245" s="267" t="s">
        <v>521</v>
      </c>
      <c r="D245" s="267" t="s">
        <v>522</v>
      </c>
      <c r="E245" s="267">
        <v>0.01</v>
      </c>
      <c r="F245" s="267">
        <v>0</v>
      </c>
      <c r="G245" s="267">
        <v>0.01</v>
      </c>
      <c r="H245" s="267">
        <v>0</v>
      </c>
      <c r="I245" s="267">
        <v>0</v>
      </c>
      <c r="J245" s="267">
        <v>0</v>
      </c>
      <c r="K245" s="267">
        <v>0.01</v>
      </c>
      <c r="L245" s="267">
        <v>0</v>
      </c>
      <c r="M245" s="267">
        <v>0</v>
      </c>
      <c r="N245" s="267">
        <v>0</v>
      </c>
      <c r="O245" s="267">
        <v>0</v>
      </c>
      <c r="P245" s="267">
        <v>0.01</v>
      </c>
      <c r="Q245" s="267">
        <v>0</v>
      </c>
      <c r="R245" s="267">
        <v>0.01</v>
      </c>
      <c r="S245" s="267">
        <v>0.01</v>
      </c>
      <c r="T245" s="267">
        <v>0</v>
      </c>
      <c r="U245" s="267">
        <v>0.01</v>
      </c>
      <c r="V245" s="267">
        <v>0.01</v>
      </c>
      <c r="W245" s="267">
        <v>0.01</v>
      </c>
      <c r="X245" s="267">
        <v>0</v>
      </c>
      <c r="Y245" s="267">
        <v>0.01</v>
      </c>
      <c r="Z245" s="267">
        <v>0.01</v>
      </c>
      <c r="AA245" s="267">
        <v>0.01</v>
      </c>
      <c r="AB245" s="267">
        <v>0.01</v>
      </c>
      <c r="AC245" s="267">
        <v>0.01</v>
      </c>
      <c r="AD245" s="267">
        <v>0.01</v>
      </c>
      <c r="AE245" s="267">
        <v>0.01</v>
      </c>
      <c r="AF245" s="267">
        <v>0.01</v>
      </c>
      <c r="AG245" s="267">
        <v>0.01</v>
      </c>
      <c r="AH245" s="267">
        <v>0.01</v>
      </c>
      <c r="AI245" s="267">
        <v>0.01</v>
      </c>
      <c r="AJ245" s="267">
        <v>0.01</v>
      </c>
      <c r="AK245" s="267">
        <v>0.01</v>
      </c>
      <c r="AL245" s="267">
        <v>0.01</v>
      </c>
      <c r="AM245" s="267">
        <v>0.01</v>
      </c>
      <c r="AN245" s="267">
        <v>0.01</v>
      </c>
      <c r="AO245" s="267">
        <v>0.01</v>
      </c>
      <c r="AP245" s="267">
        <v>0.01</v>
      </c>
      <c r="AQ245" s="267">
        <v>0</v>
      </c>
      <c r="AR245" s="267">
        <v>0</v>
      </c>
      <c r="AS245" s="267">
        <v>0.01</v>
      </c>
      <c r="AT245" s="267">
        <v>0.01</v>
      </c>
      <c r="AU245" s="267">
        <v>0.01</v>
      </c>
      <c r="AV245" s="267">
        <v>0</v>
      </c>
      <c r="AW245" s="267">
        <v>0.01</v>
      </c>
      <c r="AX245" s="267">
        <v>0</v>
      </c>
      <c r="AY245" s="267">
        <v>0.01</v>
      </c>
      <c r="AZ245" s="267">
        <v>0.01</v>
      </c>
      <c r="BA245" s="267">
        <v>0.01</v>
      </c>
      <c r="BB245" s="267">
        <v>0.01</v>
      </c>
      <c r="BC245" s="267">
        <v>0</v>
      </c>
      <c r="BD245" s="267">
        <v>0.01</v>
      </c>
      <c r="BE245" s="267">
        <v>0.01</v>
      </c>
      <c r="BF245" s="267">
        <v>0</v>
      </c>
      <c r="BG245" s="267">
        <v>0.01</v>
      </c>
      <c r="BH245" s="267">
        <v>0.01</v>
      </c>
      <c r="BI245" s="267">
        <v>0</v>
      </c>
      <c r="BJ245" s="267">
        <v>0.01</v>
      </c>
      <c r="BK245" s="267">
        <v>0</v>
      </c>
      <c r="BL245" s="267">
        <v>0.01</v>
      </c>
      <c r="BM245" s="267">
        <v>0.01</v>
      </c>
      <c r="BN245" s="267">
        <v>0.01</v>
      </c>
      <c r="BO245" s="267">
        <v>0.01</v>
      </c>
      <c r="BP245" s="267">
        <v>0.01</v>
      </c>
      <c r="BQ245" s="267">
        <v>0.01</v>
      </c>
      <c r="BR245" s="267">
        <v>0</v>
      </c>
      <c r="BS245" s="267">
        <v>0.01</v>
      </c>
      <c r="BT245" s="267">
        <v>0</v>
      </c>
      <c r="BU245" s="267">
        <v>0.01</v>
      </c>
      <c r="BV245" s="267">
        <v>0.01</v>
      </c>
      <c r="BW245" s="267">
        <v>0</v>
      </c>
      <c r="BX245" s="267">
        <v>0.01</v>
      </c>
      <c r="BY245" s="267">
        <v>0.01</v>
      </c>
      <c r="BZ245" s="267">
        <v>0.01</v>
      </c>
      <c r="CA245" s="267">
        <v>0.01</v>
      </c>
      <c r="CB245" s="267">
        <v>0.01</v>
      </c>
      <c r="CC245" s="267">
        <v>0.01</v>
      </c>
      <c r="CD245" s="267">
        <v>0</v>
      </c>
      <c r="CE245" s="267">
        <v>0.01</v>
      </c>
    </row>
    <row r="246" spans="1:83" x14ac:dyDescent="0.3">
      <c r="A246" s="267">
        <v>997</v>
      </c>
      <c r="B246" s="267">
        <v>997</v>
      </c>
    </row>
    <row r="247" spans="1:83" x14ac:dyDescent="0.3">
      <c r="A247" s="267">
        <v>998</v>
      </c>
      <c r="B247" s="267">
        <v>998</v>
      </c>
      <c r="C247" s="267" t="s">
        <v>292</v>
      </c>
      <c r="D247" s="267" t="s">
        <v>523</v>
      </c>
      <c r="E247" s="267">
        <v>50</v>
      </c>
      <c r="F247" s="267">
        <v>50</v>
      </c>
      <c r="G247" s="267">
        <v>50</v>
      </c>
      <c r="H247" s="267">
        <v>50</v>
      </c>
      <c r="I247" s="267">
        <v>50</v>
      </c>
      <c r="J247" s="267">
        <v>50</v>
      </c>
      <c r="K247" s="267">
        <v>50</v>
      </c>
      <c r="L247" s="267">
        <v>50</v>
      </c>
      <c r="M247" s="267">
        <v>50</v>
      </c>
      <c r="N247" s="267">
        <v>50</v>
      </c>
      <c r="O247" s="267">
        <v>50</v>
      </c>
      <c r="P247" s="267">
        <v>50</v>
      </c>
      <c r="Q247" s="267">
        <v>50</v>
      </c>
      <c r="R247" s="267">
        <v>50</v>
      </c>
      <c r="S247" s="267">
        <v>50</v>
      </c>
      <c r="T247" s="267">
        <v>50</v>
      </c>
      <c r="U247" s="267">
        <v>50</v>
      </c>
      <c r="V247" s="267">
        <v>50</v>
      </c>
      <c r="W247" s="267">
        <v>50</v>
      </c>
      <c r="X247" s="267">
        <v>50</v>
      </c>
      <c r="Y247" s="267">
        <v>50</v>
      </c>
      <c r="Z247" s="267">
        <v>50</v>
      </c>
      <c r="AA247" s="267">
        <v>50</v>
      </c>
      <c r="AB247" s="267">
        <v>50</v>
      </c>
      <c r="AC247" s="267">
        <v>50</v>
      </c>
      <c r="AD247" s="267">
        <v>50</v>
      </c>
      <c r="AE247" s="267">
        <v>50</v>
      </c>
      <c r="AF247" s="267">
        <v>50</v>
      </c>
      <c r="AG247" s="267">
        <v>50</v>
      </c>
      <c r="AH247" s="267">
        <v>50</v>
      </c>
      <c r="AI247" s="267">
        <v>50</v>
      </c>
      <c r="AJ247" s="267">
        <v>50</v>
      </c>
      <c r="AK247" s="267">
        <v>50</v>
      </c>
      <c r="AL247" s="267">
        <v>50</v>
      </c>
      <c r="AM247" s="267">
        <v>50</v>
      </c>
      <c r="AN247" s="267">
        <v>50</v>
      </c>
      <c r="AO247" s="267">
        <v>50</v>
      </c>
      <c r="AP247" s="267">
        <v>50</v>
      </c>
      <c r="AQ247" s="267">
        <v>50</v>
      </c>
      <c r="AR247" s="267">
        <v>50</v>
      </c>
      <c r="AS247" s="267">
        <v>50</v>
      </c>
      <c r="AT247" s="267">
        <v>50</v>
      </c>
      <c r="AU247" s="267">
        <v>50</v>
      </c>
      <c r="AV247" s="267">
        <v>50</v>
      </c>
      <c r="AW247" s="267">
        <v>50</v>
      </c>
      <c r="AX247" s="267">
        <v>50</v>
      </c>
      <c r="AY247" s="267">
        <v>50</v>
      </c>
      <c r="AZ247" s="267">
        <v>50</v>
      </c>
      <c r="BA247" s="267">
        <v>50</v>
      </c>
      <c r="BB247" s="267">
        <v>50</v>
      </c>
      <c r="BC247" s="267">
        <v>50</v>
      </c>
      <c r="BD247" s="267">
        <v>50</v>
      </c>
      <c r="BE247" s="267">
        <v>50</v>
      </c>
      <c r="BF247" s="267">
        <v>50</v>
      </c>
      <c r="BG247" s="267">
        <v>50</v>
      </c>
      <c r="BH247" s="267">
        <v>50</v>
      </c>
      <c r="BI247" s="267">
        <v>50</v>
      </c>
      <c r="BJ247" s="267">
        <v>50</v>
      </c>
      <c r="BK247" s="267">
        <v>50</v>
      </c>
      <c r="BL247" s="267">
        <v>50</v>
      </c>
      <c r="BM247" s="267">
        <v>50</v>
      </c>
      <c r="BN247" s="267">
        <v>50</v>
      </c>
      <c r="BO247" s="267">
        <v>50</v>
      </c>
      <c r="BP247" s="267">
        <v>50</v>
      </c>
      <c r="BQ247" s="267">
        <v>50</v>
      </c>
      <c r="BR247" s="267">
        <v>50</v>
      </c>
      <c r="BS247" s="267">
        <v>50</v>
      </c>
      <c r="BT247" s="267">
        <v>50</v>
      </c>
      <c r="BU247" s="267">
        <v>50</v>
      </c>
      <c r="BV247" s="267">
        <v>50</v>
      </c>
      <c r="BW247" s="267">
        <v>50</v>
      </c>
      <c r="BX247" s="267">
        <v>50</v>
      </c>
      <c r="BY247" s="267">
        <v>50</v>
      </c>
      <c r="BZ247" s="267">
        <v>50</v>
      </c>
      <c r="CA247" s="267">
        <v>50</v>
      </c>
      <c r="CB247" s="267">
        <v>50</v>
      </c>
      <c r="CC247" s="267">
        <v>50</v>
      </c>
      <c r="CD247" s="267">
        <v>50</v>
      </c>
      <c r="CE247" s="267">
        <v>50</v>
      </c>
    </row>
    <row r="248" spans="1:83" x14ac:dyDescent="0.3">
      <c r="A248" s="267">
        <v>999</v>
      </c>
      <c r="B248" s="267">
        <v>999</v>
      </c>
      <c r="C248" s="267" t="s">
        <v>293</v>
      </c>
      <c r="D248" s="267" t="s">
        <v>524</v>
      </c>
      <c r="E248" s="267">
        <v>50254</v>
      </c>
      <c r="F248" s="267">
        <v>50255</v>
      </c>
      <c r="G248" s="267">
        <v>50256</v>
      </c>
      <c r="H248" s="267">
        <v>50558</v>
      </c>
      <c r="I248" s="267">
        <v>50566</v>
      </c>
      <c r="J248" s="267">
        <v>50562</v>
      </c>
      <c r="K248" s="267">
        <v>50257</v>
      </c>
      <c r="L248" s="267">
        <v>50555</v>
      </c>
      <c r="M248" s="267">
        <v>50445</v>
      </c>
      <c r="N248" s="267">
        <v>50452</v>
      </c>
      <c r="O248" s="267">
        <v>50563</v>
      </c>
      <c r="P248" s="267">
        <v>50258</v>
      </c>
      <c r="Q248" s="267">
        <v>50523</v>
      </c>
      <c r="R248" s="267">
        <v>50259</v>
      </c>
      <c r="S248" s="267">
        <v>50260</v>
      </c>
      <c r="T248" s="267">
        <v>50487</v>
      </c>
      <c r="U248" s="267">
        <v>50261</v>
      </c>
      <c r="V248" s="267">
        <v>50262</v>
      </c>
      <c r="W248" s="267">
        <v>50263</v>
      </c>
      <c r="X248" s="267">
        <v>50264</v>
      </c>
      <c r="Y248" s="267">
        <v>50265</v>
      </c>
      <c r="Z248" s="267">
        <v>50266</v>
      </c>
      <c r="AA248" s="267">
        <v>50267</v>
      </c>
      <c r="AB248" s="267">
        <v>50268</v>
      </c>
      <c r="AC248" s="267">
        <v>50269</v>
      </c>
      <c r="AD248" s="267">
        <v>50270</v>
      </c>
      <c r="AE248" s="267">
        <v>50271</v>
      </c>
      <c r="AF248" s="267">
        <v>50272</v>
      </c>
      <c r="AG248" s="267">
        <v>50273</v>
      </c>
      <c r="AH248" s="267">
        <v>50274</v>
      </c>
      <c r="AI248" s="267">
        <v>50480</v>
      </c>
      <c r="AJ248" s="267">
        <v>50275</v>
      </c>
      <c r="AK248" s="267">
        <v>50277</v>
      </c>
      <c r="AL248" s="267">
        <v>50276</v>
      </c>
      <c r="AM248" s="267">
        <v>50278</v>
      </c>
      <c r="AN248" s="267">
        <v>50279</v>
      </c>
      <c r="AO248" s="267">
        <v>50280</v>
      </c>
      <c r="AP248" s="267">
        <v>50281</v>
      </c>
      <c r="AQ248" s="267">
        <v>50478</v>
      </c>
      <c r="AR248" s="267">
        <v>50524</v>
      </c>
      <c r="AS248" s="267">
        <v>50282</v>
      </c>
      <c r="AT248" s="267">
        <v>50525</v>
      </c>
      <c r="AU248" s="267">
        <v>50283</v>
      </c>
      <c r="AV248" s="267">
        <v>50285</v>
      </c>
      <c r="AW248" s="267">
        <v>50553</v>
      </c>
      <c r="AX248" s="267">
        <v>50548</v>
      </c>
      <c r="AY248" s="267">
        <v>50284</v>
      </c>
      <c r="AZ248" s="267">
        <v>50286</v>
      </c>
      <c r="BA248" s="267">
        <v>50287</v>
      </c>
      <c r="BB248" s="267">
        <v>50288</v>
      </c>
      <c r="BC248" s="267">
        <v>50290</v>
      </c>
      <c r="BD248" s="267">
        <v>50564</v>
      </c>
      <c r="BE248" s="267">
        <v>50289</v>
      </c>
      <c r="BF248" s="267">
        <v>50291</v>
      </c>
      <c r="BG248" s="267">
        <v>50292</v>
      </c>
      <c r="BH248" s="267">
        <v>50293</v>
      </c>
      <c r="BI248" s="267">
        <v>50463</v>
      </c>
      <c r="BJ248" s="267">
        <v>50294</v>
      </c>
      <c r="BK248" s="267">
        <v>50538</v>
      </c>
      <c r="BL248" s="267">
        <v>50295</v>
      </c>
      <c r="BM248" s="267">
        <v>50296</v>
      </c>
      <c r="BN248" s="267">
        <v>50297</v>
      </c>
      <c r="BO248" s="267">
        <v>50449</v>
      </c>
      <c r="BP248" s="267">
        <v>50300</v>
      </c>
      <c r="BQ248" s="267">
        <v>50298</v>
      </c>
      <c r="BR248" s="267">
        <v>50299</v>
      </c>
      <c r="BS248" s="267">
        <v>50301</v>
      </c>
      <c r="BT248" s="267">
        <v>50302</v>
      </c>
      <c r="BU248" s="267">
        <v>50303</v>
      </c>
      <c r="BV248" s="267">
        <v>50304</v>
      </c>
      <c r="BW248" s="267">
        <v>50540</v>
      </c>
      <c r="BX248" s="267">
        <v>50305</v>
      </c>
      <c r="BY248" s="267">
        <v>50306</v>
      </c>
      <c r="BZ248" s="267">
        <v>50479</v>
      </c>
      <c r="CA248" s="267">
        <v>50307</v>
      </c>
      <c r="CB248" s="267">
        <v>50308</v>
      </c>
      <c r="CC248" s="267">
        <v>50309</v>
      </c>
      <c r="CD248" s="267">
        <v>50310</v>
      </c>
      <c r="CE248" s="267">
        <v>50311</v>
      </c>
    </row>
    <row r="249" spans="1:83" x14ac:dyDescent="0.3">
      <c r="B249" s="267">
        <v>1000</v>
      </c>
      <c r="E249" s="267" t="s">
        <v>857</v>
      </c>
      <c r="F249" s="267" t="s">
        <v>705</v>
      </c>
      <c r="G249" s="267" t="s">
        <v>857</v>
      </c>
      <c r="H249" s="267" t="s">
        <v>705</v>
      </c>
      <c r="I249" s="267" t="s">
        <v>705</v>
      </c>
      <c r="J249" s="267" t="s">
        <v>705</v>
      </c>
      <c r="K249" s="267" t="s">
        <v>857</v>
      </c>
      <c r="L249" s="267" t="s">
        <v>705</v>
      </c>
      <c r="M249" s="267" t="s">
        <v>705</v>
      </c>
      <c r="N249" s="267" t="s">
        <v>705</v>
      </c>
      <c r="O249" s="267" t="s">
        <v>705</v>
      </c>
      <c r="P249" s="267" t="s">
        <v>857</v>
      </c>
      <c r="Q249" s="267" t="s">
        <v>705</v>
      </c>
      <c r="R249" s="267" t="s">
        <v>857</v>
      </c>
      <c r="S249" s="267" t="s">
        <v>857</v>
      </c>
      <c r="T249" s="267" t="s">
        <v>705</v>
      </c>
      <c r="U249" s="267" t="s">
        <v>857</v>
      </c>
      <c r="V249" s="267" t="s">
        <v>857</v>
      </c>
      <c r="W249" s="267" t="s">
        <v>857</v>
      </c>
      <c r="X249" s="267" t="s">
        <v>705</v>
      </c>
      <c r="Y249" s="267" t="s">
        <v>857</v>
      </c>
      <c r="Z249" s="267" t="s">
        <v>857</v>
      </c>
      <c r="AA249" s="267" t="s">
        <v>857</v>
      </c>
      <c r="AB249" s="267" t="s">
        <v>857</v>
      </c>
      <c r="AC249" s="267" t="s">
        <v>857</v>
      </c>
      <c r="AD249" s="267" t="s">
        <v>857</v>
      </c>
      <c r="AE249" s="267" t="s">
        <v>857</v>
      </c>
      <c r="AF249" s="267" t="s">
        <v>857</v>
      </c>
      <c r="AG249" s="267" t="s">
        <v>857</v>
      </c>
      <c r="AH249" s="267" t="s">
        <v>857</v>
      </c>
      <c r="AI249" s="267" t="s">
        <v>857</v>
      </c>
      <c r="AJ249" s="267" t="s">
        <v>857</v>
      </c>
      <c r="AK249" s="267" t="s">
        <v>857</v>
      </c>
      <c r="AL249" s="267" t="s">
        <v>857</v>
      </c>
      <c r="AM249" s="267" t="s">
        <v>857</v>
      </c>
      <c r="AN249" s="267" t="s">
        <v>857</v>
      </c>
      <c r="AO249" s="267" t="s">
        <v>857</v>
      </c>
      <c r="AP249" s="267" t="s">
        <v>857</v>
      </c>
      <c r="AQ249" s="267" t="s">
        <v>705</v>
      </c>
      <c r="AR249" s="267" t="s">
        <v>705</v>
      </c>
      <c r="AS249" s="267" t="s">
        <v>857</v>
      </c>
      <c r="AT249" s="267" t="s">
        <v>857</v>
      </c>
      <c r="AU249" s="267" t="s">
        <v>857</v>
      </c>
      <c r="AV249" s="267" t="s">
        <v>705</v>
      </c>
      <c r="AW249" s="267" t="s">
        <v>857</v>
      </c>
      <c r="AX249" s="267" t="s">
        <v>705</v>
      </c>
      <c r="AY249" s="267" t="s">
        <v>857</v>
      </c>
      <c r="AZ249" s="267" t="s">
        <v>857</v>
      </c>
      <c r="BA249" s="267" t="s">
        <v>857</v>
      </c>
      <c r="BB249" s="267" t="s">
        <v>857</v>
      </c>
      <c r="BC249" s="267" t="s">
        <v>705</v>
      </c>
      <c r="BD249" s="267" t="s">
        <v>857</v>
      </c>
      <c r="BE249" s="267" t="s">
        <v>857</v>
      </c>
      <c r="BF249" s="267" t="s">
        <v>705</v>
      </c>
      <c r="BG249" s="267" t="s">
        <v>857</v>
      </c>
      <c r="BH249" s="267" t="s">
        <v>857</v>
      </c>
      <c r="BI249" s="267" t="s">
        <v>705</v>
      </c>
      <c r="BJ249" s="267" t="s">
        <v>857</v>
      </c>
      <c r="BK249" s="267" t="s">
        <v>705</v>
      </c>
      <c r="BL249" s="267" t="s">
        <v>857</v>
      </c>
      <c r="BM249" s="267" t="s">
        <v>857</v>
      </c>
      <c r="BN249" s="267" t="s">
        <v>857</v>
      </c>
      <c r="BO249" s="267" t="s">
        <v>857</v>
      </c>
      <c r="BP249" s="267" t="s">
        <v>857</v>
      </c>
      <c r="BQ249" s="267" t="s">
        <v>857</v>
      </c>
      <c r="BR249" s="267" t="s">
        <v>705</v>
      </c>
      <c r="BS249" s="267" t="s">
        <v>857</v>
      </c>
      <c r="BT249" s="267" t="s">
        <v>705</v>
      </c>
      <c r="BU249" s="267" t="s">
        <v>857</v>
      </c>
      <c r="BV249" s="267" t="s">
        <v>857</v>
      </c>
      <c r="BW249" s="267" t="s">
        <v>705</v>
      </c>
      <c r="BX249" s="267" t="s">
        <v>857</v>
      </c>
      <c r="BY249" s="267" t="s">
        <v>857</v>
      </c>
      <c r="BZ249" s="267" t="s">
        <v>857</v>
      </c>
      <c r="CA249" s="267" t="s">
        <v>857</v>
      </c>
      <c r="CB249" s="267" t="s">
        <v>857</v>
      </c>
      <c r="CC249" s="267" t="s">
        <v>857</v>
      </c>
      <c r="CD249" s="267" t="s">
        <v>705</v>
      </c>
      <c r="CE249" s="267" t="s">
        <v>857</v>
      </c>
    </row>
    <row r="250" spans="1:83" x14ac:dyDescent="0.3">
      <c r="B250" s="267">
        <v>537</v>
      </c>
      <c r="E250" s="267" t="s">
        <v>705</v>
      </c>
      <c r="F250" s="267" t="s">
        <v>52</v>
      </c>
      <c r="G250" s="267" t="s">
        <v>52</v>
      </c>
      <c r="H250" s="267" t="s">
        <v>52</v>
      </c>
      <c r="I250" s="267" t="s">
        <v>705</v>
      </c>
      <c r="J250" s="267" t="s">
        <v>705</v>
      </c>
      <c r="K250" s="267" t="s">
        <v>52</v>
      </c>
      <c r="L250" s="267" t="s">
        <v>705</v>
      </c>
      <c r="M250" s="267" t="s">
        <v>52</v>
      </c>
      <c r="N250" s="267" t="s">
        <v>52</v>
      </c>
      <c r="O250" s="267" t="s">
        <v>705</v>
      </c>
      <c r="P250" s="267" t="s">
        <v>52</v>
      </c>
      <c r="Q250" s="267" t="s">
        <v>705</v>
      </c>
      <c r="R250" s="267" t="s">
        <v>51</v>
      </c>
      <c r="S250" s="267" t="s">
        <v>52</v>
      </c>
      <c r="T250" s="267" t="s">
        <v>705</v>
      </c>
      <c r="U250" s="267" t="s">
        <v>52</v>
      </c>
      <c r="V250" s="267" t="s">
        <v>52</v>
      </c>
      <c r="W250" s="267" t="s">
        <v>51</v>
      </c>
      <c r="X250" s="267" t="s">
        <v>52</v>
      </c>
      <c r="Y250" s="267" t="s">
        <v>52</v>
      </c>
      <c r="Z250" s="267" t="s">
        <v>51</v>
      </c>
      <c r="AA250" s="267" t="s">
        <v>52</v>
      </c>
      <c r="AB250" s="267" t="s">
        <v>52</v>
      </c>
      <c r="AC250" s="267" t="s">
        <v>52</v>
      </c>
      <c r="AD250" s="267" t="s">
        <v>51</v>
      </c>
      <c r="AE250" s="267" t="s">
        <v>52</v>
      </c>
      <c r="AF250" s="267" t="s">
        <v>52</v>
      </c>
      <c r="AG250" s="267" t="s">
        <v>51</v>
      </c>
      <c r="AH250" s="267" t="s">
        <v>52</v>
      </c>
      <c r="AI250" s="267" t="s">
        <v>52</v>
      </c>
      <c r="AJ250" s="267" t="s">
        <v>52</v>
      </c>
      <c r="AK250" s="267" t="s">
        <v>52</v>
      </c>
      <c r="AL250" s="267" t="s">
        <v>52</v>
      </c>
      <c r="AM250" s="267" t="s">
        <v>705</v>
      </c>
      <c r="AN250" s="267" t="s">
        <v>51</v>
      </c>
      <c r="AO250" s="267" t="s">
        <v>705</v>
      </c>
      <c r="AP250" s="267" t="s">
        <v>705</v>
      </c>
      <c r="AQ250" s="267" t="s">
        <v>705</v>
      </c>
      <c r="AR250" s="267" t="s">
        <v>705</v>
      </c>
      <c r="AS250" s="267" t="s">
        <v>52</v>
      </c>
      <c r="AT250" s="267" t="s">
        <v>51</v>
      </c>
      <c r="AU250" s="267" t="s">
        <v>52</v>
      </c>
      <c r="AV250" s="267" t="s">
        <v>705</v>
      </c>
      <c r="AW250" s="267" t="s">
        <v>52</v>
      </c>
      <c r="AX250" s="267" t="s">
        <v>52</v>
      </c>
      <c r="AY250" s="267" t="s">
        <v>52</v>
      </c>
      <c r="AZ250" s="267" t="s">
        <v>52</v>
      </c>
      <c r="BA250" s="267" t="s">
        <v>52</v>
      </c>
      <c r="BB250" s="267" t="s">
        <v>52</v>
      </c>
      <c r="BC250" s="267" t="s">
        <v>52</v>
      </c>
      <c r="BD250" s="267" t="s">
        <v>705</v>
      </c>
      <c r="BE250" s="267" t="s">
        <v>52</v>
      </c>
      <c r="BF250" s="267" t="s">
        <v>705</v>
      </c>
      <c r="BG250" s="267" t="s">
        <v>52</v>
      </c>
      <c r="BH250" s="267" t="s">
        <v>52</v>
      </c>
      <c r="BI250" s="267" t="s">
        <v>705</v>
      </c>
      <c r="BJ250" s="267" t="s">
        <v>51</v>
      </c>
      <c r="BK250" s="267" t="s">
        <v>52</v>
      </c>
      <c r="BL250" s="267" t="s">
        <v>52</v>
      </c>
      <c r="BM250" s="267" t="s">
        <v>705</v>
      </c>
      <c r="BN250" s="267" t="s">
        <v>51</v>
      </c>
      <c r="BO250" s="267" t="s">
        <v>52</v>
      </c>
      <c r="BP250" s="267" t="s">
        <v>705</v>
      </c>
      <c r="BQ250" s="267" t="s">
        <v>52</v>
      </c>
      <c r="BR250" s="267" t="s">
        <v>52</v>
      </c>
      <c r="BS250" s="267" t="s">
        <v>52</v>
      </c>
      <c r="BT250" s="267" t="s">
        <v>52</v>
      </c>
      <c r="BU250" s="267" t="s">
        <v>52</v>
      </c>
      <c r="BV250" s="267" t="s">
        <v>52</v>
      </c>
      <c r="BW250" s="267" t="s">
        <v>52</v>
      </c>
      <c r="BX250" s="267" t="s">
        <v>52</v>
      </c>
      <c r="BY250" s="267" t="s">
        <v>51</v>
      </c>
      <c r="BZ250" s="267" t="s">
        <v>52</v>
      </c>
      <c r="CA250" s="267" t="s">
        <v>52</v>
      </c>
      <c r="CB250" s="267" t="s">
        <v>52</v>
      </c>
      <c r="CC250" s="267" t="s">
        <v>705</v>
      </c>
      <c r="CD250" s="267" t="s">
        <v>705</v>
      </c>
      <c r="CE250" s="267" t="s">
        <v>52</v>
      </c>
    </row>
    <row r="251" spans="1:83" x14ac:dyDescent="0.3">
      <c r="B251" s="267">
        <v>538</v>
      </c>
      <c r="E251" s="267" t="s">
        <v>705</v>
      </c>
      <c r="F251" s="267" t="s">
        <v>52</v>
      </c>
      <c r="G251" s="267" t="s">
        <v>52</v>
      </c>
      <c r="H251" s="267" t="s">
        <v>52</v>
      </c>
      <c r="I251" s="267" t="s">
        <v>705</v>
      </c>
      <c r="J251" s="267" t="s">
        <v>705</v>
      </c>
      <c r="K251" s="267" t="s">
        <v>52</v>
      </c>
      <c r="L251" s="267" t="s">
        <v>705</v>
      </c>
      <c r="M251" s="267" t="s">
        <v>52</v>
      </c>
      <c r="N251" s="267" t="s">
        <v>52</v>
      </c>
      <c r="O251" s="267" t="s">
        <v>705</v>
      </c>
      <c r="P251" s="267" t="s">
        <v>52</v>
      </c>
      <c r="Q251" s="267" t="s">
        <v>705</v>
      </c>
      <c r="R251" s="267" t="s">
        <v>51</v>
      </c>
      <c r="S251" s="267" t="s">
        <v>52</v>
      </c>
      <c r="T251" s="267" t="s">
        <v>705</v>
      </c>
      <c r="U251" s="267" t="s">
        <v>52</v>
      </c>
      <c r="V251" s="267" t="s">
        <v>52</v>
      </c>
      <c r="W251" s="267" t="s">
        <v>52</v>
      </c>
      <c r="X251" s="267" t="s">
        <v>52</v>
      </c>
      <c r="Y251" s="267" t="s">
        <v>52</v>
      </c>
      <c r="Z251" s="267" t="s">
        <v>52</v>
      </c>
      <c r="AA251" s="267" t="s">
        <v>51</v>
      </c>
      <c r="AB251" s="267" t="s">
        <v>51</v>
      </c>
      <c r="AC251" s="267" t="s">
        <v>52</v>
      </c>
      <c r="AD251" s="267" t="s">
        <v>51</v>
      </c>
      <c r="AE251" s="267" t="s">
        <v>52</v>
      </c>
      <c r="AF251" s="267" t="s">
        <v>51</v>
      </c>
      <c r="AG251" s="267" t="s">
        <v>51</v>
      </c>
      <c r="AH251" s="267" t="s">
        <v>52</v>
      </c>
      <c r="AI251" s="267" t="s">
        <v>52</v>
      </c>
      <c r="AJ251" s="267" t="s">
        <v>52</v>
      </c>
      <c r="AK251" s="267" t="s">
        <v>52</v>
      </c>
      <c r="AL251" s="267" t="s">
        <v>52</v>
      </c>
      <c r="AM251" s="267" t="s">
        <v>705</v>
      </c>
      <c r="AN251" s="267" t="s">
        <v>51</v>
      </c>
      <c r="AO251" s="267" t="s">
        <v>705</v>
      </c>
      <c r="AP251" s="267" t="s">
        <v>705</v>
      </c>
      <c r="AQ251" s="267" t="s">
        <v>705</v>
      </c>
      <c r="AR251" s="267" t="s">
        <v>705</v>
      </c>
      <c r="AS251" s="267" t="s">
        <v>52</v>
      </c>
      <c r="AT251" s="267" t="s">
        <v>52</v>
      </c>
      <c r="AU251" s="267" t="s">
        <v>52</v>
      </c>
      <c r="AV251" s="267" t="s">
        <v>705</v>
      </c>
      <c r="AW251" s="267" t="s">
        <v>52</v>
      </c>
      <c r="AX251" s="267" t="s">
        <v>52</v>
      </c>
      <c r="AY251" s="267" t="s">
        <v>52</v>
      </c>
      <c r="AZ251" s="267" t="s">
        <v>52</v>
      </c>
      <c r="BA251" s="267" t="s">
        <v>51</v>
      </c>
      <c r="BB251" s="267" t="s">
        <v>52</v>
      </c>
      <c r="BC251" s="267" t="s">
        <v>52</v>
      </c>
      <c r="BD251" s="267" t="s">
        <v>705</v>
      </c>
      <c r="BE251" s="267" t="s">
        <v>52</v>
      </c>
      <c r="BF251" s="267" t="s">
        <v>705</v>
      </c>
      <c r="BG251" s="267" t="s">
        <v>52</v>
      </c>
      <c r="BH251" s="267" t="s">
        <v>52</v>
      </c>
      <c r="BI251" s="267" t="s">
        <v>705</v>
      </c>
      <c r="BJ251" s="267" t="s">
        <v>51</v>
      </c>
      <c r="BK251" s="267" t="s">
        <v>52</v>
      </c>
      <c r="BL251" s="267" t="s">
        <v>52</v>
      </c>
      <c r="BM251" s="267" t="s">
        <v>705</v>
      </c>
      <c r="BN251" s="267" t="s">
        <v>51</v>
      </c>
      <c r="BO251" s="267" t="s">
        <v>52</v>
      </c>
      <c r="BP251" s="267" t="s">
        <v>705</v>
      </c>
      <c r="BQ251" s="267" t="s">
        <v>52</v>
      </c>
      <c r="BR251" s="267" t="s">
        <v>52</v>
      </c>
      <c r="BS251" s="267" t="s">
        <v>52</v>
      </c>
      <c r="BT251" s="267" t="s">
        <v>52</v>
      </c>
      <c r="BU251" s="267" t="s">
        <v>52</v>
      </c>
      <c r="BV251" s="267" t="s">
        <v>52</v>
      </c>
      <c r="BW251" s="267" t="s">
        <v>52</v>
      </c>
      <c r="BX251" s="267" t="s">
        <v>52</v>
      </c>
      <c r="BY251" s="267" t="s">
        <v>51</v>
      </c>
      <c r="BZ251" s="267" t="s">
        <v>52</v>
      </c>
      <c r="CA251" s="267" t="s">
        <v>52</v>
      </c>
      <c r="CB251" s="267" t="s">
        <v>52</v>
      </c>
      <c r="CC251" s="267" t="s">
        <v>705</v>
      </c>
      <c r="CD251" s="267" t="s">
        <v>705</v>
      </c>
      <c r="CE251" s="267" t="s">
        <v>52</v>
      </c>
    </row>
    <row r="252" spans="1:83" x14ac:dyDescent="0.3">
      <c r="A252" s="267">
        <v>591</v>
      </c>
      <c r="C252" s="267" t="s">
        <v>610</v>
      </c>
      <c r="E252" s="267">
        <v>0</v>
      </c>
      <c r="F252" s="267">
        <v>0</v>
      </c>
      <c r="G252" s="267">
        <v>630604</v>
      </c>
      <c r="H252" s="267">
        <v>0</v>
      </c>
      <c r="I252" s="267">
        <v>0</v>
      </c>
      <c r="J252" s="267">
        <v>0</v>
      </c>
      <c r="K252" s="267">
        <v>172141</v>
      </c>
      <c r="L252" s="267">
        <v>0</v>
      </c>
      <c r="M252" s="267">
        <v>0</v>
      </c>
      <c r="N252" s="267">
        <v>0</v>
      </c>
      <c r="O252" s="267">
        <v>0</v>
      </c>
      <c r="P252" s="267">
        <v>5009071</v>
      </c>
      <c r="Q252" s="267">
        <v>0</v>
      </c>
      <c r="R252" s="267">
        <v>94399423</v>
      </c>
      <c r="S252" s="267">
        <v>313067</v>
      </c>
      <c r="T252" s="267">
        <v>0</v>
      </c>
      <c r="U252" s="267">
        <v>21263224</v>
      </c>
      <c r="V252" s="267">
        <v>8358989</v>
      </c>
      <c r="W252" s="267">
        <v>43642165</v>
      </c>
      <c r="X252" s="267">
        <v>526434</v>
      </c>
      <c r="Y252" s="267">
        <v>325755</v>
      </c>
      <c r="Z252" s="267">
        <v>5901186</v>
      </c>
      <c r="AA252" s="267">
        <v>1358566</v>
      </c>
      <c r="AB252" s="267">
        <v>6853282</v>
      </c>
      <c r="AC252" s="267">
        <v>3528504</v>
      </c>
      <c r="AD252" s="267">
        <v>950820</v>
      </c>
      <c r="AE252" s="267">
        <v>1324937</v>
      </c>
      <c r="AF252" s="267">
        <v>2943619</v>
      </c>
      <c r="AG252" s="267">
        <v>3382034</v>
      </c>
      <c r="AH252" s="267">
        <v>4125530</v>
      </c>
      <c r="AI252" s="267">
        <v>656884</v>
      </c>
      <c r="AJ252" s="267">
        <v>71009990</v>
      </c>
      <c r="AK252" s="267">
        <v>294106</v>
      </c>
      <c r="AL252" s="267">
        <v>669108</v>
      </c>
      <c r="AM252" s="267">
        <v>0</v>
      </c>
      <c r="AN252" s="267">
        <v>23531041</v>
      </c>
      <c r="AO252" s="267">
        <v>0</v>
      </c>
      <c r="AP252" s="267">
        <v>0</v>
      </c>
      <c r="AQ252" s="267">
        <v>0</v>
      </c>
      <c r="AR252" s="267">
        <v>0</v>
      </c>
      <c r="AS252" s="267">
        <v>2787204</v>
      </c>
      <c r="AT252" s="267">
        <v>410129</v>
      </c>
      <c r="AU252" s="267">
        <v>1520879</v>
      </c>
      <c r="AV252" s="267">
        <v>0</v>
      </c>
      <c r="AW252" s="267">
        <v>18936116</v>
      </c>
      <c r="AX252" s="267">
        <v>0</v>
      </c>
      <c r="AY252" s="267">
        <v>1026424</v>
      </c>
      <c r="AZ252" s="267">
        <v>2515064</v>
      </c>
      <c r="BA252" s="267">
        <v>849126</v>
      </c>
      <c r="BB252" s="267">
        <v>363966</v>
      </c>
      <c r="BC252" s="267">
        <v>0</v>
      </c>
      <c r="BD252" s="267">
        <v>0</v>
      </c>
      <c r="BE252" s="267">
        <v>4984225</v>
      </c>
      <c r="BF252" s="267">
        <v>0</v>
      </c>
      <c r="BG252" s="267">
        <v>260755</v>
      </c>
      <c r="BH252" s="267">
        <v>169151</v>
      </c>
      <c r="BI252" s="267">
        <v>0</v>
      </c>
      <c r="BJ252" s="267">
        <v>196304</v>
      </c>
      <c r="BK252" s="267">
        <v>0</v>
      </c>
      <c r="BL252" s="267">
        <v>2973497</v>
      </c>
      <c r="BM252" s="267">
        <v>0</v>
      </c>
      <c r="BN252" s="267">
        <v>1174325</v>
      </c>
      <c r="BO252" s="267">
        <v>695035</v>
      </c>
      <c r="BP252" s="267">
        <v>938301</v>
      </c>
      <c r="BQ252" s="267">
        <v>352957</v>
      </c>
      <c r="BR252" s="267">
        <v>0</v>
      </c>
      <c r="BS252" s="267">
        <v>3229776</v>
      </c>
      <c r="BT252" s="267">
        <v>14047198</v>
      </c>
      <c r="BU252" s="267">
        <v>825902</v>
      </c>
      <c r="BV252" s="267">
        <v>3276307</v>
      </c>
      <c r="BW252" s="267">
        <v>0</v>
      </c>
      <c r="BX252" s="267">
        <v>2645042</v>
      </c>
      <c r="BY252" s="267">
        <v>422812</v>
      </c>
      <c r="BZ252" s="267">
        <v>32938</v>
      </c>
      <c r="CA252" s="267">
        <v>663733</v>
      </c>
      <c r="CB252" s="267">
        <v>321317</v>
      </c>
      <c r="CC252" s="267">
        <v>0</v>
      </c>
      <c r="CD252" s="267">
        <v>0</v>
      </c>
      <c r="CE252" s="267">
        <v>49794</v>
      </c>
    </row>
    <row r="253" spans="1:83" x14ac:dyDescent="0.3">
      <c r="A253" s="267">
        <v>592</v>
      </c>
      <c r="C253" s="267" t="s">
        <v>611</v>
      </c>
      <c r="E253" s="267">
        <v>0</v>
      </c>
      <c r="F253" s="267">
        <v>0</v>
      </c>
      <c r="G253" s="267">
        <v>-24308</v>
      </c>
      <c r="H253" s="267">
        <v>0</v>
      </c>
      <c r="I253" s="267">
        <v>0</v>
      </c>
      <c r="J253" s="267">
        <v>0</v>
      </c>
      <c r="K253" s="267">
        <v>52976</v>
      </c>
      <c r="L253" s="267">
        <v>0</v>
      </c>
      <c r="M253" s="267">
        <v>0</v>
      </c>
      <c r="N253" s="267">
        <v>0</v>
      </c>
      <c r="O253" s="267">
        <v>0</v>
      </c>
      <c r="P253" s="267">
        <v>146240</v>
      </c>
      <c r="Q253" s="267">
        <v>0</v>
      </c>
      <c r="R253" s="267">
        <v>27988460</v>
      </c>
      <c r="S253" s="267">
        <v>33908</v>
      </c>
      <c r="T253" s="267">
        <v>0</v>
      </c>
      <c r="U253" s="267">
        <v>10894557</v>
      </c>
      <c r="V253" s="267">
        <v>-34911</v>
      </c>
      <c r="W253" s="267">
        <v>5559986</v>
      </c>
      <c r="X253" s="267">
        <v>270908</v>
      </c>
      <c r="Y253" s="267">
        <v>33475</v>
      </c>
      <c r="Z253" s="267">
        <v>288141</v>
      </c>
      <c r="AA253" s="267">
        <v>-225043</v>
      </c>
      <c r="AB253" s="267">
        <v>1536754</v>
      </c>
      <c r="AC253" s="267">
        <v>558407</v>
      </c>
      <c r="AD253" s="267">
        <v>202393</v>
      </c>
      <c r="AE253" s="267">
        <v>16386</v>
      </c>
      <c r="AF253" s="267">
        <v>635441</v>
      </c>
      <c r="AG253" s="267">
        <v>-152305</v>
      </c>
      <c r="AH253" s="267">
        <v>-88047</v>
      </c>
      <c r="AI253" s="267">
        <v>142171</v>
      </c>
      <c r="AJ253" s="267">
        <v>6966618</v>
      </c>
      <c r="AK253" s="267">
        <v>-33718</v>
      </c>
      <c r="AL253" s="267">
        <v>-166544</v>
      </c>
      <c r="AM253" s="267">
        <v>0</v>
      </c>
      <c r="AN253" s="267">
        <v>1639822</v>
      </c>
      <c r="AO253" s="267">
        <v>0</v>
      </c>
      <c r="AP253" s="267">
        <v>0</v>
      </c>
      <c r="AQ253" s="267">
        <v>0</v>
      </c>
      <c r="AR253" s="267">
        <v>0</v>
      </c>
      <c r="AS253" s="267">
        <v>-956233</v>
      </c>
      <c r="AT253" s="267">
        <v>-110316</v>
      </c>
      <c r="AU253" s="267">
        <v>-119062</v>
      </c>
      <c r="AV253" s="267">
        <v>0</v>
      </c>
      <c r="AW253" s="267">
        <v>6230429</v>
      </c>
      <c r="AX253" s="267">
        <v>0</v>
      </c>
      <c r="AY253" s="267">
        <v>39773</v>
      </c>
      <c r="AZ253" s="267">
        <v>466353</v>
      </c>
      <c r="BA253" s="267">
        <v>-74804</v>
      </c>
      <c r="BB253" s="267">
        <v>-60398</v>
      </c>
      <c r="BC253" s="267">
        <v>0</v>
      </c>
      <c r="BD253" s="267">
        <v>0</v>
      </c>
      <c r="BE253" s="267">
        <v>2340955</v>
      </c>
      <c r="BF253" s="267">
        <v>0</v>
      </c>
      <c r="BG253" s="267">
        <v>88408</v>
      </c>
      <c r="BH253" s="267">
        <v>-60087</v>
      </c>
      <c r="BI253" s="267">
        <v>0</v>
      </c>
      <c r="BJ253" s="267">
        <v>-31726</v>
      </c>
      <c r="BK253" s="267">
        <v>0</v>
      </c>
      <c r="BL253" s="267">
        <v>1002476</v>
      </c>
      <c r="BM253" s="267">
        <v>0</v>
      </c>
      <c r="BN253" s="267">
        <v>-59006</v>
      </c>
      <c r="BO253" s="267">
        <v>163717</v>
      </c>
      <c r="BP253" s="267">
        <v>-62196</v>
      </c>
      <c r="BQ253" s="267">
        <v>123162</v>
      </c>
      <c r="BR253" s="267">
        <v>0</v>
      </c>
      <c r="BS253" s="267">
        <v>249543</v>
      </c>
      <c r="BT253" s="267">
        <v>427017</v>
      </c>
      <c r="BU253" s="267">
        <v>-127648</v>
      </c>
      <c r="BV253" s="267">
        <v>-261943</v>
      </c>
      <c r="BW253" s="267">
        <v>0</v>
      </c>
      <c r="BX253" s="267">
        <v>292760</v>
      </c>
      <c r="BY253" s="267">
        <v>46418</v>
      </c>
      <c r="BZ253" s="267">
        <v>-22452</v>
      </c>
      <c r="CA253" s="267">
        <v>-66121</v>
      </c>
      <c r="CB253" s="267">
        <v>-134499</v>
      </c>
      <c r="CC253" s="267">
        <v>0</v>
      </c>
      <c r="CD253" s="267">
        <v>0</v>
      </c>
      <c r="CE253" s="267">
        <v>-27419</v>
      </c>
    </row>
    <row r="254" spans="1:83" x14ac:dyDescent="0.3">
      <c r="C254" s="267" t="s">
        <v>683</v>
      </c>
    </row>
    <row r="255" spans="1:83" x14ac:dyDescent="0.3">
      <c r="A255" s="267">
        <v>596</v>
      </c>
      <c r="C255" s="267" t="s">
        <v>617</v>
      </c>
      <c r="E255" s="267">
        <v>0</v>
      </c>
      <c r="F255" s="267">
        <v>52</v>
      </c>
      <c r="G255" s="267">
        <v>52</v>
      </c>
      <c r="H255" s="267">
        <v>52</v>
      </c>
      <c r="I255" s="267">
        <v>0</v>
      </c>
      <c r="J255" s="267">
        <v>0</v>
      </c>
      <c r="K255" s="267">
        <v>52</v>
      </c>
      <c r="L255" s="267">
        <v>0</v>
      </c>
      <c r="M255" s="267">
        <v>52</v>
      </c>
      <c r="N255" s="267">
        <v>52</v>
      </c>
      <c r="O255" s="267">
        <v>52</v>
      </c>
      <c r="P255" s="267">
        <v>52</v>
      </c>
      <c r="Q255" s="267">
        <v>52</v>
      </c>
      <c r="R255" s="267">
        <v>52</v>
      </c>
      <c r="S255" s="267">
        <v>52</v>
      </c>
      <c r="T255" s="267">
        <v>0</v>
      </c>
      <c r="U255" s="267">
        <v>52</v>
      </c>
      <c r="V255" s="267">
        <v>52</v>
      </c>
      <c r="W255" s="267">
        <v>52</v>
      </c>
      <c r="X255" s="267">
        <v>52</v>
      </c>
      <c r="Y255" s="267">
        <v>52</v>
      </c>
      <c r="Z255" s="267">
        <v>52</v>
      </c>
      <c r="AA255" s="267">
        <v>52</v>
      </c>
      <c r="AB255" s="267">
        <v>52</v>
      </c>
      <c r="AC255" s="267">
        <v>52</v>
      </c>
      <c r="AD255" s="267">
        <v>52</v>
      </c>
      <c r="AE255" s="267">
        <v>52</v>
      </c>
      <c r="AF255" s="267">
        <v>52</v>
      </c>
      <c r="AG255" s="267">
        <v>52</v>
      </c>
      <c r="AH255" s="267">
        <v>52</v>
      </c>
      <c r="AI255" s="267">
        <v>52</v>
      </c>
      <c r="AJ255" s="267">
        <v>52</v>
      </c>
      <c r="AK255" s="267">
        <v>52</v>
      </c>
      <c r="AL255" s="267">
        <v>52</v>
      </c>
      <c r="AM255" s="267">
        <v>0</v>
      </c>
      <c r="AN255" s="267">
        <v>52</v>
      </c>
      <c r="AO255" s="267">
        <v>0</v>
      </c>
      <c r="AP255" s="267">
        <v>0</v>
      </c>
      <c r="AQ255" s="267">
        <v>52</v>
      </c>
      <c r="AR255" s="267">
        <v>52</v>
      </c>
      <c r="AS255" s="267">
        <v>52</v>
      </c>
      <c r="AT255" s="267">
        <v>52</v>
      </c>
      <c r="AU255" s="267">
        <v>52</v>
      </c>
      <c r="AV255" s="267">
        <v>0</v>
      </c>
      <c r="AW255" s="267">
        <v>52</v>
      </c>
      <c r="AX255" s="267">
        <v>52</v>
      </c>
      <c r="AY255" s="267">
        <v>52</v>
      </c>
      <c r="AZ255" s="267">
        <v>52</v>
      </c>
      <c r="BA255" s="267">
        <v>52</v>
      </c>
      <c r="BB255" s="267">
        <v>52</v>
      </c>
      <c r="BC255" s="267">
        <v>0</v>
      </c>
      <c r="BD255" s="267">
        <v>0</v>
      </c>
      <c r="BE255" s="267">
        <v>52</v>
      </c>
      <c r="BF255" s="267">
        <v>52</v>
      </c>
      <c r="BG255" s="267">
        <v>52</v>
      </c>
      <c r="BH255" s="267">
        <v>52</v>
      </c>
      <c r="BI255" s="267">
        <v>0</v>
      </c>
      <c r="BJ255" s="267">
        <v>52</v>
      </c>
      <c r="BK255" s="267">
        <v>52</v>
      </c>
      <c r="BL255" s="267">
        <v>52</v>
      </c>
      <c r="BM255" s="267">
        <v>0</v>
      </c>
      <c r="BN255" s="267">
        <v>52</v>
      </c>
      <c r="BO255" s="267">
        <v>52</v>
      </c>
      <c r="BP255" s="267">
        <v>52</v>
      </c>
      <c r="BQ255" s="267">
        <v>52</v>
      </c>
      <c r="BR255" s="267">
        <v>52</v>
      </c>
      <c r="BS255" s="267">
        <v>52</v>
      </c>
      <c r="BT255" s="267">
        <v>52</v>
      </c>
      <c r="BU255" s="267">
        <v>52</v>
      </c>
      <c r="BV255" s="267">
        <v>52</v>
      </c>
      <c r="BW255" s="267">
        <v>52</v>
      </c>
      <c r="BX255" s="267">
        <v>52</v>
      </c>
      <c r="BY255" s="267">
        <v>52</v>
      </c>
      <c r="BZ255" s="267">
        <v>52</v>
      </c>
      <c r="CA255" s="267">
        <v>52</v>
      </c>
      <c r="CB255" s="267">
        <v>52</v>
      </c>
      <c r="CC255" s="267">
        <v>0</v>
      </c>
      <c r="CD255" s="267">
        <v>0</v>
      </c>
      <c r="CE255" s="267">
        <v>52</v>
      </c>
    </row>
    <row r="256" spans="1:83" x14ac:dyDescent="0.3">
      <c r="A256" s="267">
        <v>597</v>
      </c>
      <c r="C256" s="267" t="s">
        <v>684</v>
      </c>
      <c r="E256" s="267">
        <v>0</v>
      </c>
      <c r="F256" s="267">
        <v>1</v>
      </c>
      <c r="G256" s="267">
        <v>8380</v>
      </c>
      <c r="H256" s="267">
        <v>40897</v>
      </c>
      <c r="I256" s="267">
        <v>66420</v>
      </c>
      <c r="J256" s="267">
        <v>84011</v>
      </c>
      <c r="K256" s="267">
        <v>1616</v>
      </c>
      <c r="L256" s="267">
        <v>9329</v>
      </c>
      <c r="M256" s="267">
        <v>8064</v>
      </c>
      <c r="N256" s="267">
        <v>554508</v>
      </c>
      <c r="O256" s="267">
        <v>12583</v>
      </c>
      <c r="P256" s="267">
        <v>22399</v>
      </c>
      <c r="Q256" s="267">
        <v>3946</v>
      </c>
      <c r="R256" s="267">
        <v>11420552</v>
      </c>
      <c r="S256" s="267">
        <v>4584</v>
      </c>
      <c r="T256" s="267">
        <v>870</v>
      </c>
      <c r="U256" s="267">
        <v>2048249</v>
      </c>
      <c r="V256" s="267">
        <v>419185</v>
      </c>
      <c r="W256" s="267">
        <v>944348</v>
      </c>
      <c r="X256" s="267">
        <v>1185625</v>
      </c>
      <c r="Y256" s="267">
        <v>7900</v>
      </c>
      <c r="Z256" s="267">
        <v>391764</v>
      </c>
      <c r="AA256" s="267">
        <v>1829</v>
      </c>
      <c r="AB256" s="267">
        <v>539803</v>
      </c>
      <c r="AC256" s="267">
        <v>7470</v>
      </c>
      <c r="AD256" s="267">
        <v>12965</v>
      </c>
      <c r="AE256" s="267">
        <v>11749</v>
      </c>
      <c r="AF256" s="267">
        <v>22188</v>
      </c>
      <c r="AG256" s="267">
        <v>1011735</v>
      </c>
      <c r="AH256" s="267">
        <v>100098</v>
      </c>
      <c r="AI256" s="267">
        <v>4311</v>
      </c>
      <c r="AJ256" s="267">
        <v>1217327</v>
      </c>
      <c r="AK256" s="267">
        <v>20482</v>
      </c>
      <c r="AL256" s="267">
        <v>4211</v>
      </c>
      <c r="AM256" s="267">
        <v>0</v>
      </c>
      <c r="AN256" s="267">
        <v>368011</v>
      </c>
      <c r="AO256" s="267">
        <v>0</v>
      </c>
      <c r="AP256" s="267">
        <v>0</v>
      </c>
      <c r="AQ256" s="267">
        <v>178</v>
      </c>
      <c r="AR256" s="267">
        <v>160772</v>
      </c>
      <c r="AS256" s="267">
        <v>469453</v>
      </c>
      <c r="AT256" s="267">
        <v>2286</v>
      </c>
      <c r="AU256" s="267">
        <v>38865</v>
      </c>
      <c r="AV256" s="267">
        <v>0</v>
      </c>
      <c r="AW256" s="267">
        <v>276691</v>
      </c>
      <c r="AX256" s="267">
        <v>31045</v>
      </c>
      <c r="AY256" s="267">
        <v>43296</v>
      </c>
      <c r="AZ256" s="267">
        <v>217548</v>
      </c>
      <c r="BA256" s="267">
        <v>19466</v>
      </c>
      <c r="BB256" s="267">
        <v>6508</v>
      </c>
      <c r="BC256" s="267">
        <v>0</v>
      </c>
      <c r="BD256" s="267">
        <v>0</v>
      </c>
      <c r="BE256" s="267">
        <v>241657</v>
      </c>
      <c r="BF256" s="267">
        <v>3498</v>
      </c>
      <c r="BG256" s="267">
        <v>4501</v>
      </c>
      <c r="BH256" s="267">
        <v>27</v>
      </c>
      <c r="BI256" s="267">
        <v>2681</v>
      </c>
      <c r="BJ256" s="267">
        <v>6569</v>
      </c>
      <c r="BK256" s="267">
        <v>97</v>
      </c>
      <c r="BL256" s="267">
        <v>44705</v>
      </c>
      <c r="BM256" s="267">
        <v>0</v>
      </c>
      <c r="BN256" s="267">
        <v>6988</v>
      </c>
      <c r="BO256" s="267">
        <v>116249</v>
      </c>
      <c r="BP256" s="267">
        <v>-558</v>
      </c>
      <c r="BQ256" s="267">
        <v>1646</v>
      </c>
      <c r="BR256" s="267">
        <v>261291</v>
      </c>
      <c r="BS256" s="267">
        <v>6096</v>
      </c>
      <c r="BT256" s="267">
        <v>519584</v>
      </c>
      <c r="BU256" s="267">
        <v>1209</v>
      </c>
      <c r="BV256" s="267">
        <v>7377</v>
      </c>
      <c r="BW256" s="267">
        <v>14285</v>
      </c>
      <c r="BX256" s="267">
        <v>28253</v>
      </c>
      <c r="BY256" s="267">
        <v>12391</v>
      </c>
      <c r="BZ256" s="267">
        <v>810</v>
      </c>
      <c r="CA256" s="267">
        <v>3252</v>
      </c>
      <c r="CB256" s="267">
        <v>2394</v>
      </c>
      <c r="CC256" s="267">
        <v>0</v>
      </c>
      <c r="CD256" s="267">
        <v>0</v>
      </c>
      <c r="CE256" s="267">
        <v>737</v>
      </c>
    </row>
    <row r="257" spans="1:83" x14ac:dyDescent="0.3">
      <c r="E257" s="267" t="s">
        <v>857</v>
      </c>
    </row>
    <row r="258" spans="1:83" x14ac:dyDescent="0.3">
      <c r="A258" s="267">
        <v>598</v>
      </c>
      <c r="B258" s="267">
        <v>598</v>
      </c>
      <c r="C258" s="267" t="s">
        <v>678</v>
      </c>
      <c r="E258" s="267">
        <v>0</v>
      </c>
      <c r="F258" s="267">
        <v>0</v>
      </c>
      <c r="G258" s="267">
        <v>0</v>
      </c>
      <c r="H258" s="267">
        <v>0</v>
      </c>
      <c r="I258" s="267">
        <v>0</v>
      </c>
      <c r="J258" s="267">
        <v>0</v>
      </c>
      <c r="K258" s="267">
        <v>0</v>
      </c>
      <c r="L258" s="267">
        <v>0</v>
      </c>
      <c r="M258" s="267">
        <v>0</v>
      </c>
      <c r="N258" s="267">
        <v>0</v>
      </c>
      <c r="O258" s="267">
        <v>0</v>
      </c>
      <c r="P258" s="267">
        <v>7381</v>
      </c>
      <c r="Q258" s="267">
        <v>0</v>
      </c>
      <c r="R258" s="267">
        <v>172953</v>
      </c>
      <c r="S258" s="267">
        <v>33430</v>
      </c>
      <c r="T258" s="267">
        <v>0</v>
      </c>
      <c r="U258" s="267">
        <v>66245</v>
      </c>
      <c r="V258" s="267">
        <v>78824</v>
      </c>
      <c r="W258" s="267">
        <v>218192</v>
      </c>
      <c r="X258" s="267">
        <v>43582</v>
      </c>
      <c r="Y258" s="267">
        <v>0</v>
      </c>
      <c r="Z258" s="267">
        <v>87880</v>
      </c>
      <c r="AA258" s="267">
        <v>0</v>
      </c>
      <c r="AB258" s="267">
        <v>47360</v>
      </c>
      <c r="AC258" s="267">
        <v>23752</v>
      </c>
      <c r="AD258" s="267">
        <v>0</v>
      </c>
      <c r="AE258" s="267">
        <v>36983</v>
      </c>
      <c r="AF258" s="267">
        <v>0</v>
      </c>
      <c r="AG258" s="267">
        <v>48080</v>
      </c>
      <c r="AH258" s="267">
        <v>0</v>
      </c>
      <c r="AI258" s="267">
        <v>0</v>
      </c>
      <c r="AJ258" s="267">
        <v>199125</v>
      </c>
      <c r="AK258" s="267">
        <v>0</v>
      </c>
      <c r="AL258" s="267">
        <v>0</v>
      </c>
      <c r="AM258" s="267">
        <v>0</v>
      </c>
      <c r="AN258" s="267">
        <v>59267</v>
      </c>
      <c r="AO258" s="267">
        <v>0</v>
      </c>
      <c r="AP258" s="267">
        <v>0</v>
      </c>
      <c r="AQ258" s="267">
        <v>0</v>
      </c>
      <c r="AR258" s="267">
        <v>22334</v>
      </c>
      <c r="AS258" s="267">
        <v>37323</v>
      </c>
      <c r="AT258" s="267">
        <v>0</v>
      </c>
      <c r="AU258" s="267">
        <v>13499</v>
      </c>
      <c r="AV258" s="267">
        <v>0</v>
      </c>
      <c r="AW258" s="267">
        <v>35690</v>
      </c>
      <c r="AX258" s="267">
        <v>0</v>
      </c>
      <c r="AY258" s="267">
        <v>11660</v>
      </c>
      <c r="AZ258" s="267">
        <v>22567</v>
      </c>
      <c r="BA258" s="267">
        <v>0</v>
      </c>
      <c r="BB258" s="267">
        <v>0</v>
      </c>
      <c r="BC258" s="267">
        <v>0</v>
      </c>
      <c r="BD258" s="267">
        <v>0</v>
      </c>
      <c r="BE258" s="267">
        <v>56041</v>
      </c>
      <c r="BF258" s="267">
        <v>0</v>
      </c>
      <c r="BG258" s="267">
        <v>0</v>
      </c>
      <c r="BH258" s="267">
        <v>0</v>
      </c>
      <c r="BI258" s="267">
        <v>0</v>
      </c>
      <c r="BJ258" s="267">
        <v>0</v>
      </c>
      <c r="BK258" s="267">
        <v>0</v>
      </c>
      <c r="BL258" s="267">
        <v>18311</v>
      </c>
      <c r="BM258" s="267">
        <v>0</v>
      </c>
      <c r="BN258" s="267">
        <v>16149</v>
      </c>
      <c r="BO258" s="267">
        <v>3395</v>
      </c>
      <c r="BP258" s="267">
        <v>0</v>
      </c>
      <c r="BQ258" s="267">
        <v>0</v>
      </c>
      <c r="BR258" s="267">
        <v>43281</v>
      </c>
      <c r="BS258" s="267">
        <v>0</v>
      </c>
      <c r="BT258" s="267">
        <v>38232</v>
      </c>
      <c r="BU258" s="267">
        <v>0</v>
      </c>
      <c r="BV258" s="267">
        <v>16533</v>
      </c>
      <c r="BW258" s="267">
        <v>0</v>
      </c>
      <c r="BX258" s="267">
        <v>0</v>
      </c>
      <c r="BY258" s="267">
        <v>0</v>
      </c>
      <c r="BZ258" s="267">
        <v>0</v>
      </c>
      <c r="CA258" s="267">
        <v>0</v>
      </c>
      <c r="CB258" s="267">
        <v>0</v>
      </c>
      <c r="CC258" s="267">
        <v>0</v>
      </c>
      <c r="CD258" s="267">
        <v>0</v>
      </c>
      <c r="CE258" s="267">
        <v>0</v>
      </c>
    </row>
    <row r="259" spans="1:83" x14ac:dyDescent="0.3">
      <c r="A259" s="267">
        <v>599</v>
      </c>
      <c r="B259" s="267">
        <v>599</v>
      </c>
      <c r="C259" s="267" t="s">
        <v>679</v>
      </c>
      <c r="E259" s="267">
        <v>0</v>
      </c>
      <c r="F259" s="267">
        <v>0</v>
      </c>
      <c r="G259" s="267">
        <v>25407</v>
      </c>
      <c r="H259" s="267">
        <v>0</v>
      </c>
      <c r="I259" s="267">
        <v>0</v>
      </c>
      <c r="J259" s="267">
        <v>0</v>
      </c>
      <c r="K259" s="267">
        <v>0</v>
      </c>
      <c r="L259" s="267">
        <v>0</v>
      </c>
      <c r="M259" s="267">
        <v>0</v>
      </c>
      <c r="N259" s="267">
        <v>587250</v>
      </c>
      <c r="O259" s="267">
        <v>44028</v>
      </c>
      <c r="P259" s="267">
        <v>211377</v>
      </c>
      <c r="Q259" s="267">
        <v>0</v>
      </c>
      <c r="R259" s="267">
        <v>4156173</v>
      </c>
      <c r="S259" s="267">
        <v>154885</v>
      </c>
      <c r="T259" s="267">
        <v>0</v>
      </c>
      <c r="U259" s="267">
        <v>3109557</v>
      </c>
      <c r="V259" s="267">
        <v>1087472</v>
      </c>
      <c r="W259" s="267">
        <v>2380218</v>
      </c>
      <c r="X259" s="267">
        <v>1260670</v>
      </c>
      <c r="Y259" s="267">
        <v>0</v>
      </c>
      <c r="Z259" s="267">
        <v>1449127</v>
      </c>
      <c r="AA259" s="267">
        <v>16276</v>
      </c>
      <c r="AB259" s="267">
        <v>1066535</v>
      </c>
      <c r="AC259" s="267">
        <v>349450</v>
      </c>
      <c r="AD259" s="267">
        <v>0</v>
      </c>
      <c r="AE259" s="267">
        <v>407129</v>
      </c>
      <c r="AF259" s="267">
        <v>180144</v>
      </c>
      <c r="AG259" s="267">
        <v>910087</v>
      </c>
      <c r="AH259" s="267">
        <v>142095</v>
      </c>
      <c r="AI259" s="267">
        <v>13779</v>
      </c>
      <c r="AJ259" s="267">
        <v>2383204</v>
      </c>
      <c r="AK259" s="267">
        <v>0</v>
      </c>
      <c r="AL259" s="267">
        <v>78994</v>
      </c>
      <c r="AM259" s="267">
        <v>0</v>
      </c>
      <c r="AN259" s="267">
        <v>1127545</v>
      </c>
      <c r="AO259" s="267">
        <v>0</v>
      </c>
      <c r="AP259" s="267">
        <v>0</v>
      </c>
      <c r="AQ259" s="267">
        <v>0</v>
      </c>
      <c r="AR259" s="267">
        <v>360852</v>
      </c>
      <c r="AS259" s="267">
        <v>674450</v>
      </c>
      <c r="AT259" s="267">
        <v>24066</v>
      </c>
      <c r="AU259" s="267">
        <v>142502</v>
      </c>
      <c r="AV259" s="267">
        <v>0</v>
      </c>
      <c r="AW259" s="267">
        <v>724322</v>
      </c>
      <c r="AX259" s="267">
        <v>0</v>
      </c>
      <c r="AY259" s="267">
        <v>69580</v>
      </c>
      <c r="AZ259" s="267">
        <v>176149</v>
      </c>
      <c r="BA259" s="267">
        <v>60424</v>
      </c>
      <c r="BB259" s="267">
        <v>0</v>
      </c>
      <c r="BC259" s="267">
        <v>0</v>
      </c>
      <c r="BD259" s="267">
        <v>0</v>
      </c>
      <c r="BE259" s="267">
        <v>874356</v>
      </c>
      <c r="BF259" s="267">
        <v>0</v>
      </c>
      <c r="BG259" s="267">
        <v>0</v>
      </c>
      <c r="BH259" s="267">
        <v>0</v>
      </c>
      <c r="BI259" s="267">
        <v>0</v>
      </c>
      <c r="BJ259" s="267">
        <v>0</v>
      </c>
      <c r="BK259" s="267">
        <v>0</v>
      </c>
      <c r="BL259" s="267">
        <v>267571</v>
      </c>
      <c r="BM259" s="267">
        <v>0</v>
      </c>
      <c r="BN259" s="267">
        <v>149332</v>
      </c>
      <c r="BO259" s="267">
        <v>105096</v>
      </c>
      <c r="BP259" s="267">
        <v>141173</v>
      </c>
      <c r="BQ259" s="267">
        <v>79391</v>
      </c>
      <c r="BR259" s="267">
        <v>1025925</v>
      </c>
      <c r="BS259" s="267">
        <v>50403</v>
      </c>
      <c r="BT259" s="267">
        <v>1176798</v>
      </c>
      <c r="BU259" s="267">
        <v>66527</v>
      </c>
      <c r="BV259" s="267">
        <v>490157</v>
      </c>
      <c r="BW259" s="267">
        <v>0</v>
      </c>
      <c r="BX259" s="267">
        <v>67765</v>
      </c>
      <c r="BY259" s="267">
        <v>14418</v>
      </c>
      <c r="BZ259" s="267">
        <v>0</v>
      </c>
      <c r="CA259" s="267">
        <v>0</v>
      </c>
      <c r="CB259" s="267">
        <v>0</v>
      </c>
      <c r="CC259" s="267">
        <v>0</v>
      </c>
      <c r="CD259" s="267">
        <v>0</v>
      </c>
      <c r="CE259" s="267">
        <v>0</v>
      </c>
    </row>
    <row r="260" spans="1:83" x14ac:dyDescent="0.3">
      <c r="B260" s="267">
        <v>600</v>
      </c>
      <c r="C260" s="267" t="s">
        <v>858</v>
      </c>
    </row>
    <row r="261" spans="1:83" x14ac:dyDescent="0.3">
      <c r="B261" s="267">
        <v>601</v>
      </c>
      <c r="C261" s="267" t="s">
        <v>859</v>
      </c>
    </row>
    <row r="262" spans="1:83" x14ac:dyDescent="0.3">
      <c r="A262" s="267">
        <v>602</v>
      </c>
      <c r="B262" s="267">
        <v>602</v>
      </c>
      <c r="C262" s="267" t="s">
        <v>706</v>
      </c>
      <c r="E262" s="267">
        <v>0</v>
      </c>
      <c r="F262" s="267">
        <v>0</v>
      </c>
      <c r="G262" s="267">
        <v>0</v>
      </c>
      <c r="H262" s="267">
        <v>0</v>
      </c>
      <c r="I262" s="267">
        <v>0</v>
      </c>
      <c r="J262" s="267">
        <v>0</v>
      </c>
      <c r="K262" s="267">
        <v>0</v>
      </c>
      <c r="L262" s="267">
        <v>0</v>
      </c>
      <c r="M262" s="267">
        <v>0</v>
      </c>
      <c r="N262" s="267">
        <v>0</v>
      </c>
      <c r="O262" s="267">
        <v>0</v>
      </c>
      <c r="P262" s="267">
        <v>0</v>
      </c>
      <c r="Q262" s="267">
        <v>0</v>
      </c>
      <c r="R262" s="267">
        <v>0</v>
      </c>
      <c r="S262" s="267">
        <v>0</v>
      </c>
      <c r="T262" s="267">
        <v>0</v>
      </c>
      <c r="U262" s="267">
        <v>0</v>
      </c>
      <c r="V262" s="267">
        <v>0</v>
      </c>
      <c r="W262" s="267">
        <v>0</v>
      </c>
      <c r="X262" s="267">
        <v>0</v>
      </c>
      <c r="Y262" s="267">
        <v>0</v>
      </c>
      <c r="Z262" s="267">
        <v>0</v>
      </c>
      <c r="AA262" s="267">
        <v>0</v>
      </c>
      <c r="AB262" s="267">
        <v>0</v>
      </c>
      <c r="AC262" s="267">
        <v>0</v>
      </c>
      <c r="AD262" s="267">
        <v>0</v>
      </c>
      <c r="AE262" s="267">
        <v>0</v>
      </c>
      <c r="AF262" s="267">
        <v>0</v>
      </c>
      <c r="AG262" s="267">
        <v>0</v>
      </c>
      <c r="AH262" s="267">
        <v>0</v>
      </c>
      <c r="AI262" s="267">
        <v>0</v>
      </c>
      <c r="AJ262" s="267">
        <v>0</v>
      </c>
      <c r="AK262" s="267">
        <v>0</v>
      </c>
      <c r="AL262" s="267">
        <v>0</v>
      </c>
      <c r="AM262" s="267">
        <v>0</v>
      </c>
      <c r="AN262" s="267">
        <v>0</v>
      </c>
      <c r="AO262" s="267">
        <v>0</v>
      </c>
      <c r="AP262" s="267">
        <v>0</v>
      </c>
      <c r="AQ262" s="267">
        <v>0</v>
      </c>
      <c r="AR262" s="267">
        <v>0</v>
      </c>
      <c r="AS262" s="267">
        <v>0</v>
      </c>
      <c r="AT262" s="267">
        <v>0</v>
      </c>
      <c r="AU262" s="267">
        <v>0</v>
      </c>
      <c r="AV262" s="267">
        <v>0</v>
      </c>
      <c r="AW262" s="267">
        <v>0</v>
      </c>
      <c r="AX262" s="267">
        <v>0</v>
      </c>
      <c r="AY262" s="267">
        <v>0</v>
      </c>
      <c r="AZ262" s="267">
        <v>0</v>
      </c>
      <c r="BA262" s="267">
        <v>0</v>
      </c>
      <c r="BB262" s="267">
        <v>0</v>
      </c>
      <c r="BC262" s="267">
        <v>0</v>
      </c>
      <c r="BD262" s="267">
        <v>0</v>
      </c>
      <c r="BE262" s="267">
        <v>0</v>
      </c>
      <c r="BF262" s="267">
        <v>0</v>
      </c>
      <c r="BG262" s="267">
        <v>0</v>
      </c>
      <c r="BH262" s="267">
        <v>0</v>
      </c>
      <c r="BI262" s="267">
        <v>0</v>
      </c>
      <c r="BJ262" s="267">
        <v>0</v>
      </c>
      <c r="BK262" s="267">
        <v>0</v>
      </c>
      <c r="BL262" s="267">
        <v>0</v>
      </c>
      <c r="BM262" s="267">
        <v>0</v>
      </c>
      <c r="BN262" s="267">
        <v>0</v>
      </c>
      <c r="BO262" s="267">
        <v>0</v>
      </c>
      <c r="BP262" s="267">
        <v>0</v>
      </c>
      <c r="BQ262" s="267">
        <v>0</v>
      </c>
      <c r="BR262" s="267">
        <v>0</v>
      </c>
      <c r="BS262" s="267">
        <v>0</v>
      </c>
      <c r="BT262" s="267">
        <v>0</v>
      </c>
      <c r="BU262" s="267">
        <v>0</v>
      </c>
      <c r="BV262" s="267">
        <v>0</v>
      </c>
      <c r="BW262" s="267">
        <v>0</v>
      </c>
      <c r="BX262" s="267">
        <v>0</v>
      </c>
      <c r="BY262" s="267">
        <v>0</v>
      </c>
      <c r="BZ262" s="267">
        <v>0</v>
      </c>
      <c r="CA262" s="267">
        <v>0</v>
      </c>
      <c r="CB262" s="267">
        <v>0</v>
      </c>
      <c r="CC262" s="267">
        <v>0</v>
      </c>
      <c r="CD262" s="267">
        <v>0</v>
      </c>
      <c r="CE262" s="267">
        <v>0</v>
      </c>
    </row>
    <row r="263" spans="1:83" x14ac:dyDescent="0.3">
      <c r="A263" s="267">
        <v>603</v>
      </c>
      <c r="B263" s="267">
        <v>603</v>
      </c>
      <c r="C263" s="267" t="s">
        <v>693</v>
      </c>
      <c r="E263" s="267">
        <v>0</v>
      </c>
      <c r="F263" s="267">
        <v>2</v>
      </c>
      <c r="G263" s="267">
        <v>1</v>
      </c>
      <c r="H263" s="267">
        <v>2</v>
      </c>
      <c r="I263" s="267">
        <v>2</v>
      </c>
      <c r="J263" s="267">
        <v>1</v>
      </c>
      <c r="K263" s="267">
        <v>2</v>
      </c>
      <c r="L263" s="267">
        <v>1</v>
      </c>
      <c r="M263" s="267">
        <v>1</v>
      </c>
      <c r="N263" s="267">
        <v>1</v>
      </c>
      <c r="O263" s="267">
        <v>1</v>
      </c>
      <c r="P263" s="267">
        <v>1</v>
      </c>
      <c r="Q263" s="267">
        <v>2</v>
      </c>
      <c r="R263" s="267">
        <v>1</v>
      </c>
      <c r="S263" s="267">
        <v>4</v>
      </c>
      <c r="T263" s="267">
        <v>4</v>
      </c>
      <c r="U263" s="267">
        <v>1</v>
      </c>
      <c r="V263" s="267">
        <v>2</v>
      </c>
      <c r="W263" s="267">
        <v>1</v>
      </c>
      <c r="X263" s="267">
        <v>1</v>
      </c>
      <c r="Y263" s="267">
        <v>5</v>
      </c>
      <c r="Z263" s="267">
        <v>2</v>
      </c>
      <c r="AA263" s="267">
        <v>2</v>
      </c>
      <c r="AB263" s="267">
        <v>1</v>
      </c>
      <c r="AC263" s="267">
        <v>4</v>
      </c>
      <c r="AD263" s="267">
        <v>2</v>
      </c>
      <c r="AE263" s="267">
        <v>4</v>
      </c>
      <c r="AF263" s="267">
        <v>1</v>
      </c>
      <c r="AG263" s="267">
        <v>1</v>
      </c>
      <c r="AH263" s="267">
        <v>5</v>
      </c>
      <c r="AI263" s="267">
        <v>4</v>
      </c>
      <c r="AJ263" s="267">
        <v>2</v>
      </c>
      <c r="AK263" s="267">
        <v>1</v>
      </c>
      <c r="AL263" s="267">
        <v>2</v>
      </c>
      <c r="AM263" s="267">
        <v>0</v>
      </c>
      <c r="AN263" s="267">
        <v>1</v>
      </c>
      <c r="AO263" s="267">
        <v>0</v>
      </c>
      <c r="AP263" s="267">
        <v>0</v>
      </c>
      <c r="AQ263" s="267">
        <v>2</v>
      </c>
      <c r="AR263" s="267">
        <v>1</v>
      </c>
      <c r="AS263" s="267">
        <v>1</v>
      </c>
      <c r="AT263" s="267">
        <v>4</v>
      </c>
      <c r="AU263" s="267">
        <v>5</v>
      </c>
      <c r="AV263" s="267">
        <v>0</v>
      </c>
      <c r="AW263" s="267">
        <v>2</v>
      </c>
      <c r="AX263" s="267">
        <v>4</v>
      </c>
      <c r="AY263" s="267">
        <v>1</v>
      </c>
      <c r="AZ263" s="267">
        <v>1</v>
      </c>
      <c r="BA263" s="267">
        <v>2</v>
      </c>
      <c r="BB263" s="267">
        <v>2</v>
      </c>
      <c r="BC263" s="267">
        <v>2</v>
      </c>
      <c r="BD263" s="267">
        <v>0</v>
      </c>
      <c r="BE263" s="267">
        <v>2</v>
      </c>
      <c r="BF263" s="267">
        <v>1</v>
      </c>
      <c r="BG263" s="267">
        <v>1</v>
      </c>
      <c r="BH263" s="267">
        <v>4</v>
      </c>
      <c r="BI263" s="267">
        <v>2</v>
      </c>
      <c r="BJ263" s="267">
        <v>2</v>
      </c>
      <c r="BK263" s="267">
        <v>2</v>
      </c>
      <c r="BL263" s="267">
        <v>1</v>
      </c>
      <c r="BM263" s="267">
        <v>0</v>
      </c>
      <c r="BN263" s="267">
        <v>1</v>
      </c>
      <c r="BO263" s="267">
        <v>2</v>
      </c>
      <c r="BP263" s="267">
        <v>2</v>
      </c>
      <c r="BQ263" s="267">
        <v>1</v>
      </c>
      <c r="BR263" s="267">
        <v>1</v>
      </c>
      <c r="BS263" s="267">
        <v>1</v>
      </c>
      <c r="BT263" s="267">
        <v>1</v>
      </c>
      <c r="BU263" s="267">
        <v>2</v>
      </c>
      <c r="BV263" s="267">
        <v>2</v>
      </c>
      <c r="BW263" s="267">
        <v>1</v>
      </c>
      <c r="BX263" s="267">
        <v>1</v>
      </c>
      <c r="BY263" s="267">
        <v>2</v>
      </c>
      <c r="BZ263" s="267">
        <v>4</v>
      </c>
      <c r="CA263" s="267">
        <v>5</v>
      </c>
      <c r="CB263" s="267">
        <v>6</v>
      </c>
      <c r="CC263" s="267">
        <v>0</v>
      </c>
      <c r="CD263" s="267">
        <v>0</v>
      </c>
      <c r="CE263" s="267">
        <v>3</v>
      </c>
    </row>
    <row r="264" spans="1:83" x14ac:dyDescent="0.3">
      <c r="B264" s="267">
        <v>604</v>
      </c>
      <c r="C264" s="267" t="s">
        <v>694</v>
      </c>
    </row>
    <row r="265" spans="1:83" x14ac:dyDescent="0.3">
      <c r="A265" s="267">
        <v>605</v>
      </c>
      <c r="B265" s="267">
        <v>605</v>
      </c>
      <c r="C265" s="267" t="s">
        <v>696</v>
      </c>
      <c r="E265" s="267">
        <v>0</v>
      </c>
      <c r="F265" s="267">
        <v>1</v>
      </c>
      <c r="G265" s="267">
        <v>1</v>
      </c>
      <c r="H265" s="267">
        <v>1</v>
      </c>
      <c r="I265" s="267">
        <v>1</v>
      </c>
      <c r="J265" s="267">
        <v>1</v>
      </c>
      <c r="K265" s="267">
        <v>1</v>
      </c>
      <c r="L265" s="267">
        <v>1</v>
      </c>
      <c r="M265" s="267">
        <v>1</v>
      </c>
      <c r="N265" s="267">
        <v>1</v>
      </c>
      <c r="O265" s="267">
        <v>1</v>
      </c>
      <c r="P265" s="267">
        <v>1</v>
      </c>
      <c r="Q265" s="267">
        <v>1</v>
      </c>
      <c r="R265" s="267">
        <v>1</v>
      </c>
      <c r="S265" s="267">
        <v>1</v>
      </c>
      <c r="T265" s="267">
        <v>1</v>
      </c>
      <c r="U265" s="267">
        <v>1</v>
      </c>
      <c r="V265" s="267">
        <v>1</v>
      </c>
      <c r="W265" s="267">
        <v>1</v>
      </c>
      <c r="X265" s="267">
        <v>1</v>
      </c>
      <c r="Y265" s="267">
        <v>1</v>
      </c>
      <c r="Z265" s="267">
        <v>1</v>
      </c>
      <c r="AA265" s="267">
        <v>1</v>
      </c>
      <c r="AB265" s="267">
        <v>1</v>
      </c>
      <c r="AC265" s="267">
        <v>1</v>
      </c>
      <c r="AD265" s="267">
        <v>1</v>
      </c>
      <c r="AE265" s="267">
        <v>1</v>
      </c>
      <c r="AF265" s="267">
        <v>1</v>
      </c>
      <c r="AG265" s="267">
        <v>1</v>
      </c>
      <c r="AH265" s="267">
        <v>1</v>
      </c>
      <c r="AI265" s="267">
        <v>1</v>
      </c>
      <c r="AJ265" s="267">
        <v>1</v>
      </c>
      <c r="AK265" s="267">
        <v>1</v>
      </c>
      <c r="AL265" s="267">
        <v>1</v>
      </c>
      <c r="AM265" s="267">
        <v>0</v>
      </c>
      <c r="AN265" s="267">
        <v>1</v>
      </c>
      <c r="AO265" s="267">
        <v>0</v>
      </c>
      <c r="AP265" s="267">
        <v>0</v>
      </c>
      <c r="AQ265" s="267">
        <v>1</v>
      </c>
      <c r="AR265" s="267">
        <v>1</v>
      </c>
      <c r="AS265" s="267">
        <v>1</v>
      </c>
      <c r="AT265" s="267">
        <v>1</v>
      </c>
      <c r="AU265" s="267">
        <v>1</v>
      </c>
      <c r="AV265" s="267">
        <v>0</v>
      </c>
      <c r="AW265" s="267">
        <v>1</v>
      </c>
      <c r="AX265" s="267">
        <v>1</v>
      </c>
      <c r="AY265" s="267">
        <v>1</v>
      </c>
      <c r="AZ265" s="267">
        <v>1</v>
      </c>
      <c r="BA265" s="267">
        <v>1</v>
      </c>
      <c r="BB265" s="267">
        <v>1</v>
      </c>
      <c r="BC265" s="267">
        <v>1</v>
      </c>
      <c r="BD265" s="267">
        <v>0</v>
      </c>
      <c r="BE265" s="267">
        <v>1</v>
      </c>
      <c r="BF265" s="267">
        <v>1</v>
      </c>
      <c r="BG265" s="267">
        <v>1</v>
      </c>
      <c r="BH265" s="267">
        <v>1</v>
      </c>
      <c r="BI265" s="267">
        <v>1</v>
      </c>
      <c r="BJ265" s="267">
        <v>1</v>
      </c>
      <c r="BK265" s="267">
        <v>1</v>
      </c>
      <c r="BL265" s="267">
        <v>1</v>
      </c>
      <c r="BM265" s="267">
        <v>0</v>
      </c>
      <c r="BN265" s="267">
        <v>1</v>
      </c>
      <c r="BO265" s="267">
        <v>1</v>
      </c>
      <c r="BP265" s="267">
        <v>1</v>
      </c>
      <c r="BQ265" s="267">
        <v>1</v>
      </c>
      <c r="BR265" s="267">
        <v>1</v>
      </c>
      <c r="BS265" s="267">
        <v>1</v>
      </c>
      <c r="BT265" s="267">
        <v>1</v>
      </c>
      <c r="BU265" s="267">
        <v>1</v>
      </c>
      <c r="BV265" s="267">
        <v>1</v>
      </c>
      <c r="BW265" s="267">
        <v>1</v>
      </c>
      <c r="BX265" s="267">
        <v>1</v>
      </c>
      <c r="BY265" s="267">
        <v>1</v>
      </c>
      <c r="BZ265" s="267">
        <v>1</v>
      </c>
      <c r="CA265" s="267">
        <v>2</v>
      </c>
      <c r="CB265" s="267">
        <v>1</v>
      </c>
      <c r="CC265" s="267">
        <v>0</v>
      </c>
      <c r="CD265" s="267">
        <v>0</v>
      </c>
      <c r="CE265" s="267">
        <v>1</v>
      </c>
    </row>
    <row r="266" spans="1:83" x14ac:dyDescent="0.3">
      <c r="A266" s="267">
        <v>606</v>
      </c>
      <c r="B266" s="267">
        <v>606</v>
      </c>
      <c r="C266" s="267" t="s">
        <v>714</v>
      </c>
      <c r="E266" s="267">
        <v>0</v>
      </c>
      <c r="F266" s="267">
        <v>0</v>
      </c>
      <c r="G266" s="267">
        <v>0</v>
      </c>
      <c r="H266" s="267">
        <v>0</v>
      </c>
      <c r="I266" s="267">
        <v>0</v>
      </c>
      <c r="J266" s="267">
        <v>0</v>
      </c>
      <c r="K266" s="267">
        <v>0</v>
      </c>
      <c r="L266" s="267">
        <v>0</v>
      </c>
      <c r="M266" s="267">
        <v>0</v>
      </c>
      <c r="N266" s="267">
        <v>1</v>
      </c>
      <c r="O266" s="267">
        <v>0</v>
      </c>
      <c r="P266" s="267">
        <v>0</v>
      </c>
      <c r="Q266" s="267">
        <v>0</v>
      </c>
      <c r="R266" s="267">
        <v>1</v>
      </c>
      <c r="S266" s="267">
        <v>0</v>
      </c>
      <c r="T266" s="267">
        <v>0</v>
      </c>
      <c r="U266" s="267">
        <v>1</v>
      </c>
      <c r="V266" s="267">
        <v>0</v>
      </c>
      <c r="W266" s="267">
        <v>1</v>
      </c>
      <c r="X266" s="267">
        <v>1</v>
      </c>
      <c r="Y266" s="267">
        <v>0</v>
      </c>
      <c r="Z266" s="267">
        <v>0</v>
      </c>
      <c r="AA266" s="267">
        <v>0</v>
      </c>
      <c r="AB266" s="267">
        <v>0</v>
      </c>
      <c r="AC266" s="267">
        <v>1</v>
      </c>
      <c r="AD266" s="267">
        <v>0</v>
      </c>
      <c r="AE266" s="267">
        <v>0</v>
      </c>
      <c r="AF266" s="267">
        <v>1</v>
      </c>
      <c r="AG266" s="267">
        <v>1</v>
      </c>
      <c r="AH266" s="267">
        <v>0</v>
      </c>
      <c r="AI266" s="267">
        <v>0</v>
      </c>
      <c r="AJ266" s="267">
        <v>1</v>
      </c>
      <c r="AK266" s="267">
        <v>0</v>
      </c>
      <c r="AL266" s="267">
        <v>0</v>
      </c>
      <c r="AM266" s="267">
        <v>0</v>
      </c>
      <c r="AN266" s="267">
        <v>1</v>
      </c>
      <c r="AO266" s="267">
        <v>0</v>
      </c>
      <c r="AP266" s="267">
        <v>0</v>
      </c>
      <c r="AQ266" s="267">
        <v>0</v>
      </c>
      <c r="AR266" s="267">
        <v>1</v>
      </c>
      <c r="AS266" s="267">
        <v>0</v>
      </c>
      <c r="AT266" s="267">
        <v>0</v>
      </c>
      <c r="AU266" s="267">
        <v>0</v>
      </c>
      <c r="AV266" s="267">
        <v>0</v>
      </c>
      <c r="AW266" s="267">
        <v>1</v>
      </c>
      <c r="AX266" s="267">
        <v>0</v>
      </c>
      <c r="AY266" s="267">
        <v>0</v>
      </c>
      <c r="AZ266" s="267">
        <v>0</v>
      </c>
      <c r="BA266" s="267">
        <v>0</v>
      </c>
      <c r="BB266" s="267">
        <v>0</v>
      </c>
      <c r="BC266" s="267">
        <v>0</v>
      </c>
      <c r="BD266" s="267">
        <v>0</v>
      </c>
      <c r="BE266" s="267">
        <v>1</v>
      </c>
      <c r="BF266" s="267">
        <v>0</v>
      </c>
      <c r="BG266" s="267">
        <v>0</v>
      </c>
      <c r="BH266" s="267">
        <v>0</v>
      </c>
      <c r="BI266" s="267">
        <v>0</v>
      </c>
      <c r="BJ266" s="267">
        <v>0</v>
      </c>
      <c r="BK266" s="267">
        <v>0</v>
      </c>
      <c r="BL266" s="267">
        <v>1</v>
      </c>
      <c r="BM266" s="267">
        <v>0</v>
      </c>
      <c r="BN266" s="267">
        <v>0</v>
      </c>
      <c r="BO266" s="267">
        <v>1</v>
      </c>
      <c r="BP266" s="267">
        <v>0</v>
      </c>
      <c r="BQ266" s="267">
        <v>0</v>
      </c>
      <c r="BR266" s="267">
        <v>1</v>
      </c>
      <c r="BS266" s="267">
        <v>0</v>
      </c>
      <c r="BT266" s="267">
        <v>0</v>
      </c>
      <c r="BU266" s="267">
        <v>0</v>
      </c>
      <c r="BV266" s="267">
        <v>0</v>
      </c>
      <c r="BW266" s="267">
        <v>0</v>
      </c>
      <c r="BX266" s="267">
        <v>0</v>
      </c>
      <c r="BY266" s="267">
        <v>0</v>
      </c>
      <c r="BZ266" s="267">
        <v>0</v>
      </c>
      <c r="CA266" s="267">
        <v>0</v>
      </c>
      <c r="CB266" s="267">
        <v>0</v>
      </c>
      <c r="CC266" s="267">
        <v>0</v>
      </c>
      <c r="CD266" s="267">
        <v>0</v>
      </c>
      <c r="CE266" s="267">
        <v>0</v>
      </c>
    </row>
    <row r="267" spans="1:83" x14ac:dyDescent="0.3">
      <c r="A267" s="267">
        <v>607</v>
      </c>
      <c r="B267" s="267">
        <v>607</v>
      </c>
      <c r="C267" s="267" t="s">
        <v>686</v>
      </c>
      <c r="E267" s="267">
        <v>0</v>
      </c>
      <c r="F267" s="267">
        <v>0</v>
      </c>
      <c r="G267" s="267">
        <v>0</v>
      </c>
      <c r="H267" s="267">
        <v>0</v>
      </c>
      <c r="I267" s="267">
        <v>0</v>
      </c>
      <c r="J267" s="267">
        <v>0</v>
      </c>
      <c r="K267" s="267">
        <v>0</v>
      </c>
      <c r="L267" s="267">
        <v>0</v>
      </c>
      <c r="M267" s="267">
        <v>0</v>
      </c>
      <c r="N267" s="267">
        <v>3061223</v>
      </c>
      <c r="O267" s="267">
        <v>0</v>
      </c>
      <c r="P267" s="267">
        <v>666085</v>
      </c>
      <c r="Q267" s="267">
        <v>0</v>
      </c>
      <c r="R267" s="267">
        <v>41698862</v>
      </c>
      <c r="S267" s="267">
        <v>0</v>
      </c>
      <c r="T267" s="267">
        <v>0</v>
      </c>
      <c r="U267" s="267">
        <v>45353437</v>
      </c>
      <c r="V267" s="267">
        <v>2536141</v>
      </c>
      <c r="W267" s="267">
        <v>18868774</v>
      </c>
      <c r="X267" s="267">
        <v>4905085</v>
      </c>
      <c r="Y267" s="267">
        <v>0</v>
      </c>
      <c r="Z267" s="267">
        <v>0</v>
      </c>
      <c r="AA267" s="267">
        <v>0</v>
      </c>
      <c r="AB267" s="267">
        <v>1108342</v>
      </c>
      <c r="AC267" s="267">
        <v>0</v>
      </c>
      <c r="AD267" s="267">
        <v>12906</v>
      </c>
      <c r="AE267" s="267">
        <v>0</v>
      </c>
      <c r="AF267" s="267">
        <v>0</v>
      </c>
      <c r="AG267" s="267">
        <v>4318678</v>
      </c>
      <c r="AH267" s="267">
        <v>807790</v>
      </c>
      <c r="AI267" s="267">
        <v>0</v>
      </c>
      <c r="AJ267" s="267">
        <v>31590758</v>
      </c>
      <c r="AK267" s="267">
        <v>0</v>
      </c>
      <c r="AL267" s="267">
        <v>0</v>
      </c>
      <c r="AM267" s="267">
        <v>0</v>
      </c>
      <c r="AN267" s="267">
        <v>1164764</v>
      </c>
      <c r="AO267" s="267">
        <v>0</v>
      </c>
      <c r="AP267" s="267">
        <v>0</v>
      </c>
      <c r="AQ267" s="267">
        <v>0</v>
      </c>
      <c r="AR267" s="267">
        <v>0</v>
      </c>
      <c r="AS267" s="267">
        <v>1738149</v>
      </c>
      <c r="AT267" s="267">
        <v>0</v>
      </c>
      <c r="AU267" s="267">
        <v>282869</v>
      </c>
      <c r="AV267" s="267">
        <v>0</v>
      </c>
      <c r="AW267" s="267">
        <v>3740356</v>
      </c>
      <c r="AX267" s="267">
        <v>0</v>
      </c>
      <c r="AY267" s="267">
        <v>0</v>
      </c>
      <c r="AZ267" s="267">
        <v>0</v>
      </c>
      <c r="BA267" s="267">
        <v>0</v>
      </c>
      <c r="BB267" s="267">
        <v>0</v>
      </c>
      <c r="BC267" s="267">
        <v>0</v>
      </c>
      <c r="BD267" s="267">
        <v>0</v>
      </c>
      <c r="BE267" s="267">
        <v>6278019</v>
      </c>
      <c r="BF267" s="267">
        <v>0</v>
      </c>
      <c r="BG267" s="267">
        <v>0</v>
      </c>
      <c r="BH267" s="267">
        <v>0</v>
      </c>
      <c r="BI267" s="267">
        <v>0</v>
      </c>
      <c r="BJ267" s="267">
        <v>0</v>
      </c>
      <c r="BK267" s="267">
        <v>0</v>
      </c>
      <c r="BL267" s="267">
        <v>2010163</v>
      </c>
      <c r="BM267" s="267">
        <v>0</v>
      </c>
      <c r="BN267" s="267">
        <v>25478</v>
      </c>
      <c r="BO267" s="267">
        <v>0</v>
      </c>
      <c r="BP267" s="267">
        <v>0</v>
      </c>
      <c r="BQ267" s="267">
        <v>0</v>
      </c>
      <c r="BR267" s="267">
        <v>0</v>
      </c>
      <c r="BS267" s="267">
        <v>30753</v>
      </c>
      <c r="BT267" s="267">
        <v>4371403</v>
      </c>
      <c r="BU267" s="267">
        <v>81799</v>
      </c>
      <c r="BV267" s="267">
        <v>1089292</v>
      </c>
      <c r="BW267" s="267">
        <v>0</v>
      </c>
      <c r="BX267" s="267">
        <v>0</v>
      </c>
      <c r="BY267" s="267">
        <v>507896</v>
      </c>
      <c r="BZ267" s="267">
        <v>0</v>
      </c>
      <c r="CA267" s="267">
        <v>0</v>
      </c>
      <c r="CB267" s="267">
        <v>0</v>
      </c>
      <c r="CC267" s="267">
        <v>0</v>
      </c>
      <c r="CD267" s="267">
        <v>0</v>
      </c>
      <c r="CE267" s="267">
        <v>0</v>
      </c>
    </row>
    <row r="268" spans="1:83" x14ac:dyDescent="0.3">
      <c r="A268" s="267">
        <v>608</v>
      </c>
      <c r="B268" s="267">
        <v>608</v>
      </c>
      <c r="C268" s="267" t="s">
        <v>687</v>
      </c>
      <c r="E268" s="267">
        <v>0</v>
      </c>
      <c r="F268" s="267">
        <v>0</v>
      </c>
      <c r="G268" s="267">
        <v>0</v>
      </c>
      <c r="H268" s="267">
        <v>0</v>
      </c>
      <c r="I268" s="267">
        <v>0</v>
      </c>
      <c r="J268" s="267">
        <v>0</v>
      </c>
      <c r="K268" s="267">
        <v>0</v>
      </c>
      <c r="L268" s="267">
        <v>0</v>
      </c>
      <c r="M268" s="267">
        <v>0</v>
      </c>
      <c r="N268" s="267">
        <v>0</v>
      </c>
      <c r="O268" s="267">
        <v>0</v>
      </c>
      <c r="P268" s="267">
        <v>0</v>
      </c>
      <c r="Q268" s="267">
        <v>0</v>
      </c>
      <c r="R268" s="267">
        <v>0</v>
      </c>
      <c r="S268" s="267">
        <v>0</v>
      </c>
      <c r="T268" s="267">
        <v>0</v>
      </c>
      <c r="U268" s="267">
        <v>0</v>
      </c>
      <c r="V268" s="267">
        <v>0</v>
      </c>
      <c r="W268" s="267">
        <v>0</v>
      </c>
      <c r="X268" s="267">
        <v>0</v>
      </c>
      <c r="Y268" s="267">
        <v>0</v>
      </c>
      <c r="Z268" s="267">
        <v>0</v>
      </c>
      <c r="AA268" s="267">
        <v>0</v>
      </c>
      <c r="AB268" s="267">
        <v>0</v>
      </c>
      <c r="AC268" s="267">
        <v>0</v>
      </c>
      <c r="AD268" s="267">
        <v>0</v>
      </c>
      <c r="AE268" s="267">
        <v>0</v>
      </c>
      <c r="AF268" s="267">
        <v>0</v>
      </c>
      <c r="AG268" s="267">
        <v>0</v>
      </c>
      <c r="AH268" s="267">
        <v>0</v>
      </c>
      <c r="AI268" s="267">
        <v>0</v>
      </c>
      <c r="AJ268" s="267">
        <v>0</v>
      </c>
      <c r="AK268" s="267">
        <v>0</v>
      </c>
      <c r="AL268" s="267">
        <v>0</v>
      </c>
      <c r="AM268" s="267">
        <v>0</v>
      </c>
      <c r="AN268" s="267">
        <v>0</v>
      </c>
      <c r="AO268" s="267">
        <v>0</v>
      </c>
      <c r="AP268" s="267">
        <v>0</v>
      </c>
      <c r="AQ268" s="267">
        <v>0</v>
      </c>
      <c r="AR268" s="267">
        <v>0</v>
      </c>
      <c r="AS268" s="267">
        <v>0</v>
      </c>
      <c r="AT268" s="267">
        <v>0</v>
      </c>
      <c r="AU268" s="267">
        <v>0</v>
      </c>
      <c r="AV268" s="267">
        <v>0</v>
      </c>
      <c r="AW268" s="267">
        <v>0</v>
      </c>
      <c r="AX268" s="267">
        <v>0</v>
      </c>
      <c r="AY268" s="267">
        <v>0</v>
      </c>
      <c r="AZ268" s="267">
        <v>0</v>
      </c>
      <c r="BA268" s="267">
        <v>0</v>
      </c>
      <c r="BB268" s="267">
        <v>0</v>
      </c>
      <c r="BC268" s="267">
        <v>0</v>
      </c>
      <c r="BD268" s="267">
        <v>0</v>
      </c>
      <c r="BE268" s="267">
        <v>0</v>
      </c>
      <c r="BF268" s="267">
        <v>0</v>
      </c>
      <c r="BG268" s="267">
        <v>0</v>
      </c>
      <c r="BH268" s="267">
        <v>0</v>
      </c>
      <c r="BI268" s="267">
        <v>0</v>
      </c>
      <c r="BJ268" s="267">
        <v>0</v>
      </c>
      <c r="BK268" s="267">
        <v>0</v>
      </c>
      <c r="BL268" s="267">
        <v>0</v>
      </c>
      <c r="BM268" s="267">
        <v>0</v>
      </c>
      <c r="BN268" s="267">
        <v>0</v>
      </c>
      <c r="BO268" s="267">
        <v>0</v>
      </c>
      <c r="BP268" s="267">
        <v>0</v>
      </c>
      <c r="BQ268" s="267">
        <v>0</v>
      </c>
      <c r="BR268" s="267">
        <v>0</v>
      </c>
      <c r="BS268" s="267">
        <v>0</v>
      </c>
      <c r="BT268" s="267">
        <v>0</v>
      </c>
      <c r="BU268" s="267">
        <v>0</v>
      </c>
      <c r="BV268" s="267">
        <v>0</v>
      </c>
      <c r="BW268" s="267">
        <v>0</v>
      </c>
      <c r="BX268" s="267">
        <v>0</v>
      </c>
      <c r="BY268" s="267">
        <v>0</v>
      </c>
      <c r="BZ268" s="267">
        <v>0</v>
      </c>
      <c r="CA268" s="267">
        <v>0</v>
      </c>
      <c r="CB268" s="267">
        <v>0</v>
      </c>
      <c r="CC268" s="267">
        <v>0</v>
      </c>
      <c r="CD268" s="267">
        <v>0</v>
      </c>
      <c r="CE268" s="267">
        <v>0</v>
      </c>
    </row>
    <row r="269" spans="1:83" x14ac:dyDescent="0.3">
      <c r="A269" s="267">
        <v>609</v>
      </c>
      <c r="B269" s="267">
        <v>609</v>
      </c>
      <c r="C269" s="267" t="s">
        <v>707</v>
      </c>
      <c r="E269" s="267">
        <v>0</v>
      </c>
      <c r="F269" s="267">
        <v>0</v>
      </c>
      <c r="G269" s="267">
        <v>0</v>
      </c>
      <c r="H269" s="267">
        <v>0</v>
      </c>
      <c r="I269" s="267">
        <v>0</v>
      </c>
      <c r="J269" s="267">
        <v>0</v>
      </c>
      <c r="K269" s="267">
        <v>0</v>
      </c>
      <c r="L269" s="267">
        <v>0</v>
      </c>
      <c r="M269" s="267">
        <v>0</v>
      </c>
      <c r="N269" s="267">
        <v>0</v>
      </c>
      <c r="O269" s="267">
        <v>0</v>
      </c>
      <c r="P269" s="267">
        <v>0</v>
      </c>
      <c r="Q269" s="267">
        <v>0</v>
      </c>
      <c r="R269" s="267">
        <v>0</v>
      </c>
      <c r="S269" s="267">
        <v>0</v>
      </c>
      <c r="T269" s="267">
        <v>0</v>
      </c>
      <c r="U269" s="267">
        <v>0</v>
      </c>
      <c r="V269" s="267">
        <v>0</v>
      </c>
      <c r="W269" s="267">
        <v>0</v>
      </c>
      <c r="X269" s="267">
        <v>0</v>
      </c>
      <c r="Y269" s="267">
        <v>0</v>
      </c>
      <c r="Z269" s="267">
        <v>0</v>
      </c>
      <c r="AA269" s="267">
        <v>0</v>
      </c>
      <c r="AB269" s="267">
        <v>0</v>
      </c>
      <c r="AC269" s="267">
        <v>0</v>
      </c>
      <c r="AD269" s="267">
        <v>0</v>
      </c>
      <c r="AE269" s="267">
        <v>0</v>
      </c>
      <c r="AF269" s="267">
        <v>0</v>
      </c>
      <c r="AG269" s="267">
        <v>0</v>
      </c>
      <c r="AH269" s="267">
        <v>0</v>
      </c>
      <c r="AI269" s="267">
        <v>0</v>
      </c>
      <c r="AJ269" s="267">
        <v>0</v>
      </c>
      <c r="AK269" s="267">
        <v>0</v>
      </c>
      <c r="AL269" s="267">
        <v>0</v>
      </c>
      <c r="AM269" s="267">
        <v>0</v>
      </c>
      <c r="AN269" s="267">
        <v>0</v>
      </c>
      <c r="AO269" s="267">
        <v>0</v>
      </c>
      <c r="AP269" s="267">
        <v>0</v>
      </c>
      <c r="AQ269" s="267">
        <v>0</v>
      </c>
      <c r="AR269" s="267">
        <v>0</v>
      </c>
      <c r="AS269" s="267">
        <v>0</v>
      </c>
      <c r="AT269" s="267">
        <v>0</v>
      </c>
      <c r="AU269" s="267">
        <v>0</v>
      </c>
      <c r="AV269" s="267">
        <v>0</v>
      </c>
      <c r="AW269" s="267">
        <v>0</v>
      </c>
      <c r="AX269" s="267">
        <v>0</v>
      </c>
      <c r="AY269" s="267">
        <v>0</v>
      </c>
      <c r="AZ269" s="267">
        <v>0</v>
      </c>
      <c r="BA269" s="267">
        <v>0</v>
      </c>
      <c r="BB269" s="267">
        <v>0</v>
      </c>
      <c r="BC269" s="267">
        <v>0</v>
      </c>
      <c r="BD269" s="267">
        <v>0</v>
      </c>
      <c r="BE269" s="267">
        <v>0</v>
      </c>
      <c r="BF269" s="267">
        <v>0</v>
      </c>
      <c r="BG269" s="267">
        <v>0</v>
      </c>
      <c r="BH269" s="267">
        <v>0</v>
      </c>
      <c r="BI269" s="267">
        <v>0</v>
      </c>
      <c r="BJ269" s="267">
        <v>0</v>
      </c>
      <c r="BK269" s="267">
        <v>0</v>
      </c>
      <c r="BL269" s="267">
        <v>0</v>
      </c>
      <c r="BM269" s="267">
        <v>0</v>
      </c>
      <c r="BN269" s="267">
        <v>0</v>
      </c>
      <c r="BO269" s="267">
        <v>0</v>
      </c>
      <c r="BP269" s="267">
        <v>0</v>
      </c>
      <c r="BQ269" s="267">
        <v>0</v>
      </c>
      <c r="BR269" s="267">
        <v>0</v>
      </c>
      <c r="BS269" s="267">
        <v>0</v>
      </c>
      <c r="BT269" s="267">
        <v>0</v>
      </c>
      <c r="BU269" s="267">
        <v>0</v>
      </c>
      <c r="BV269" s="267">
        <v>0</v>
      </c>
      <c r="BW269" s="267">
        <v>0</v>
      </c>
      <c r="BX269" s="267">
        <v>0</v>
      </c>
      <c r="BY269" s="267">
        <v>0</v>
      </c>
      <c r="BZ269" s="267">
        <v>0</v>
      </c>
      <c r="CA269" s="267">
        <v>0</v>
      </c>
      <c r="CB269" s="267">
        <v>0</v>
      </c>
      <c r="CC269" s="267">
        <v>0</v>
      </c>
      <c r="CD269" s="267">
        <v>0</v>
      </c>
      <c r="CE269" s="267">
        <v>0</v>
      </c>
    </row>
    <row r="270" spans="1:83" x14ac:dyDescent="0.3">
      <c r="A270" s="267">
        <v>610</v>
      </c>
      <c r="B270" s="267">
        <v>610</v>
      </c>
      <c r="C270" s="267" t="s">
        <v>688</v>
      </c>
      <c r="E270" s="267">
        <v>0</v>
      </c>
      <c r="F270" s="267">
        <v>0</v>
      </c>
      <c r="G270" s="267">
        <v>0</v>
      </c>
      <c r="H270" s="267">
        <v>0</v>
      </c>
      <c r="I270" s="267">
        <v>0</v>
      </c>
      <c r="J270" s="267">
        <v>0</v>
      </c>
      <c r="K270" s="267">
        <v>0</v>
      </c>
      <c r="L270" s="267">
        <v>0</v>
      </c>
      <c r="M270" s="267">
        <v>0</v>
      </c>
      <c r="N270" s="267">
        <v>0</v>
      </c>
      <c r="O270" s="267">
        <v>0</v>
      </c>
      <c r="P270" s="267">
        <v>0</v>
      </c>
      <c r="Q270" s="267">
        <v>0</v>
      </c>
      <c r="R270" s="267">
        <v>0</v>
      </c>
      <c r="S270" s="267">
        <v>0</v>
      </c>
      <c r="T270" s="267">
        <v>0</v>
      </c>
      <c r="U270" s="267">
        <v>0</v>
      </c>
      <c r="V270" s="267">
        <v>0</v>
      </c>
      <c r="W270" s="267">
        <v>0</v>
      </c>
      <c r="X270" s="267">
        <v>0</v>
      </c>
      <c r="Y270" s="267">
        <v>0</v>
      </c>
      <c r="Z270" s="267">
        <v>0</v>
      </c>
      <c r="AA270" s="267">
        <v>0</v>
      </c>
      <c r="AB270" s="267">
        <v>0</v>
      </c>
      <c r="AC270" s="267">
        <v>0</v>
      </c>
      <c r="AD270" s="267">
        <v>0</v>
      </c>
      <c r="AE270" s="267">
        <v>0</v>
      </c>
      <c r="AF270" s="267">
        <v>0</v>
      </c>
      <c r="AG270" s="267">
        <v>0</v>
      </c>
      <c r="AH270" s="267">
        <v>0</v>
      </c>
      <c r="AI270" s="267">
        <v>0</v>
      </c>
      <c r="AJ270" s="267">
        <v>0</v>
      </c>
      <c r="AK270" s="267">
        <v>0</v>
      </c>
      <c r="AL270" s="267">
        <v>0</v>
      </c>
      <c r="AM270" s="267">
        <v>0</v>
      </c>
      <c r="AN270" s="267">
        <v>0</v>
      </c>
      <c r="AO270" s="267">
        <v>0</v>
      </c>
      <c r="AP270" s="267">
        <v>0</v>
      </c>
      <c r="AQ270" s="267">
        <v>0</v>
      </c>
      <c r="AR270" s="267">
        <v>0</v>
      </c>
      <c r="AS270" s="267">
        <v>0</v>
      </c>
      <c r="AT270" s="267">
        <v>0</v>
      </c>
      <c r="AU270" s="267">
        <v>0</v>
      </c>
      <c r="AV270" s="267">
        <v>0</v>
      </c>
      <c r="AW270" s="267">
        <v>0</v>
      </c>
      <c r="AX270" s="267">
        <v>0</v>
      </c>
      <c r="AY270" s="267">
        <v>0</v>
      </c>
      <c r="AZ270" s="267">
        <v>0</v>
      </c>
      <c r="BA270" s="267">
        <v>0</v>
      </c>
      <c r="BB270" s="267">
        <v>0</v>
      </c>
      <c r="BC270" s="267">
        <v>0</v>
      </c>
      <c r="BD270" s="267">
        <v>0</v>
      </c>
      <c r="BE270" s="267">
        <v>0</v>
      </c>
      <c r="BF270" s="267">
        <v>0</v>
      </c>
      <c r="BG270" s="267">
        <v>0</v>
      </c>
      <c r="BH270" s="267">
        <v>0</v>
      </c>
      <c r="BI270" s="267">
        <v>0</v>
      </c>
      <c r="BJ270" s="267">
        <v>0</v>
      </c>
      <c r="BK270" s="267">
        <v>0</v>
      </c>
      <c r="BL270" s="267">
        <v>0</v>
      </c>
      <c r="BM270" s="267">
        <v>0</v>
      </c>
      <c r="BN270" s="267">
        <v>0</v>
      </c>
      <c r="BO270" s="267">
        <v>0</v>
      </c>
      <c r="BP270" s="267">
        <v>0</v>
      </c>
      <c r="BQ270" s="267">
        <v>0</v>
      </c>
      <c r="BR270" s="267">
        <v>0</v>
      </c>
      <c r="BS270" s="267">
        <v>0</v>
      </c>
      <c r="BT270" s="267">
        <v>0</v>
      </c>
      <c r="BU270" s="267">
        <v>0</v>
      </c>
      <c r="BV270" s="267">
        <v>0</v>
      </c>
      <c r="BW270" s="267">
        <v>0</v>
      </c>
      <c r="BX270" s="267">
        <v>0</v>
      </c>
      <c r="BY270" s="267">
        <v>0</v>
      </c>
      <c r="BZ270" s="267">
        <v>0</v>
      </c>
      <c r="CA270" s="267">
        <v>0</v>
      </c>
      <c r="CB270" s="267">
        <v>0</v>
      </c>
      <c r="CC270" s="267">
        <v>0</v>
      </c>
      <c r="CD270" s="267">
        <v>0</v>
      </c>
      <c r="CE270" s="267">
        <v>0</v>
      </c>
    </row>
    <row r="271" spans="1:83" x14ac:dyDescent="0.3">
      <c r="A271" s="267">
        <v>611</v>
      </c>
      <c r="B271" s="267">
        <v>611</v>
      </c>
      <c r="C271" s="267" t="s">
        <v>689</v>
      </c>
      <c r="E271" s="267">
        <v>0</v>
      </c>
      <c r="F271" s="267">
        <v>0</v>
      </c>
      <c r="G271" s="267">
        <v>0</v>
      </c>
      <c r="H271" s="267">
        <v>0</v>
      </c>
      <c r="I271" s="267">
        <v>0</v>
      </c>
      <c r="J271" s="267">
        <v>0</v>
      </c>
      <c r="K271" s="267">
        <v>0</v>
      </c>
      <c r="L271" s="267">
        <v>0</v>
      </c>
      <c r="M271" s="267">
        <v>0</v>
      </c>
      <c r="N271" s="267">
        <v>0</v>
      </c>
      <c r="O271" s="267">
        <v>0</v>
      </c>
      <c r="P271" s="267">
        <v>0</v>
      </c>
      <c r="Q271" s="267">
        <v>0</v>
      </c>
      <c r="R271" s="267">
        <v>0</v>
      </c>
      <c r="S271" s="267">
        <v>0</v>
      </c>
      <c r="T271" s="267">
        <v>0</v>
      </c>
      <c r="U271" s="267">
        <v>0</v>
      </c>
      <c r="V271" s="267">
        <v>0</v>
      </c>
      <c r="W271" s="267">
        <v>0</v>
      </c>
      <c r="X271" s="267">
        <v>0</v>
      </c>
      <c r="Y271" s="267">
        <v>0</v>
      </c>
      <c r="Z271" s="267">
        <v>0</v>
      </c>
      <c r="AA271" s="267">
        <v>0</v>
      </c>
      <c r="AB271" s="267">
        <v>0</v>
      </c>
      <c r="AC271" s="267">
        <v>0</v>
      </c>
      <c r="AD271" s="267">
        <v>0</v>
      </c>
      <c r="AE271" s="267">
        <v>0</v>
      </c>
      <c r="AF271" s="267">
        <v>0</v>
      </c>
      <c r="AG271" s="267">
        <v>0</v>
      </c>
      <c r="AH271" s="267">
        <v>0</v>
      </c>
      <c r="AI271" s="267">
        <v>0</v>
      </c>
      <c r="AJ271" s="267">
        <v>0</v>
      </c>
      <c r="AK271" s="267">
        <v>0</v>
      </c>
      <c r="AL271" s="267">
        <v>0</v>
      </c>
      <c r="AM271" s="267">
        <v>0</v>
      </c>
      <c r="AN271" s="267">
        <v>0</v>
      </c>
      <c r="AO271" s="267">
        <v>0</v>
      </c>
      <c r="AP271" s="267">
        <v>0</v>
      </c>
      <c r="AQ271" s="267">
        <v>0</v>
      </c>
      <c r="AR271" s="267">
        <v>0</v>
      </c>
      <c r="AS271" s="267">
        <v>0</v>
      </c>
      <c r="AT271" s="267">
        <v>0</v>
      </c>
      <c r="AU271" s="267">
        <v>0</v>
      </c>
      <c r="AV271" s="267">
        <v>0</v>
      </c>
      <c r="AW271" s="267">
        <v>0</v>
      </c>
      <c r="AX271" s="267">
        <v>0</v>
      </c>
      <c r="AY271" s="267">
        <v>0</v>
      </c>
      <c r="AZ271" s="267">
        <v>0</v>
      </c>
      <c r="BA271" s="267">
        <v>0</v>
      </c>
      <c r="BB271" s="267">
        <v>0</v>
      </c>
      <c r="BC271" s="267">
        <v>0</v>
      </c>
      <c r="BD271" s="267">
        <v>0</v>
      </c>
      <c r="BE271" s="267">
        <v>0</v>
      </c>
      <c r="BF271" s="267">
        <v>0</v>
      </c>
      <c r="BG271" s="267">
        <v>0</v>
      </c>
      <c r="BH271" s="267">
        <v>0</v>
      </c>
      <c r="BI271" s="267">
        <v>0</v>
      </c>
      <c r="BJ271" s="267">
        <v>0</v>
      </c>
      <c r="BK271" s="267">
        <v>0</v>
      </c>
      <c r="BL271" s="267">
        <v>0</v>
      </c>
      <c r="BM271" s="267">
        <v>0</v>
      </c>
      <c r="BN271" s="267">
        <v>0</v>
      </c>
      <c r="BO271" s="267">
        <v>0</v>
      </c>
      <c r="BP271" s="267">
        <v>0</v>
      </c>
      <c r="BQ271" s="267">
        <v>0</v>
      </c>
      <c r="BR271" s="267">
        <v>0</v>
      </c>
      <c r="BS271" s="267">
        <v>0</v>
      </c>
      <c r="BT271" s="267">
        <v>0</v>
      </c>
      <c r="BU271" s="267">
        <v>0</v>
      </c>
      <c r="BV271" s="267">
        <v>0</v>
      </c>
      <c r="BW271" s="267">
        <v>0</v>
      </c>
      <c r="BX271" s="267">
        <v>0</v>
      </c>
      <c r="BY271" s="267">
        <v>0</v>
      </c>
      <c r="BZ271" s="267">
        <v>0</v>
      </c>
      <c r="CA271" s="267">
        <v>0</v>
      </c>
      <c r="CB271" s="267">
        <v>0</v>
      </c>
      <c r="CC271" s="267">
        <v>0</v>
      </c>
      <c r="CD271" s="267">
        <v>0</v>
      </c>
      <c r="CE271" s="267">
        <v>0</v>
      </c>
    </row>
    <row r="272" spans="1:83" x14ac:dyDescent="0.3">
      <c r="A272" s="267">
        <v>612</v>
      </c>
      <c r="B272" s="267">
        <v>612</v>
      </c>
      <c r="C272" s="267" t="s">
        <v>708</v>
      </c>
      <c r="E272" s="267">
        <v>0</v>
      </c>
      <c r="F272" s="267">
        <v>0</v>
      </c>
      <c r="G272" s="267">
        <v>0</v>
      </c>
      <c r="H272" s="267">
        <v>0</v>
      </c>
      <c r="I272" s="267">
        <v>0</v>
      </c>
      <c r="J272" s="267">
        <v>0</v>
      </c>
      <c r="K272" s="267">
        <v>0</v>
      </c>
      <c r="L272" s="267">
        <v>0</v>
      </c>
      <c r="M272" s="267">
        <v>0</v>
      </c>
      <c r="N272" s="267">
        <v>0</v>
      </c>
      <c r="O272" s="267">
        <v>0</v>
      </c>
      <c r="P272" s="267">
        <v>0</v>
      </c>
      <c r="Q272" s="267">
        <v>0</v>
      </c>
      <c r="R272" s="267">
        <v>0</v>
      </c>
      <c r="S272" s="267">
        <v>0</v>
      </c>
      <c r="T272" s="267">
        <v>0</v>
      </c>
      <c r="U272" s="267">
        <v>0</v>
      </c>
      <c r="V272" s="267">
        <v>0</v>
      </c>
      <c r="W272" s="267">
        <v>0</v>
      </c>
      <c r="X272" s="267">
        <v>0</v>
      </c>
      <c r="Y272" s="267">
        <v>0</v>
      </c>
      <c r="Z272" s="267">
        <v>0</v>
      </c>
      <c r="AA272" s="267">
        <v>0</v>
      </c>
      <c r="AB272" s="267">
        <v>0</v>
      </c>
      <c r="AC272" s="267">
        <v>0</v>
      </c>
      <c r="AD272" s="267">
        <v>0</v>
      </c>
      <c r="AE272" s="267">
        <v>0</v>
      </c>
      <c r="AF272" s="267">
        <v>0</v>
      </c>
      <c r="AG272" s="267">
        <v>0</v>
      </c>
      <c r="AH272" s="267">
        <v>0</v>
      </c>
      <c r="AI272" s="267">
        <v>0</v>
      </c>
      <c r="AJ272" s="267">
        <v>0</v>
      </c>
      <c r="AK272" s="267">
        <v>0</v>
      </c>
      <c r="AL272" s="267">
        <v>0</v>
      </c>
      <c r="AM272" s="267">
        <v>0</v>
      </c>
      <c r="AN272" s="267">
        <v>0</v>
      </c>
      <c r="AO272" s="267">
        <v>0</v>
      </c>
      <c r="AP272" s="267">
        <v>0</v>
      </c>
      <c r="AQ272" s="267">
        <v>0</v>
      </c>
      <c r="AR272" s="267">
        <v>0</v>
      </c>
      <c r="AS272" s="267">
        <v>0</v>
      </c>
      <c r="AT272" s="267">
        <v>0</v>
      </c>
      <c r="AU272" s="267">
        <v>0</v>
      </c>
      <c r="AV272" s="267">
        <v>0</v>
      </c>
      <c r="AW272" s="267">
        <v>0</v>
      </c>
      <c r="AX272" s="267">
        <v>0</v>
      </c>
      <c r="AY272" s="267">
        <v>0</v>
      </c>
      <c r="AZ272" s="267">
        <v>0</v>
      </c>
      <c r="BA272" s="267">
        <v>0</v>
      </c>
      <c r="BB272" s="267">
        <v>0</v>
      </c>
      <c r="BC272" s="267">
        <v>0</v>
      </c>
      <c r="BD272" s="267">
        <v>0</v>
      </c>
      <c r="BE272" s="267">
        <v>0</v>
      </c>
      <c r="BF272" s="267">
        <v>0</v>
      </c>
      <c r="BG272" s="267">
        <v>0</v>
      </c>
      <c r="BH272" s="267">
        <v>0</v>
      </c>
      <c r="BI272" s="267">
        <v>0</v>
      </c>
      <c r="BJ272" s="267">
        <v>0</v>
      </c>
      <c r="BK272" s="267">
        <v>0</v>
      </c>
      <c r="BL272" s="267">
        <v>0</v>
      </c>
      <c r="BM272" s="267">
        <v>0</v>
      </c>
      <c r="BN272" s="267">
        <v>0</v>
      </c>
      <c r="BO272" s="267">
        <v>0</v>
      </c>
      <c r="BP272" s="267">
        <v>0</v>
      </c>
      <c r="BQ272" s="267">
        <v>0</v>
      </c>
      <c r="BR272" s="267">
        <v>0</v>
      </c>
      <c r="BS272" s="267">
        <v>0</v>
      </c>
      <c r="BT272" s="267">
        <v>0</v>
      </c>
      <c r="BU272" s="267">
        <v>0</v>
      </c>
      <c r="BV272" s="267">
        <v>0</v>
      </c>
      <c r="BW272" s="267">
        <v>0</v>
      </c>
      <c r="BX272" s="267">
        <v>0</v>
      </c>
      <c r="BY272" s="267">
        <v>0</v>
      </c>
      <c r="BZ272" s="267">
        <v>0</v>
      </c>
      <c r="CA272" s="267">
        <v>0</v>
      </c>
      <c r="CB272" s="267">
        <v>0</v>
      </c>
      <c r="CC272" s="267">
        <v>0</v>
      </c>
      <c r="CD272" s="267">
        <v>0</v>
      </c>
      <c r="CE272" s="267">
        <v>0</v>
      </c>
    </row>
    <row r="273" spans="1:83" x14ac:dyDescent="0.3">
      <c r="A273" s="267">
        <v>613</v>
      </c>
      <c r="B273" s="267">
        <v>613</v>
      </c>
      <c r="C273" s="267" t="s">
        <v>697</v>
      </c>
      <c r="E273" s="267">
        <v>0</v>
      </c>
      <c r="F273" s="267">
        <v>0</v>
      </c>
      <c r="G273" s="267">
        <v>0</v>
      </c>
      <c r="H273" s="267">
        <v>0</v>
      </c>
      <c r="I273" s="267">
        <v>0</v>
      </c>
      <c r="J273" s="267">
        <v>0</v>
      </c>
      <c r="K273" s="267">
        <v>0</v>
      </c>
      <c r="L273" s="267">
        <v>0</v>
      </c>
      <c r="M273" s="267">
        <v>0</v>
      </c>
      <c r="N273" s="267">
        <v>0</v>
      </c>
      <c r="O273" s="267">
        <v>0</v>
      </c>
      <c r="P273" s="267">
        <v>0</v>
      </c>
      <c r="Q273" s="267">
        <v>0</v>
      </c>
      <c r="R273" s="267">
        <v>0</v>
      </c>
      <c r="S273" s="267">
        <v>0</v>
      </c>
      <c r="T273" s="267">
        <v>0</v>
      </c>
      <c r="U273" s="267">
        <v>0</v>
      </c>
      <c r="V273" s="267">
        <v>0</v>
      </c>
      <c r="W273" s="267">
        <v>0</v>
      </c>
      <c r="X273" s="267">
        <v>0</v>
      </c>
      <c r="Y273" s="267">
        <v>0</v>
      </c>
      <c r="Z273" s="267">
        <v>0</v>
      </c>
      <c r="AA273" s="267">
        <v>0</v>
      </c>
      <c r="AB273" s="267">
        <v>0</v>
      </c>
      <c r="AC273" s="267">
        <v>0</v>
      </c>
      <c r="AD273" s="267">
        <v>0</v>
      </c>
      <c r="AE273" s="267">
        <v>0</v>
      </c>
      <c r="AF273" s="267">
        <v>0</v>
      </c>
      <c r="AG273" s="267">
        <v>0</v>
      </c>
      <c r="AH273" s="267">
        <v>0</v>
      </c>
      <c r="AI273" s="267">
        <v>0</v>
      </c>
      <c r="AJ273" s="267">
        <v>0</v>
      </c>
      <c r="AK273" s="267">
        <v>0</v>
      </c>
      <c r="AL273" s="267">
        <v>0</v>
      </c>
      <c r="AM273" s="267">
        <v>0</v>
      </c>
      <c r="AN273" s="267">
        <v>0</v>
      </c>
      <c r="AO273" s="267">
        <v>0</v>
      </c>
      <c r="AP273" s="267">
        <v>0</v>
      </c>
      <c r="AQ273" s="267">
        <v>0</v>
      </c>
      <c r="AR273" s="267">
        <v>0</v>
      </c>
      <c r="AS273" s="267">
        <v>0</v>
      </c>
      <c r="AT273" s="267">
        <v>0</v>
      </c>
      <c r="AU273" s="267">
        <v>0</v>
      </c>
      <c r="AV273" s="267">
        <v>0</v>
      </c>
      <c r="AW273" s="267">
        <v>0</v>
      </c>
      <c r="AX273" s="267">
        <v>0</v>
      </c>
      <c r="AY273" s="267">
        <v>0</v>
      </c>
      <c r="AZ273" s="267">
        <v>0</v>
      </c>
      <c r="BA273" s="267">
        <v>0</v>
      </c>
      <c r="BB273" s="267">
        <v>0</v>
      </c>
      <c r="BC273" s="267">
        <v>0</v>
      </c>
      <c r="BD273" s="267">
        <v>0</v>
      </c>
      <c r="BE273" s="267">
        <v>0</v>
      </c>
      <c r="BF273" s="267">
        <v>0</v>
      </c>
      <c r="BG273" s="267">
        <v>0</v>
      </c>
      <c r="BH273" s="267">
        <v>0</v>
      </c>
      <c r="BI273" s="267">
        <v>0</v>
      </c>
      <c r="BJ273" s="267">
        <v>0</v>
      </c>
      <c r="BK273" s="267">
        <v>0</v>
      </c>
      <c r="BL273" s="267">
        <v>0</v>
      </c>
      <c r="BM273" s="267">
        <v>0</v>
      </c>
      <c r="BN273" s="267">
        <v>0</v>
      </c>
      <c r="BO273" s="267">
        <v>0</v>
      </c>
      <c r="BP273" s="267">
        <v>0</v>
      </c>
      <c r="BQ273" s="267">
        <v>0</v>
      </c>
      <c r="BR273" s="267">
        <v>0</v>
      </c>
      <c r="BS273" s="267">
        <v>0</v>
      </c>
      <c r="BT273" s="267">
        <v>0</v>
      </c>
      <c r="BU273" s="267">
        <v>0</v>
      </c>
      <c r="BV273" s="267">
        <v>0</v>
      </c>
      <c r="BW273" s="267">
        <v>0</v>
      </c>
      <c r="BX273" s="267">
        <v>0</v>
      </c>
      <c r="BY273" s="267">
        <v>0</v>
      </c>
      <c r="BZ273" s="267">
        <v>0</v>
      </c>
      <c r="CA273" s="267">
        <v>0</v>
      </c>
      <c r="CB273" s="267">
        <v>0</v>
      </c>
      <c r="CC273" s="267">
        <v>0</v>
      </c>
      <c r="CD273" s="267">
        <v>0</v>
      </c>
      <c r="CE273" s="267">
        <v>0</v>
      </c>
    </row>
    <row r="274" spans="1:83" x14ac:dyDescent="0.3">
      <c r="A274" s="267">
        <v>614</v>
      </c>
      <c r="B274" s="267">
        <v>614</v>
      </c>
      <c r="C274" s="267" t="s">
        <v>690</v>
      </c>
      <c r="E274" s="267">
        <v>0</v>
      </c>
      <c r="F274" s="267">
        <v>0</v>
      </c>
      <c r="G274" s="267">
        <v>0</v>
      </c>
      <c r="H274" s="267">
        <v>0</v>
      </c>
      <c r="I274" s="267">
        <v>0</v>
      </c>
      <c r="J274" s="267">
        <v>0</v>
      </c>
      <c r="K274" s="267">
        <v>0</v>
      </c>
      <c r="L274" s="267">
        <v>0</v>
      </c>
      <c r="M274" s="267">
        <v>0</v>
      </c>
      <c r="N274" s="267">
        <v>0</v>
      </c>
      <c r="O274" s="267">
        <v>0</v>
      </c>
      <c r="P274" s="267">
        <v>0</v>
      </c>
      <c r="Q274" s="267">
        <v>0</v>
      </c>
      <c r="R274" s="267">
        <v>0</v>
      </c>
      <c r="S274" s="267">
        <v>0</v>
      </c>
      <c r="T274" s="267">
        <v>0</v>
      </c>
      <c r="U274" s="267">
        <v>0</v>
      </c>
      <c r="V274" s="267">
        <v>0</v>
      </c>
      <c r="W274" s="267">
        <v>0</v>
      </c>
      <c r="X274" s="267">
        <v>0</v>
      </c>
      <c r="Y274" s="267">
        <v>0</v>
      </c>
      <c r="Z274" s="267">
        <v>0</v>
      </c>
      <c r="AA274" s="267">
        <v>0</v>
      </c>
      <c r="AB274" s="267">
        <v>0</v>
      </c>
      <c r="AC274" s="267">
        <v>0</v>
      </c>
      <c r="AD274" s="267">
        <v>0</v>
      </c>
      <c r="AE274" s="267">
        <v>0</v>
      </c>
      <c r="AF274" s="267">
        <v>0</v>
      </c>
      <c r="AG274" s="267">
        <v>0</v>
      </c>
      <c r="AH274" s="267">
        <v>0</v>
      </c>
      <c r="AI274" s="267">
        <v>0</v>
      </c>
      <c r="AJ274" s="267">
        <v>0</v>
      </c>
      <c r="AK274" s="267">
        <v>0</v>
      </c>
      <c r="AL274" s="267">
        <v>0</v>
      </c>
      <c r="AM274" s="267">
        <v>0</v>
      </c>
      <c r="AN274" s="267">
        <v>0</v>
      </c>
      <c r="AO274" s="267">
        <v>0</v>
      </c>
      <c r="AP274" s="267">
        <v>0</v>
      </c>
      <c r="AQ274" s="267">
        <v>0</v>
      </c>
      <c r="AR274" s="267">
        <v>0</v>
      </c>
      <c r="AS274" s="267">
        <v>0</v>
      </c>
      <c r="AT274" s="267">
        <v>0</v>
      </c>
      <c r="AU274" s="267">
        <v>0</v>
      </c>
      <c r="AV274" s="267">
        <v>0</v>
      </c>
      <c r="AW274" s="267">
        <v>0</v>
      </c>
      <c r="AX274" s="267">
        <v>0</v>
      </c>
      <c r="AY274" s="267">
        <v>0</v>
      </c>
      <c r="AZ274" s="267">
        <v>0</v>
      </c>
      <c r="BA274" s="267">
        <v>0</v>
      </c>
      <c r="BB274" s="267">
        <v>0</v>
      </c>
      <c r="BC274" s="267">
        <v>0</v>
      </c>
      <c r="BD274" s="267">
        <v>0</v>
      </c>
      <c r="BE274" s="267">
        <v>0</v>
      </c>
      <c r="BF274" s="267">
        <v>0</v>
      </c>
      <c r="BG274" s="267">
        <v>0</v>
      </c>
      <c r="BH274" s="267">
        <v>0</v>
      </c>
      <c r="BI274" s="267">
        <v>0</v>
      </c>
      <c r="BJ274" s="267">
        <v>0</v>
      </c>
      <c r="BK274" s="267">
        <v>0</v>
      </c>
      <c r="BL274" s="267">
        <v>0</v>
      </c>
      <c r="BM274" s="267">
        <v>0</v>
      </c>
      <c r="BN274" s="267">
        <v>0</v>
      </c>
      <c r="BO274" s="267">
        <v>0</v>
      </c>
      <c r="BP274" s="267">
        <v>0</v>
      </c>
      <c r="BQ274" s="267">
        <v>0</v>
      </c>
      <c r="BR274" s="267">
        <v>0</v>
      </c>
      <c r="BS274" s="267">
        <v>0</v>
      </c>
      <c r="BT274" s="267">
        <v>0</v>
      </c>
      <c r="BU274" s="267">
        <v>0</v>
      </c>
      <c r="BV274" s="267">
        <v>0</v>
      </c>
      <c r="BW274" s="267">
        <v>0</v>
      </c>
      <c r="BX274" s="267">
        <v>0</v>
      </c>
      <c r="BY274" s="267">
        <v>0</v>
      </c>
      <c r="BZ274" s="267">
        <v>0</v>
      </c>
      <c r="CA274" s="267">
        <v>0</v>
      </c>
      <c r="CB274" s="267">
        <v>0</v>
      </c>
      <c r="CC274" s="267">
        <v>0</v>
      </c>
      <c r="CD274" s="267">
        <v>0</v>
      </c>
      <c r="CE274" s="267">
        <v>0</v>
      </c>
    </row>
    <row r="275" spans="1:83" x14ac:dyDescent="0.3">
      <c r="A275" s="267">
        <v>615</v>
      </c>
      <c r="B275" s="267">
        <v>615</v>
      </c>
      <c r="C275" s="267" t="s">
        <v>709</v>
      </c>
      <c r="E275" s="267">
        <v>0</v>
      </c>
      <c r="F275" s="267">
        <v>0</v>
      </c>
      <c r="G275" s="267">
        <v>0</v>
      </c>
      <c r="H275" s="267">
        <v>0</v>
      </c>
      <c r="I275" s="267">
        <v>0</v>
      </c>
      <c r="J275" s="267">
        <v>0</v>
      </c>
      <c r="K275" s="267">
        <v>0</v>
      </c>
      <c r="L275" s="267">
        <v>0</v>
      </c>
      <c r="M275" s="267">
        <v>0</v>
      </c>
      <c r="N275" s="267">
        <v>0</v>
      </c>
      <c r="O275" s="267">
        <v>0</v>
      </c>
      <c r="P275" s="267">
        <v>0</v>
      </c>
      <c r="Q275" s="267">
        <v>0</v>
      </c>
      <c r="R275" s="267">
        <v>0</v>
      </c>
      <c r="S275" s="267">
        <v>0</v>
      </c>
      <c r="T275" s="267">
        <v>0</v>
      </c>
      <c r="U275" s="267">
        <v>0</v>
      </c>
      <c r="V275" s="267">
        <v>0</v>
      </c>
      <c r="W275" s="267">
        <v>0</v>
      </c>
      <c r="X275" s="267">
        <v>0</v>
      </c>
      <c r="Y275" s="267">
        <v>0</v>
      </c>
      <c r="Z275" s="267">
        <v>0</v>
      </c>
      <c r="AA275" s="267">
        <v>0</v>
      </c>
      <c r="AB275" s="267">
        <v>0</v>
      </c>
      <c r="AC275" s="267">
        <v>0</v>
      </c>
      <c r="AD275" s="267">
        <v>0</v>
      </c>
      <c r="AE275" s="267">
        <v>0</v>
      </c>
      <c r="AF275" s="267">
        <v>0</v>
      </c>
      <c r="AG275" s="267">
        <v>0</v>
      </c>
      <c r="AH275" s="267">
        <v>0</v>
      </c>
      <c r="AI275" s="267">
        <v>0</v>
      </c>
      <c r="AJ275" s="267">
        <v>0</v>
      </c>
      <c r="AK275" s="267">
        <v>0</v>
      </c>
      <c r="AL275" s="267">
        <v>0</v>
      </c>
      <c r="AM275" s="267">
        <v>0</v>
      </c>
      <c r="AN275" s="267">
        <v>0</v>
      </c>
      <c r="AO275" s="267">
        <v>0</v>
      </c>
      <c r="AP275" s="267">
        <v>0</v>
      </c>
      <c r="AQ275" s="267">
        <v>0</v>
      </c>
      <c r="AR275" s="267">
        <v>0</v>
      </c>
      <c r="AS275" s="267">
        <v>0</v>
      </c>
      <c r="AT275" s="267">
        <v>0</v>
      </c>
      <c r="AU275" s="267">
        <v>0</v>
      </c>
      <c r="AV275" s="267">
        <v>0</v>
      </c>
      <c r="AW275" s="267">
        <v>0</v>
      </c>
      <c r="AX275" s="267">
        <v>0</v>
      </c>
      <c r="AY275" s="267">
        <v>0</v>
      </c>
      <c r="AZ275" s="267">
        <v>0</v>
      </c>
      <c r="BA275" s="267">
        <v>0</v>
      </c>
      <c r="BB275" s="267">
        <v>0</v>
      </c>
      <c r="BC275" s="267">
        <v>0</v>
      </c>
      <c r="BD275" s="267">
        <v>0</v>
      </c>
      <c r="BE275" s="267">
        <v>0</v>
      </c>
      <c r="BF275" s="267">
        <v>0</v>
      </c>
      <c r="BG275" s="267">
        <v>0</v>
      </c>
      <c r="BH275" s="267">
        <v>0</v>
      </c>
      <c r="BI275" s="267">
        <v>0</v>
      </c>
      <c r="BJ275" s="267">
        <v>0</v>
      </c>
      <c r="BK275" s="267">
        <v>0</v>
      </c>
      <c r="BL275" s="267">
        <v>0</v>
      </c>
      <c r="BM275" s="267">
        <v>0</v>
      </c>
      <c r="BN275" s="267">
        <v>0</v>
      </c>
      <c r="BO275" s="267">
        <v>0</v>
      </c>
      <c r="BP275" s="267">
        <v>0</v>
      </c>
      <c r="BQ275" s="267">
        <v>0</v>
      </c>
      <c r="BR275" s="267">
        <v>0</v>
      </c>
      <c r="BS275" s="267">
        <v>0</v>
      </c>
      <c r="BT275" s="267">
        <v>0</v>
      </c>
      <c r="BU275" s="267">
        <v>0</v>
      </c>
      <c r="BV275" s="267">
        <v>0</v>
      </c>
      <c r="BW275" s="267">
        <v>0</v>
      </c>
      <c r="BX275" s="267">
        <v>0</v>
      </c>
      <c r="BY275" s="267">
        <v>0</v>
      </c>
      <c r="BZ275" s="267">
        <v>0</v>
      </c>
      <c r="CA275" s="267">
        <v>0</v>
      </c>
      <c r="CB275" s="267">
        <v>0</v>
      </c>
      <c r="CC275" s="267">
        <v>0</v>
      </c>
      <c r="CD275" s="267">
        <v>0</v>
      </c>
      <c r="CE275" s="267">
        <v>0</v>
      </c>
    </row>
    <row r="276" spans="1:83" x14ac:dyDescent="0.3">
      <c r="A276" s="267">
        <v>616</v>
      </c>
      <c r="B276" s="267">
        <v>616</v>
      </c>
      <c r="C276" s="267" t="s">
        <v>691</v>
      </c>
      <c r="E276" s="267">
        <v>0</v>
      </c>
      <c r="F276" s="267">
        <v>0</v>
      </c>
      <c r="G276" s="267">
        <v>0</v>
      </c>
      <c r="H276" s="267">
        <v>0</v>
      </c>
      <c r="I276" s="267">
        <v>0</v>
      </c>
      <c r="J276" s="267">
        <v>0</v>
      </c>
      <c r="K276" s="267">
        <v>0</v>
      </c>
      <c r="L276" s="267">
        <v>0</v>
      </c>
      <c r="M276" s="267">
        <v>0</v>
      </c>
      <c r="N276" s="267">
        <v>0</v>
      </c>
      <c r="O276" s="267">
        <v>0</v>
      </c>
      <c r="P276" s="267">
        <v>0</v>
      </c>
      <c r="Q276" s="267">
        <v>0</v>
      </c>
      <c r="R276" s="267">
        <v>0</v>
      </c>
      <c r="S276" s="267">
        <v>0</v>
      </c>
      <c r="T276" s="267">
        <v>0</v>
      </c>
      <c r="U276" s="267">
        <v>0</v>
      </c>
      <c r="V276" s="267">
        <v>0</v>
      </c>
      <c r="W276" s="267">
        <v>0</v>
      </c>
      <c r="X276" s="267">
        <v>0</v>
      </c>
      <c r="Y276" s="267">
        <v>0</v>
      </c>
      <c r="Z276" s="267">
        <v>0</v>
      </c>
      <c r="AA276" s="267">
        <v>0</v>
      </c>
      <c r="AB276" s="267">
        <v>0</v>
      </c>
      <c r="AC276" s="267">
        <v>0</v>
      </c>
      <c r="AD276" s="267">
        <v>0</v>
      </c>
      <c r="AE276" s="267">
        <v>0</v>
      </c>
      <c r="AF276" s="267">
        <v>0</v>
      </c>
      <c r="AG276" s="267">
        <v>0</v>
      </c>
      <c r="AH276" s="267">
        <v>0</v>
      </c>
      <c r="AI276" s="267">
        <v>0</v>
      </c>
      <c r="AJ276" s="267">
        <v>0</v>
      </c>
      <c r="AK276" s="267">
        <v>0</v>
      </c>
      <c r="AL276" s="267">
        <v>0</v>
      </c>
      <c r="AM276" s="267">
        <v>0</v>
      </c>
      <c r="AN276" s="267">
        <v>0</v>
      </c>
      <c r="AO276" s="267">
        <v>0</v>
      </c>
      <c r="AP276" s="267">
        <v>0</v>
      </c>
      <c r="AQ276" s="267">
        <v>0</v>
      </c>
      <c r="AR276" s="267">
        <v>0</v>
      </c>
      <c r="AS276" s="267">
        <v>0</v>
      </c>
      <c r="AT276" s="267">
        <v>0</v>
      </c>
      <c r="AU276" s="267">
        <v>0</v>
      </c>
      <c r="AV276" s="267">
        <v>0</v>
      </c>
      <c r="AW276" s="267">
        <v>0</v>
      </c>
      <c r="AX276" s="267">
        <v>0</v>
      </c>
      <c r="AY276" s="267">
        <v>0</v>
      </c>
      <c r="AZ276" s="267">
        <v>0</v>
      </c>
      <c r="BA276" s="267">
        <v>0</v>
      </c>
      <c r="BB276" s="267">
        <v>0</v>
      </c>
      <c r="BC276" s="267">
        <v>0</v>
      </c>
      <c r="BD276" s="267">
        <v>0</v>
      </c>
      <c r="BE276" s="267">
        <v>0</v>
      </c>
      <c r="BF276" s="267">
        <v>0</v>
      </c>
      <c r="BG276" s="267">
        <v>0</v>
      </c>
      <c r="BH276" s="267">
        <v>0</v>
      </c>
      <c r="BI276" s="267">
        <v>0</v>
      </c>
      <c r="BJ276" s="267">
        <v>0</v>
      </c>
      <c r="BK276" s="267">
        <v>0</v>
      </c>
      <c r="BL276" s="267">
        <v>0</v>
      </c>
      <c r="BM276" s="267">
        <v>0</v>
      </c>
      <c r="BN276" s="267">
        <v>0</v>
      </c>
      <c r="BO276" s="267">
        <v>0</v>
      </c>
      <c r="BP276" s="267">
        <v>0</v>
      </c>
      <c r="BQ276" s="267">
        <v>0</v>
      </c>
      <c r="BR276" s="267">
        <v>0</v>
      </c>
      <c r="BS276" s="267">
        <v>0</v>
      </c>
      <c r="BT276" s="267">
        <v>0</v>
      </c>
      <c r="BU276" s="267">
        <v>0</v>
      </c>
      <c r="BV276" s="267">
        <v>0</v>
      </c>
      <c r="BW276" s="267">
        <v>0</v>
      </c>
      <c r="BX276" s="267">
        <v>0</v>
      </c>
      <c r="BY276" s="267">
        <v>0</v>
      </c>
      <c r="BZ276" s="267">
        <v>0</v>
      </c>
      <c r="CA276" s="267">
        <v>0</v>
      </c>
      <c r="CB276" s="267">
        <v>0</v>
      </c>
      <c r="CC276" s="267">
        <v>0</v>
      </c>
      <c r="CD276" s="267">
        <v>0</v>
      </c>
      <c r="CE276" s="267">
        <v>0</v>
      </c>
    </row>
    <row r="277" spans="1:83" x14ac:dyDescent="0.3">
      <c r="A277" s="267">
        <v>617</v>
      </c>
      <c r="B277" s="267">
        <v>617</v>
      </c>
      <c r="C277" s="267" t="s">
        <v>692</v>
      </c>
      <c r="E277" s="267">
        <v>0</v>
      </c>
      <c r="F277" s="267">
        <v>0</v>
      </c>
      <c r="G277" s="267">
        <v>0</v>
      </c>
      <c r="H277" s="267">
        <v>0</v>
      </c>
      <c r="I277" s="267">
        <v>0</v>
      </c>
      <c r="J277" s="267">
        <v>0</v>
      </c>
      <c r="K277" s="267">
        <v>0</v>
      </c>
      <c r="L277" s="267">
        <v>0</v>
      </c>
      <c r="M277" s="267">
        <v>0</v>
      </c>
      <c r="N277" s="267">
        <v>0</v>
      </c>
      <c r="O277" s="267">
        <v>0</v>
      </c>
      <c r="P277" s="267">
        <v>0</v>
      </c>
      <c r="Q277" s="267">
        <v>0</v>
      </c>
      <c r="R277" s="267">
        <v>0</v>
      </c>
      <c r="S277" s="267">
        <v>0</v>
      </c>
      <c r="T277" s="267">
        <v>0</v>
      </c>
      <c r="U277" s="267">
        <v>0</v>
      </c>
      <c r="V277" s="267">
        <v>0</v>
      </c>
      <c r="W277" s="267">
        <v>0</v>
      </c>
      <c r="X277" s="267">
        <v>0</v>
      </c>
      <c r="Y277" s="267">
        <v>0</v>
      </c>
      <c r="Z277" s="267">
        <v>0</v>
      </c>
      <c r="AA277" s="267">
        <v>0</v>
      </c>
      <c r="AB277" s="267">
        <v>0</v>
      </c>
      <c r="AC277" s="267">
        <v>0</v>
      </c>
      <c r="AD277" s="267">
        <v>0</v>
      </c>
      <c r="AE277" s="267">
        <v>0</v>
      </c>
      <c r="AF277" s="267">
        <v>0</v>
      </c>
      <c r="AG277" s="267">
        <v>0</v>
      </c>
      <c r="AH277" s="267">
        <v>0</v>
      </c>
      <c r="AI277" s="267">
        <v>0</v>
      </c>
      <c r="AJ277" s="267">
        <v>0</v>
      </c>
      <c r="AK277" s="267">
        <v>0</v>
      </c>
      <c r="AL277" s="267">
        <v>0</v>
      </c>
      <c r="AM277" s="267">
        <v>0</v>
      </c>
      <c r="AN277" s="267">
        <v>0</v>
      </c>
      <c r="AO277" s="267">
        <v>0</v>
      </c>
      <c r="AP277" s="267">
        <v>0</v>
      </c>
      <c r="AQ277" s="267">
        <v>0</v>
      </c>
      <c r="AR277" s="267">
        <v>0</v>
      </c>
      <c r="AS277" s="267">
        <v>0</v>
      </c>
      <c r="AT277" s="267">
        <v>0</v>
      </c>
      <c r="AU277" s="267">
        <v>0</v>
      </c>
      <c r="AV277" s="267">
        <v>0</v>
      </c>
      <c r="AW277" s="267">
        <v>0</v>
      </c>
      <c r="AX277" s="267">
        <v>0</v>
      </c>
      <c r="AY277" s="267">
        <v>0</v>
      </c>
      <c r="AZ277" s="267">
        <v>0</v>
      </c>
      <c r="BA277" s="267">
        <v>0</v>
      </c>
      <c r="BB277" s="267">
        <v>0</v>
      </c>
      <c r="BC277" s="267">
        <v>0</v>
      </c>
      <c r="BD277" s="267">
        <v>0</v>
      </c>
      <c r="BE277" s="267">
        <v>0</v>
      </c>
      <c r="BF277" s="267">
        <v>0</v>
      </c>
      <c r="BG277" s="267">
        <v>0</v>
      </c>
      <c r="BH277" s="267">
        <v>0</v>
      </c>
      <c r="BI277" s="267">
        <v>0</v>
      </c>
      <c r="BJ277" s="267">
        <v>0</v>
      </c>
      <c r="BK277" s="267">
        <v>0</v>
      </c>
      <c r="BL277" s="267">
        <v>0</v>
      </c>
      <c r="BM277" s="267">
        <v>0</v>
      </c>
      <c r="BN277" s="267">
        <v>0</v>
      </c>
      <c r="BO277" s="267">
        <v>0</v>
      </c>
      <c r="BP277" s="267">
        <v>0</v>
      </c>
      <c r="BQ277" s="267">
        <v>0</v>
      </c>
      <c r="BR277" s="267">
        <v>0</v>
      </c>
      <c r="BS277" s="267">
        <v>0</v>
      </c>
      <c r="BT277" s="267">
        <v>0</v>
      </c>
      <c r="BU277" s="267">
        <v>0</v>
      </c>
      <c r="BV277" s="267">
        <v>0</v>
      </c>
      <c r="BW277" s="267">
        <v>0</v>
      </c>
      <c r="BX277" s="267">
        <v>0</v>
      </c>
      <c r="BY277" s="267">
        <v>0</v>
      </c>
      <c r="BZ277" s="267">
        <v>0</v>
      </c>
      <c r="CA277" s="267">
        <v>0</v>
      </c>
      <c r="CB277" s="267">
        <v>0</v>
      </c>
      <c r="CC277" s="267">
        <v>0</v>
      </c>
      <c r="CD277" s="267">
        <v>0</v>
      </c>
      <c r="CE277" s="267">
        <v>0</v>
      </c>
    </row>
    <row r="278" spans="1:83" x14ac:dyDescent="0.3">
      <c r="A278" s="267">
        <v>618</v>
      </c>
      <c r="B278" s="267">
        <v>618</v>
      </c>
      <c r="C278" s="267" t="s">
        <v>710</v>
      </c>
      <c r="E278" s="267">
        <v>0</v>
      </c>
      <c r="F278" s="267">
        <v>0</v>
      </c>
      <c r="G278" s="267">
        <v>0</v>
      </c>
      <c r="H278" s="267">
        <v>0</v>
      </c>
      <c r="I278" s="267">
        <v>0</v>
      </c>
      <c r="J278" s="267">
        <v>0</v>
      </c>
      <c r="K278" s="267">
        <v>0</v>
      </c>
      <c r="L278" s="267">
        <v>0</v>
      </c>
      <c r="M278" s="267">
        <v>0</v>
      </c>
      <c r="N278" s="267">
        <v>0</v>
      </c>
      <c r="O278" s="267">
        <v>0</v>
      </c>
      <c r="P278" s="267">
        <v>0</v>
      </c>
      <c r="Q278" s="267">
        <v>0</v>
      </c>
      <c r="R278" s="267">
        <v>0</v>
      </c>
      <c r="S278" s="267">
        <v>0</v>
      </c>
      <c r="T278" s="267">
        <v>0</v>
      </c>
      <c r="U278" s="267">
        <v>0</v>
      </c>
      <c r="V278" s="267">
        <v>0</v>
      </c>
      <c r="W278" s="267">
        <v>0</v>
      </c>
      <c r="X278" s="267">
        <v>0</v>
      </c>
      <c r="Y278" s="267">
        <v>0</v>
      </c>
      <c r="Z278" s="267">
        <v>0</v>
      </c>
      <c r="AA278" s="267">
        <v>0</v>
      </c>
      <c r="AB278" s="267">
        <v>0</v>
      </c>
      <c r="AC278" s="267">
        <v>0</v>
      </c>
      <c r="AD278" s="267">
        <v>0</v>
      </c>
      <c r="AE278" s="267">
        <v>0</v>
      </c>
      <c r="AF278" s="267">
        <v>0</v>
      </c>
      <c r="AG278" s="267">
        <v>0</v>
      </c>
      <c r="AH278" s="267">
        <v>0</v>
      </c>
      <c r="AI278" s="267">
        <v>0</v>
      </c>
      <c r="AJ278" s="267">
        <v>0</v>
      </c>
      <c r="AK278" s="267">
        <v>0</v>
      </c>
      <c r="AL278" s="267">
        <v>0</v>
      </c>
      <c r="AM278" s="267">
        <v>0</v>
      </c>
      <c r="AN278" s="267">
        <v>0</v>
      </c>
      <c r="AO278" s="267">
        <v>0</v>
      </c>
      <c r="AP278" s="267">
        <v>0</v>
      </c>
      <c r="AQ278" s="267">
        <v>0</v>
      </c>
      <c r="AR278" s="267">
        <v>0</v>
      </c>
      <c r="AS278" s="267">
        <v>0</v>
      </c>
      <c r="AT278" s="267">
        <v>0</v>
      </c>
      <c r="AU278" s="267">
        <v>0</v>
      </c>
      <c r="AV278" s="267">
        <v>0</v>
      </c>
      <c r="AW278" s="267">
        <v>0</v>
      </c>
      <c r="AX278" s="267">
        <v>0</v>
      </c>
      <c r="AY278" s="267">
        <v>0</v>
      </c>
      <c r="AZ278" s="267">
        <v>0</v>
      </c>
      <c r="BA278" s="267">
        <v>0</v>
      </c>
      <c r="BB278" s="267">
        <v>0</v>
      </c>
      <c r="BC278" s="267">
        <v>0</v>
      </c>
      <c r="BD278" s="267">
        <v>0</v>
      </c>
      <c r="BE278" s="267">
        <v>0</v>
      </c>
      <c r="BF278" s="267">
        <v>0</v>
      </c>
      <c r="BG278" s="267">
        <v>0</v>
      </c>
      <c r="BH278" s="267">
        <v>0</v>
      </c>
      <c r="BI278" s="267">
        <v>0</v>
      </c>
      <c r="BJ278" s="267">
        <v>0</v>
      </c>
      <c r="BK278" s="267">
        <v>0</v>
      </c>
      <c r="BL278" s="267">
        <v>0</v>
      </c>
      <c r="BM278" s="267">
        <v>0</v>
      </c>
      <c r="BN278" s="267">
        <v>0</v>
      </c>
      <c r="BO278" s="267">
        <v>0</v>
      </c>
      <c r="BP278" s="267">
        <v>0</v>
      </c>
      <c r="BQ278" s="267">
        <v>0</v>
      </c>
      <c r="BR278" s="267">
        <v>0</v>
      </c>
      <c r="BS278" s="267">
        <v>0</v>
      </c>
      <c r="BT278" s="267">
        <v>0</v>
      </c>
      <c r="BU278" s="267">
        <v>0</v>
      </c>
      <c r="BV278" s="267">
        <v>0</v>
      </c>
      <c r="BW278" s="267">
        <v>0</v>
      </c>
      <c r="BX278" s="267">
        <v>0</v>
      </c>
      <c r="BY278" s="267">
        <v>0</v>
      </c>
      <c r="BZ278" s="267">
        <v>0</v>
      </c>
      <c r="CA278" s="267">
        <v>0</v>
      </c>
      <c r="CB278" s="267">
        <v>0</v>
      </c>
      <c r="CC278" s="267">
        <v>0</v>
      </c>
      <c r="CD278" s="267">
        <v>0</v>
      </c>
      <c r="CE278" s="267">
        <v>0</v>
      </c>
    </row>
    <row r="279" spans="1:83" x14ac:dyDescent="0.3">
      <c r="A279" s="267">
        <v>619</v>
      </c>
      <c r="B279" s="267">
        <v>619</v>
      </c>
      <c r="C279" s="267" t="s">
        <v>712</v>
      </c>
      <c r="E279" s="267">
        <v>0</v>
      </c>
      <c r="F279" s="267">
        <v>0</v>
      </c>
      <c r="G279" s="267">
        <v>0</v>
      </c>
      <c r="H279" s="267">
        <v>0</v>
      </c>
      <c r="I279" s="267">
        <v>0</v>
      </c>
      <c r="J279" s="267">
        <v>0</v>
      </c>
      <c r="K279" s="267">
        <v>0</v>
      </c>
      <c r="L279" s="267">
        <v>0</v>
      </c>
      <c r="M279" s="267">
        <v>0</v>
      </c>
      <c r="N279" s="267">
        <v>0</v>
      </c>
      <c r="O279" s="267">
        <v>0</v>
      </c>
      <c r="P279" s="267">
        <v>0</v>
      </c>
      <c r="Q279" s="267">
        <v>0</v>
      </c>
      <c r="R279" s="267">
        <v>0</v>
      </c>
      <c r="S279" s="267">
        <v>0</v>
      </c>
      <c r="T279" s="267">
        <v>0</v>
      </c>
      <c r="U279" s="267">
        <v>0</v>
      </c>
      <c r="V279" s="267">
        <v>0</v>
      </c>
      <c r="W279" s="267">
        <v>0</v>
      </c>
      <c r="X279" s="267">
        <v>0</v>
      </c>
      <c r="Y279" s="267">
        <v>0</v>
      </c>
      <c r="Z279" s="267">
        <v>0</v>
      </c>
      <c r="AA279" s="267">
        <v>0</v>
      </c>
      <c r="AB279" s="267">
        <v>0</v>
      </c>
      <c r="AC279" s="267">
        <v>0</v>
      </c>
      <c r="AD279" s="267">
        <v>0</v>
      </c>
      <c r="AE279" s="267">
        <v>0</v>
      </c>
      <c r="AF279" s="267">
        <v>0</v>
      </c>
      <c r="AG279" s="267">
        <v>0</v>
      </c>
      <c r="AH279" s="267">
        <v>0</v>
      </c>
      <c r="AI279" s="267">
        <v>0</v>
      </c>
      <c r="AJ279" s="267">
        <v>0</v>
      </c>
      <c r="AK279" s="267">
        <v>0</v>
      </c>
      <c r="AL279" s="267">
        <v>0</v>
      </c>
      <c r="AM279" s="267">
        <v>0</v>
      </c>
      <c r="AN279" s="267">
        <v>0</v>
      </c>
      <c r="AO279" s="267">
        <v>0</v>
      </c>
      <c r="AP279" s="267">
        <v>0</v>
      </c>
      <c r="AQ279" s="267">
        <v>0</v>
      </c>
      <c r="AR279" s="267">
        <v>0</v>
      </c>
      <c r="AS279" s="267">
        <v>0</v>
      </c>
      <c r="AT279" s="267">
        <v>0</v>
      </c>
      <c r="AU279" s="267">
        <v>0</v>
      </c>
      <c r="AV279" s="267">
        <v>0</v>
      </c>
      <c r="AW279" s="267">
        <v>0</v>
      </c>
      <c r="AX279" s="267">
        <v>0</v>
      </c>
      <c r="AY279" s="267">
        <v>0</v>
      </c>
      <c r="AZ279" s="267">
        <v>0</v>
      </c>
      <c r="BA279" s="267">
        <v>0</v>
      </c>
      <c r="BB279" s="267">
        <v>0</v>
      </c>
      <c r="BC279" s="267">
        <v>0</v>
      </c>
      <c r="BD279" s="267">
        <v>0</v>
      </c>
      <c r="BE279" s="267">
        <v>0</v>
      </c>
      <c r="BF279" s="267">
        <v>0</v>
      </c>
      <c r="BG279" s="267">
        <v>0</v>
      </c>
      <c r="BH279" s="267">
        <v>0</v>
      </c>
      <c r="BI279" s="267">
        <v>0</v>
      </c>
      <c r="BJ279" s="267">
        <v>0</v>
      </c>
      <c r="BK279" s="267">
        <v>0</v>
      </c>
      <c r="BL279" s="267">
        <v>0</v>
      </c>
      <c r="BM279" s="267">
        <v>0</v>
      </c>
      <c r="BN279" s="267">
        <v>0</v>
      </c>
      <c r="BO279" s="267">
        <v>0</v>
      </c>
      <c r="BP279" s="267">
        <v>0</v>
      </c>
      <c r="BQ279" s="267">
        <v>0</v>
      </c>
      <c r="BR279" s="267">
        <v>0</v>
      </c>
      <c r="BS279" s="267">
        <v>0</v>
      </c>
      <c r="BT279" s="267">
        <v>0</v>
      </c>
      <c r="BU279" s="267">
        <v>0</v>
      </c>
      <c r="BV279" s="267">
        <v>0</v>
      </c>
      <c r="BW279" s="267">
        <v>0</v>
      </c>
      <c r="BX279" s="267">
        <v>0</v>
      </c>
      <c r="BY279" s="267">
        <v>0</v>
      </c>
      <c r="BZ279" s="267">
        <v>0</v>
      </c>
      <c r="CA279" s="267">
        <v>0</v>
      </c>
      <c r="CB279" s="267">
        <v>0</v>
      </c>
      <c r="CC279" s="267">
        <v>0</v>
      </c>
      <c r="CD279" s="267">
        <v>0</v>
      </c>
      <c r="CE279" s="267">
        <v>0</v>
      </c>
    </row>
    <row r="280" spans="1:83" x14ac:dyDescent="0.3">
      <c r="A280" s="267">
        <v>620</v>
      </c>
      <c r="B280" s="267">
        <v>620</v>
      </c>
      <c r="C280" s="267" t="s">
        <v>701</v>
      </c>
      <c r="E280" s="267">
        <v>0</v>
      </c>
      <c r="F280" s="267">
        <v>2</v>
      </c>
      <c r="G280" s="267">
        <v>2</v>
      </c>
      <c r="H280" s="267">
        <v>2</v>
      </c>
      <c r="I280" s="267">
        <v>2</v>
      </c>
      <c r="J280" s="267">
        <v>2</v>
      </c>
      <c r="K280" s="267">
        <v>2</v>
      </c>
      <c r="L280" s="267">
        <v>2</v>
      </c>
      <c r="M280" s="267">
        <v>2</v>
      </c>
      <c r="N280" s="267">
        <v>2</v>
      </c>
      <c r="O280" s="267">
        <v>2</v>
      </c>
      <c r="P280" s="267">
        <v>2</v>
      </c>
      <c r="Q280" s="267">
        <v>2</v>
      </c>
      <c r="R280" s="267">
        <v>1</v>
      </c>
      <c r="S280" s="267">
        <v>2</v>
      </c>
      <c r="T280" s="267">
        <v>2</v>
      </c>
      <c r="U280" s="267">
        <v>1</v>
      </c>
      <c r="V280" s="267">
        <v>1</v>
      </c>
      <c r="W280" s="267">
        <v>2</v>
      </c>
      <c r="X280" s="267">
        <v>2</v>
      </c>
      <c r="Y280" s="267">
        <v>2</v>
      </c>
      <c r="Z280" s="267">
        <v>1</v>
      </c>
      <c r="AA280" s="267">
        <v>1</v>
      </c>
      <c r="AB280" s="267">
        <v>1</v>
      </c>
      <c r="AC280" s="267">
        <v>2</v>
      </c>
      <c r="AD280" s="267">
        <v>1</v>
      </c>
      <c r="AE280" s="267">
        <v>1</v>
      </c>
      <c r="AF280" s="267">
        <v>2</v>
      </c>
      <c r="AG280" s="267">
        <v>1</v>
      </c>
      <c r="AH280" s="267">
        <v>2</v>
      </c>
      <c r="AI280" s="267">
        <v>2</v>
      </c>
      <c r="AJ280" s="267">
        <v>1</v>
      </c>
      <c r="AK280" s="267">
        <v>2</v>
      </c>
      <c r="AL280" s="267">
        <v>2</v>
      </c>
      <c r="AM280" s="267">
        <v>0</v>
      </c>
      <c r="AN280" s="267">
        <v>1</v>
      </c>
      <c r="AO280" s="267">
        <v>0</v>
      </c>
      <c r="AP280" s="267">
        <v>0</v>
      </c>
      <c r="AQ280" s="267">
        <v>2</v>
      </c>
      <c r="AR280" s="267">
        <v>2</v>
      </c>
      <c r="AS280" s="267">
        <v>2</v>
      </c>
      <c r="AT280" s="267">
        <v>2</v>
      </c>
      <c r="AU280" s="267">
        <v>2</v>
      </c>
      <c r="AV280" s="267">
        <v>0</v>
      </c>
      <c r="AW280" s="267">
        <v>2</v>
      </c>
      <c r="AX280" s="267">
        <v>2</v>
      </c>
      <c r="AY280" s="267">
        <v>2</v>
      </c>
      <c r="AZ280" s="267">
        <v>2</v>
      </c>
      <c r="BA280" s="267">
        <v>2</v>
      </c>
      <c r="BB280" s="267">
        <v>2</v>
      </c>
      <c r="BC280" s="267">
        <v>2</v>
      </c>
      <c r="BD280" s="267">
        <v>0</v>
      </c>
      <c r="BE280" s="267">
        <v>2</v>
      </c>
      <c r="BF280" s="267">
        <v>2</v>
      </c>
      <c r="BG280" s="267">
        <v>2</v>
      </c>
      <c r="BH280" s="267">
        <v>2</v>
      </c>
      <c r="BI280" s="267">
        <v>2</v>
      </c>
      <c r="BJ280" s="267">
        <v>2</v>
      </c>
      <c r="BK280" s="267">
        <v>2</v>
      </c>
      <c r="BL280" s="267">
        <v>2</v>
      </c>
      <c r="BM280" s="267">
        <v>0</v>
      </c>
      <c r="BN280" s="267">
        <v>2</v>
      </c>
      <c r="BO280" s="267">
        <v>2</v>
      </c>
      <c r="BP280" s="267">
        <v>2</v>
      </c>
      <c r="BQ280" s="267">
        <v>2</v>
      </c>
      <c r="BR280" s="267">
        <v>2</v>
      </c>
      <c r="BS280" s="267">
        <v>1</v>
      </c>
      <c r="BT280" s="267">
        <v>1</v>
      </c>
      <c r="BU280" s="267">
        <v>2</v>
      </c>
      <c r="BV280" s="267">
        <v>1</v>
      </c>
      <c r="BW280" s="267">
        <v>2</v>
      </c>
      <c r="BX280" s="267">
        <v>1</v>
      </c>
      <c r="BY280" s="267">
        <v>2</v>
      </c>
      <c r="BZ280" s="267">
        <v>2</v>
      </c>
      <c r="CA280" s="267">
        <v>2</v>
      </c>
      <c r="CB280" s="267">
        <v>2</v>
      </c>
      <c r="CC280" s="267">
        <v>0</v>
      </c>
      <c r="CD280" s="267">
        <v>0</v>
      </c>
      <c r="CE280" s="267">
        <v>2</v>
      </c>
    </row>
    <row r="281" spans="1:83" x14ac:dyDescent="0.3">
      <c r="A281" s="267">
        <v>621</v>
      </c>
      <c r="B281" s="267">
        <v>621</v>
      </c>
      <c r="C281" s="267" t="s">
        <v>717</v>
      </c>
      <c r="E281" s="267">
        <v>0</v>
      </c>
      <c r="F281" s="267">
        <v>0</v>
      </c>
      <c r="G281" s="267">
        <v>0</v>
      </c>
      <c r="H281" s="267">
        <v>0</v>
      </c>
      <c r="I281" s="267">
        <v>0</v>
      </c>
      <c r="J281" s="267">
        <v>0</v>
      </c>
      <c r="K281" s="267">
        <v>0</v>
      </c>
      <c r="L281" s="267">
        <v>0</v>
      </c>
      <c r="M281" s="267">
        <v>0</v>
      </c>
      <c r="N281" s="267">
        <v>0</v>
      </c>
      <c r="O281" s="267">
        <v>0</v>
      </c>
      <c r="P281" s="267">
        <v>0</v>
      </c>
      <c r="Q281" s="267">
        <v>0</v>
      </c>
      <c r="R281" s="267">
        <v>0</v>
      </c>
      <c r="S281" s="267">
        <v>0</v>
      </c>
      <c r="T281" s="267">
        <v>0</v>
      </c>
      <c r="U281" s="267">
        <v>0</v>
      </c>
      <c r="V281" s="267">
        <v>0</v>
      </c>
      <c r="W281" s="267">
        <v>0</v>
      </c>
      <c r="X281" s="267">
        <v>0</v>
      </c>
      <c r="Y281" s="267">
        <v>0</v>
      </c>
      <c r="Z281" s="267">
        <v>0</v>
      </c>
      <c r="AA281" s="267">
        <v>0</v>
      </c>
      <c r="AB281" s="267">
        <v>0</v>
      </c>
      <c r="AC281" s="267">
        <v>0</v>
      </c>
      <c r="AD281" s="267">
        <v>0</v>
      </c>
      <c r="AE281" s="267">
        <v>0</v>
      </c>
      <c r="AF281" s="267">
        <v>0</v>
      </c>
      <c r="AG281" s="267">
        <v>0</v>
      </c>
      <c r="AH281" s="267">
        <v>0</v>
      </c>
      <c r="AI281" s="267">
        <v>0</v>
      </c>
      <c r="AJ281" s="267">
        <v>0</v>
      </c>
      <c r="AK281" s="267">
        <v>0</v>
      </c>
      <c r="AL281" s="267">
        <v>0</v>
      </c>
      <c r="AM281" s="267">
        <v>0</v>
      </c>
      <c r="AN281" s="267">
        <v>0</v>
      </c>
      <c r="AO281" s="267">
        <v>0</v>
      </c>
      <c r="AP281" s="267">
        <v>0</v>
      </c>
      <c r="AQ281" s="267">
        <v>0</v>
      </c>
      <c r="AR281" s="267">
        <v>0</v>
      </c>
      <c r="AS281" s="267">
        <v>0</v>
      </c>
      <c r="AT281" s="267">
        <v>0</v>
      </c>
      <c r="AU281" s="267">
        <v>0</v>
      </c>
      <c r="AV281" s="267">
        <v>0</v>
      </c>
      <c r="AW281" s="267">
        <v>0</v>
      </c>
      <c r="AX281" s="267">
        <v>0</v>
      </c>
      <c r="AY281" s="267">
        <v>0</v>
      </c>
      <c r="AZ281" s="267">
        <v>0</v>
      </c>
      <c r="BA281" s="267">
        <v>0</v>
      </c>
      <c r="BB281" s="267">
        <v>0</v>
      </c>
      <c r="BC281" s="267">
        <v>0</v>
      </c>
      <c r="BD281" s="267">
        <v>0</v>
      </c>
      <c r="BE281" s="267">
        <v>0</v>
      </c>
      <c r="BF281" s="267">
        <v>0</v>
      </c>
      <c r="BG281" s="267">
        <v>0</v>
      </c>
      <c r="BH281" s="267">
        <v>0</v>
      </c>
      <c r="BI281" s="267">
        <v>0</v>
      </c>
      <c r="BJ281" s="267">
        <v>0</v>
      </c>
      <c r="BK281" s="267">
        <v>0</v>
      </c>
      <c r="BL281" s="267">
        <v>0</v>
      </c>
      <c r="BM281" s="267">
        <v>0</v>
      </c>
      <c r="BN281" s="267">
        <v>0</v>
      </c>
      <c r="BO281" s="267">
        <v>0</v>
      </c>
      <c r="BP281" s="267">
        <v>0</v>
      </c>
      <c r="BQ281" s="267">
        <v>0</v>
      </c>
      <c r="BR281" s="267">
        <v>0</v>
      </c>
      <c r="BS281" s="267">
        <v>0</v>
      </c>
      <c r="BT281" s="267">
        <v>0</v>
      </c>
      <c r="BU281" s="267">
        <v>0</v>
      </c>
      <c r="BV281" s="267">
        <v>0</v>
      </c>
      <c r="BW281" s="267">
        <v>0</v>
      </c>
      <c r="BX281" s="267">
        <v>0</v>
      </c>
      <c r="BY281" s="267">
        <v>0</v>
      </c>
      <c r="BZ281" s="267">
        <v>0</v>
      </c>
      <c r="CA281" s="267">
        <v>0</v>
      </c>
      <c r="CB281" s="267">
        <v>0</v>
      </c>
      <c r="CC281" s="267">
        <v>0</v>
      </c>
      <c r="CD281" s="267">
        <v>0</v>
      </c>
      <c r="CE281" s="267">
        <v>0</v>
      </c>
    </row>
    <row r="282" spans="1:83" x14ac:dyDescent="0.3">
      <c r="A282" s="267">
        <v>622</v>
      </c>
      <c r="E282" s="267">
        <v>0</v>
      </c>
      <c r="F282" s="267">
        <v>0</v>
      </c>
      <c r="G282" s="267">
        <v>72594</v>
      </c>
      <c r="H282" s="267">
        <v>57885</v>
      </c>
      <c r="I282" s="267">
        <v>10201</v>
      </c>
      <c r="J282" s="267">
        <v>116719</v>
      </c>
      <c r="K282" s="267">
        <v>0</v>
      </c>
      <c r="L282" s="267">
        <v>23485</v>
      </c>
      <c r="M282" s="267">
        <v>0</v>
      </c>
      <c r="N282" s="267">
        <v>2020524</v>
      </c>
      <c r="O282" s="267">
        <v>98689</v>
      </c>
      <c r="P282" s="267">
        <v>654766</v>
      </c>
      <c r="Q282" s="267">
        <v>0</v>
      </c>
      <c r="R282" s="267">
        <v>9172662</v>
      </c>
      <c r="S282" s="267">
        <v>189076</v>
      </c>
      <c r="T282" s="267">
        <v>0</v>
      </c>
      <c r="U282" s="267">
        <v>9316424</v>
      </c>
      <c r="V282" s="267">
        <v>3497779</v>
      </c>
      <c r="W282" s="267">
        <v>4395238</v>
      </c>
      <c r="X282" s="267">
        <v>4122419</v>
      </c>
      <c r="Y282" s="267">
        <v>13285</v>
      </c>
      <c r="Z282" s="267">
        <v>2428804</v>
      </c>
      <c r="AA282" s="267">
        <v>239844</v>
      </c>
      <c r="AB282" s="267">
        <v>2457272</v>
      </c>
      <c r="AC282" s="267">
        <v>887256</v>
      </c>
      <c r="AD282" s="267">
        <v>108890</v>
      </c>
      <c r="AE282" s="267">
        <v>247910</v>
      </c>
      <c r="AF282" s="267">
        <v>454541</v>
      </c>
      <c r="AG282" s="267">
        <v>2299037</v>
      </c>
      <c r="AH282" s="267">
        <v>1017260</v>
      </c>
      <c r="AI282" s="267">
        <v>108179</v>
      </c>
      <c r="AJ282" s="267">
        <v>7888037</v>
      </c>
      <c r="AK282" s="267">
        <v>14471</v>
      </c>
      <c r="AL282" s="267">
        <v>155863</v>
      </c>
      <c r="AM282" s="267">
        <v>0</v>
      </c>
      <c r="AN282" s="267">
        <v>3135998</v>
      </c>
      <c r="AO282" s="267">
        <v>0</v>
      </c>
      <c r="AP282" s="267">
        <v>0</v>
      </c>
      <c r="AQ282" s="267">
        <v>0</v>
      </c>
      <c r="AR282" s="267">
        <v>662358</v>
      </c>
      <c r="AS282" s="267">
        <v>1058539</v>
      </c>
      <c r="AT282" s="267">
        <v>33687</v>
      </c>
      <c r="AU282" s="267">
        <v>251468</v>
      </c>
      <c r="AV282" s="267">
        <v>0</v>
      </c>
      <c r="AW282" s="267">
        <v>2087901</v>
      </c>
      <c r="AX282" s="267">
        <v>83032</v>
      </c>
      <c r="AY282" s="267">
        <v>258585</v>
      </c>
      <c r="AZ282" s="267">
        <v>867565</v>
      </c>
      <c r="BA282" s="267">
        <v>118143</v>
      </c>
      <c r="BB282" s="267">
        <v>161556</v>
      </c>
      <c r="BC282" s="267">
        <v>0</v>
      </c>
      <c r="BD282" s="267">
        <v>0</v>
      </c>
      <c r="BE282" s="267">
        <v>1542260</v>
      </c>
      <c r="BF282" s="267">
        <v>0</v>
      </c>
      <c r="BG282" s="267">
        <v>28468</v>
      </c>
      <c r="BH282" s="267">
        <v>0</v>
      </c>
      <c r="BI282" s="267">
        <v>0</v>
      </c>
      <c r="BJ282" s="267">
        <v>17793</v>
      </c>
      <c r="BK282" s="267">
        <v>0</v>
      </c>
      <c r="BL282" s="267">
        <v>658325</v>
      </c>
      <c r="BM282" s="267">
        <v>0</v>
      </c>
      <c r="BN282" s="267">
        <v>271159</v>
      </c>
      <c r="BO282" s="267">
        <v>629146</v>
      </c>
      <c r="BP282" s="267">
        <v>164987</v>
      </c>
      <c r="BQ282" s="267">
        <v>117194</v>
      </c>
      <c r="BR282" s="267">
        <v>2480521</v>
      </c>
      <c r="BS282" s="267">
        <v>289426</v>
      </c>
      <c r="BT282" s="267">
        <v>1749837</v>
      </c>
      <c r="BU282" s="267">
        <v>90861</v>
      </c>
      <c r="BV282" s="267">
        <v>845028</v>
      </c>
      <c r="BW282" s="267">
        <v>0</v>
      </c>
      <c r="BX282" s="267">
        <v>408992</v>
      </c>
      <c r="BY282" s="267">
        <v>106993</v>
      </c>
      <c r="BZ282" s="267">
        <v>0</v>
      </c>
      <c r="CA282" s="267">
        <v>13048</v>
      </c>
      <c r="CB282" s="267">
        <v>0</v>
      </c>
      <c r="CC282" s="267">
        <v>0</v>
      </c>
      <c r="CD282" s="267">
        <v>0</v>
      </c>
      <c r="CE282" s="267">
        <v>0</v>
      </c>
    </row>
    <row r="283" spans="1:83" x14ac:dyDescent="0.3">
      <c r="A283" s="267">
        <v>624</v>
      </c>
      <c r="E283" s="267">
        <v>0</v>
      </c>
      <c r="F283" s="267">
        <v>1</v>
      </c>
      <c r="G283" s="267">
        <v>1</v>
      </c>
      <c r="H283" s="267">
        <v>1</v>
      </c>
      <c r="I283" s="267">
        <v>1</v>
      </c>
      <c r="J283" s="267">
        <v>2</v>
      </c>
      <c r="K283" s="267">
        <v>1</v>
      </c>
      <c r="L283" s="267">
        <v>1</v>
      </c>
      <c r="M283" s="267">
        <v>2</v>
      </c>
      <c r="N283" s="267">
        <v>1</v>
      </c>
      <c r="O283" s="267">
        <v>1</v>
      </c>
      <c r="P283" s="267">
        <v>1</v>
      </c>
      <c r="Q283" s="267">
        <v>1</v>
      </c>
      <c r="R283" s="267">
        <v>2</v>
      </c>
      <c r="S283" s="267">
        <v>1</v>
      </c>
      <c r="T283" s="267">
        <v>2</v>
      </c>
      <c r="U283" s="267">
        <v>1</v>
      </c>
      <c r="V283" s="267">
        <v>2</v>
      </c>
      <c r="W283" s="267">
        <v>2</v>
      </c>
      <c r="X283" s="267">
        <v>1</v>
      </c>
      <c r="Y283" s="267">
        <v>1</v>
      </c>
      <c r="Z283" s="267">
        <v>2</v>
      </c>
      <c r="AA283" s="267">
        <v>1</v>
      </c>
      <c r="AB283" s="267">
        <v>1</v>
      </c>
      <c r="AC283" s="267">
        <v>1</v>
      </c>
      <c r="AD283" s="267">
        <v>1</v>
      </c>
      <c r="AE283" s="267">
        <v>1</v>
      </c>
      <c r="AF283" s="267">
        <v>2</v>
      </c>
      <c r="AG283" s="267">
        <v>2</v>
      </c>
      <c r="AH283" s="267">
        <v>2</v>
      </c>
      <c r="AI283" s="267">
        <v>2</v>
      </c>
      <c r="AJ283" s="267">
        <v>2</v>
      </c>
      <c r="AK283" s="267">
        <v>1</v>
      </c>
      <c r="AL283" s="267">
        <v>1</v>
      </c>
      <c r="AM283" s="267">
        <v>0</v>
      </c>
      <c r="AN283" s="267">
        <v>1</v>
      </c>
      <c r="AO283" s="267">
        <v>0</v>
      </c>
      <c r="AP283" s="267">
        <v>0</v>
      </c>
      <c r="AQ283" s="267">
        <v>1</v>
      </c>
      <c r="AR283" s="267">
        <v>2</v>
      </c>
      <c r="AS283" s="267">
        <v>1</v>
      </c>
      <c r="AT283" s="267">
        <v>1</v>
      </c>
      <c r="AU283" s="267">
        <v>2</v>
      </c>
      <c r="AV283" s="267">
        <v>0</v>
      </c>
      <c r="AW283" s="267">
        <v>2</v>
      </c>
      <c r="AX283" s="267">
        <v>1</v>
      </c>
      <c r="AY283" s="267">
        <v>1</v>
      </c>
      <c r="AZ283" s="267">
        <v>2</v>
      </c>
      <c r="BA283" s="267">
        <v>2</v>
      </c>
      <c r="BB283" s="267">
        <v>2</v>
      </c>
      <c r="BC283" s="267">
        <v>2</v>
      </c>
      <c r="BD283" s="267">
        <v>0</v>
      </c>
      <c r="BE283" s="267">
        <v>1</v>
      </c>
      <c r="BF283" s="267">
        <v>2</v>
      </c>
      <c r="BG283" s="267">
        <v>1</v>
      </c>
      <c r="BH283" s="267">
        <v>1</v>
      </c>
      <c r="BI283" s="267">
        <v>1</v>
      </c>
      <c r="BJ283" s="267">
        <v>1</v>
      </c>
      <c r="BK283" s="267">
        <v>1</v>
      </c>
      <c r="BL283" s="267">
        <v>2</v>
      </c>
      <c r="BM283" s="267">
        <v>0</v>
      </c>
      <c r="BN283" s="267">
        <v>1</v>
      </c>
      <c r="BO283" s="267">
        <v>2</v>
      </c>
      <c r="BP283" s="267">
        <v>1</v>
      </c>
      <c r="BQ283" s="267">
        <v>1</v>
      </c>
      <c r="BR283" s="267">
        <v>1</v>
      </c>
      <c r="BS283" s="267">
        <v>2</v>
      </c>
      <c r="BT283" s="267">
        <v>1</v>
      </c>
      <c r="BU283" s="267">
        <v>1</v>
      </c>
      <c r="BV283" s="267">
        <v>1</v>
      </c>
      <c r="BW283" s="267">
        <v>1</v>
      </c>
      <c r="BX283" s="267">
        <v>1</v>
      </c>
      <c r="BY283" s="267">
        <v>1</v>
      </c>
      <c r="BZ283" s="267">
        <v>1</v>
      </c>
      <c r="CA283" s="267">
        <v>2</v>
      </c>
      <c r="CB283" s="267">
        <v>1</v>
      </c>
      <c r="CC283" s="267">
        <v>0</v>
      </c>
      <c r="CD283" s="267">
        <v>0</v>
      </c>
      <c r="CE283" s="267">
        <v>1</v>
      </c>
    </row>
    <row r="284" spans="1:83" x14ac:dyDescent="0.3">
      <c r="A284" s="267">
        <v>625</v>
      </c>
      <c r="E284" s="267">
        <v>0</v>
      </c>
      <c r="F284" s="267">
        <v>1</v>
      </c>
      <c r="G284" s="267">
        <v>1</v>
      </c>
      <c r="H284" s="267">
        <v>1</v>
      </c>
      <c r="I284" s="267">
        <v>1</v>
      </c>
      <c r="J284" s="267">
        <v>1</v>
      </c>
      <c r="K284" s="267">
        <v>4</v>
      </c>
      <c r="L284" s="267">
        <v>1</v>
      </c>
      <c r="M284" s="267">
        <v>1</v>
      </c>
      <c r="N284" s="267">
        <v>1</v>
      </c>
      <c r="O284" s="267">
        <v>1</v>
      </c>
      <c r="P284" s="267">
        <v>1</v>
      </c>
      <c r="Q284" s="267">
        <v>1</v>
      </c>
      <c r="R284" s="267">
        <v>1</v>
      </c>
      <c r="S284" s="267">
        <v>3</v>
      </c>
      <c r="T284" s="267">
        <v>3</v>
      </c>
      <c r="U284" s="267">
        <v>1</v>
      </c>
      <c r="V284" s="267">
        <v>1</v>
      </c>
      <c r="W284" s="267">
        <v>1</v>
      </c>
      <c r="X284" s="267">
        <v>1</v>
      </c>
      <c r="Y284" s="267">
        <v>4</v>
      </c>
      <c r="Z284" s="267">
        <v>1</v>
      </c>
      <c r="AA284" s="267">
        <v>1</v>
      </c>
      <c r="AB284" s="267">
        <v>1</v>
      </c>
      <c r="AC284" s="267">
        <v>3</v>
      </c>
      <c r="AD284" s="267">
        <v>1</v>
      </c>
      <c r="AE284" s="267">
        <v>4</v>
      </c>
      <c r="AF284" s="267">
        <v>1</v>
      </c>
      <c r="AG284" s="267">
        <v>1</v>
      </c>
      <c r="AH284" s="267">
        <v>4</v>
      </c>
      <c r="AI284" s="267">
        <v>3</v>
      </c>
      <c r="AJ284" s="267">
        <v>4</v>
      </c>
      <c r="AK284" s="267">
        <v>1</v>
      </c>
      <c r="AL284" s="267">
        <v>1</v>
      </c>
      <c r="AM284" s="267">
        <v>0</v>
      </c>
      <c r="AN284" s="267">
        <v>1</v>
      </c>
      <c r="AO284" s="267">
        <v>0</v>
      </c>
      <c r="AP284" s="267">
        <v>0</v>
      </c>
      <c r="AQ284" s="267">
        <v>1</v>
      </c>
      <c r="AR284" s="267">
        <v>1</v>
      </c>
      <c r="AS284" s="267">
        <v>1</v>
      </c>
      <c r="AT284" s="267">
        <v>4</v>
      </c>
      <c r="AU284" s="267">
        <v>4</v>
      </c>
      <c r="AV284" s="267">
        <v>0</v>
      </c>
      <c r="AW284" s="267">
        <v>1</v>
      </c>
      <c r="AX284" s="267">
        <v>3</v>
      </c>
      <c r="AY284" s="267">
        <v>1</v>
      </c>
      <c r="AZ284" s="267">
        <v>1</v>
      </c>
      <c r="BA284" s="267">
        <v>3</v>
      </c>
      <c r="BB284" s="267">
        <v>1</v>
      </c>
      <c r="BC284" s="267">
        <v>1</v>
      </c>
      <c r="BD284" s="267">
        <v>0</v>
      </c>
      <c r="BE284" s="267">
        <v>1</v>
      </c>
      <c r="BF284" s="267">
        <v>1</v>
      </c>
      <c r="BG284" s="267">
        <v>1</v>
      </c>
      <c r="BH284" s="267">
        <v>3</v>
      </c>
      <c r="BI284" s="267">
        <v>3</v>
      </c>
      <c r="BJ284" s="267">
        <v>1</v>
      </c>
      <c r="BK284" s="267">
        <v>1</v>
      </c>
      <c r="BL284" s="267">
        <v>1</v>
      </c>
      <c r="BM284" s="267">
        <v>0</v>
      </c>
      <c r="BN284" s="267">
        <v>4</v>
      </c>
      <c r="BO284" s="267">
        <v>1</v>
      </c>
      <c r="BP284" s="267">
        <v>1</v>
      </c>
      <c r="BQ284" s="267">
        <v>1</v>
      </c>
      <c r="BR284" s="267">
        <v>1</v>
      </c>
      <c r="BS284" s="267">
        <v>4</v>
      </c>
      <c r="BT284" s="267">
        <v>1</v>
      </c>
      <c r="BU284" s="267">
        <v>3</v>
      </c>
      <c r="BV284" s="267">
        <v>1</v>
      </c>
      <c r="BW284" s="267">
        <v>1</v>
      </c>
      <c r="BX284" s="267">
        <v>1</v>
      </c>
      <c r="BY284" s="267">
        <v>3</v>
      </c>
      <c r="BZ284" s="267">
        <v>3</v>
      </c>
      <c r="CA284" s="267">
        <v>2</v>
      </c>
      <c r="CB284" s="267">
        <v>1</v>
      </c>
      <c r="CC284" s="267">
        <v>0</v>
      </c>
      <c r="CD284" s="267">
        <v>0</v>
      </c>
      <c r="CE284" s="267">
        <v>2</v>
      </c>
    </row>
    <row r="288" spans="1:83" x14ac:dyDescent="0.3">
      <c r="A288" s="1133"/>
      <c r="B288" s="1133"/>
      <c r="C288" s="1134"/>
      <c r="D288" s="1135"/>
      <c r="E288" s="1136"/>
      <c r="F288" s="1136"/>
      <c r="G288" s="1136"/>
      <c r="H288" s="1136"/>
      <c r="I288" s="1136"/>
      <c r="J288" s="1136"/>
      <c r="K288" s="1136"/>
      <c r="L288" s="1136"/>
      <c r="M288" s="1136"/>
      <c r="N288" s="1136"/>
      <c r="O288" s="1136"/>
      <c r="P288" s="1136"/>
      <c r="Q288" s="1136"/>
      <c r="R288" s="1136"/>
      <c r="S288" s="1136"/>
      <c r="T288" s="1136"/>
      <c r="U288" s="1136"/>
      <c r="V288" s="1136"/>
      <c r="W288" s="1136"/>
      <c r="X288" s="1136"/>
      <c r="Y288" s="1136"/>
      <c r="Z288" s="1136"/>
      <c r="AA288" s="1136"/>
      <c r="AB288" s="1136"/>
      <c r="AC288" s="1136"/>
      <c r="AD288" s="1136"/>
      <c r="AE288" s="1136"/>
      <c r="AF288" s="1136"/>
      <c r="AG288" s="1136"/>
      <c r="AH288" s="1136"/>
      <c r="AI288" s="1136"/>
      <c r="AJ288" s="1136"/>
      <c r="AK288" s="1136"/>
      <c r="AL288" s="1136"/>
      <c r="AM288" s="1136"/>
      <c r="AN288" s="1136"/>
      <c r="AP288" s="1136"/>
      <c r="AQ288" s="1136"/>
      <c r="AR288" s="1136"/>
      <c r="AS288" s="1136"/>
      <c r="AT288" s="1136"/>
      <c r="AU288" s="1136"/>
      <c r="AV288" s="1136"/>
      <c r="AW288" s="1136"/>
      <c r="AX288" s="1136"/>
      <c r="AY288" s="1136"/>
      <c r="AZ288" s="1136"/>
      <c r="BA288" s="1136"/>
      <c r="BB288" s="1136"/>
      <c r="BC288" s="1136"/>
      <c r="BD288" s="1136"/>
      <c r="BE288" s="1136"/>
      <c r="BF288" s="1136"/>
      <c r="BG288" s="1136"/>
      <c r="BH288" s="1136"/>
      <c r="BI288" s="1136"/>
      <c r="BJ288" s="1136"/>
      <c r="BK288" s="1136"/>
      <c r="BL288" s="1136"/>
      <c r="BM288" s="1136"/>
      <c r="BN288" s="1136"/>
      <c r="BO288" s="1136"/>
      <c r="BP288" s="1136"/>
      <c r="BQ288" s="1136"/>
      <c r="BR288" s="1136"/>
      <c r="BS288" s="1136"/>
    </row>
    <row r="289" spans="1:83" x14ac:dyDescent="0.3">
      <c r="A289" s="1133">
        <v>647</v>
      </c>
      <c r="B289" s="1133">
        <v>647</v>
      </c>
      <c r="C289" s="1134" t="s">
        <v>789</v>
      </c>
      <c r="D289" s="1135"/>
      <c r="E289" s="1136">
        <v>0</v>
      </c>
      <c r="F289" s="1136">
        <v>0</v>
      </c>
      <c r="G289" s="1136">
        <v>0</v>
      </c>
      <c r="H289" s="1136">
        <v>0</v>
      </c>
      <c r="I289" s="1136">
        <v>0</v>
      </c>
      <c r="J289" s="1136">
        <v>0</v>
      </c>
      <c r="K289" s="1136">
        <v>0</v>
      </c>
      <c r="L289" s="1136">
        <v>0</v>
      </c>
      <c r="M289" s="1136">
        <v>0</v>
      </c>
      <c r="N289" s="1136">
        <v>0</v>
      </c>
      <c r="O289" s="1136">
        <v>0</v>
      </c>
      <c r="P289" s="1136">
        <v>0</v>
      </c>
      <c r="Q289" s="1136">
        <v>0</v>
      </c>
      <c r="R289" s="1136">
        <v>0</v>
      </c>
      <c r="S289" s="1136">
        <v>0</v>
      </c>
      <c r="T289" s="1136">
        <v>0</v>
      </c>
      <c r="U289" s="1136">
        <v>0</v>
      </c>
      <c r="V289" s="1136">
        <v>0</v>
      </c>
      <c r="W289" s="1136">
        <v>0</v>
      </c>
      <c r="X289" s="1136">
        <v>0</v>
      </c>
      <c r="Y289" s="1136">
        <v>0</v>
      </c>
      <c r="Z289" s="1136">
        <v>0</v>
      </c>
      <c r="AA289" s="1136">
        <v>0</v>
      </c>
      <c r="AB289" s="1136">
        <v>0</v>
      </c>
      <c r="AC289" s="1136">
        <v>0</v>
      </c>
      <c r="AD289" s="1136">
        <v>0</v>
      </c>
      <c r="AE289" s="1136">
        <v>0</v>
      </c>
      <c r="AF289" s="1136">
        <v>0</v>
      </c>
      <c r="AG289" s="1136">
        <v>0</v>
      </c>
      <c r="AH289" s="1136">
        <v>0</v>
      </c>
      <c r="AI289" s="1136">
        <v>0</v>
      </c>
      <c r="AJ289" s="1136">
        <v>0</v>
      </c>
      <c r="AK289" s="1136">
        <v>0</v>
      </c>
      <c r="AL289" s="1136">
        <v>0</v>
      </c>
      <c r="AM289" s="1136">
        <v>0</v>
      </c>
      <c r="AN289" s="1136">
        <v>0</v>
      </c>
      <c r="AO289" s="1136">
        <v>0</v>
      </c>
      <c r="AP289" s="1136">
        <v>0</v>
      </c>
      <c r="AQ289" s="1136">
        <v>0</v>
      </c>
      <c r="AR289" s="1136">
        <v>0</v>
      </c>
      <c r="AS289" s="1136">
        <v>0</v>
      </c>
      <c r="AT289" s="1136">
        <v>0</v>
      </c>
      <c r="AU289" s="1136">
        <v>0</v>
      </c>
      <c r="AV289" s="1136">
        <v>0</v>
      </c>
      <c r="AW289" s="1136">
        <v>0</v>
      </c>
      <c r="AX289" s="1136">
        <v>0</v>
      </c>
      <c r="AY289" s="1136">
        <v>0</v>
      </c>
      <c r="AZ289" s="1136">
        <v>0</v>
      </c>
      <c r="BA289" s="1136">
        <v>0</v>
      </c>
      <c r="BB289" s="1136">
        <v>0</v>
      </c>
      <c r="BC289" s="1136">
        <v>0</v>
      </c>
      <c r="BD289" s="1136">
        <v>0</v>
      </c>
      <c r="BE289" s="1136">
        <v>0</v>
      </c>
      <c r="BF289" s="1136">
        <v>0</v>
      </c>
      <c r="BG289" s="1136">
        <v>0</v>
      </c>
      <c r="BH289" s="1136">
        <v>0</v>
      </c>
      <c r="BI289" s="1136">
        <v>0</v>
      </c>
      <c r="BJ289" s="1136">
        <v>0</v>
      </c>
      <c r="BK289" s="1136">
        <v>0</v>
      </c>
      <c r="BL289" s="1136">
        <v>0</v>
      </c>
      <c r="BM289" s="1136">
        <v>0</v>
      </c>
      <c r="BN289" s="1136">
        <v>0</v>
      </c>
      <c r="BO289" s="1136">
        <v>0</v>
      </c>
      <c r="BP289" s="1136">
        <v>0</v>
      </c>
      <c r="BQ289" s="1136">
        <v>0</v>
      </c>
      <c r="BR289" s="1136">
        <v>0</v>
      </c>
      <c r="BS289" s="1136">
        <v>0</v>
      </c>
      <c r="BT289" s="1136">
        <v>0</v>
      </c>
      <c r="BU289" s="1136">
        <v>0</v>
      </c>
      <c r="BV289" s="1136">
        <v>0</v>
      </c>
      <c r="BW289" s="1136">
        <v>0</v>
      </c>
      <c r="BX289" s="1136">
        <v>0</v>
      </c>
      <c r="BY289" s="1136">
        <v>0</v>
      </c>
      <c r="BZ289" s="1136">
        <v>0</v>
      </c>
      <c r="CA289" s="1136">
        <v>0</v>
      </c>
      <c r="CB289" s="1136">
        <v>0</v>
      </c>
      <c r="CC289" s="1136">
        <v>0</v>
      </c>
      <c r="CD289" s="1136">
        <v>0</v>
      </c>
      <c r="CE289" s="1136">
        <v>0</v>
      </c>
    </row>
    <row r="290" spans="1:83" x14ac:dyDescent="0.3">
      <c r="A290" s="1137" t="s">
        <v>790</v>
      </c>
      <c r="B290" s="1138"/>
      <c r="C290" s="1138" t="s">
        <v>793</v>
      </c>
      <c r="D290" s="1138"/>
      <c r="E290" s="127">
        <f t="shared" ref="E290:BP290" si="0">E156+E186-E3-E4-E5+E289</f>
        <v>0</v>
      </c>
      <c r="F290" s="127">
        <f t="shared" si="0"/>
        <v>136842</v>
      </c>
      <c r="G290" s="127">
        <f t="shared" si="0"/>
        <v>859962</v>
      </c>
      <c r="H290" s="127">
        <f t="shared" si="0"/>
        <v>3731909</v>
      </c>
      <c r="I290" s="127">
        <f t="shared" si="0"/>
        <v>4998736</v>
      </c>
      <c r="J290" s="127">
        <f t="shared" si="0"/>
        <v>4809264</v>
      </c>
      <c r="K290" s="127">
        <f t="shared" si="0"/>
        <v>105117</v>
      </c>
      <c r="L290" s="127">
        <f t="shared" si="0"/>
        <v>824068</v>
      </c>
      <c r="M290" s="127">
        <f t="shared" si="0"/>
        <v>954072</v>
      </c>
      <c r="N290" s="127">
        <f t="shared" si="0"/>
        <v>6459558</v>
      </c>
      <c r="O290" s="127">
        <f t="shared" si="0"/>
        <v>573210</v>
      </c>
      <c r="P290" s="127">
        <f t="shared" si="0"/>
        <v>5387413</v>
      </c>
      <c r="Q290" s="127">
        <f t="shared" si="0"/>
        <v>277147</v>
      </c>
      <c r="R290" s="127">
        <f t="shared" si="0"/>
        <v>26141070</v>
      </c>
      <c r="S290" s="127">
        <f t="shared" si="0"/>
        <v>1635576</v>
      </c>
      <c r="T290" s="127">
        <f t="shared" si="0"/>
        <v>206623</v>
      </c>
      <c r="U290" s="127">
        <f t="shared" si="0"/>
        <v>32233624</v>
      </c>
      <c r="V290" s="127">
        <f t="shared" si="0"/>
        <v>7642370</v>
      </c>
      <c r="W290" s="127">
        <f t="shared" si="0"/>
        <v>16689583</v>
      </c>
      <c r="X290" s="127">
        <f t="shared" si="0"/>
        <v>25293040</v>
      </c>
      <c r="Y290" s="127">
        <f t="shared" si="0"/>
        <v>238771</v>
      </c>
      <c r="Z290" s="127">
        <f t="shared" si="0"/>
        <v>9326225</v>
      </c>
      <c r="AA290" s="127">
        <f t="shared" si="0"/>
        <v>1413606</v>
      </c>
      <c r="AB290" s="127">
        <f t="shared" si="0"/>
        <v>12200017</v>
      </c>
      <c r="AC290" s="127">
        <f t="shared" si="0"/>
        <v>596917</v>
      </c>
      <c r="AD290" s="127">
        <f t="shared" si="0"/>
        <v>1671794</v>
      </c>
      <c r="AE290" s="127">
        <f t="shared" si="0"/>
        <v>1014501</v>
      </c>
      <c r="AF290" s="127">
        <f t="shared" si="0"/>
        <v>3247222</v>
      </c>
      <c r="AG290" s="127">
        <f t="shared" si="0"/>
        <v>16351933</v>
      </c>
      <c r="AH290" s="127">
        <f t="shared" si="0"/>
        <v>5205531</v>
      </c>
      <c r="AI290" s="127">
        <f t="shared" si="0"/>
        <v>753200</v>
      </c>
      <c r="AJ290" s="127">
        <f t="shared" si="0"/>
        <v>3617272</v>
      </c>
      <c r="AK290" s="127">
        <f t="shared" si="0"/>
        <v>3188040</v>
      </c>
      <c r="AL290" s="127">
        <f t="shared" si="0"/>
        <v>653645</v>
      </c>
      <c r="AM290" s="127">
        <f t="shared" si="0"/>
        <v>0</v>
      </c>
      <c r="AN290" s="127">
        <f t="shared" si="0"/>
        <v>7447880</v>
      </c>
      <c r="AO290" s="127">
        <f t="shared" si="0"/>
        <v>0</v>
      </c>
      <c r="AP290" s="127">
        <f t="shared" si="0"/>
        <v>0</v>
      </c>
      <c r="AQ290" s="127">
        <f t="shared" si="0"/>
        <v>90008</v>
      </c>
      <c r="AR290" s="127">
        <f t="shared" si="0"/>
        <v>2968692</v>
      </c>
      <c r="AS290" s="127">
        <f t="shared" si="0"/>
        <v>3313208</v>
      </c>
      <c r="AT290" s="127">
        <f t="shared" si="0"/>
        <v>593723</v>
      </c>
      <c r="AU290" s="127">
        <f t="shared" si="0"/>
        <v>1393686</v>
      </c>
      <c r="AV290" s="127">
        <f t="shared" si="0"/>
        <v>0</v>
      </c>
      <c r="AW290" s="127">
        <f t="shared" si="0"/>
        <v>13176445</v>
      </c>
      <c r="AX290" s="127">
        <f t="shared" si="0"/>
        <v>3478759</v>
      </c>
      <c r="AY290" s="127">
        <f t="shared" si="0"/>
        <v>846818</v>
      </c>
      <c r="AZ290" s="127">
        <f t="shared" si="0"/>
        <v>17668859</v>
      </c>
      <c r="BA290" s="127">
        <f t="shared" si="0"/>
        <v>1887722</v>
      </c>
      <c r="BB290" s="127">
        <f t="shared" si="0"/>
        <v>890756</v>
      </c>
      <c r="BC290" s="127">
        <f t="shared" si="0"/>
        <v>101867</v>
      </c>
      <c r="BD290" s="127">
        <f t="shared" si="0"/>
        <v>0</v>
      </c>
      <c r="BE290" s="127">
        <f t="shared" si="0"/>
        <v>5686461</v>
      </c>
      <c r="BF290" s="127">
        <f t="shared" si="0"/>
        <v>511306</v>
      </c>
      <c r="BG290" s="127">
        <f t="shared" si="0"/>
        <v>664153</v>
      </c>
      <c r="BH290" s="127">
        <f t="shared" si="0"/>
        <v>141922</v>
      </c>
      <c r="BI290" s="127">
        <f t="shared" si="0"/>
        <v>292274</v>
      </c>
      <c r="BJ290" s="127">
        <f t="shared" si="0"/>
        <v>518570</v>
      </c>
      <c r="BK290" s="127">
        <f t="shared" si="0"/>
        <v>257883</v>
      </c>
      <c r="BL290" s="127">
        <f t="shared" si="0"/>
        <v>1500223</v>
      </c>
      <c r="BM290" s="127">
        <f t="shared" si="0"/>
        <v>0</v>
      </c>
      <c r="BN290" s="127">
        <f t="shared" si="0"/>
        <v>-181587</v>
      </c>
      <c r="BO290" s="127">
        <f t="shared" si="0"/>
        <v>2696272</v>
      </c>
      <c r="BP290" s="127">
        <f t="shared" si="0"/>
        <v>829278</v>
      </c>
      <c r="BQ290" s="127">
        <f t="shared" ref="BQ290:CE290" si="1">BQ156+BQ186-BQ3-BQ4-BQ5+BQ289</f>
        <v>1728543</v>
      </c>
      <c r="BR290" s="127">
        <f t="shared" si="1"/>
        <v>5852949</v>
      </c>
      <c r="BS290" s="127">
        <f t="shared" si="1"/>
        <v>413190</v>
      </c>
      <c r="BT290" s="127">
        <f t="shared" si="1"/>
        <v>18970008</v>
      </c>
      <c r="BU290" s="127">
        <f t="shared" si="1"/>
        <v>668017</v>
      </c>
      <c r="BV290" s="127">
        <f t="shared" si="1"/>
        <v>2959931</v>
      </c>
      <c r="BW290" s="127">
        <f t="shared" si="1"/>
        <v>970727</v>
      </c>
      <c r="BX290" s="127">
        <f t="shared" si="1"/>
        <v>995401</v>
      </c>
      <c r="BY290" s="127">
        <f t="shared" si="1"/>
        <v>2016408</v>
      </c>
      <c r="BZ290" s="127">
        <f t="shared" si="1"/>
        <v>365188</v>
      </c>
      <c r="CA290" s="127">
        <f t="shared" si="1"/>
        <v>537572</v>
      </c>
      <c r="CB290" s="127">
        <f t="shared" si="1"/>
        <v>165868</v>
      </c>
      <c r="CC290" s="127">
        <f t="shared" si="1"/>
        <v>0</v>
      </c>
      <c r="CD290" s="127">
        <f t="shared" si="1"/>
        <v>0</v>
      </c>
      <c r="CE290" s="127">
        <f t="shared" si="1"/>
        <v>366424</v>
      </c>
    </row>
    <row r="291" spans="1:83" x14ac:dyDescent="0.3">
      <c r="A291" s="1137" t="s">
        <v>791</v>
      </c>
      <c r="B291" s="1138"/>
      <c r="C291" s="1138" t="s">
        <v>798</v>
      </c>
      <c r="D291" s="1138"/>
      <c r="E291" s="127">
        <f>E182+E159+E15-E183-E158</f>
        <v>0</v>
      </c>
      <c r="F291" s="127">
        <f t="shared" ref="F291:BQ291" si="2">F182+F159+F15-F183-F158</f>
        <v>49367</v>
      </c>
      <c r="G291" s="127">
        <f t="shared" si="2"/>
        <v>814933</v>
      </c>
      <c r="H291" s="127">
        <f t="shared" si="2"/>
        <v>1710700</v>
      </c>
      <c r="I291" s="127">
        <f t="shared" si="2"/>
        <v>912078</v>
      </c>
      <c r="J291" s="127">
        <f t="shared" si="2"/>
        <v>3019414</v>
      </c>
      <c r="K291" s="127">
        <f t="shared" si="2"/>
        <v>176236</v>
      </c>
      <c r="L291" s="127">
        <f t="shared" si="2"/>
        <v>286422</v>
      </c>
      <c r="M291" s="127">
        <f t="shared" si="2"/>
        <v>140943</v>
      </c>
      <c r="N291" s="127">
        <f t="shared" si="2"/>
        <v>14443032</v>
      </c>
      <c r="O291" s="127">
        <f t="shared" si="2"/>
        <v>461624</v>
      </c>
      <c r="P291" s="127">
        <f t="shared" si="2"/>
        <v>6591794</v>
      </c>
      <c r="Q291" s="127">
        <f t="shared" si="2"/>
        <v>57300</v>
      </c>
      <c r="R291" s="127">
        <f t="shared" si="2"/>
        <v>38272115</v>
      </c>
      <c r="S291" s="127">
        <f t="shared" si="2"/>
        <v>1811387</v>
      </c>
      <c r="T291" s="127">
        <f t="shared" si="2"/>
        <v>34899</v>
      </c>
      <c r="U291" s="127">
        <f t="shared" si="2"/>
        <v>66444159</v>
      </c>
      <c r="V291" s="127">
        <f t="shared" si="2"/>
        <v>14326731</v>
      </c>
      <c r="W291" s="127">
        <f t="shared" si="2"/>
        <v>19990695</v>
      </c>
      <c r="X291" s="127">
        <f t="shared" si="2"/>
        <v>29063885</v>
      </c>
      <c r="Y291" s="127">
        <f t="shared" si="2"/>
        <v>250349</v>
      </c>
      <c r="Z291" s="127">
        <f t="shared" si="2"/>
        <v>13802260</v>
      </c>
      <c r="AA291" s="127">
        <f t="shared" si="2"/>
        <v>1147409</v>
      </c>
      <c r="AB291" s="127">
        <f t="shared" si="2"/>
        <v>13365559</v>
      </c>
      <c r="AC291" s="127">
        <f t="shared" si="2"/>
        <v>4804402</v>
      </c>
      <c r="AD291" s="127">
        <f t="shared" si="2"/>
        <v>1661487</v>
      </c>
      <c r="AE291" s="127">
        <f t="shared" si="2"/>
        <v>1923979</v>
      </c>
      <c r="AF291" s="127">
        <f t="shared" si="2"/>
        <v>2064663</v>
      </c>
      <c r="AG291" s="127">
        <f t="shared" si="2"/>
        <v>15584489</v>
      </c>
      <c r="AH291" s="127">
        <f t="shared" si="2"/>
        <v>5285381</v>
      </c>
      <c r="AI291" s="127">
        <f t="shared" si="2"/>
        <v>1321731</v>
      </c>
      <c r="AJ291" s="127">
        <f t="shared" si="2"/>
        <v>28049823</v>
      </c>
      <c r="AK291" s="127">
        <f t="shared" si="2"/>
        <v>338552</v>
      </c>
      <c r="AL291" s="127">
        <f t="shared" si="2"/>
        <v>851500</v>
      </c>
      <c r="AM291" s="127">
        <f t="shared" si="2"/>
        <v>0</v>
      </c>
      <c r="AN291" s="127">
        <f t="shared" si="2"/>
        <v>14405613</v>
      </c>
      <c r="AO291" s="127">
        <f t="shared" si="2"/>
        <v>0</v>
      </c>
      <c r="AP291" s="127">
        <f t="shared" si="2"/>
        <v>0</v>
      </c>
      <c r="AQ291" s="127">
        <f t="shared" si="2"/>
        <v>34769</v>
      </c>
      <c r="AR291" s="127">
        <f t="shared" si="2"/>
        <v>4457436</v>
      </c>
      <c r="AS291" s="127">
        <f t="shared" si="2"/>
        <v>5996194</v>
      </c>
      <c r="AT291" s="127">
        <f t="shared" si="2"/>
        <v>459943</v>
      </c>
      <c r="AU291" s="127">
        <f t="shared" si="2"/>
        <v>2310188</v>
      </c>
      <c r="AV291" s="127">
        <f t="shared" si="2"/>
        <v>0</v>
      </c>
      <c r="AW291" s="127">
        <f t="shared" si="2"/>
        <v>15556605</v>
      </c>
      <c r="AX291" s="127">
        <f t="shared" si="2"/>
        <v>1792724</v>
      </c>
      <c r="AY291" s="127">
        <f t="shared" si="2"/>
        <v>1633977</v>
      </c>
      <c r="AZ291" s="127">
        <f t="shared" si="2"/>
        <v>5559255</v>
      </c>
      <c r="BA291" s="127">
        <f t="shared" si="2"/>
        <v>882693</v>
      </c>
      <c r="BB291" s="127">
        <f t="shared" si="2"/>
        <v>1324452</v>
      </c>
      <c r="BC291" s="127">
        <f t="shared" si="2"/>
        <v>16570</v>
      </c>
      <c r="BD291" s="127">
        <f t="shared" si="2"/>
        <v>0</v>
      </c>
      <c r="BE291" s="127">
        <f t="shared" si="2"/>
        <v>8817374</v>
      </c>
      <c r="BF291" s="127">
        <f t="shared" si="2"/>
        <v>99808</v>
      </c>
      <c r="BG291" s="127">
        <f t="shared" si="2"/>
        <v>527026</v>
      </c>
      <c r="BH291" s="127">
        <f t="shared" si="2"/>
        <v>136253</v>
      </c>
      <c r="BI291" s="127">
        <f t="shared" si="2"/>
        <v>86860</v>
      </c>
      <c r="BJ291" s="127">
        <f t="shared" si="2"/>
        <v>230133</v>
      </c>
      <c r="BK291" s="127">
        <f t="shared" si="2"/>
        <v>144758</v>
      </c>
      <c r="BL291" s="127">
        <f t="shared" si="2"/>
        <v>3325911</v>
      </c>
      <c r="BM291" s="127">
        <f t="shared" si="2"/>
        <v>0</v>
      </c>
      <c r="BN291" s="127">
        <f t="shared" si="2"/>
        <v>1900750</v>
      </c>
      <c r="BO291" s="127">
        <f t="shared" si="2"/>
        <v>5209975</v>
      </c>
      <c r="BP291" s="127">
        <f t="shared" si="2"/>
        <v>1209090</v>
      </c>
      <c r="BQ291" s="127">
        <f t="shared" si="2"/>
        <v>1785123</v>
      </c>
      <c r="BR291" s="127">
        <f>BR182+BR159+BR15-BR183-BR158</f>
        <v>22096058</v>
      </c>
      <c r="BS291" s="127">
        <f>BS182+BS159+BS15-BS183-BS158</f>
        <v>1325462</v>
      </c>
      <c r="BT291" s="127">
        <f t="shared" ref="BT291:CE291" si="3">BT182+BT159+BT15-BT183-BT158</f>
        <v>12394954</v>
      </c>
      <c r="BU291" s="127">
        <f t="shared" si="3"/>
        <v>647489</v>
      </c>
      <c r="BV291" s="127">
        <f t="shared" si="3"/>
        <v>6465198</v>
      </c>
      <c r="BW291" s="127">
        <f t="shared" si="3"/>
        <v>697659</v>
      </c>
      <c r="BX291" s="127">
        <f t="shared" si="3"/>
        <v>2137511</v>
      </c>
      <c r="BY291" s="127">
        <f t="shared" si="3"/>
        <v>876179</v>
      </c>
      <c r="BZ291" s="127">
        <f t="shared" si="3"/>
        <v>80047</v>
      </c>
      <c r="CA291" s="127">
        <f t="shared" si="3"/>
        <v>311666</v>
      </c>
      <c r="CB291" s="127">
        <f t="shared" si="3"/>
        <v>122165</v>
      </c>
      <c r="CC291" s="127">
        <f t="shared" si="3"/>
        <v>0</v>
      </c>
      <c r="CD291" s="127">
        <f t="shared" si="3"/>
        <v>0</v>
      </c>
      <c r="CE291" s="127">
        <f t="shared" si="3"/>
        <v>60299</v>
      </c>
    </row>
    <row r="292" spans="1:83" x14ac:dyDescent="0.3">
      <c r="A292" s="1137" t="s">
        <v>792</v>
      </c>
      <c r="B292" s="1138"/>
      <c r="C292" s="1139" t="s">
        <v>797</v>
      </c>
      <c r="D292" s="1138"/>
      <c r="E292" s="1140" t="e">
        <f>E290/E291</f>
        <v>#DIV/0!</v>
      </c>
      <c r="F292" s="1140">
        <f t="shared" ref="F292:BQ292" si="4">F290/F291</f>
        <v>2.7719326675714546</v>
      </c>
      <c r="G292" s="1140">
        <f t="shared" si="4"/>
        <v>1.0552548491716498</v>
      </c>
      <c r="H292" s="1140">
        <f t="shared" si="4"/>
        <v>2.1815099082247031</v>
      </c>
      <c r="I292" s="1140">
        <f t="shared" si="4"/>
        <v>5.4806014397891412</v>
      </c>
      <c r="J292" s="1140">
        <f t="shared" si="4"/>
        <v>1.5927805859017676</v>
      </c>
      <c r="K292" s="1140">
        <f t="shared" si="4"/>
        <v>0.59645588869470478</v>
      </c>
      <c r="L292" s="1140">
        <f t="shared" si="4"/>
        <v>2.8771113950744005</v>
      </c>
      <c r="M292" s="1140">
        <f t="shared" si="4"/>
        <v>6.7692045720610459</v>
      </c>
      <c r="N292" s="1140">
        <f t="shared" si="4"/>
        <v>0.44724390280378801</v>
      </c>
      <c r="O292" s="1140">
        <f t="shared" si="4"/>
        <v>1.2417248669913177</v>
      </c>
      <c r="P292" s="1140">
        <f t="shared" si="4"/>
        <v>0.81729086194137746</v>
      </c>
      <c r="Q292" s="1140">
        <f t="shared" si="4"/>
        <v>4.8367713787085513</v>
      </c>
      <c r="R292" s="1140">
        <f t="shared" si="4"/>
        <v>0.6830317582396479</v>
      </c>
      <c r="S292" s="1140">
        <f t="shared" si="4"/>
        <v>0.90294122680575717</v>
      </c>
      <c r="T292" s="1140">
        <f t="shared" si="4"/>
        <v>5.9205994441101462</v>
      </c>
      <c r="U292" s="1140">
        <f t="shared" si="4"/>
        <v>0.48512351552225985</v>
      </c>
      <c r="V292" s="1140">
        <f t="shared" si="4"/>
        <v>0.5334343193852108</v>
      </c>
      <c r="W292" s="1140">
        <f t="shared" si="4"/>
        <v>0.83486757213793716</v>
      </c>
      <c r="X292" s="1140">
        <f t="shared" si="4"/>
        <v>0.8702566776602646</v>
      </c>
      <c r="Y292" s="1140">
        <f t="shared" si="4"/>
        <v>0.9537525614242518</v>
      </c>
      <c r="Z292" s="1140">
        <f t="shared" si="4"/>
        <v>0.67570274723125057</v>
      </c>
      <c r="AA292" s="1140">
        <f t="shared" si="4"/>
        <v>1.2319983545536073</v>
      </c>
      <c r="AB292" s="1140">
        <f t="shared" si="4"/>
        <v>0.91279511766024901</v>
      </c>
      <c r="AC292" s="1140">
        <f t="shared" si="4"/>
        <v>0.12424376644585527</v>
      </c>
      <c r="AD292" s="1140">
        <f t="shared" si="4"/>
        <v>1.0062034791725725</v>
      </c>
      <c r="AE292" s="1140">
        <f t="shared" si="4"/>
        <v>0.52729317731638448</v>
      </c>
      <c r="AF292" s="1140">
        <f t="shared" si="4"/>
        <v>1.5727612690303454</v>
      </c>
      <c r="AG292" s="1140">
        <f t="shared" si="4"/>
        <v>1.0492440913526264</v>
      </c>
      <c r="AH292" s="1140">
        <f t="shared" si="4"/>
        <v>0.98489229064092065</v>
      </c>
      <c r="AI292" s="1140">
        <f t="shared" si="4"/>
        <v>0.56985876853913542</v>
      </c>
      <c r="AJ292" s="1140">
        <f t="shared" si="4"/>
        <v>0.12895881731588824</v>
      </c>
      <c r="AK292" s="1140">
        <f t="shared" si="4"/>
        <v>9.416692265885299</v>
      </c>
      <c r="AL292" s="1140">
        <f t="shared" si="4"/>
        <v>0.76763945977686432</v>
      </c>
      <c r="AM292" s="1140" t="e">
        <f t="shared" si="4"/>
        <v>#DIV/0!</v>
      </c>
      <c r="AN292" s="1140">
        <f t="shared" si="4"/>
        <v>0.51701236177870391</v>
      </c>
      <c r="AO292" s="1140" t="e">
        <f t="shared" si="4"/>
        <v>#DIV/0!</v>
      </c>
      <c r="AP292" s="1140" t="e">
        <f t="shared" si="4"/>
        <v>#DIV/0!</v>
      </c>
      <c r="AQ292" s="1140">
        <f t="shared" si="4"/>
        <v>2.5887428456383561</v>
      </c>
      <c r="AR292" s="1140">
        <f t="shared" si="4"/>
        <v>0.66600888941534997</v>
      </c>
      <c r="AS292" s="1140">
        <f t="shared" si="4"/>
        <v>0.55255183538090991</v>
      </c>
      <c r="AT292" s="1140">
        <f t="shared" si="4"/>
        <v>1.2908621285681052</v>
      </c>
      <c r="AU292" s="1140">
        <f t="shared" si="4"/>
        <v>0.60327817476326606</v>
      </c>
      <c r="AV292" s="1140" t="e">
        <f t="shared" si="4"/>
        <v>#DIV/0!</v>
      </c>
      <c r="AW292" s="1140">
        <f t="shared" si="4"/>
        <v>0.84700003631897836</v>
      </c>
      <c r="AX292" s="1140">
        <f t="shared" si="4"/>
        <v>1.9404877716815305</v>
      </c>
      <c r="AY292" s="1140">
        <f t="shared" si="4"/>
        <v>0.51825576492202763</v>
      </c>
      <c r="AZ292" s="1140">
        <f t="shared" si="4"/>
        <v>3.1782782045435942</v>
      </c>
      <c r="BA292" s="1140">
        <f t="shared" si="4"/>
        <v>2.1385940525188261</v>
      </c>
      <c r="BB292" s="1140">
        <f t="shared" si="4"/>
        <v>0.67254683446436714</v>
      </c>
      <c r="BC292" s="1140">
        <f t="shared" si="4"/>
        <v>6.1476765238382622</v>
      </c>
      <c r="BD292" s="1140" t="e">
        <f t="shared" si="4"/>
        <v>#DIV/0!</v>
      </c>
      <c r="BE292" s="1140">
        <f t="shared" si="4"/>
        <v>0.64491548163886436</v>
      </c>
      <c r="BF292" s="1140">
        <f t="shared" si="4"/>
        <v>5.1228959602436674</v>
      </c>
      <c r="BG292" s="1140">
        <f t="shared" si="4"/>
        <v>1.2601901993450038</v>
      </c>
      <c r="BH292" s="1140">
        <f t="shared" si="4"/>
        <v>1.041606423344807</v>
      </c>
      <c r="BI292" s="1140">
        <f t="shared" si="4"/>
        <v>3.3648860234860694</v>
      </c>
      <c r="BJ292" s="1140">
        <f t="shared" si="4"/>
        <v>2.253349150273972</v>
      </c>
      <c r="BK292" s="1140">
        <f t="shared" si="4"/>
        <v>1.7814766714102157</v>
      </c>
      <c r="BL292" s="1140">
        <f t="shared" si="4"/>
        <v>0.45107130046474486</v>
      </c>
      <c r="BM292" s="1140" t="e">
        <f t="shared" si="4"/>
        <v>#DIV/0!</v>
      </c>
      <c r="BN292" s="1140">
        <f t="shared" si="4"/>
        <v>-9.5534394318032359E-2</v>
      </c>
      <c r="BO292" s="1140">
        <f t="shared" si="4"/>
        <v>0.51752110134885487</v>
      </c>
      <c r="BP292" s="1140">
        <f t="shared" si="4"/>
        <v>0.68586953824777308</v>
      </c>
      <c r="BQ292" s="1140">
        <f t="shared" si="4"/>
        <v>0.96830470505393751</v>
      </c>
      <c r="BR292" s="1140">
        <f>BR290/BR291</f>
        <v>0.26488656936001886</v>
      </c>
      <c r="BS292" s="1140">
        <f>BS290/BS291</f>
        <v>0.31173281467141267</v>
      </c>
      <c r="BT292" s="1140">
        <f t="shared" ref="BT292:CE292" si="5">BT290/BT291</f>
        <v>1.5304621541959735</v>
      </c>
      <c r="BU292" s="1140">
        <f t="shared" si="5"/>
        <v>1.0317040135044766</v>
      </c>
      <c r="BV292" s="1140">
        <f t="shared" si="5"/>
        <v>0.45782526691371245</v>
      </c>
      <c r="BW292" s="1140">
        <f t="shared" si="5"/>
        <v>1.3914061167418466</v>
      </c>
      <c r="BX292" s="1140">
        <f t="shared" si="5"/>
        <v>0.46568228186895883</v>
      </c>
      <c r="BY292" s="1140">
        <f t="shared" si="5"/>
        <v>2.3013653602745556</v>
      </c>
      <c r="BZ292" s="1140">
        <f t="shared" si="5"/>
        <v>4.5621697252863944</v>
      </c>
      <c r="CA292" s="1140">
        <f t="shared" si="5"/>
        <v>1.7248336360077776</v>
      </c>
      <c r="CB292" s="1140">
        <f t="shared" si="5"/>
        <v>1.3577374861867146</v>
      </c>
      <c r="CC292" s="1140" t="e">
        <f t="shared" si="5"/>
        <v>#DIV/0!</v>
      </c>
      <c r="CD292" s="1140" t="e">
        <f t="shared" si="5"/>
        <v>#DIV/0!</v>
      </c>
      <c r="CE292" s="1140">
        <f t="shared" si="5"/>
        <v>6.0767840262690926</v>
      </c>
    </row>
    <row r="293" spans="1:83" x14ac:dyDescent="0.3">
      <c r="A293" s="1137" t="s">
        <v>794</v>
      </c>
      <c r="B293" s="1138"/>
      <c r="C293" s="1141"/>
      <c r="D293" s="1138"/>
      <c r="E293" s="1142">
        <f>E97+E51</f>
        <v>0</v>
      </c>
      <c r="F293" s="1142">
        <f t="shared" ref="F293:BQ293" si="6">F97+F51</f>
        <v>0</v>
      </c>
      <c r="G293" s="1142">
        <f t="shared" si="6"/>
        <v>65269</v>
      </c>
      <c r="H293" s="1142">
        <f t="shared" si="6"/>
        <v>0</v>
      </c>
      <c r="I293" s="1142">
        <f t="shared" si="6"/>
        <v>0</v>
      </c>
      <c r="J293" s="1142">
        <f t="shared" si="6"/>
        <v>0</v>
      </c>
      <c r="K293" s="1142">
        <f t="shared" si="6"/>
        <v>20678</v>
      </c>
      <c r="L293" s="1142">
        <f t="shared" si="6"/>
        <v>0</v>
      </c>
      <c r="M293" s="1142">
        <f t="shared" si="6"/>
        <v>0</v>
      </c>
      <c r="N293" s="1142">
        <f t="shared" si="6"/>
        <v>0</v>
      </c>
      <c r="O293" s="1142">
        <f t="shared" si="6"/>
        <v>0</v>
      </c>
      <c r="P293" s="1142">
        <f t="shared" si="6"/>
        <v>0</v>
      </c>
      <c r="Q293" s="1142">
        <f t="shared" si="6"/>
        <v>0</v>
      </c>
      <c r="R293" s="1142">
        <f t="shared" si="6"/>
        <v>2242449</v>
      </c>
      <c r="S293" s="1142">
        <f t="shared" si="6"/>
        <v>79162</v>
      </c>
      <c r="T293" s="1142">
        <f t="shared" si="6"/>
        <v>0</v>
      </c>
      <c r="U293" s="1142">
        <f t="shared" si="6"/>
        <v>6656291</v>
      </c>
      <c r="V293" s="1142">
        <f t="shared" si="6"/>
        <v>1970333</v>
      </c>
      <c r="W293" s="1142">
        <f t="shared" si="6"/>
        <v>2168191</v>
      </c>
      <c r="X293" s="1142">
        <f t="shared" si="6"/>
        <v>0</v>
      </c>
      <c r="Y293" s="1142">
        <f t="shared" si="6"/>
        <v>0</v>
      </c>
      <c r="Z293" s="1142">
        <f t="shared" si="6"/>
        <v>1441987</v>
      </c>
      <c r="AA293" s="1142">
        <f t="shared" si="6"/>
        <v>66741</v>
      </c>
      <c r="AB293" s="1142">
        <f t="shared" si="6"/>
        <v>408210</v>
      </c>
      <c r="AC293" s="1142">
        <f t="shared" si="6"/>
        <v>1272281</v>
      </c>
      <c r="AD293" s="1142">
        <f t="shared" si="6"/>
        <v>179053</v>
      </c>
      <c r="AE293" s="1142">
        <f t="shared" si="6"/>
        <v>341925</v>
      </c>
      <c r="AF293" s="1142">
        <f t="shared" si="6"/>
        <v>32920</v>
      </c>
      <c r="AG293" s="1142">
        <f t="shared" si="6"/>
        <v>115074</v>
      </c>
      <c r="AH293" s="1142">
        <f t="shared" si="6"/>
        <v>49234</v>
      </c>
      <c r="AI293" s="1142">
        <f t="shared" si="6"/>
        <v>45127</v>
      </c>
      <c r="AJ293" s="1142">
        <f t="shared" si="6"/>
        <v>5517387</v>
      </c>
      <c r="AK293" s="1142">
        <f t="shared" si="6"/>
        <v>0</v>
      </c>
      <c r="AL293" s="1142">
        <f t="shared" si="6"/>
        <v>78945</v>
      </c>
      <c r="AM293" s="1142">
        <f t="shared" si="6"/>
        <v>0</v>
      </c>
      <c r="AN293" s="1142">
        <f t="shared" si="6"/>
        <v>1785503</v>
      </c>
      <c r="AO293" s="1142">
        <f t="shared" si="6"/>
        <v>0</v>
      </c>
      <c r="AP293" s="1142">
        <f t="shared" si="6"/>
        <v>0</v>
      </c>
      <c r="AQ293" s="1142">
        <f t="shared" si="6"/>
        <v>0</v>
      </c>
      <c r="AR293" s="1142">
        <f t="shared" si="6"/>
        <v>0</v>
      </c>
      <c r="AS293" s="1142">
        <f t="shared" si="6"/>
        <v>574542</v>
      </c>
      <c r="AT293" s="1142">
        <f t="shared" si="6"/>
        <v>87845</v>
      </c>
      <c r="AU293" s="1142">
        <f t="shared" si="6"/>
        <v>228599</v>
      </c>
      <c r="AV293" s="1142">
        <f t="shared" si="6"/>
        <v>0</v>
      </c>
      <c r="AW293" s="1142">
        <f t="shared" si="6"/>
        <v>7019070</v>
      </c>
      <c r="AX293" s="1142">
        <f t="shared" si="6"/>
        <v>0</v>
      </c>
      <c r="AY293" s="1142">
        <f t="shared" si="6"/>
        <v>70376</v>
      </c>
      <c r="AZ293" s="1142">
        <f t="shared" si="6"/>
        <v>0</v>
      </c>
      <c r="BA293" s="1142">
        <f t="shared" si="6"/>
        <v>64764</v>
      </c>
      <c r="BB293" s="1142">
        <f t="shared" si="6"/>
        <v>0</v>
      </c>
      <c r="BC293" s="1142">
        <f t="shared" si="6"/>
        <v>0</v>
      </c>
      <c r="BD293" s="1142">
        <f t="shared" si="6"/>
        <v>0</v>
      </c>
      <c r="BE293" s="1142">
        <f t="shared" si="6"/>
        <v>813657</v>
      </c>
      <c r="BF293" s="1142">
        <f t="shared" si="6"/>
        <v>0</v>
      </c>
      <c r="BG293" s="1142">
        <f t="shared" si="6"/>
        <v>27891</v>
      </c>
      <c r="BH293" s="1142">
        <f t="shared" si="6"/>
        <v>0</v>
      </c>
      <c r="BI293" s="1142">
        <f t="shared" si="6"/>
        <v>0</v>
      </c>
      <c r="BJ293" s="1142">
        <f t="shared" si="6"/>
        <v>5557</v>
      </c>
      <c r="BK293" s="1142">
        <f t="shared" si="6"/>
        <v>0</v>
      </c>
      <c r="BL293" s="1142">
        <f t="shared" si="6"/>
        <v>175681</v>
      </c>
      <c r="BM293" s="1142">
        <f t="shared" si="6"/>
        <v>0</v>
      </c>
      <c r="BN293" s="1142">
        <f t="shared" si="6"/>
        <v>131679</v>
      </c>
      <c r="BO293" s="1142">
        <f t="shared" si="6"/>
        <v>285378</v>
      </c>
      <c r="BP293" s="1142">
        <f t="shared" si="6"/>
        <v>81664</v>
      </c>
      <c r="BQ293" s="1142">
        <f t="shared" si="6"/>
        <v>14661</v>
      </c>
      <c r="BR293" s="1142">
        <f>BR97+BR51</f>
        <v>0</v>
      </c>
      <c r="BS293" s="1142">
        <f>BS97+BS51</f>
        <v>0</v>
      </c>
      <c r="BT293" s="1142">
        <f t="shared" ref="BT293:CE293" si="7">BT97+BT51</f>
        <v>0</v>
      </c>
      <c r="BU293" s="1142">
        <f t="shared" si="7"/>
        <v>46079</v>
      </c>
      <c r="BV293" s="1142">
        <f t="shared" si="7"/>
        <v>162583</v>
      </c>
      <c r="BW293" s="1142">
        <f t="shared" si="7"/>
        <v>0</v>
      </c>
      <c r="BX293" s="1142">
        <f t="shared" si="7"/>
        <v>182485</v>
      </c>
      <c r="BY293" s="1142">
        <f t="shared" si="7"/>
        <v>0</v>
      </c>
      <c r="BZ293" s="1142">
        <f t="shared" si="7"/>
        <v>0</v>
      </c>
      <c r="CA293" s="1142">
        <f t="shared" si="7"/>
        <v>64301</v>
      </c>
      <c r="CB293" s="1142">
        <f t="shared" si="7"/>
        <v>16690</v>
      </c>
      <c r="CC293" s="1142">
        <f t="shared" si="7"/>
        <v>0</v>
      </c>
      <c r="CD293" s="1142">
        <f t="shared" si="7"/>
        <v>0</v>
      </c>
      <c r="CE293" s="1142">
        <f t="shared" si="7"/>
        <v>0</v>
      </c>
    </row>
    <row r="294" spans="1:83" x14ac:dyDescent="0.3">
      <c r="A294" s="1137" t="s">
        <v>1762</v>
      </c>
      <c r="B294" s="1138"/>
      <c r="C294" s="1138"/>
      <c r="D294" s="1138"/>
      <c r="E294" s="1142">
        <f>E60+E58</f>
        <v>0</v>
      </c>
      <c r="F294" s="1142">
        <f t="shared" ref="F294:BQ294" si="8">F60+F58</f>
        <v>0</v>
      </c>
      <c r="G294" s="1142">
        <f t="shared" si="8"/>
        <v>0</v>
      </c>
      <c r="H294" s="1142">
        <f t="shared" si="8"/>
        <v>0</v>
      </c>
      <c r="I294" s="1142">
        <f t="shared" si="8"/>
        <v>0</v>
      </c>
      <c r="J294" s="1142">
        <f t="shared" si="8"/>
        <v>0</v>
      </c>
      <c r="K294" s="1142">
        <f t="shared" si="8"/>
        <v>0</v>
      </c>
      <c r="L294" s="1142">
        <f t="shared" si="8"/>
        <v>0</v>
      </c>
      <c r="M294" s="1142">
        <f t="shared" si="8"/>
        <v>0</v>
      </c>
      <c r="N294" s="1142">
        <f t="shared" si="8"/>
        <v>0</v>
      </c>
      <c r="O294" s="1142">
        <f t="shared" si="8"/>
        <v>0</v>
      </c>
      <c r="P294" s="1142">
        <f t="shared" si="8"/>
        <v>0</v>
      </c>
      <c r="Q294" s="1142">
        <f t="shared" si="8"/>
        <v>0</v>
      </c>
      <c r="R294" s="1142">
        <f t="shared" si="8"/>
        <v>1678443</v>
      </c>
      <c r="S294" s="1142">
        <f t="shared" si="8"/>
        <v>0</v>
      </c>
      <c r="T294" s="1142">
        <f t="shared" si="8"/>
        <v>0</v>
      </c>
      <c r="U294" s="1142">
        <f t="shared" si="8"/>
        <v>0</v>
      </c>
      <c r="V294" s="1142">
        <f t="shared" si="8"/>
        <v>0</v>
      </c>
      <c r="W294" s="1142">
        <f t="shared" si="8"/>
        <v>175364</v>
      </c>
      <c r="X294" s="1142">
        <f t="shared" si="8"/>
        <v>0</v>
      </c>
      <c r="Y294" s="1142">
        <f t="shared" si="8"/>
        <v>0</v>
      </c>
      <c r="Z294" s="1142">
        <f t="shared" si="8"/>
        <v>0</v>
      </c>
      <c r="AA294" s="1142">
        <f t="shared" si="8"/>
        <v>0</v>
      </c>
      <c r="AB294" s="1142">
        <f t="shared" si="8"/>
        <v>0</v>
      </c>
      <c r="AC294" s="1142">
        <f t="shared" si="8"/>
        <v>0</v>
      </c>
      <c r="AD294" s="1142">
        <f t="shared" si="8"/>
        <v>0</v>
      </c>
      <c r="AE294" s="1142">
        <f t="shared" si="8"/>
        <v>0</v>
      </c>
      <c r="AF294" s="1142">
        <f t="shared" si="8"/>
        <v>0</v>
      </c>
      <c r="AG294" s="1142">
        <f t="shared" si="8"/>
        <v>0</v>
      </c>
      <c r="AH294" s="1142">
        <f t="shared" si="8"/>
        <v>0</v>
      </c>
      <c r="AI294" s="1142">
        <f t="shared" si="8"/>
        <v>0</v>
      </c>
      <c r="AJ294" s="1142">
        <f t="shared" si="8"/>
        <v>1997390</v>
      </c>
      <c r="AK294" s="1142">
        <f t="shared" si="8"/>
        <v>0</v>
      </c>
      <c r="AL294" s="1142">
        <f t="shared" si="8"/>
        <v>0</v>
      </c>
      <c r="AM294" s="1142">
        <f t="shared" si="8"/>
        <v>0</v>
      </c>
      <c r="AN294" s="1142">
        <f t="shared" si="8"/>
        <v>965330</v>
      </c>
      <c r="AO294" s="1142">
        <f t="shared" si="8"/>
        <v>0</v>
      </c>
      <c r="AP294" s="1142">
        <f t="shared" si="8"/>
        <v>0</v>
      </c>
      <c r="AQ294" s="1142">
        <f t="shared" si="8"/>
        <v>0</v>
      </c>
      <c r="AR294" s="1142">
        <f t="shared" si="8"/>
        <v>0</v>
      </c>
      <c r="AS294" s="1142">
        <f t="shared" si="8"/>
        <v>0</v>
      </c>
      <c r="AT294" s="1142">
        <f t="shared" si="8"/>
        <v>0</v>
      </c>
      <c r="AU294" s="1142">
        <f t="shared" si="8"/>
        <v>0</v>
      </c>
      <c r="AV294" s="1142">
        <f t="shared" si="8"/>
        <v>0</v>
      </c>
      <c r="AW294" s="1142">
        <f t="shared" si="8"/>
        <v>0</v>
      </c>
      <c r="AX294" s="1142">
        <f t="shared" si="8"/>
        <v>0</v>
      </c>
      <c r="AY294" s="1142">
        <f t="shared" si="8"/>
        <v>0</v>
      </c>
      <c r="AZ294" s="1142">
        <f t="shared" si="8"/>
        <v>0</v>
      </c>
      <c r="BA294" s="1142">
        <f t="shared" si="8"/>
        <v>0</v>
      </c>
      <c r="BB294" s="1142">
        <f t="shared" si="8"/>
        <v>0</v>
      </c>
      <c r="BC294" s="1142">
        <f t="shared" si="8"/>
        <v>0</v>
      </c>
      <c r="BD294" s="1142">
        <f t="shared" si="8"/>
        <v>0</v>
      </c>
      <c r="BE294" s="1142">
        <f t="shared" si="8"/>
        <v>0</v>
      </c>
      <c r="BF294" s="1142">
        <f t="shared" si="8"/>
        <v>0</v>
      </c>
      <c r="BG294" s="1142">
        <f t="shared" si="8"/>
        <v>0</v>
      </c>
      <c r="BH294" s="1142">
        <f t="shared" si="8"/>
        <v>0</v>
      </c>
      <c r="BI294" s="1142">
        <f t="shared" si="8"/>
        <v>0</v>
      </c>
      <c r="BJ294" s="1142">
        <f t="shared" si="8"/>
        <v>0</v>
      </c>
      <c r="BK294" s="1142">
        <f t="shared" si="8"/>
        <v>0</v>
      </c>
      <c r="BL294" s="1142">
        <f t="shared" si="8"/>
        <v>0</v>
      </c>
      <c r="BM294" s="1142">
        <f t="shared" si="8"/>
        <v>0</v>
      </c>
      <c r="BN294" s="1142">
        <f t="shared" si="8"/>
        <v>0</v>
      </c>
      <c r="BO294" s="1142">
        <f t="shared" si="8"/>
        <v>0</v>
      </c>
      <c r="BP294" s="1142">
        <f t="shared" si="8"/>
        <v>0</v>
      </c>
      <c r="BQ294" s="1142">
        <f t="shared" si="8"/>
        <v>0</v>
      </c>
      <c r="BR294" s="1142">
        <f>BR60+BR58</f>
        <v>0</v>
      </c>
      <c r="BS294" s="1142">
        <f>BS60+BS58</f>
        <v>1498</v>
      </c>
      <c r="BT294" s="1142">
        <f t="shared" ref="BT294:CE294" si="9">BT60+BT58</f>
        <v>0</v>
      </c>
      <c r="BU294" s="1142">
        <f t="shared" si="9"/>
        <v>0</v>
      </c>
      <c r="BV294" s="1142">
        <f t="shared" si="9"/>
        <v>0</v>
      </c>
      <c r="BW294" s="1142">
        <f t="shared" si="9"/>
        <v>0</v>
      </c>
      <c r="BX294" s="1142">
        <f t="shared" si="9"/>
        <v>0</v>
      </c>
      <c r="BY294" s="1142">
        <f t="shared" si="9"/>
        <v>0</v>
      </c>
      <c r="BZ294" s="1142">
        <f t="shared" si="9"/>
        <v>0</v>
      </c>
      <c r="CA294" s="1142">
        <f t="shared" si="9"/>
        <v>0</v>
      </c>
      <c r="CB294" s="1142">
        <f t="shared" si="9"/>
        <v>0</v>
      </c>
      <c r="CC294" s="1142">
        <f t="shared" si="9"/>
        <v>0</v>
      </c>
      <c r="CD294" s="1142">
        <f t="shared" si="9"/>
        <v>0</v>
      </c>
      <c r="CE294" s="1142">
        <f t="shared" si="9"/>
        <v>0</v>
      </c>
    </row>
    <row r="295" spans="1:83" x14ac:dyDescent="0.3">
      <c r="A295" s="1137" t="s">
        <v>796</v>
      </c>
      <c r="C295" s="1138" t="s">
        <v>795</v>
      </c>
      <c r="E295" s="1131">
        <f>E31-E160</f>
        <v>0</v>
      </c>
      <c r="F295" s="1131">
        <f t="shared" ref="F295:BQ295" si="10">F31-F160</f>
        <v>0</v>
      </c>
      <c r="G295" s="1131">
        <f t="shared" si="10"/>
        <v>637632</v>
      </c>
      <c r="H295" s="1131">
        <f t="shared" si="10"/>
        <v>0</v>
      </c>
      <c r="I295" s="1131">
        <f t="shared" si="10"/>
        <v>0</v>
      </c>
      <c r="J295" s="1131">
        <f t="shared" si="10"/>
        <v>0</v>
      </c>
      <c r="K295" s="1131">
        <f t="shared" si="10"/>
        <v>32937</v>
      </c>
      <c r="L295" s="1131">
        <f t="shared" si="10"/>
        <v>0</v>
      </c>
      <c r="M295" s="1131">
        <f t="shared" si="10"/>
        <v>0</v>
      </c>
      <c r="N295" s="1131">
        <f t="shared" si="10"/>
        <v>0</v>
      </c>
      <c r="O295" s="1131">
        <f t="shared" si="10"/>
        <v>0</v>
      </c>
      <c r="P295" s="1131">
        <f t="shared" si="10"/>
        <v>1093642</v>
      </c>
      <c r="Q295" s="1131">
        <f t="shared" si="10"/>
        <v>0</v>
      </c>
      <c r="R295" s="1131">
        <f t="shared" si="10"/>
        <v>41934796</v>
      </c>
      <c r="S295" s="1131">
        <f t="shared" si="10"/>
        <v>871374</v>
      </c>
      <c r="T295" s="1131">
        <f t="shared" si="10"/>
        <v>0</v>
      </c>
      <c r="U295" s="1131">
        <f t="shared" si="10"/>
        <v>40857023</v>
      </c>
      <c r="V295" s="1131">
        <f t="shared" si="10"/>
        <v>13712159</v>
      </c>
      <c r="W295" s="1131">
        <f t="shared" si="10"/>
        <v>15942157</v>
      </c>
      <c r="X295" s="1131">
        <f t="shared" si="10"/>
        <v>0</v>
      </c>
      <c r="Y295" s="1131">
        <f t="shared" si="10"/>
        <v>361090</v>
      </c>
      <c r="Z295" s="1131">
        <f t="shared" si="10"/>
        <v>5826619</v>
      </c>
      <c r="AA295" s="1131">
        <f t="shared" si="10"/>
        <v>1392301</v>
      </c>
      <c r="AB295" s="1131">
        <f t="shared" si="10"/>
        <v>13238555</v>
      </c>
      <c r="AC295" s="1131">
        <f t="shared" si="10"/>
        <v>509752</v>
      </c>
      <c r="AD295" s="1131">
        <f t="shared" si="10"/>
        <v>866783</v>
      </c>
      <c r="AE295" s="1131">
        <f t="shared" si="10"/>
        <v>867464</v>
      </c>
      <c r="AF295" s="1131">
        <f t="shared" si="10"/>
        <v>2465500</v>
      </c>
      <c r="AG295" s="1131">
        <f t="shared" si="10"/>
        <v>3623066</v>
      </c>
      <c r="AH295" s="1131">
        <f t="shared" si="10"/>
        <v>2297888</v>
      </c>
      <c r="AI295" s="1131">
        <f t="shared" si="10"/>
        <v>200140</v>
      </c>
      <c r="AJ295" s="1131">
        <f t="shared" si="10"/>
        <v>16907809</v>
      </c>
      <c r="AK295" s="1131">
        <f t="shared" si="10"/>
        <v>804662</v>
      </c>
      <c r="AL295" s="1131">
        <f t="shared" si="10"/>
        <v>411966</v>
      </c>
      <c r="AM295" s="1131">
        <f t="shared" si="10"/>
        <v>0</v>
      </c>
      <c r="AN295" s="1131">
        <f t="shared" si="10"/>
        <v>3648833</v>
      </c>
      <c r="AO295" s="1131">
        <f t="shared" si="10"/>
        <v>0</v>
      </c>
      <c r="AP295" s="1131">
        <f t="shared" si="10"/>
        <v>0</v>
      </c>
      <c r="AQ295" s="1131">
        <f t="shared" si="10"/>
        <v>0</v>
      </c>
      <c r="AR295" s="1131">
        <f t="shared" si="10"/>
        <v>0</v>
      </c>
      <c r="AS295" s="1131">
        <f t="shared" si="10"/>
        <v>4056469</v>
      </c>
      <c r="AT295" s="1131">
        <f t="shared" si="10"/>
        <v>221820</v>
      </c>
      <c r="AU295" s="1131">
        <f t="shared" si="10"/>
        <v>853560</v>
      </c>
      <c r="AV295" s="1131">
        <f t="shared" si="10"/>
        <v>0</v>
      </c>
      <c r="AW295" s="1131">
        <f t="shared" si="10"/>
        <v>32010926</v>
      </c>
      <c r="AX295" s="1131">
        <f t="shared" si="10"/>
        <v>0</v>
      </c>
      <c r="AY295" s="1131">
        <f t="shared" si="10"/>
        <v>2079067</v>
      </c>
      <c r="AZ295" s="1131">
        <f t="shared" si="10"/>
        <v>6106756</v>
      </c>
      <c r="BA295" s="1131">
        <f t="shared" si="10"/>
        <v>979399</v>
      </c>
      <c r="BB295" s="1131">
        <f t="shared" si="10"/>
        <v>171889</v>
      </c>
      <c r="BC295" s="1131">
        <f t="shared" si="10"/>
        <v>0</v>
      </c>
      <c r="BD295" s="1131">
        <f t="shared" si="10"/>
        <v>0</v>
      </c>
      <c r="BE295" s="1131">
        <f t="shared" si="10"/>
        <v>8945762</v>
      </c>
      <c r="BF295" s="1131">
        <f t="shared" si="10"/>
        <v>0</v>
      </c>
      <c r="BG295" s="1131">
        <f t="shared" si="10"/>
        <v>218657</v>
      </c>
      <c r="BH295" s="1131">
        <f t="shared" si="10"/>
        <v>124403</v>
      </c>
      <c r="BI295" s="1131">
        <f t="shared" si="10"/>
        <v>0</v>
      </c>
      <c r="BJ295" s="1131">
        <f t="shared" si="10"/>
        <v>227536</v>
      </c>
      <c r="BK295" s="1131">
        <f t="shared" si="10"/>
        <v>0</v>
      </c>
      <c r="BL295" s="1131">
        <f t="shared" si="10"/>
        <v>2733713</v>
      </c>
      <c r="BM295" s="1131">
        <f t="shared" si="10"/>
        <v>0</v>
      </c>
      <c r="BN295" s="1131">
        <f t="shared" si="10"/>
        <v>387621</v>
      </c>
      <c r="BO295" s="1131">
        <f t="shared" si="10"/>
        <v>1030801</v>
      </c>
      <c r="BP295" s="1131">
        <f t="shared" si="10"/>
        <v>569877</v>
      </c>
      <c r="BQ295" s="1131">
        <f t="shared" si="10"/>
        <v>903072</v>
      </c>
      <c r="BR295" s="1131">
        <f>BR31-BR160</f>
        <v>0</v>
      </c>
      <c r="BS295" s="1131">
        <f>BS31-BS160</f>
        <v>235701</v>
      </c>
      <c r="BT295" s="1131">
        <f t="shared" ref="BT295:CE295" si="11">BT31-BT160</f>
        <v>0</v>
      </c>
      <c r="BU295" s="1131">
        <f t="shared" si="11"/>
        <v>670680</v>
      </c>
      <c r="BV295" s="1131">
        <f t="shared" si="11"/>
        <v>3837122</v>
      </c>
      <c r="BW295" s="1131">
        <f t="shared" si="11"/>
        <v>0</v>
      </c>
      <c r="BX295" s="1131">
        <f t="shared" si="11"/>
        <v>1686667</v>
      </c>
      <c r="BY295" s="1131">
        <f t="shared" si="11"/>
        <v>1094450</v>
      </c>
      <c r="BZ295" s="1131">
        <f t="shared" si="11"/>
        <v>3980</v>
      </c>
      <c r="CA295" s="1131">
        <f t="shared" si="11"/>
        <v>296176</v>
      </c>
      <c r="CB295" s="1131">
        <f t="shared" si="11"/>
        <v>14120</v>
      </c>
      <c r="CC295" s="1131">
        <f t="shared" si="11"/>
        <v>0</v>
      </c>
      <c r="CD295" s="1131">
        <f t="shared" si="11"/>
        <v>0</v>
      </c>
      <c r="CE295" s="1131">
        <f t="shared" si="11"/>
        <v>7036</v>
      </c>
    </row>
    <row r="296" spans="1:83" x14ac:dyDescent="0.3">
      <c r="A296" s="1137" t="s">
        <v>799</v>
      </c>
      <c r="C296" s="1138" t="s">
        <v>801</v>
      </c>
      <c r="E296" s="1132" t="e">
        <f>E45*365/E50</f>
        <v>#DIV/0!</v>
      </c>
      <c r="F296" s="1132" t="e">
        <f t="shared" ref="F296:BQ296" si="12">F45*365/F50</f>
        <v>#DIV/0!</v>
      </c>
      <c r="G296" s="1132">
        <f t="shared" si="12"/>
        <v>33.277951273028279</v>
      </c>
      <c r="H296" s="1132" t="e">
        <f t="shared" si="12"/>
        <v>#DIV/0!</v>
      </c>
      <c r="I296" s="1132" t="e">
        <f t="shared" si="12"/>
        <v>#DIV/0!</v>
      </c>
      <c r="J296" s="1132" t="e">
        <f t="shared" si="12"/>
        <v>#DIV/0!</v>
      </c>
      <c r="K296" s="1132">
        <f t="shared" si="12"/>
        <v>80.819807316215901</v>
      </c>
      <c r="L296" s="1132" t="e">
        <f t="shared" si="12"/>
        <v>#DIV/0!</v>
      </c>
      <c r="M296" s="1132" t="e">
        <f t="shared" si="12"/>
        <v>#DIV/0!</v>
      </c>
      <c r="N296" s="1132" t="e">
        <f t="shared" si="12"/>
        <v>#DIV/0!</v>
      </c>
      <c r="O296" s="1132" t="e">
        <f t="shared" si="12"/>
        <v>#DIV/0!</v>
      </c>
      <c r="P296" s="1132">
        <f t="shared" si="12"/>
        <v>37.654910244371614</v>
      </c>
      <c r="Q296" s="1132" t="e">
        <f t="shared" si="12"/>
        <v>#DIV/0!</v>
      </c>
      <c r="R296" s="1132">
        <f t="shared" si="12"/>
        <v>58.318813388702871</v>
      </c>
      <c r="S296" s="1132">
        <f t="shared" si="12"/>
        <v>61.286500860849259</v>
      </c>
      <c r="T296" s="1132" t="e">
        <f t="shared" si="12"/>
        <v>#DIV/0!</v>
      </c>
      <c r="U296" s="1132">
        <f t="shared" si="12"/>
        <v>61.823131241868381</v>
      </c>
      <c r="V296" s="1132">
        <f t="shared" si="12"/>
        <v>66.48533540230197</v>
      </c>
      <c r="W296" s="1132">
        <f t="shared" si="12"/>
        <v>36.177629874369622</v>
      </c>
      <c r="X296" s="1132" t="e">
        <f t="shared" si="12"/>
        <v>#DIV/0!</v>
      </c>
      <c r="Y296" s="1132">
        <f t="shared" si="12"/>
        <v>45.835705958839618</v>
      </c>
      <c r="Z296" s="1132">
        <f t="shared" si="12"/>
        <v>47.124877244038359</v>
      </c>
      <c r="AA296" s="1132">
        <f t="shared" si="12"/>
        <v>47.178466649214187</v>
      </c>
      <c r="AB296" s="1132">
        <f t="shared" si="12"/>
        <v>72.730055092555418</v>
      </c>
      <c r="AC296" s="1132">
        <f t="shared" si="12"/>
        <v>43.107541059209119</v>
      </c>
      <c r="AD296" s="1132">
        <f t="shared" si="12"/>
        <v>46.524809367740176</v>
      </c>
      <c r="AE296" s="1132">
        <f t="shared" si="12"/>
        <v>28.527926781082755</v>
      </c>
      <c r="AF296" s="1132">
        <f t="shared" si="12"/>
        <v>36.10720255768458</v>
      </c>
      <c r="AG296" s="1132">
        <f t="shared" si="12"/>
        <v>72.77489591965427</v>
      </c>
      <c r="AH296" s="1132">
        <f t="shared" si="12"/>
        <v>27.911493604801617</v>
      </c>
      <c r="AI296" s="1132">
        <f t="shared" si="12"/>
        <v>79.829260049182423</v>
      </c>
      <c r="AJ296" s="1132">
        <f t="shared" si="12"/>
        <v>44.452884602123319</v>
      </c>
      <c r="AK296" s="1132">
        <f t="shared" si="12"/>
        <v>28.339875701527117</v>
      </c>
      <c r="AL296" s="1132">
        <f t="shared" si="12"/>
        <v>44.832421245070336</v>
      </c>
      <c r="AM296" s="1132" t="e">
        <f t="shared" si="12"/>
        <v>#DIV/0!</v>
      </c>
      <c r="AN296" s="1132">
        <f t="shared" si="12"/>
        <v>55.85001003939113</v>
      </c>
      <c r="AO296" s="1132" t="e">
        <f t="shared" si="12"/>
        <v>#DIV/0!</v>
      </c>
      <c r="AP296" s="1132" t="e">
        <f t="shared" si="12"/>
        <v>#DIV/0!</v>
      </c>
      <c r="AQ296" s="1132" t="e">
        <f t="shared" si="12"/>
        <v>#DIV/0!</v>
      </c>
      <c r="AR296" s="1132" t="e">
        <f t="shared" si="12"/>
        <v>#DIV/0!</v>
      </c>
      <c r="AS296" s="1132">
        <f t="shared" si="12"/>
        <v>60.98520506997405</v>
      </c>
      <c r="AT296" s="1132">
        <f t="shared" si="12"/>
        <v>70.852130535164775</v>
      </c>
      <c r="AU296" s="1132">
        <f t="shared" si="12"/>
        <v>43.880040280021205</v>
      </c>
      <c r="AV296" s="1132" t="e">
        <f t="shared" si="12"/>
        <v>#DIV/0!</v>
      </c>
      <c r="AW296" s="1132">
        <f t="shared" si="12"/>
        <v>58.841744295048706</v>
      </c>
      <c r="AX296" s="1132" t="e">
        <f t="shared" si="12"/>
        <v>#DIV/0!</v>
      </c>
      <c r="AY296" s="1132">
        <f t="shared" si="12"/>
        <v>50.557787643955436</v>
      </c>
      <c r="AZ296" s="1132">
        <f t="shared" si="12"/>
        <v>87.054780326729642</v>
      </c>
      <c r="BA296" s="1132">
        <f t="shared" si="12"/>
        <v>25.857616471819927</v>
      </c>
      <c r="BB296" s="1132">
        <f t="shared" si="12"/>
        <v>35.430783289367056</v>
      </c>
      <c r="BC296" s="1132" t="e">
        <f t="shared" si="12"/>
        <v>#DIV/0!</v>
      </c>
      <c r="BD296" s="1132" t="e">
        <f t="shared" si="12"/>
        <v>#DIV/0!</v>
      </c>
      <c r="BE296" s="1132">
        <f t="shared" si="12"/>
        <v>96.252701158440331</v>
      </c>
      <c r="BF296" s="1132" t="e">
        <f t="shared" si="12"/>
        <v>#DIV/0!</v>
      </c>
      <c r="BG296" s="1132">
        <f t="shared" si="12"/>
        <v>47.440606141285052</v>
      </c>
      <c r="BH296" s="1132">
        <f t="shared" si="12"/>
        <v>11.038488703803925</v>
      </c>
      <c r="BI296" s="1132" t="e">
        <f t="shared" si="12"/>
        <v>#DIV/0!</v>
      </c>
      <c r="BJ296" s="1132">
        <f t="shared" si="12"/>
        <v>43.525852886575976</v>
      </c>
      <c r="BK296" s="1132" t="e">
        <f t="shared" si="12"/>
        <v>#DIV/0!</v>
      </c>
      <c r="BL296" s="1132">
        <f t="shared" si="12"/>
        <v>14.904360414615786</v>
      </c>
      <c r="BM296" s="1132" t="e">
        <f t="shared" si="12"/>
        <v>#DIV/0!</v>
      </c>
      <c r="BN296" s="1132">
        <f t="shared" si="12"/>
        <v>68.722169322969691</v>
      </c>
      <c r="BO296" s="1132">
        <f t="shared" si="12"/>
        <v>105.06990799980457</v>
      </c>
      <c r="BP296" s="1132">
        <f t="shared" si="12"/>
        <v>48.23715554683708</v>
      </c>
      <c r="BQ296" s="1132">
        <f t="shared" si="12"/>
        <v>11.110795119402734</v>
      </c>
      <c r="BR296" s="1132" t="e">
        <f>BR45*365/BR50</f>
        <v>#DIV/0!</v>
      </c>
      <c r="BS296" s="1132">
        <f>BS45*365/BS50</f>
        <v>79.680361604949951</v>
      </c>
      <c r="BT296" s="1132" t="e">
        <f t="shared" ref="BT296:CE296" si="13">BT45*365/BT50</f>
        <v>#DIV/0!</v>
      </c>
      <c r="BU296" s="1132">
        <f t="shared" si="13"/>
        <v>50.678609476329861</v>
      </c>
      <c r="BV296" s="1132">
        <f t="shared" si="13"/>
        <v>44.239142543012008</v>
      </c>
      <c r="BW296" s="1132" t="e">
        <f t="shared" si="13"/>
        <v>#DIV/0!</v>
      </c>
      <c r="BX296" s="1132">
        <f t="shared" si="13"/>
        <v>83.285212318182843</v>
      </c>
      <c r="BY296" s="1132">
        <f t="shared" si="13"/>
        <v>41.750665682284982</v>
      </c>
      <c r="BZ296" s="1132">
        <f t="shared" si="13"/>
        <v>29.621876788098415</v>
      </c>
      <c r="CA296" s="1132">
        <f t="shared" si="13"/>
        <v>32.566323422889504</v>
      </c>
      <c r="CB296" s="1132">
        <f t="shared" si="13"/>
        <v>26.776525136115648</v>
      </c>
      <c r="CC296" s="1132" t="e">
        <f t="shared" si="13"/>
        <v>#DIV/0!</v>
      </c>
      <c r="CD296" s="1132" t="e">
        <f t="shared" si="13"/>
        <v>#DIV/0!</v>
      </c>
      <c r="CE296" s="1132">
        <f t="shared" si="13"/>
        <v>0</v>
      </c>
    </row>
    <row r="297" spans="1:83" x14ac:dyDescent="0.3">
      <c r="A297" s="1137" t="s">
        <v>800</v>
      </c>
      <c r="C297" s="1138" t="s">
        <v>802</v>
      </c>
      <c r="E297" s="1132" t="e">
        <f>E53*365/E57</f>
        <v>#DIV/0!</v>
      </c>
      <c r="F297" s="1132" t="e">
        <f t="shared" ref="F297:BQ297" si="14">F53*365/F57</f>
        <v>#DIV/0!</v>
      </c>
      <c r="G297" s="1132" t="e">
        <f t="shared" si="14"/>
        <v>#DIV/0!</v>
      </c>
      <c r="H297" s="1132" t="e">
        <f t="shared" si="14"/>
        <v>#DIV/0!</v>
      </c>
      <c r="I297" s="1132" t="e">
        <f t="shared" si="14"/>
        <v>#DIV/0!</v>
      </c>
      <c r="J297" s="1132" t="e">
        <f t="shared" si="14"/>
        <v>#DIV/0!</v>
      </c>
      <c r="K297" s="1132" t="e">
        <f t="shared" si="14"/>
        <v>#DIV/0!</v>
      </c>
      <c r="L297" s="1132" t="e">
        <f t="shared" si="14"/>
        <v>#DIV/0!</v>
      </c>
      <c r="M297" s="1132" t="e">
        <f t="shared" si="14"/>
        <v>#DIV/0!</v>
      </c>
      <c r="N297" s="1132" t="e">
        <f t="shared" si="14"/>
        <v>#DIV/0!</v>
      </c>
      <c r="O297" s="1132" t="e">
        <f t="shared" si="14"/>
        <v>#DIV/0!</v>
      </c>
      <c r="P297" s="1132" t="e">
        <f t="shared" si="14"/>
        <v>#DIV/0!</v>
      </c>
      <c r="Q297" s="1132" t="e">
        <f t="shared" si="14"/>
        <v>#DIV/0!</v>
      </c>
      <c r="R297" s="1132">
        <f t="shared" si="14"/>
        <v>52.661845108481032</v>
      </c>
      <c r="S297" s="1132" t="e">
        <f t="shared" si="14"/>
        <v>#DIV/0!</v>
      </c>
      <c r="T297" s="1132" t="e">
        <f t="shared" si="14"/>
        <v>#DIV/0!</v>
      </c>
      <c r="U297" s="1132" t="e">
        <f t="shared" si="14"/>
        <v>#DIV/0!</v>
      </c>
      <c r="V297" s="1132" t="e">
        <f t="shared" si="14"/>
        <v>#DIV/0!</v>
      </c>
      <c r="W297" s="1132">
        <f t="shared" si="14"/>
        <v>47.242467839288416</v>
      </c>
      <c r="X297" s="1132" t="e">
        <f t="shared" si="14"/>
        <v>#DIV/0!</v>
      </c>
      <c r="Y297" s="1132" t="e">
        <f t="shared" si="14"/>
        <v>#DIV/0!</v>
      </c>
      <c r="Z297" s="1132" t="e">
        <f t="shared" si="14"/>
        <v>#DIV/0!</v>
      </c>
      <c r="AA297" s="1132" t="e">
        <f t="shared" si="14"/>
        <v>#DIV/0!</v>
      </c>
      <c r="AB297" s="1132" t="e">
        <f t="shared" si="14"/>
        <v>#DIV/0!</v>
      </c>
      <c r="AC297" s="1132" t="e">
        <f t="shared" si="14"/>
        <v>#DIV/0!</v>
      </c>
      <c r="AD297" s="1132" t="e">
        <f t="shared" si="14"/>
        <v>#DIV/0!</v>
      </c>
      <c r="AE297" s="1132" t="e">
        <f t="shared" si="14"/>
        <v>#DIV/0!</v>
      </c>
      <c r="AF297" s="1132" t="e">
        <f t="shared" si="14"/>
        <v>#DIV/0!</v>
      </c>
      <c r="AG297" s="1132" t="e">
        <f t="shared" si="14"/>
        <v>#DIV/0!</v>
      </c>
      <c r="AH297" s="1132" t="e">
        <f t="shared" si="14"/>
        <v>#DIV/0!</v>
      </c>
      <c r="AI297" s="1132" t="e">
        <f t="shared" si="14"/>
        <v>#DIV/0!</v>
      </c>
      <c r="AJ297" s="1132">
        <f t="shared" si="14"/>
        <v>48.700392831145216</v>
      </c>
      <c r="AK297" s="1132" t="e">
        <f t="shared" si="14"/>
        <v>#DIV/0!</v>
      </c>
      <c r="AL297" s="1132" t="e">
        <f t="shared" si="14"/>
        <v>#DIV/0!</v>
      </c>
      <c r="AM297" s="1132" t="e">
        <f t="shared" si="14"/>
        <v>#DIV/0!</v>
      </c>
      <c r="AN297" s="1132">
        <f t="shared" si="14"/>
        <v>36.781681364945243</v>
      </c>
      <c r="AO297" s="1132" t="e">
        <f t="shared" si="14"/>
        <v>#DIV/0!</v>
      </c>
      <c r="AP297" s="1132" t="e">
        <f t="shared" si="14"/>
        <v>#DIV/0!</v>
      </c>
      <c r="AQ297" s="1132" t="e">
        <f t="shared" si="14"/>
        <v>#DIV/0!</v>
      </c>
      <c r="AR297" s="1132" t="e">
        <f t="shared" si="14"/>
        <v>#DIV/0!</v>
      </c>
      <c r="AS297" s="1132" t="e">
        <f t="shared" si="14"/>
        <v>#DIV/0!</v>
      </c>
      <c r="AT297" s="1132" t="e">
        <f t="shared" si="14"/>
        <v>#DIV/0!</v>
      </c>
      <c r="AU297" s="1132" t="e">
        <f t="shared" si="14"/>
        <v>#DIV/0!</v>
      </c>
      <c r="AV297" s="1132" t="e">
        <f t="shared" si="14"/>
        <v>#DIV/0!</v>
      </c>
      <c r="AW297" s="1132" t="e">
        <f t="shared" si="14"/>
        <v>#DIV/0!</v>
      </c>
      <c r="AX297" s="1132" t="e">
        <f t="shared" si="14"/>
        <v>#DIV/0!</v>
      </c>
      <c r="AY297" s="1132" t="e">
        <f t="shared" si="14"/>
        <v>#DIV/0!</v>
      </c>
      <c r="AZ297" s="1132" t="e">
        <f t="shared" si="14"/>
        <v>#DIV/0!</v>
      </c>
      <c r="BA297" s="1132" t="e">
        <f t="shared" si="14"/>
        <v>#DIV/0!</v>
      </c>
      <c r="BB297" s="1132" t="e">
        <f t="shared" si="14"/>
        <v>#DIV/0!</v>
      </c>
      <c r="BC297" s="1132" t="e">
        <f t="shared" si="14"/>
        <v>#DIV/0!</v>
      </c>
      <c r="BD297" s="1132" t="e">
        <f t="shared" si="14"/>
        <v>#DIV/0!</v>
      </c>
      <c r="BE297" s="1132" t="e">
        <f t="shared" si="14"/>
        <v>#DIV/0!</v>
      </c>
      <c r="BF297" s="1132" t="e">
        <f t="shared" si="14"/>
        <v>#DIV/0!</v>
      </c>
      <c r="BG297" s="1132" t="e">
        <f t="shared" si="14"/>
        <v>#DIV/0!</v>
      </c>
      <c r="BH297" s="1132" t="e">
        <f t="shared" si="14"/>
        <v>#DIV/0!</v>
      </c>
      <c r="BI297" s="1132" t="e">
        <f t="shared" si="14"/>
        <v>#DIV/0!</v>
      </c>
      <c r="BJ297" s="1132" t="e">
        <f t="shared" si="14"/>
        <v>#DIV/0!</v>
      </c>
      <c r="BK297" s="1132" t="e">
        <f t="shared" si="14"/>
        <v>#DIV/0!</v>
      </c>
      <c r="BL297" s="1132" t="e">
        <f t="shared" si="14"/>
        <v>#DIV/0!</v>
      </c>
      <c r="BM297" s="1132" t="e">
        <f t="shared" si="14"/>
        <v>#DIV/0!</v>
      </c>
      <c r="BN297" s="1132" t="e">
        <f t="shared" si="14"/>
        <v>#DIV/0!</v>
      </c>
      <c r="BO297" s="1132" t="e">
        <f t="shared" si="14"/>
        <v>#DIV/0!</v>
      </c>
      <c r="BP297" s="1132" t="e">
        <f t="shared" si="14"/>
        <v>#DIV/0!</v>
      </c>
      <c r="BQ297" s="1132" t="e">
        <f t="shared" si="14"/>
        <v>#DIV/0!</v>
      </c>
      <c r="BR297" s="1132" t="e">
        <f>BR53*365/BR57</f>
        <v>#DIV/0!</v>
      </c>
      <c r="BS297" s="1132">
        <f>BS53*365/BS57</f>
        <v>22.175888621542537</v>
      </c>
      <c r="BT297" s="1132">
        <f t="shared" ref="BT297:CE297" si="15">BT53*365/BT57</f>
        <v>55.871916379344569</v>
      </c>
      <c r="BU297" s="1132" t="e">
        <f t="shared" si="15"/>
        <v>#DIV/0!</v>
      </c>
      <c r="BV297" s="1132" t="e">
        <f t="shared" si="15"/>
        <v>#DIV/0!</v>
      </c>
      <c r="BW297" s="1132" t="e">
        <f t="shared" si="15"/>
        <v>#DIV/0!</v>
      </c>
      <c r="BX297" s="1132" t="e">
        <f t="shared" si="15"/>
        <v>#DIV/0!</v>
      </c>
      <c r="BY297" s="1132" t="e">
        <f t="shared" si="15"/>
        <v>#DIV/0!</v>
      </c>
      <c r="BZ297" s="1132" t="e">
        <f t="shared" si="15"/>
        <v>#DIV/0!</v>
      </c>
      <c r="CA297" s="1132" t="e">
        <f t="shared" si="15"/>
        <v>#DIV/0!</v>
      </c>
      <c r="CB297" s="1132" t="e">
        <f t="shared" si="15"/>
        <v>#DIV/0!</v>
      </c>
      <c r="CC297" s="1132" t="e">
        <f t="shared" si="15"/>
        <v>#DIV/0!</v>
      </c>
      <c r="CD297" s="1132" t="e">
        <f t="shared" si="15"/>
        <v>#DIV/0!</v>
      </c>
      <c r="CE297" s="1132" t="e">
        <f t="shared" si="15"/>
        <v>#DIV/0!</v>
      </c>
    </row>
    <row r="298" spans="1:83" x14ac:dyDescent="0.3">
      <c r="A298" s="1222" t="s">
        <v>882</v>
      </c>
      <c r="B298" s="1222"/>
      <c r="C298" s="1223" t="s">
        <v>885</v>
      </c>
      <c r="E298" s="1132">
        <f t="shared" ref="E298:BP298" si="16">+E290-E8</f>
        <v>0</v>
      </c>
      <c r="F298" s="1132">
        <f t="shared" si="16"/>
        <v>102463</v>
      </c>
      <c r="G298" s="1132">
        <f t="shared" si="16"/>
        <v>751137</v>
      </c>
      <c r="H298" s="1132">
        <f t="shared" si="16"/>
        <v>3520500</v>
      </c>
      <c r="I298" s="1132">
        <f t="shared" si="16"/>
        <v>4998736</v>
      </c>
      <c r="J298" s="1132">
        <f t="shared" si="16"/>
        <v>4809264</v>
      </c>
      <c r="K298" s="1132">
        <f t="shared" si="16"/>
        <v>105117</v>
      </c>
      <c r="L298" s="1132">
        <f t="shared" si="16"/>
        <v>824068</v>
      </c>
      <c r="M298" s="1132">
        <f t="shared" si="16"/>
        <v>954072</v>
      </c>
      <c r="N298" s="1132">
        <f t="shared" si="16"/>
        <v>6117655</v>
      </c>
      <c r="O298" s="1132">
        <f t="shared" si="16"/>
        <v>488219</v>
      </c>
      <c r="P298" s="1132">
        <f t="shared" si="16"/>
        <v>5387224</v>
      </c>
      <c r="Q298" s="1132">
        <f t="shared" si="16"/>
        <v>277147</v>
      </c>
      <c r="R298" s="1132">
        <f t="shared" si="16"/>
        <v>24499455</v>
      </c>
      <c r="S298" s="1132">
        <f t="shared" si="16"/>
        <v>1354179</v>
      </c>
      <c r="T298" s="1132">
        <f t="shared" si="16"/>
        <v>206623</v>
      </c>
      <c r="U298" s="1132">
        <f t="shared" si="16"/>
        <v>31434051</v>
      </c>
      <c r="V298" s="1132">
        <f t="shared" si="16"/>
        <v>7168168</v>
      </c>
      <c r="W298" s="1132">
        <f t="shared" si="16"/>
        <v>15930669</v>
      </c>
      <c r="X298" s="1132">
        <f t="shared" si="16"/>
        <v>22250757</v>
      </c>
      <c r="Y298" s="1132">
        <f t="shared" si="16"/>
        <v>107950</v>
      </c>
      <c r="Z298" s="1132">
        <f t="shared" si="16"/>
        <v>8713095</v>
      </c>
      <c r="AA298" s="1132">
        <f t="shared" si="16"/>
        <v>1293498</v>
      </c>
      <c r="AB298" s="1132">
        <f t="shared" si="16"/>
        <v>10841875</v>
      </c>
      <c r="AC298" s="1132">
        <f t="shared" si="16"/>
        <v>369019</v>
      </c>
      <c r="AD298" s="1132">
        <f t="shared" si="16"/>
        <v>1638491</v>
      </c>
      <c r="AE298" s="1132">
        <f t="shared" si="16"/>
        <v>1014501</v>
      </c>
      <c r="AF298" s="1132">
        <f t="shared" si="16"/>
        <v>3143241</v>
      </c>
      <c r="AG298" s="1132">
        <f t="shared" si="16"/>
        <v>16241979</v>
      </c>
      <c r="AH298" s="1132">
        <f t="shared" si="16"/>
        <v>5076612</v>
      </c>
      <c r="AI298" s="1132">
        <f t="shared" si="16"/>
        <v>698768</v>
      </c>
      <c r="AJ298" s="1132">
        <f t="shared" si="16"/>
        <v>3617272</v>
      </c>
      <c r="AK298" s="1132">
        <f t="shared" si="16"/>
        <v>3033265</v>
      </c>
      <c r="AL298" s="1132">
        <f t="shared" si="16"/>
        <v>631355</v>
      </c>
      <c r="AM298" s="1132">
        <f t="shared" si="16"/>
        <v>0</v>
      </c>
      <c r="AN298" s="1132">
        <f t="shared" si="16"/>
        <v>7126562</v>
      </c>
      <c r="AO298" s="1132">
        <f t="shared" si="16"/>
        <v>0</v>
      </c>
      <c r="AP298" s="1132">
        <f t="shared" si="16"/>
        <v>0</v>
      </c>
      <c r="AQ298" s="1132">
        <f t="shared" si="16"/>
        <v>90008</v>
      </c>
      <c r="AR298" s="1132">
        <f t="shared" si="16"/>
        <v>2944153</v>
      </c>
      <c r="AS298" s="1132">
        <f t="shared" si="16"/>
        <v>3223318</v>
      </c>
      <c r="AT298" s="1132">
        <f t="shared" si="16"/>
        <v>506477</v>
      </c>
      <c r="AU298" s="1132">
        <f t="shared" si="16"/>
        <v>984305</v>
      </c>
      <c r="AV298" s="1132">
        <f t="shared" si="16"/>
        <v>0</v>
      </c>
      <c r="AW298" s="1132">
        <f t="shared" si="16"/>
        <v>12206366</v>
      </c>
      <c r="AX298" s="1132">
        <f t="shared" si="16"/>
        <v>3478759</v>
      </c>
      <c r="AY298" s="1132">
        <f t="shared" si="16"/>
        <v>668676</v>
      </c>
      <c r="AZ298" s="1132">
        <f t="shared" si="16"/>
        <v>17621448</v>
      </c>
      <c r="BA298" s="1132">
        <f t="shared" si="16"/>
        <v>1854173</v>
      </c>
      <c r="BB298" s="1132">
        <f t="shared" si="16"/>
        <v>724948</v>
      </c>
      <c r="BC298" s="1132">
        <f t="shared" si="16"/>
        <v>101867</v>
      </c>
      <c r="BD298" s="1132">
        <f t="shared" si="16"/>
        <v>0</v>
      </c>
      <c r="BE298" s="1132">
        <f t="shared" si="16"/>
        <v>4899985</v>
      </c>
      <c r="BF298" s="1132">
        <f t="shared" si="16"/>
        <v>475911</v>
      </c>
      <c r="BG298" s="1132">
        <f t="shared" si="16"/>
        <v>656887</v>
      </c>
      <c r="BH298" s="1132">
        <f t="shared" si="16"/>
        <v>121732</v>
      </c>
      <c r="BI298" s="1132">
        <f t="shared" si="16"/>
        <v>292274</v>
      </c>
      <c r="BJ298" s="1132">
        <f t="shared" si="16"/>
        <v>453423</v>
      </c>
      <c r="BK298" s="1132">
        <f t="shared" si="16"/>
        <v>203529</v>
      </c>
      <c r="BL298" s="1132">
        <f t="shared" si="16"/>
        <v>1499593</v>
      </c>
      <c r="BM298" s="1132">
        <f t="shared" si="16"/>
        <v>0</v>
      </c>
      <c r="BN298" s="1132">
        <f t="shared" si="16"/>
        <v>-182288</v>
      </c>
      <c r="BO298" s="1132">
        <f t="shared" si="16"/>
        <v>2587396</v>
      </c>
      <c r="BP298" s="1132">
        <f t="shared" si="16"/>
        <v>771823</v>
      </c>
      <c r="BQ298" s="1132">
        <f t="shared" ref="BQ298:CB298" si="17">+BQ290-BQ8</f>
        <v>1655742</v>
      </c>
      <c r="BR298" s="1132">
        <f t="shared" si="17"/>
        <v>5852949</v>
      </c>
      <c r="BS298" s="1132">
        <f t="shared" si="17"/>
        <v>263723</v>
      </c>
      <c r="BT298" s="1132">
        <f t="shared" si="17"/>
        <v>18592323</v>
      </c>
      <c r="BU298" s="1132">
        <f t="shared" si="17"/>
        <v>634635</v>
      </c>
      <c r="BV298" s="1132">
        <f t="shared" si="17"/>
        <v>2819434</v>
      </c>
      <c r="BW298" s="1132">
        <f t="shared" si="17"/>
        <v>970727</v>
      </c>
      <c r="BX298" s="1132">
        <f t="shared" si="17"/>
        <v>901505</v>
      </c>
      <c r="BY298" s="1132">
        <f t="shared" si="17"/>
        <v>1607982</v>
      </c>
      <c r="BZ298" s="1132">
        <f t="shared" si="17"/>
        <v>193152</v>
      </c>
      <c r="CA298" s="1132">
        <f t="shared" si="17"/>
        <v>501985</v>
      </c>
      <c r="CB298" s="1132">
        <f t="shared" si="17"/>
        <v>151505</v>
      </c>
    </row>
    <row r="299" spans="1:83" x14ac:dyDescent="0.3">
      <c r="A299" s="1222" t="s">
        <v>883</v>
      </c>
      <c r="B299" s="1222"/>
      <c r="C299" s="1222" t="s">
        <v>884</v>
      </c>
      <c r="E299" s="1219" t="e">
        <f t="shared" ref="E299:BP299" si="18">E298/E291</f>
        <v>#DIV/0!</v>
      </c>
      <c r="F299" s="1219">
        <f t="shared" si="18"/>
        <v>2.0755362894241092</v>
      </c>
      <c r="G299" s="1219">
        <f t="shared" si="18"/>
        <v>0.92171626379101101</v>
      </c>
      <c r="H299" s="1219">
        <f t="shared" si="18"/>
        <v>2.0579295025428186</v>
      </c>
      <c r="I299" s="1219">
        <f t="shared" si="18"/>
        <v>5.4806014397891412</v>
      </c>
      <c r="J299" s="1219">
        <f t="shared" si="18"/>
        <v>1.5927805859017676</v>
      </c>
      <c r="K299" s="1219">
        <f t="shared" si="18"/>
        <v>0.59645588869470478</v>
      </c>
      <c r="L299" s="1219">
        <f t="shared" si="18"/>
        <v>2.8771113950744005</v>
      </c>
      <c r="M299" s="1219">
        <f t="shared" si="18"/>
        <v>6.7692045720610459</v>
      </c>
      <c r="N299" s="1219">
        <f t="shared" si="18"/>
        <v>0.42357138030297242</v>
      </c>
      <c r="O299" s="1219">
        <f t="shared" si="18"/>
        <v>1.0576118226088764</v>
      </c>
      <c r="P299" s="1219">
        <f t="shared" si="18"/>
        <v>0.81726218992887212</v>
      </c>
      <c r="Q299" s="1219">
        <f t="shared" si="18"/>
        <v>4.8367713787085513</v>
      </c>
      <c r="R299" s="1219">
        <f t="shared" si="18"/>
        <v>0.6401385186055174</v>
      </c>
      <c r="S299" s="1219">
        <f t="shared" si="18"/>
        <v>0.74759231461857678</v>
      </c>
      <c r="T299" s="1219">
        <f t="shared" si="18"/>
        <v>5.9205994441101462</v>
      </c>
      <c r="U299" s="1219">
        <f t="shared" si="18"/>
        <v>0.47308975646753237</v>
      </c>
      <c r="V299" s="1219">
        <f t="shared" si="18"/>
        <v>0.50033521254778912</v>
      </c>
      <c r="W299" s="1219">
        <f t="shared" si="18"/>
        <v>0.79690420968355524</v>
      </c>
      <c r="X299" s="1219">
        <f t="shared" si="18"/>
        <v>0.76558096070088355</v>
      </c>
      <c r="Y299" s="1219">
        <f t="shared" si="18"/>
        <v>0.43119804752565416</v>
      </c>
      <c r="Z299" s="1219">
        <f t="shared" si="18"/>
        <v>0.63128031206483581</v>
      </c>
      <c r="AA299" s="1219">
        <f t="shared" si="18"/>
        <v>1.1273207722791088</v>
      </c>
      <c r="AB299" s="1219">
        <f t="shared" si="18"/>
        <v>0.81118006362472383</v>
      </c>
      <c r="AC299" s="1219">
        <f t="shared" si="18"/>
        <v>7.6808518521139568E-2</v>
      </c>
      <c r="AD299" s="1219">
        <f t="shared" si="18"/>
        <v>0.98615938614024667</v>
      </c>
      <c r="AE299" s="1219">
        <f t="shared" si="18"/>
        <v>0.52729317731638448</v>
      </c>
      <c r="AF299" s="1219">
        <f t="shared" si="18"/>
        <v>1.522399054954731</v>
      </c>
      <c r="AG299" s="1219">
        <f t="shared" si="18"/>
        <v>1.0421887429225303</v>
      </c>
      <c r="AH299" s="1219">
        <f t="shared" si="18"/>
        <v>0.96050067156937224</v>
      </c>
      <c r="AI299" s="1219">
        <f t="shared" si="18"/>
        <v>0.52867640995028486</v>
      </c>
      <c r="AJ299" s="1219">
        <f t="shared" si="18"/>
        <v>0.12895881731588824</v>
      </c>
      <c r="AK299" s="1219">
        <f t="shared" si="18"/>
        <v>8.9595246815851031</v>
      </c>
      <c r="AL299" s="1219">
        <f t="shared" si="18"/>
        <v>0.74146212566059899</v>
      </c>
      <c r="AM299" s="1219" t="e">
        <f t="shared" si="18"/>
        <v>#DIV/0!</v>
      </c>
      <c r="AN299" s="1219">
        <f t="shared" si="18"/>
        <v>0.49470730610353064</v>
      </c>
      <c r="AO299" s="1219" t="e">
        <f t="shared" si="18"/>
        <v>#DIV/0!</v>
      </c>
      <c r="AP299" s="1219" t="e">
        <f t="shared" si="18"/>
        <v>#DIV/0!</v>
      </c>
      <c r="AQ299" s="1219">
        <f t="shared" si="18"/>
        <v>2.5887428456383561</v>
      </c>
      <c r="AR299" s="1219">
        <f t="shared" si="18"/>
        <v>0.66050370661519309</v>
      </c>
      <c r="AS299" s="1219">
        <f t="shared" si="18"/>
        <v>0.53756065931155661</v>
      </c>
      <c r="AT299" s="1219">
        <f t="shared" si="18"/>
        <v>1.1011734062699075</v>
      </c>
      <c r="AU299" s="1219">
        <f t="shared" si="18"/>
        <v>0.42607138466652933</v>
      </c>
      <c r="AV299" s="1219" t="e">
        <f t="shared" si="18"/>
        <v>#DIV/0!</v>
      </c>
      <c r="AW299" s="1219">
        <f t="shared" si="18"/>
        <v>0.78464202182931297</v>
      </c>
      <c r="AX299" s="1219">
        <f t="shared" si="18"/>
        <v>1.9404877716815305</v>
      </c>
      <c r="AY299" s="1219">
        <f t="shared" si="18"/>
        <v>0.40923219849483805</v>
      </c>
      <c r="AZ299" s="1219">
        <f t="shared" si="18"/>
        <v>3.1697499035392331</v>
      </c>
      <c r="BA299" s="1219">
        <f t="shared" si="18"/>
        <v>2.1005865006293241</v>
      </c>
      <c r="BB299" s="1219">
        <f t="shared" si="18"/>
        <v>0.54735694460803408</v>
      </c>
      <c r="BC299" s="1219">
        <f t="shared" si="18"/>
        <v>6.1476765238382622</v>
      </c>
      <c r="BD299" s="1219" t="e">
        <f t="shared" si="18"/>
        <v>#DIV/0!</v>
      </c>
      <c r="BE299" s="1219">
        <f t="shared" si="18"/>
        <v>0.55571931053395263</v>
      </c>
      <c r="BF299" s="1219">
        <f t="shared" si="18"/>
        <v>4.76826506893235</v>
      </c>
      <c r="BG299" s="1219">
        <f t="shared" si="18"/>
        <v>1.2464034032476576</v>
      </c>
      <c r="BH299" s="1219">
        <f t="shared" si="18"/>
        <v>0.89342619979009641</v>
      </c>
      <c r="BI299" s="1219">
        <f t="shared" si="18"/>
        <v>3.3648860234860694</v>
      </c>
      <c r="BJ299" s="1219">
        <f t="shared" si="18"/>
        <v>1.970265020661965</v>
      </c>
      <c r="BK299" s="1219">
        <f t="shared" si="18"/>
        <v>1.4059948327553573</v>
      </c>
      <c r="BL299" s="1219">
        <f t="shared" si="18"/>
        <v>0.45088187867925511</v>
      </c>
      <c r="BM299" s="1219" t="e">
        <f t="shared" si="18"/>
        <v>#DIV/0!</v>
      </c>
      <c r="BN299" s="1219">
        <f t="shared" si="18"/>
        <v>-9.5903196106799954E-2</v>
      </c>
      <c r="BO299" s="1219">
        <f t="shared" si="18"/>
        <v>0.49662349627397445</v>
      </c>
      <c r="BP299" s="1219">
        <f t="shared" si="18"/>
        <v>0.638350329586714</v>
      </c>
      <c r="BQ299" s="1219">
        <f t="shared" ref="BQ299:CB299" si="19">BQ298/BQ291</f>
        <v>0.92752264129698625</v>
      </c>
      <c r="BR299" s="1219">
        <f t="shared" si="19"/>
        <v>0.26488656936001886</v>
      </c>
      <c r="BS299" s="1219">
        <f t="shared" si="19"/>
        <v>0.19896685080371976</v>
      </c>
      <c r="BT299" s="1219">
        <f t="shared" si="19"/>
        <v>1.499991286776861</v>
      </c>
      <c r="BU299" s="1219">
        <f t="shared" si="19"/>
        <v>0.98014792529293937</v>
      </c>
      <c r="BV299" s="1219">
        <f t="shared" si="19"/>
        <v>0.43609399124357828</v>
      </c>
      <c r="BW299" s="1219">
        <f t="shared" si="19"/>
        <v>1.3914061167418466</v>
      </c>
      <c r="BX299" s="1219">
        <f t="shared" si="19"/>
        <v>0.42175455471340262</v>
      </c>
      <c r="BY299" s="1219">
        <f t="shared" si="19"/>
        <v>1.8352208852300729</v>
      </c>
      <c r="BZ299" s="1219">
        <f t="shared" si="19"/>
        <v>2.412982372855947</v>
      </c>
      <c r="CA299" s="1219">
        <f t="shared" si="19"/>
        <v>1.6106505040652492</v>
      </c>
      <c r="CB299" s="1219">
        <f t="shared" si="19"/>
        <v>1.2401669872713135</v>
      </c>
    </row>
    <row r="300" spans="1:83" x14ac:dyDescent="0.3">
      <c r="A300" s="1222" t="s">
        <v>1099</v>
      </c>
      <c r="B300" s="1222"/>
      <c r="C300" s="1222" t="s">
        <v>1697</v>
      </c>
      <c r="E300" s="1220" t="e">
        <f t="shared" ref="E300:BP300" si="20">E295/E32</f>
        <v>#DIV/0!</v>
      </c>
      <c r="F300" s="1220" t="e">
        <f t="shared" si="20"/>
        <v>#DIV/0!</v>
      </c>
      <c r="G300" s="1220">
        <f t="shared" si="20"/>
        <v>8.4640666896753132</v>
      </c>
      <c r="H300" s="1220" t="e">
        <f t="shared" si="20"/>
        <v>#DIV/0!</v>
      </c>
      <c r="I300" s="1220" t="e">
        <f t="shared" si="20"/>
        <v>#DIV/0!</v>
      </c>
      <c r="J300" s="1220" t="e">
        <f t="shared" si="20"/>
        <v>#DIV/0!</v>
      </c>
      <c r="K300" s="1220">
        <f t="shared" si="20"/>
        <v>2.561795131057012</v>
      </c>
      <c r="L300" s="1220" t="e">
        <f t="shared" si="20"/>
        <v>#DIV/0!</v>
      </c>
      <c r="M300" s="1220" t="e">
        <f t="shared" si="20"/>
        <v>#DIV/0!</v>
      </c>
      <c r="N300" s="1220" t="e">
        <f t="shared" si="20"/>
        <v>#DIV/0!</v>
      </c>
      <c r="O300" s="1220" t="e">
        <f t="shared" si="20"/>
        <v>#DIV/0!</v>
      </c>
      <c r="P300" s="1220">
        <f t="shared" si="20"/>
        <v>7.3806461191682917</v>
      </c>
      <c r="Q300" s="1220" t="e">
        <f t="shared" si="20"/>
        <v>#DIV/0!</v>
      </c>
      <c r="R300" s="1220">
        <f t="shared" si="20"/>
        <v>16.595982909636046</v>
      </c>
      <c r="S300" s="1220">
        <f t="shared" si="20"/>
        <v>12.010668504479669</v>
      </c>
      <c r="T300" s="1220" t="e">
        <f t="shared" si="20"/>
        <v>#DIV/0!</v>
      </c>
      <c r="U300" s="1220">
        <f t="shared" si="20"/>
        <v>5.227020702224511</v>
      </c>
      <c r="V300" s="1220">
        <f t="shared" si="20"/>
        <v>6.0194061260970191</v>
      </c>
      <c r="W300" s="1220">
        <f t="shared" si="20"/>
        <v>5.1844193829424459</v>
      </c>
      <c r="X300" s="1220" t="e">
        <f t="shared" si="20"/>
        <v>#DIV/0!</v>
      </c>
      <c r="Y300" s="1220">
        <f t="shared" si="20"/>
        <v>13.627066193674993</v>
      </c>
      <c r="Z300" s="1220">
        <f t="shared" si="20"/>
        <v>3.4898982790148585</v>
      </c>
      <c r="AA300" s="1220">
        <f t="shared" si="20"/>
        <v>16.187099624475369</v>
      </c>
      <c r="AB300" s="1220">
        <f t="shared" si="20"/>
        <v>34.535390900339912</v>
      </c>
      <c r="AC300" s="1220">
        <f t="shared" si="20"/>
        <v>0.63520102678487989</v>
      </c>
      <c r="AD300" s="1220">
        <f t="shared" si="20"/>
        <v>5.5781131346933526</v>
      </c>
      <c r="AE300" s="1220">
        <f t="shared" si="20"/>
        <v>1.8781317929487569</v>
      </c>
      <c r="AF300" s="1220">
        <f t="shared" si="20"/>
        <v>5.4605051880889892</v>
      </c>
      <c r="AG300" s="1220">
        <f t="shared" si="20"/>
        <v>20.421418707550096</v>
      </c>
      <c r="AH300" s="1220">
        <f t="shared" si="20"/>
        <v>48.828899277518062</v>
      </c>
      <c r="AI300" s="1220">
        <f t="shared" si="20"/>
        <v>0.81591885655580654</v>
      </c>
      <c r="AJ300" s="1220">
        <f t="shared" si="20"/>
        <v>3.4283832297689547</v>
      </c>
      <c r="AK300" s="1220">
        <f t="shared" si="20"/>
        <v>61.636307927996938</v>
      </c>
      <c r="AL300" s="1220">
        <f t="shared" si="20"/>
        <v>25.27398773006135</v>
      </c>
      <c r="AM300" s="1220" t="e">
        <f t="shared" si="20"/>
        <v>#DIV/0!</v>
      </c>
      <c r="AN300" s="1220">
        <f t="shared" si="20"/>
        <v>2.3951935081968072</v>
      </c>
      <c r="AO300" s="1220" t="e">
        <f t="shared" si="20"/>
        <v>#DIV/0!</v>
      </c>
      <c r="AP300" s="1220" t="e">
        <f t="shared" si="20"/>
        <v>#DIV/0!</v>
      </c>
      <c r="AQ300" s="1220" t="e">
        <f t="shared" si="20"/>
        <v>#DIV/0!</v>
      </c>
      <c r="AR300" s="1220" t="e">
        <f t="shared" si="20"/>
        <v>#DIV/0!</v>
      </c>
      <c r="AS300" s="1220">
        <f t="shared" si="20"/>
        <v>4.2811072601548448</v>
      </c>
      <c r="AT300" s="1220">
        <f t="shared" si="20"/>
        <v>1.2817445871686861</v>
      </c>
      <c r="AU300" s="1220">
        <f t="shared" si="20"/>
        <v>2.3924791461117589</v>
      </c>
      <c r="AV300" s="1220" t="e">
        <f t="shared" si="20"/>
        <v>#DIV/0!</v>
      </c>
      <c r="AW300" s="1220">
        <f t="shared" si="20"/>
        <v>7.2454218904549252</v>
      </c>
      <c r="AX300" s="1220" t="e">
        <f t="shared" si="20"/>
        <v>#DIV/0!</v>
      </c>
      <c r="AY300" s="1220">
        <f t="shared" si="20"/>
        <v>13.321545736473844</v>
      </c>
      <c r="AZ300" s="1220">
        <f t="shared" si="20"/>
        <v>49.677098162353879</v>
      </c>
      <c r="BA300" s="1220">
        <f t="shared" si="20"/>
        <v>12.208456427707764</v>
      </c>
      <c r="BB300" s="1220">
        <f t="shared" si="20"/>
        <v>17.142614939662909</v>
      </c>
      <c r="BC300" s="1220" t="e">
        <f t="shared" si="20"/>
        <v>#DIV/0!</v>
      </c>
      <c r="BD300" s="1220" t="e">
        <f t="shared" si="20"/>
        <v>#DIV/0!</v>
      </c>
      <c r="BE300" s="1220">
        <f t="shared" si="20"/>
        <v>3.8335403854469003</v>
      </c>
      <c r="BF300" s="1220" t="e">
        <f t="shared" si="20"/>
        <v>#DIV/0!</v>
      </c>
      <c r="BG300" s="1220">
        <f t="shared" si="20"/>
        <v>1.7486964171465131</v>
      </c>
      <c r="BH300" s="1220">
        <f t="shared" si="20"/>
        <v>10.18694726498526</v>
      </c>
      <c r="BI300" s="1220" t="e">
        <f t="shared" si="20"/>
        <v>#DIV/0!</v>
      </c>
      <c r="BJ300" s="1220">
        <f t="shared" si="20"/>
        <v>23.622923588039868</v>
      </c>
      <c r="BK300" s="1220" t="e">
        <f t="shared" si="20"/>
        <v>#DIV/0!</v>
      </c>
      <c r="BL300" s="1220">
        <f t="shared" si="20"/>
        <v>8.3525200738178746</v>
      </c>
      <c r="BM300" s="1220" t="e">
        <f t="shared" si="20"/>
        <v>#DIV/0!</v>
      </c>
      <c r="BN300" s="1220">
        <f t="shared" si="20"/>
        <v>0.59658781339941203</v>
      </c>
      <c r="BO300" s="1220">
        <f t="shared" si="20"/>
        <v>9.4010871250467414</v>
      </c>
      <c r="BP300" s="1220">
        <f t="shared" si="20"/>
        <v>9.742319856397982</v>
      </c>
      <c r="BQ300" s="1220">
        <f t="shared" ref="BQ300:CB300" si="21">BQ295/BQ32</f>
        <v>83.447791535760487</v>
      </c>
      <c r="BR300" s="1220" t="e">
        <f t="shared" si="21"/>
        <v>#DIV/0!</v>
      </c>
      <c r="BS300" s="1220">
        <f t="shared" si="21"/>
        <v>59.385487528344669</v>
      </c>
      <c r="BT300" s="1220" t="e">
        <f t="shared" si="21"/>
        <v>#DIV/0!</v>
      </c>
      <c r="BU300" s="1220">
        <f t="shared" si="21"/>
        <v>12.585003377617653</v>
      </c>
      <c r="BV300" s="1220">
        <f t="shared" si="21"/>
        <v>12.124910732906537</v>
      </c>
      <c r="BW300" s="1220" t="e">
        <f t="shared" si="21"/>
        <v>#DIV/0!</v>
      </c>
      <c r="BX300" s="1220">
        <f t="shared" si="21"/>
        <v>1.4033350556078339</v>
      </c>
      <c r="BY300" s="1220">
        <f t="shared" si="21"/>
        <v>29.068285038909988</v>
      </c>
      <c r="BZ300" s="1220">
        <f t="shared" si="21"/>
        <v>0.44138848841077966</v>
      </c>
      <c r="CA300" s="1220">
        <f t="shared" si="21"/>
        <v>1.7509251924282014</v>
      </c>
      <c r="CB300" s="1220">
        <f t="shared" si="21"/>
        <v>1.8160771704180065</v>
      </c>
    </row>
    <row r="301" spans="1:83" x14ac:dyDescent="0.3">
      <c r="A301" s="1222" t="s">
        <v>1105</v>
      </c>
      <c r="B301" s="1222"/>
      <c r="C301" s="1222" t="s">
        <v>1262</v>
      </c>
      <c r="E301" s="1131">
        <f t="shared" ref="E301:BP301" si="22">+E48-E49+E36-E97</f>
        <v>0</v>
      </c>
      <c r="F301" s="1131">
        <f t="shared" si="22"/>
        <v>0</v>
      </c>
      <c r="G301" s="1131">
        <f t="shared" si="22"/>
        <v>29373</v>
      </c>
      <c r="H301" s="1131">
        <f t="shared" si="22"/>
        <v>0</v>
      </c>
      <c r="I301" s="1131">
        <f t="shared" si="22"/>
        <v>0</v>
      </c>
      <c r="J301" s="1131">
        <f t="shared" si="22"/>
        <v>0</v>
      </c>
      <c r="K301" s="1131">
        <f t="shared" si="22"/>
        <v>1189</v>
      </c>
      <c r="L301" s="1131">
        <f t="shared" si="22"/>
        <v>0</v>
      </c>
      <c r="M301" s="1131">
        <f t="shared" si="22"/>
        <v>0</v>
      </c>
      <c r="N301" s="1131">
        <f t="shared" si="22"/>
        <v>0</v>
      </c>
      <c r="O301" s="1131">
        <f t="shared" si="22"/>
        <v>0</v>
      </c>
      <c r="P301" s="1131">
        <f t="shared" si="22"/>
        <v>487324</v>
      </c>
      <c r="Q301" s="1131">
        <f t="shared" si="22"/>
        <v>0</v>
      </c>
      <c r="R301" s="1131">
        <f t="shared" si="22"/>
        <v>11348164</v>
      </c>
      <c r="S301" s="1131">
        <f t="shared" si="22"/>
        <v>53461</v>
      </c>
      <c r="T301" s="1131">
        <f t="shared" si="22"/>
        <v>0</v>
      </c>
      <c r="U301" s="1131">
        <f t="shared" si="22"/>
        <v>6800033</v>
      </c>
      <c r="V301" s="1131">
        <f t="shared" si="22"/>
        <v>2152826</v>
      </c>
      <c r="W301" s="1131">
        <f t="shared" si="22"/>
        <v>3296369</v>
      </c>
      <c r="X301" s="1131">
        <f t="shared" si="22"/>
        <v>0</v>
      </c>
      <c r="Y301" s="1131">
        <f t="shared" si="22"/>
        <v>-57740</v>
      </c>
      <c r="Z301" s="1131">
        <f t="shared" si="22"/>
        <v>1191193</v>
      </c>
      <c r="AA301" s="1131">
        <f t="shared" si="22"/>
        <v>226318</v>
      </c>
      <c r="AB301" s="1131">
        <f t="shared" si="22"/>
        <v>1985860</v>
      </c>
      <c r="AC301" s="1131">
        <f t="shared" si="22"/>
        <v>-325087</v>
      </c>
      <c r="AD301" s="1131">
        <f t="shared" si="22"/>
        <v>186442</v>
      </c>
      <c r="AE301" s="1131">
        <f t="shared" si="22"/>
        <v>-4437</v>
      </c>
      <c r="AF301" s="1131">
        <f t="shared" si="22"/>
        <v>78740</v>
      </c>
      <c r="AG301" s="1131">
        <f t="shared" si="22"/>
        <v>-48297</v>
      </c>
      <c r="AH301" s="1131">
        <f t="shared" si="22"/>
        <v>256815</v>
      </c>
      <c r="AI301" s="1131">
        <f t="shared" si="22"/>
        <v>-147893</v>
      </c>
      <c r="AJ301" s="1131">
        <f t="shared" si="22"/>
        <v>2863557</v>
      </c>
      <c r="AK301" s="1131">
        <f t="shared" si="22"/>
        <v>30284</v>
      </c>
      <c r="AL301" s="1131">
        <f t="shared" si="22"/>
        <v>55233</v>
      </c>
      <c r="AM301" s="1131">
        <f t="shared" si="22"/>
        <v>0</v>
      </c>
      <c r="AN301" s="1131">
        <f t="shared" si="22"/>
        <v>473102</v>
      </c>
      <c r="AO301" s="1131">
        <f t="shared" si="22"/>
        <v>0</v>
      </c>
      <c r="AP301" s="1131">
        <f t="shared" si="22"/>
        <v>0</v>
      </c>
      <c r="AQ301" s="1131">
        <f t="shared" si="22"/>
        <v>0</v>
      </c>
      <c r="AR301" s="1131">
        <f t="shared" si="22"/>
        <v>0</v>
      </c>
      <c r="AS301" s="1131">
        <f t="shared" si="22"/>
        <v>485105</v>
      </c>
      <c r="AT301" s="1131">
        <f t="shared" si="22"/>
        <v>28061</v>
      </c>
      <c r="AU301" s="1131">
        <f t="shared" si="22"/>
        <v>71533</v>
      </c>
      <c r="AV301" s="1131">
        <f t="shared" si="22"/>
        <v>0</v>
      </c>
      <c r="AW301" s="1131">
        <f t="shared" si="22"/>
        <v>4496564</v>
      </c>
      <c r="AX301" s="1131">
        <f t="shared" si="22"/>
        <v>0</v>
      </c>
      <c r="AY301" s="1131">
        <f t="shared" si="22"/>
        <v>224169</v>
      </c>
      <c r="AZ301" s="1131">
        <f t="shared" si="22"/>
        <v>463818</v>
      </c>
      <c r="BA301" s="1131">
        <f t="shared" si="22"/>
        <v>-89436</v>
      </c>
      <c r="BB301" s="1131">
        <f t="shared" si="22"/>
        <v>-15840</v>
      </c>
      <c r="BC301" s="1131">
        <f t="shared" si="22"/>
        <v>0</v>
      </c>
      <c r="BD301" s="1131">
        <f t="shared" si="22"/>
        <v>0</v>
      </c>
      <c r="BE301" s="1131">
        <f t="shared" si="22"/>
        <v>2585651</v>
      </c>
      <c r="BF301" s="1131">
        <f t="shared" si="22"/>
        <v>0</v>
      </c>
      <c r="BG301" s="1131">
        <f t="shared" si="22"/>
        <v>8061</v>
      </c>
      <c r="BH301" s="1131">
        <f t="shared" si="22"/>
        <v>13988</v>
      </c>
      <c r="BI301" s="1131">
        <f t="shared" si="22"/>
        <v>0</v>
      </c>
      <c r="BJ301" s="1131">
        <f t="shared" si="22"/>
        <v>54930</v>
      </c>
      <c r="BK301" s="1131">
        <f t="shared" si="22"/>
        <v>0</v>
      </c>
      <c r="BL301" s="1131">
        <f t="shared" si="22"/>
        <v>455988</v>
      </c>
      <c r="BM301" s="1131">
        <f t="shared" si="22"/>
        <v>0</v>
      </c>
      <c r="BN301" s="1131">
        <f t="shared" si="22"/>
        <v>20851</v>
      </c>
      <c r="BO301" s="1131">
        <f t="shared" si="22"/>
        <v>179055</v>
      </c>
      <c r="BP301" s="1131">
        <f t="shared" si="22"/>
        <v>20505</v>
      </c>
      <c r="BQ301" s="1131">
        <f t="shared" ref="BQ301:CB301" si="23">+BQ48-BQ49+BQ36-BQ97</f>
        <v>151418</v>
      </c>
      <c r="BR301" s="1131">
        <f t="shared" si="23"/>
        <v>0</v>
      </c>
      <c r="BS301" s="1131">
        <f t="shared" si="23"/>
        <v>-123789</v>
      </c>
      <c r="BT301" s="1131">
        <f t="shared" si="23"/>
        <v>0</v>
      </c>
      <c r="BU301" s="1131">
        <f t="shared" si="23"/>
        <v>5762</v>
      </c>
      <c r="BV301" s="1131">
        <f t="shared" si="23"/>
        <v>133346</v>
      </c>
      <c r="BW301" s="1131">
        <f t="shared" si="23"/>
        <v>0</v>
      </c>
      <c r="BX301" s="1131">
        <f t="shared" si="23"/>
        <v>105064</v>
      </c>
      <c r="BY301" s="1131">
        <f t="shared" si="23"/>
        <v>-62492</v>
      </c>
      <c r="BZ301" s="1131">
        <f t="shared" si="23"/>
        <v>-4237</v>
      </c>
      <c r="CA301" s="1131">
        <f t="shared" si="23"/>
        <v>-242058</v>
      </c>
      <c r="CB301" s="1131">
        <f t="shared" si="23"/>
        <v>-36625</v>
      </c>
    </row>
    <row r="302" spans="1:83" x14ac:dyDescent="0.3">
      <c r="A302" s="1222" t="s">
        <v>1104</v>
      </c>
      <c r="B302" s="1222"/>
      <c r="C302" s="1222" t="s">
        <v>1106</v>
      </c>
      <c r="E302" s="1221" t="e">
        <f t="shared" ref="E302:BP302" si="24">+E44/(E49+E115+E97-E36)</f>
        <v>#DIV/0!</v>
      </c>
      <c r="F302" s="1221" t="e">
        <f t="shared" si="24"/>
        <v>#DIV/0!</v>
      </c>
      <c r="G302" s="1221">
        <f t="shared" si="24"/>
        <v>1.1371214829679348</v>
      </c>
      <c r="H302" s="1221" t="e">
        <f t="shared" si="24"/>
        <v>#DIV/0!</v>
      </c>
      <c r="I302" s="1221" t="e">
        <f t="shared" si="24"/>
        <v>#DIV/0!</v>
      </c>
      <c r="J302" s="1221" t="e">
        <f t="shared" si="24"/>
        <v>#DIV/0!</v>
      </c>
      <c r="K302" s="1221">
        <f t="shared" si="24"/>
        <v>0</v>
      </c>
      <c r="L302" s="1221" t="e">
        <f t="shared" si="24"/>
        <v>#DIV/0!</v>
      </c>
      <c r="M302" s="1221" t="e">
        <f t="shared" si="24"/>
        <v>#DIV/0!</v>
      </c>
      <c r="N302" s="1221" t="e">
        <f t="shared" si="24"/>
        <v>#DIV/0!</v>
      </c>
      <c r="O302" s="1221" t="e">
        <f t="shared" si="24"/>
        <v>#DIV/0!</v>
      </c>
      <c r="P302" s="1221">
        <f t="shared" si="24"/>
        <v>0.28989087293804933</v>
      </c>
      <c r="Q302" s="1221" t="e">
        <f t="shared" si="24"/>
        <v>#DIV/0!</v>
      </c>
      <c r="R302" s="1221">
        <f t="shared" si="24"/>
        <v>4.7340289187544364</v>
      </c>
      <c r="S302" s="1221">
        <f t="shared" si="24"/>
        <v>2.7040617301411358</v>
      </c>
      <c r="T302" s="1221" t="e">
        <f t="shared" si="24"/>
        <v>#DIV/0!</v>
      </c>
      <c r="U302" s="1221">
        <f t="shared" si="24"/>
        <v>1.8099845648456998</v>
      </c>
      <c r="V302" s="1221">
        <f t="shared" si="24"/>
        <v>1.8888132241155573</v>
      </c>
      <c r="W302" s="1221">
        <f t="shared" si="24"/>
        <v>1.5907154237445786</v>
      </c>
      <c r="X302" s="1221" t="e">
        <f t="shared" si="24"/>
        <v>#DIV/0!</v>
      </c>
      <c r="Y302" s="1221">
        <f t="shared" si="24"/>
        <v>1.1880981013194221</v>
      </c>
      <c r="Z302" s="1221">
        <f t="shared" si="24"/>
        <v>0.95498912938039004</v>
      </c>
      <c r="AA302" s="1221">
        <f t="shared" si="24"/>
        <v>1.2398925989050187</v>
      </c>
      <c r="AB302" s="1221">
        <f t="shared" si="24"/>
        <v>2.007781380191672</v>
      </c>
      <c r="AC302" s="1221">
        <f t="shared" si="24"/>
        <v>1.2046594656472808E-3</v>
      </c>
      <c r="AD302" s="1221">
        <f t="shared" si="24"/>
        <v>0.74044220148231721</v>
      </c>
      <c r="AE302" s="1221">
        <f t="shared" si="24"/>
        <v>0.52787681926673002</v>
      </c>
      <c r="AF302" s="1221">
        <f t="shared" si="24"/>
        <v>1.2154214370438308</v>
      </c>
      <c r="AG302" s="1221">
        <f t="shared" si="24"/>
        <v>0.93865707765362472</v>
      </c>
      <c r="AH302" s="1221">
        <f t="shared" si="24"/>
        <v>0.49654720163083288</v>
      </c>
      <c r="AI302" s="1221">
        <f t="shared" si="24"/>
        <v>0.23052891748577578</v>
      </c>
      <c r="AJ302" s="1221">
        <f t="shared" si="24"/>
        <v>0.72230314795426798</v>
      </c>
      <c r="AK302" s="1221">
        <f t="shared" si="24"/>
        <v>3.4013487306064878</v>
      </c>
      <c r="AL302" s="1221">
        <f t="shared" si="24"/>
        <v>0.69420858186621537</v>
      </c>
      <c r="AM302" s="1221" t="e">
        <f t="shared" si="24"/>
        <v>#DIV/0!</v>
      </c>
      <c r="AN302" s="1221">
        <f t="shared" si="24"/>
        <v>0.33381493873189144</v>
      </c>
      <c r="AO302" s="1221" t="e">
        <f t="shared" si="24"/>
        <v>#DIV/0!</v>
      </c>
      <c r="AP302" s="1221" t="e">
        <f t="shared" si="24"/>
        <v>#DIV/0!</v>
      </c>
      <c r="AQ302" s="1221" t="e">
        <f t="shared" si="24"/>
        <v>#DIV/0!</v>
      </c>
      <c r="AR302" s="1221" t="e">
        <f t="shared" si="24"/>
        <v>#DIV/0!</v>
      </c>
      <c r="AS302" s="1221">
        <f t="shared" si="24"/>
        <v>0.86256617717972273</v>
      </c>
      <c r="AT302" s="1221">
        <f t="shared" si="24"/>
        <v>0.55121320571134225</v>
      </c>
      <c r="AU302" s="1221">
        <f t="shared" si="24"/>
        <v>0.44815970656148968</v>
      </c>
      <c r="AV302" s="1221" t="e">
        <f t="shared" si="24"/>
        <v>#DIV/0!</v>
      </c>
      <c r="AW302" s="1221">
        <f t="shared" si="24"/>
        <v>1.9216574051119339</v>
      </c>
      <c r="AX302" s="1221" t="e">
        <f t="shared" si="24"/>
        <v>#DIV/0!</v>
      </c>
      <c r="AY302" s="1221">
        <f t="shared" si="24"/>
        <v>2.1089423610986686</v>
      </c>
      <c r="AZ302" s="1221">
        <f t="shared" si="24"/>
        <v>2.2803221152720989</v>
      </c>
      <c r="BA302" s="1221">
        <f t="shared" si="24"/>
        <v>1.2555836274949308</v>
      </c>
      <c r="BB302" s="1221">
        <f t="shared" si="24"/>
        <v>0.3984077263601718</v>
      </c>
      <c r="BC302" s="1221" t="e">
        <f t="shared" si="24"/>
        <v>#DIV/0!</v>
      </c>
      <c r="BD302" s="1221" t="e">
        <f t="shared" si="24"/>
        <v>#DIV/0!</v>
      </c>
      <c r="BE302" s="1221">
        <f t="shared" si="24"/>
        <v>1.4405715442581188</v>
      </c>
      <c r="BF302" s="1221" t="e">
        <f t="shared" si="24"/>
        <v>#DIV/0!</v>
      </c>
      <c r="BG302" s="1221">
        <f t="shared" si="24"/>
        <v>0.72804707301810256</v>
      </c>
      <c r="BH302" s="1221">
        <f t="shared" si="24"/>
        <v>1.0721659248034852</v>
      </c>
      <c r="BI302" s="1221" t="e">
        <f t="shared" si="24"/>
        <v>#DIV/0!</v>
      </c>
      <c r="BJ302" s="1221">
        <f t="shared" si="24"/>
        <v>1.8946737987473141</v>
      </c>
      <c r="BK302" s="1221" t="e">
        <f t="shared" si="24"/>
        <v>#DIV/0!</v>
      </c>
      <c r="BL302" s="1221">
        <f t="shared" si="24"/>
        <v>0.95034142563503865</v>
      </c>
      <c r="BM302" s="1221" t="e">
        <f t="shared" si="24"/>
        <v>#DIV/0!</v>
      </c>
      <c r="BN302" s="1221">
        <f t="shared" si="24"/>
        <v>2.3201614910267402E-2</v>
      </c>
      <c r="BO302" s="1221">
        <f t="shared" si="24"/>
        <v>1.1575048383169066</v>
      </c>
      <c r="BP302" s="1221">
        <f t="shared" si="24"/>
        <v>0.52377485727422501</v>
      </c>
      <c r="BQ302" s="1221">
        <f t="shared" ref="BQ302:CB302" si="25">+BQ44/(BQ49+BQ115+BQ97-BQ36)</f>
        <v>2.7459827939976762</v>
      </c>
      <c r="BR302" s="1221" t="e">
        <f t="shared" si="25"/>
        <v>#DIV/0!</v>
      </c>
      <c r="BS302" s="1221">
        <f t="shared" si="25"/>
        <v>9.6892473751751376E-2</v>
      </c>
      <c r="BT302" s="1221" t="e">
        <f t="shared" si="25"/>
        <v>#DIV/0!</v>
      </c>
      <c r="BU302" s="1221">
        <f t="shared" si="25"/>
        <v>0.95917836027972392</v>
      </c>
      <c r="BV302" s="1221">
        <f t="shared" si="25"/>
        <v>1.2212850258637777</v>
      </c>
      <c r="BW302" s="1221" t="e">
        <f t="shared" si="25"/>
        <v>#DIV/0!</v>
      </c>
      <c r="BX302" s="1221">
        <f t="shared" si="25"/>
        <v>0</v>
      </c>
      <c r="BY302" s="1221">
        <f t="shared" si="25"/>
        <v>2.9838907623106325</v>
      </c>
      <c r="BZ302" s="1221">
        <f t="shared" si="25"/>
        <v>0.21252462134075936</v>
      </c>
      <c r="CA302" s="1221">
        <f t="shared" si="25"/>
        <v>0.26182126310840836</v>
      </c>
      <c r="CB302" s="1221">
        <f t="shared" si="25"/>
        <v>4.2319985126030336E-3</v>
      </c>
    </row>
    <row r="303" spans="1:83" x14ac:dyDescent="0.3">
      <c r="A303" s="1222" t="s">
        <v>1698</v>
      </c>
      <c r="B303" s="1222"/>
      <c r="C303" s="1222" t="s">
        <v>1699</v>
      </c>
      <c r="E303" s="267" t="e">
        <f t="shared" ref="E303:BP303" si="26">+(E34-E161)/E35</f>
        <v>#DIV/0!</v>
      </c>
      <c r="F303" s="267" t="e">
        <f t="shared" si="26"/>
        <v>#DIV/0!</v>
      </c>
      <c r="G303" s="267" t="e">
        <f t="shared" si="26"/>
        <v>#DIV/0!</v>
      </c>
      <c r="H303" s="267" t="e">
        <f t="shared" si="26"/>
        <v>#DIV/0!</v>
      </c>
      <c r="I303" s="267" t="e">
        <f t="shared" si="26"/>
        <v>#DIV/0!</v>
      </c>
      <c r="J303" s="267" t="e">
        <f t="shared" si="26"/>
        <v>#DIV/0!</v>
      </c>
      <c r="K303" s="267" t="e">
        <f t="shared" si="26"/>
        <v>#DIV/0!</v>
      </c>
      <c r="L303" s="267" t="e">
        <f t="shared" si="26"/>
        <v>#DIV/0!</v>
      </c>
      <c r="M303" s="267" t="e">
        <f t="shared" si="26"/>
        <v>#DIV/0!</v>
      </c>
      <c r="N303" s="267" t="e">
        <f t="shared" si="26"/>
        <v>#DIV/0!</v>
      </c>
      <c r="O303" s="267" t="e">
        <f t="shared" si="26"/>
        <v>#DIV/0!</v>
      </c>
      <c r="P303" s="267" t="e">
        <f t="shared" si="26"/>
        <v>#DIV/0!</v>
      </c>
      <c r="Q303" s="267" t="e">
        <f t="shared" si="26"/>
        <v>#DIV/0!</v>
      </c>
      <c r="R303" s="267">
        <f t="shared" si="26"/>
        <v>10.305878550283371</v>
      </c>
      <c r="S303" s="267" t="e">
        <f t="shared" si="26"/>
        <v>#DIV/0!</v>
      </c>
      <c r="T303" s="267" t="e">
        <f t="shared" si="26"/>
        <v>#DIV/0!</v>
      </c>
      <c r="U303" s="267" t="e">
        <f t="shared" si="26"/>
        <v>#DIV/0!</v>
      </c>
      <c r="V303" s="267" t="e">
        <f t="shared" si="26"/>
        <v>#DIV/0!</v>
      </c>
      <c r="W303" s="267">
        <f t="shared" si="26"/>
        <v>5.0596623033065917</v>
      </c>
      <c r="X303" s="267" t="e">
        <f t="shared" si="26"/>
        <v>#DIV/0!</v>
      </c>
      <c r="Y303" s="267" t="e">
        <f t="shared" si="26"/>
        <v>#DIV/0!</v>
      </c>
      <c r="Z303" s="267" t="e">
        <f t="shared" si="26"/>
        <v>#DIV/0!</v>
      </c>
      <c r="AA303" s="267" t="e">
        <f t="shared" si="26"/>
        <v>#DIV/0!</v>
      </c>
      <c r="AB303" s="267" t="e">
        <f t="shared" si="26"/>
        <v>#DIV/0!</v>
      </c>
      <c r="AC303" s="267" t="e">
        <f t="shared" si="26"/>
        <v>#DIV/0!</v>
      </c>
      <c r="AD303" s="267" t="e">
        <f t="shared" si="26"/>
        <v>#DIV/0!</v>
      </c>
      <c r="AE303" s="267" t="e">
        <f t="shared" si="26"/>
        <v>#DIV/0!</v>
      </c>
      <c r="AF303" s="267" t="e">
        <f t="shared" si="26"/>
        <v>#DIV/0!</v>
      </c>
      <c r="AG303" s="267" t="e">
        <f t="shared" si="26"/>
        <v>#DIV/0!</v>
      </c>
      <c r="AH303" s="267" t="e">
        <f t="shared" si="26"/>
        <v>#DIV/0!</v>
      </c>
      <c r="AI303" s="267" t="e">
        <f t="shared" si="26"/>
        <v>#DIV/0!</v>
      </c>
      <c r="AJ303" s="267">
        <f t="shared" si="26"/>
        <v>4.711740744919009</v>
      </c>
      <c r="AK303" s="267" t="e">
        <f t="shared" si="26"/>
        <v>#DIV/0!</v>
      </c>
      <c r="AL303" s="267" t="e">
        <f t="shared" si="26"/>
        <v>#DIV/0!</v>
      </c>
      <c r="AM303" s="267" t="e">
        <f t="shared" si="26"/>
        <v>#DIV/0!</v>
      </c>
      <c r="AN303" s="267">
        <f t="shared" si="26"/>
        <v>4.114979909960458</v>
      </c>
      <c r="AO303" s="267" t="e">
        <f t="shared" si="26"/>
        <v>#DIV/0!</v>
      </c>
      <c r="AP303" s="267" t="e">
        <f t="shared" si="26"/>
        <v>#DIV/0!</v>
      </c>
      <c r="AQ303" s="267" t="e">
        <f t="shared" si="26"/>
        <v>#DIV/0!</v>
      </c>
      <c r="AR303" s="267" t="e">
        <f t="shared" si="26"/>
        <v>#DIV/0!</v>
      </c>
      <c r="AS303" s="267" t="e">
        <f t="shared" si="26"/>
        <v>#DIV/0!</v>
      </c>
      <c r="AT303" s="267" t="e">
        <f t="shared" si="26"/>
        <v>#DIV/0!</v>
      </c>
      <c r="AU303" s="267" t="e">
        <f t="shared" si="26"/>
        <v>#DIV/0!</v>
      </c>
      <c r="AV303" s="267" t="e">
        <f t="shared" si="26"/>
        <v>#DIV/0!</v>
      </c>
      <c r="AW303" s="267" t="e">
        <f t="shared" si="26"/>
        <v>#DIV/0!</v>
      </c>
      <c r="AX303" s="267" t="e">
        <f t="shared" si="26"/>
        <v>#DIV/0!</v>
      </c>
      <c r="AY303" s="267" t="e">
        <f t="shared" si="26"/>
        <v>#DIV/0!</v>
      </c>
      <c r="AZ303" s="267" t="e">
        <f t="shared" si="26"/>
        <v>#DIV/0!</v>
      </c>
      <c r="BA303" s="267" t="e">
        <f t="shared" si="26"/>
        <v>#DIV/0!</v>
      </c>
      <c r="BB303" s="267" t="e">
        <f t="shared" si="26"/>
        <v>#DIV/0!</v>
      </c>
      <c r="BC303" s="267" t="e">
        <f t="shared" si="26"/>
        <v>#DIV/0!</v>
      </c>
      <c r="BD303" s="267" t="e">
        <f t="shared" si="26"/>
        <v>#DIV/0!</v>
      </c>
      <c r="BE303" s="267" t="e">
        <f t="shared" si="26"/>
        <v>#DIV/0!</v>
      </c>
      <c r="BF303" s="267" t="e">
        <f t="shared" si="26"/>
        <v>#DIV/0!</v>
      </c>
      <c r="BG303" s="267" t="e">
        <f t="shared" si="26"/>
        <v>#DIV/0!</v>
      </c>
      <c r="BH303" s="267" t="e">
        <f t="shared" si="26"/>
        <v>#DIV/0!</v>
      </c>
      <c r="BI303" s="267" t="e">
        <f t="shared" si="26"/>
        <v>#DIV/0!</v>
      </c>
      <c r="BJ303" s="267" t="e">
        <f t="shared" si="26"/>
        <v>#DIV/0!</v>
      </c>
      <c r="BK303" s="267" t="e">
        <f t="shared" si="26"/>
        <v>#DIV/0!</v>
      </c>
      <c r="BL303" s="267" t="e">
        <f t="shared" si="26"/>
        <v>#DIV/0!</v>
      </c>
      <c r="BM303" s="267" t="e">
        <f t="shared" si="26"/>
        <v>#DIV/0!</v>
      </c>
      <c r="BN303" s="267" t="e">
        <f t="shared" si="26"/>
        <v>#DIV/0!</v>
      </c>
      <c r="BO303" s="267" t="e">
        <f t="shared" si="26"/>
        <v>#DIV/0!</v>
      </c>
      <c r="BP303" s="267" t="e">
        <f t="shared" si="26"/>
        <v>#DIV/0!</v>
      </c>
      <c r="BQ303" s="267" t="e">
        <f t="shared" ref="BQ303:CB303" si="27">+(BQ34-BQ161)/BQ35</f>
        <v>#DIV/0!</v>
      </c>
      <c r="BR303" s="267" t="e">
        <f t="shared" si="27"/>
        <v>#DIV/0!</v>
      </c>
      <c r="BS303" s="267">
        <f t="shared" si="27"/>
        <v>19.592196813184202</v>
      </c>
      <c r="BT303" s="267">
        <f t="shared" si="27"/>
        <v>3.8502159429001512</v>
      </c>
      <c r="BU303" s="267" t="e">
        <f t="shared" si="27"/>
        <v>#DIV/0!</v>
      </c>
      <c r="BV303" s="267" t="e">
        <f t="shared" si="27"/>
        <v>#DIV/0!</v>
      </c>
      <c r="BW303" s="267" t="e">
        <f t="shared" si="27"/>
        <v>#DIV/0!</v>
      </c>
      <c r="BX303" s="267" t="e">
        <f t="shared" si="27"/>
        <v>#DIV/0!</v>
      </c>
      <c r="BY303" s="267" t="e">
        <f t="shared" si="27"/>
        <v>#DIV/0!</v>
      </c>
      <c r="BZ303" s="267" t="e">
        <f t="shared" si="27"/>
        <v>#DIV/0!</v>
      </c>
      <c r="CA303" s="267" t="e">
        <f t="shared" si="27"/>
        <v>#DIV/0!</v>
      </c>
      <c r="CB303" s="267" t="e">
        <f t="shared" si="27"/>
        <v>#DIV/0!</v>
      </c>
    </row>
    <row r="304" spans="1:83" x14ac:dyDescent="0.3">
      <c r="A304" s="1222" t="s">
        <v>1100</v>
      </c>
      <c r="B304" s="1222"/>
      <c r="C304" s="1222" t="s">
        <v>1700</v>
      </c>
      <c r="E304" s="1131">
        <f t="shared" ref="E304:BP304" si="28">+E55-E56+E39-E60</f>
        <v>0</v>
      </c>
      <c r="F304" s="1131">
        <f t="shared" si="28"/>
        <v>0</v>
      </c>
      <c r="G304" s="1131">
        <f t="shared" si="28"/>
        <v>0</v>
      </c>
      <c r="H304" s="1131">
        <f t="shared" si="28"/>
        <v>0</v>
      </c>
      <c r="I304" s="1131">
        <f t="shared" si="28"/>
        <v>0</v>
      </c>
      <c r="J304" s="1131">
        <f t="shared" si="28"/>
        <v>0</v>
      </c>
      <c r="K304" s="1131">
        <f t="shared" si="28"/>
        <v>0</v>
      </c>
      <c r="L304" s="1131">
        <f t="shared" si="28"/>
        <v>0</v>
      </c>
      <c r="M304" s="1131">
        <f t="shared" si="28"/>
        <v>0</v>
      </c>
      <c r="N304" s="1131">
        <f t="shared" si="28"/>
        <v>0</v>
      </c>
      <c r="O304" s="1131">
        <f t="shared" si="28"/>
        <v>0</v>
      </c>
      <c r="P304" s="1131">
        <f t="shared" si="28"/>
        <v>0</v>
      </c>
      <c r="Q304" s="1131">
        <f t="shared" si="28"/>
        <v>0</v>
      </c>
      <c r="R304" s="1131">
        <f t="shared" si="28"/>
        <v>8054584</v>
      </c>
      <c r="S304" s="1131">
        <f t="shared" si="28"/>
        <v>0</v>
      </c>
      <c r="T304" s="1131">
        <f t="shared" si="28"/>
        <v>0</v>
      </c>
      <c r="U304" s="1131">
        <f t="shared" si="28"/>
        <v>0</v>
      </c>
      <c r="V304" s="1131">
        <f t="shared" si="28"/>
        <v>0</v>
      </c>
      <c r="W304" s="1131">
        <f t="shared" si="28"/>
        <v>3750164</v>
      </c>
      <c r="X304" s="1131">
        <f t="shared" si="28"/>
        <v>0</v>
      </c>
      <c r="Y304" s="1131">
        <f t="shared" si="28"/>
        <v>0</v>
      </c>
      <c r="Z304" s="1131">
        <f t="shared" si="28"/>
        <v>0</v>
      </c>
      <c r="AA304" s="1131">
        <f t="shared" si="28"/>
        <v>0</v>
      </c>
      <c r="AB304" s="1131">
        <f t="shared" si="28"/>
        <v>0</v>
      </c>
      <c r="AC304" s="1131">
        <f t="shared" si="28"/>
        <v>0</v>
      </c>
      <c r="AD304" s="1131">
        <f t="shared" si="28"/>
        <v>0</v>
      </c>
      <c r="AE304" s="1131">
        <f t="shared" si="28"/>
        <v>0</v>
      </c>
      <c r="AF304" s="1131">
        <f t="shared" si="28"/>
        <v>0</v>
      </c>
      <c r="AG304" s="1131">
        <f t="shared" si="28"/>
        <v>0</v>
      </c>
      <c r="AH304" s="1131">
        <f t="shared" si="28"/>
        <v>0</v>
      </c>
      <c r="AI304" s="1131">
        <f t="shared" si="28"/>
        <v>0</v>
      </c>
      <c r="AJ304" s="1131">
        <f t="shared" si="28"/>
        <v>3356535</v>
      </c>
      <c r="AK304" s="1131">
        <f t="shared" si="28"/>
        <v>0</v>
      </c>
      <c r="AL304" s="1131">
        <f t="shared" si="28"/>
        <v>0</v>
      </c>
      <c r="AM304" s="1131">
        <f t="shared" si="28"/>
        <v>0</v>
      </c>
      <c r="AN304" s="1131">
        <f t="shared" si="28"/>
        <v>754203</v>
      </c>
      <c r="AO304" s="1131">
        <f t="shared" si="28"/>
        <v>0</v>
      </c>
      <c r="AP304" s="1131">
        <f t="shared" si="28"/>
        <v>0</v>
      </c>
      <c r="AQ304" s="1131">
        <f t="shared" si="28"/>
        <v>0</v>
      </c>
      <c r="AR304" s="1131">
        <f t="shared" si="28"/>
        <v>0</v>
      </c>
      <c r="AS304" s="1131">
        <f t="shared" si="28"/>
        <v>0</v>
      </c>
      <c r="AT304" s="1131">
        <f t="shared" si="28"/>
        <v>0</v>
      </c>
      <c r="AU304" s="1131">
        <f t="shared" si="28"/>
        <v>0</v>
      </c>
      <c r="AV304" s="1131">
        <f t="shared" si="28"/>
        <v>0</v>
      </c>
      <c r="AW304" s="1131">
        <f t="shared" si="28"/>
        <v>0</v>
      </c>
      <c r="AX304" s="1131">
        <f t="shared" si="28"/>
        <v>0</v>
      </c>
      <c r="AY304" s="1131">
        <f t="shared" si="28"/>
        <v>0</v>
      </c>
      <c r="AZ304" s="1131">
        <f t="shared" si="28"/>
        <v>0</v>
      </c>
      <c r="BA304" s="1131">
        <f t="shared" si="28"/>
        <v>0</v>
      </c>
      <c r="BB304" s="1131">
        <f t="shared" si="28"/>
        <v>0</v>
      </c>
      <c r="BC304" s="1131">
        <f t="shared" si="28"/>
        <v>0</v>
      </c>
      <c r="BD304" s="1131">
        <f t="shared" si="28"/>
        <v>0</v>
      </c>
      <c r="BE304" s="1131">
        <f t="shared" si="28"/>
        <v>0</v>
      </c>
      <c r="BF304" s="1131">
        <f t="shared" si="28"/>
        <v>0</v>
      </c>
      <c r="BG304" s="1131">
        <f t="shared" si="28"/>
        <v>0</v>
      </c>
      <c r="BH304" s="1131">
        <f t="shared" si="28"/>
        <v>0</v>
      </c>
      <c r="BI304" s="1131">
        <f t="shared" si="28"/>
        <v>0</v>
      </c>
      <c r="BJ304" s="1131">
        <f t="shared" si="28"/>
        <v>0</v>
      </c>
      <c r="BK304" s="1131">
        <f t="shared" si="28"/>
        <v>0</v>
      </c>
      <c r="BL304" s="1131">
        <f t="shared" si="28"/>
        <v>0</v>
      </c>
      <c r="BM304" s="1131">
        <f t="shared" si="28"/>
        <v>0</v>
      </c>
      <c r="BN304" s="1131">
        <f t="shared" si="28"/>
        <v>0</v>
      </c>
      <c r="BO304" s="1131">
        <f t="shared" si="28"/>
        <v>0</v>
      </c>
      <c r="BP304" s="1131">
        <f t="shared" si="28"/>
        <v>0</v>
      </c>
      <c r="BQ304" s="1131">
        <f t="shared" ref="BQ304:CB304" si="29">+BQ55-BQ56+BQ39-BQ60</f>
        <v>0</v>
      </c>
      <c r="BR304" s="1131">
        <f t="shared" si="29"/>
        <v>0</v>
      </c>
      <c r="BS304" s="1131">
        <f t="shared" si="29"/>
        <v>621689</v>
      </c>
      <c r="BT304" s="1131">
        <f t="shared" si="29"/>
        <v>1557084</v>
      </c>
      <c r="BU304" s="1131">
        <f t="shared" si="29"/>
        <v>0</v>
      </c>
      <c r="BV304" s="1131">
        <f t="shared" si="29"/>
        <v>0</v>
      </c>
      <c r="BW304" s="1131">
        <f t="shared" si="29"/>
        <v>0</v>
      </c>
      <c r="BX304" s="1131">
        <f t="shared" si="29"/>
        <v>0</v>
      </c>
      <c r="BY304" s="1131">
        <f t="shared" si="29"/>
        <v>0</v>
      </c>
      <c r="BZ304" s="1131">
        <f t="shared" si="29"/>
        <v>0</v>
      </c>
      <c r="CA304" s="1131">
        <f t="shared" si="29"/>
        <v>0</v>
      </c>
      <c r="CB304" s="1131">
        <f t="shared" si="29"/>
        <v>0</v>
      </c>
    </row>
    <row r="305" spans="1:80" x14ac:dyDescent="0.3">
      <c r="A305" s="1222" t="s">
        <v>1701</v>
      </c>
      <c r="B305" s="1222"/>
      <c r="C305" s="1222" t="s">
        <v>1108</v>
      </c>
      <c r="E305" s="267" t="e">
        <f t="shared" ref="E305:BP305" si="30">+E52/(E125+E56-E39+E60)</f>
        <v>#DIV/0!</v>
      </c>
      <c r="F305" s="267" t="e">
        <f t="shared" si="30"/>
        <v>#DIV/0!</v>
      </c>
      <c r="G305" s="267" t="e">
        <f t="shared" si="30"/>
        <v>#DIV/0!</v>
      </c>
      <c r="H305" s="267" t="e">
        <f t="shared" si="30"/>
        <v>#DIV/0!</v>
      </c>
      <c r="I305" s="267" t="e">
        <f t="shared" si="30"/>
        <v>#DIV/0!</v>
      </c>
      <c r="J305" s="267" t="e">
        <f t="shared" si="30"/>
        <v>#DIV/0!</v>
      </c>
      <c r="K305" s="267" t="e">
        <f t="shared" si="30"/>
        <v>#DIV/0!</v>
      </c>
      <c r="L305" s="267" t="e">
        <f t="shared" si="30"/>
        <v>#DIV/0!</v>
      </c>
      <c r="M305" s="267" t="e">
        <f t="shared" si="30"/>
        <v>#DIV/0!</v>
      </c>
      <c r="N305" s="267" t="e">
        <f t="shared" si="30"/>
        <v>#DIV/0!</v>
      </c>
      <c r="O305" s="267" t="e">
        <f t="shared" si="30"/>
        <v>#DIV/0!</v>
      </c>
      <c r="P305" s="267" t="e">
        <f t="shared" si="30"/>
        <v>#DIV/0!</v>
      </c>
      <c r="Q305" s="267" t="e">
        <f t="shared" si="30"/>
        <v>#DIV/0!</v>
      </c>
      <c r="R305" s="267">
        <f t="shared" si="30"/>
        <v>0.9111121392749385</v>
      </c>
      <c r="S305" s="267" t="e">
        <f t="shared" si="30"/>
        <v>#DIV/0!</v>
      </c>
      <c r="T305" s="267" t="e">
        <f t="shared" si="30"/>
        <v>#DIV/0!</v>
      </c>
      <c r="U305" s="267" t="e">
        <f t="shared" si="30"/>
        <v>#DIV/0!</v>
      </c>
      <c r="V305" s="267" t="e">
        <f t="shared" si="30"/>
        <v>#DIV/0!</v>
      </c>
      <c r="W305" s="267">
        <f t="shared" si="30"/>
        <v>0.33376814548829375</v>
      </c>
      <c r="X305" s="267" t="e">
        <f t="shared" si="30"/>
        <v>#DIV/0!</v>
      </c>
      <c r="Y305" s="267" t="e">
        <f t="shared" si="30"/>
        <v>#DIV/0!</v>
      </c>
      <c r="Z305" s="267" t="e">
        <f t="shared" si="30"/>
        <v>#DIV/0!</v>
      </c>
      <c r="AA305" s="267" t="e">
        <f t="shared" si="30"/>
        <v>#DIV/0!</v>
      </c>
      <c r="AB305" s="267" t="e">
        <f t="shared" si="30"/>
        <v>#DIV/0!</v>
      </c>
      <c r="AC305" s="267" t="e">
        <f t="shared" si="30"/>
        <v>#DIV/0!</v>
      </c>
      <c r="AD305" s="267" t="e">
        <f t="shared" si="30"/>
        <v>#DIV/0!</v>
      </c>
      <c r="AE305" s="267" t="e">
        <f t="shared" si="30"/>
        <v>#DIV/0!</v>
      </c>
      <c r="AF305" s="267" t="e">
        <f t="shared" si="30"/>
        <v>#DIV/0!</v>
      </c>
      <c r="AG305" s="267" t="e">
        <f t="shared" si="30"/>
        <v>#DIV/0!</v>
      </c>
      <c r="AH305" s="267" t="e">
        <f t="shared" si="30"/>
        <v>#DIV/0!</v>
      </c>
      <c r="AI305" s="267" t="e">
        <f t="shared" si="30"/>
        <v>#DIV/0!</v>
      </c>
      <c r="AJ305" s="267">
        <f t="shared" si="30"/>
        <v>0.38466679856626529</v>
      </c>
      <c r="AK305" s="267" t="e">
        <f t="shared" si="30"/>
        <v>#DIV/0!</v>
      </c>
      <c r="AL305" s="267" t="e">
        <f t="shared" si="30"/>
        <v>#DIV/0!</v>
      </c>
      <c r="AM305" s="267" t="e">
        <f t="shared" si="30"/>
        <v>#DIV/0!</v>
      </c>
      <c r="AN305" s="267">
        <f t="shared" si="30"/>
        <v>0.39802126674955152</v>
      </c>
      <c r="AO305" s="267" t="e">
        <f t="shared" si="30"/>
        <v>#DIV/0!</v>
      </c>
      <c r="AP305" s="267" t="e">
        <f t="shared" si="30"/>
        <v>#DIV/0!</v>
      </c>
      <c r="AQ305" s="267" t="e">
        <f t="shared" si="30"/>
        <v>#DIV/0!</v>
      </c>
      <c r="AR305" s="267" t="e">
        <f t="shared" si="30"/>
        <v>#DIV/0!</v>
      </c>
      <c r="AS305" s="267" t="e">
        <f t="shared" si="30"/>
        <v>#DIV/0!</v>
      </c>
      <c r="AT305" s="267" t="e">
        <f t="shared" si="30"/>
        <v>#DIV/0!</v>
      </c>
      <c r="AU305" s="267" t="e">
        <f t="shared" si="30"/>
        <v>#DIV/0!</v>
      </c>
      <c r="AV305" s="267" t="e">
        <f t="shared" si="30"/>
        <v>#DIV/0!</v>
      </c>
      <c r="AW305" s="267" t="e">
        <f t="shared" si="30"/>
        <v>#DIV/0!</v>
      </c>
      <c r="AX305" s="267" t="e">
        <f t="shared" si="30"/>
        <v>#DIV/0!</v>
      </c>
      <c r="AY305" s="267" t="e">
        <f t="shared" si="30"/>
        <v>#DIV/0!</v>
      </c>
      <c r="AZ305" s="267" t="e">
        <f t="shared" si="30"/>
        <v>#DIV/0!</v>
      </c>
      <c r="BA305" s="267" t="e">
        <f t="shared" si="30"/>
        <v>#DIV/0!</v>
      </c>
      <c r="BB305" s="267" t="e">
        <f t="shared" si="30"/>
        <v>#DIV/0!</v>
      </c>
      <c r="BC305" s="267" t="e">
        <f t="shared" si="30"/>
        <v>#DIV/0!</v>
      </c>
      <c r="BD305" s="267" t="e">
        <f t="shared" si="30"/>
        <v>#DIV/0!</v>
      </c>
      <c r="BE305" s="267" t="e">
        <f t="shared" si="30"/>
        <v>#DIV/0!</v>
      </c>
      <c r="BF305" s="267" t="e">
        <f t="shared" si="30"/>
        <v>#DIV/0!</v>
      </c>
      <c r="BG305" s="267" t="e">
        <f t="shared" si="30"/>
        <v>#DIV/0!</v>
      </c>
      <c r="BH305" s="267" t="e">
        <f t="shared" si="30"/>
        <v>#DIV/0!</v>
      </c>
      <c r="BI305" s="267" t="e">
        <f t="shared" si="30"/>
        <v>#DIV/0!</v>
      </c>
      <c r="BJ305" s="267" t="e">
        <f t="shared" si="30"/>
        <v>#DIV/0!</v>
      </c>
      <c r="BK305" s="267" t="e">
        <f t="shared" si="30"/>
        <v>#DIV/0!</v>
      </c>
      <c r="BL305" s="267" t="e">
        <f t="shared" si="30"/>
        <v>#DIV/0!</v>
      </c>
      <c r="BM305" s="267" t="e">
        <f t="shared" si="30"/>
        <v>#DIV/0!</v>
      </c>
      <c r="BN305" s="267" t="e">
        <f t="shared" si="30"/>
        <v>#DIV/0!</v>
      </c>
      <c r="BO305" s="267" t="e">
        <f t="shared" si="30"/>
        <v>#DIV/0!</v>
      </c>
      <c r="BP305" s="267" t="e">
        <f t="shared" si="30"/>
        <v>#DIV/0!</v>
      </c>
      <c r="BQ305" s="267" t="e">
        <f t="shared" ref="BQ305:CB305" si="31">+BQ52/(BQ125+BQ56-BQ39+BQ60)</f>
        <v>#DIV/0!</v>
      </c>
      <c r="BR305" s="267" t="e">
        <f t="shared" si="31"/>
        <v>#DIV/0!</v>
      </c>
      <c r="BS305" s="267">
        <f t="shared" si="31"/>
        <v>0.28987839191981252</v>
      </c>
      <c r="BT305" s="267">
        <f t="shared" si="31"/>
        <v>0.18241564150385817</v>
      </c>
      <c r="BU305" s="267" t="e">
        <f t="shared" si="31"/>
        <v>#DIV/0!</v>
      </c>
      <c r="BV305" s="267" t="e">
        <f t="shared" si="31"/>
        <v>#DIV/0!</v>
      </c>
      <c r="BW305" s="267" t="e">
        <f t="shared" si="31"/>
        <v>#DIV/0!</v>
      </c>
      <c r="BX305" s="267" t="e">
        <f t="shared" si="31"/>
        <v>#DIV/0!</v>
      </c>
      <c r="BY305" s="267" t="e">
        <f t="shared" si="31"/>
        <v>#DIV/0!</v>
      </c>
      <c r="BZ305" s="267" t="e">
        <f t="shared" si="31"/>
        <v>#DIV/0!</v>
      </c>
      <c r="CA305" s="267" t="e">
        <f t="shared" si="31"/>
        <v>#DIV/0!</v>
      </c>
      <c r="CB305" s="267" t="e">
        <f t="shared" si="31"/>
        <v>#DIV/0!</v>
      </c>
    </row>
  </sheetData>
  <sheetProtection algorithmName="SHA-512" hashValue="D4stb7my0xcTljjjsSUbWuolCSjJfoeXkY0c1S24ukEuOmG9N05FPQKrPczdsyHw4pBxNHmTI9DfwcIrXYYDfQ==" saltValue="/wpZNy+8bfw7B5vQry6aew==" spinCount="100000" sheet="1" objects="1" scenarios="1"/>
  <pageMargins left="0.7" right="0.7" top="0.75" bottom="0.75" header="0.3" footer="0.3"/>
  <pageSetup orientation="portrait" r:id="rId1"/>
  <ignoredErrors>
    <ignoredError sqref="E298:E305"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859C7-D101-4FF8-B13C-F4FADB068718}">
  <sheetPr codeName="Sheet13"/>
  <dimension ref="A1:K119"/>
  <sheetViews>
    <sheetView workbookViewId="0">
      <selection activeCell="C8" sqref="C8"/>
    </sheetView>
  </sheetViews>
  <sheetFormatPr defaultColWidth="9.109375" defaultRowHeight="14.4" x14ac:dyDescent="0.3"/>
  <cols>
    <col min="1" max="1" width="31.5546875" style="306" customWidth="1"/>
    <col min="2" max="2" width="8" style="306" customWidth="1"/>
    <col min="3" max="3" width="14.88671875" style="306" customWidth="1"/>
    <col min="4" max="4" width="16" style="306" customWidth="1"/>
    <col min="5" max="7" width="9.109375" style="306"/>
    <col min="8" max="8" width="21.33203125" style="306" customWidth="1"/>
    <col min="9" max="16384" width="9.109375" style="306"/>
  </cols>
  <sheetData>
    <row r="1" spans="1:11" ht="15.75" customHeight="1" x14ac:dyDescent="0.3">
      <c r="A1" s="1423" t="s">
        <v>1041</v>
      </c>
      <c r="B1" s="1423"/>
      <c r="C1" s="1423"/>
      <c r="D1" s="1423"/>
    </row>
    <row r="2" spans="1:11" ht="15.75" customHeight="1" x14ac:dyDescent="0.3">
      <c r="A2" s="1425" t="s">
        <v>1140</v>
      </c>
      <c r="B2" s="1425"/>
      <c r="C2" s="1425"/>
      <c r="D2" s="1425"/>
    </row>
    <row r="3" spans="1:11" ht="21.9" customHeight="1" x14ac:dyDescent="0.3">
      <c r="A3" s="1423" t="s">
        <v>1141</v>
      </c>
      <c r="B3" s="1423"/>
      <c r="C3" s="1423"/>
      <c r="D3" s="1423"/>
    </row>
    <row r="4" spans="1:11" ht="21" customHeight="1" x14ac:dyDescent="0.3">
      <c r="A4" s="728"/>
      <c r="B4" s="728"/>
      <c r="C4" s="727" t="s">
        <v>1142</v>
      </c>
      <c r="D4" s="727" t="s">
        <v>1143</v>
      </c>
      <c r="I4" s="728"/>
      <c r="J4" s="727"/>
      <c r="K4" s="727"/>
    </row>
    <row r="5" spans="1:11" ht="15.75" customHeight="1" x14ac:dyDescent="0.3">
      <c r="A5" s="728"/>
      <c r="B5" s="723" t="s">
        <v>1144</v>
      </c>
      <c r="C5" s="727" t="s">
        <v>1145</v>
      </c>
      <c r="D5" s="727" t="s">
        <v>1146</v>
      </c>
      <c r="I5" s="723"/>
      <c r="J5" s="727"/>
      <c r="K5" s="727"/>
    </row>
    <row r="6" spans="1:11" ht="21" customHeight="1" x14ac:dyDescent="0.3">
      <c r="A6" s="708" t="s">
        <v>1147</v>
      </c>
      <c r="B6" s="723" t="s">
        <v>1148</v>
      </c>
      <c r="C6" s="727" t="s">
        <v>1149</v>
      </c>
      <c r="D6" s="727" t="s">
        <v>1149</v>
      </c>
      <c r="I6" s="723"/>
      <c r="J6" s="727"/>
      <c r="K6" s="727"/>
    </row>
    <row r="7" spans="1:11" ht="21.9" customHeight="1" x14ac:dyDescent="0.3">
      <c r="A7" s="708" t="s">
        <v>1150</v>
      </c>
      <c r="B7" s="713">
        <v>0.59699999999999998</v>
      </c>
      <c r="C7" s="709">
        <v>2015</v>
      </c>
      <c r="D7" s="709">
        <v>2021</v>
      </c>
      <c r="H7" s="715"/>
      <c r="I7" s="711"/>
      <c r="J7" s="721"/>
      <c r="K7" s="721"/>
    </row>
    <row r="8" spans="1:11" ht="15.75" customHeight="1" x14ac:dyDescent="0.3">
      <c r="A8" s="708" t="s">
        <v>1151</v>
      </c>
      <c r="B8" s="713">
        <v>0.52900000000000003</v>
      </c>
      <c r="C8" s="709">
        <v>2017</v>
      </c>
      <c r="D8" s="709">
        <v>2021</v>
      </c>
      <c r="H8" s="715"/>
      <c r="I8" s="711"/>
      <c r="J8" s="721"/>
      <c r="K8" s="721"/>
    </row>
    <row r="9" spans="1:11" ht="15.75" customHeight="1" x14ac:dyDescent="0.3">
      <c r="A9" s="708" t="s">
        <v>1152</v>
      </c>
      <c r="B9" s="713">
        <v>0.63</v>
      </c>
      <c r="C9" s="709">
        <v>2013</v>
      </c>
      <c r="D9" s="709">
        <v>2021</v>
      </c>
      <c r="H9" s="715"/>
      <c r="I9" s="711"/>
      <c r="J9" s="721"/>
      <c r="K9" s="721"/>
    </row>
    <row r="10" spans="1:11" ht="15.75" customHeight="1" x14ac:dyDescent="0.3">
      <c r="A10" s="708" t="s">
        <v>1153</v>
      </c>
      <c r="B10" s="713">
        <v>0.73499999999999999</v>
      </c>
      <c r="C10" s="709">
        <v>2016</v>
      </c>
      <c r="D10" s="709">
        <v>2021</v>
      </c>
      <c r="H10" s="715"/>
      <c r="I10" s="711"/>
      <c r="J10" s="721"/>
      <c r="K10" s="721"/>
    </row>
    <row r="11" spans="1:11" ht="21.9" customHeight="1" x14ac:dyDescent="0.3">
      <c r="A11" s="708" t="s">
        <v>1154</v>
      </c>
      <c r="B11" s="713">
        <v>0.67</v>
      </c>
      <c r="C11" s="709">
        <v>2017</v>
      </c>
      <c r="D11" s="709">
        <v>2021</v>
      </c>
      <c r="H11" s="715"/>
      <c r="I11" s="711"/>
      <c r="J11" s="721"/>
      <c r="K11" s="721"/>
    </row>
    <row r="12" spans="1:11" ht="21" customHeight="1" x14ac:dyDescent="0.3">
      <c r="A12" s="708" t="s">
        <v>1155</v>
      </c>
      <c r="B12" s="713">
        <v>0.72</v>
      </c>
      <c r="C12" s="709">
        <v>2016</v>
      </c>
      <c r="D12" s="709">
        <v>2021</v>
      </c>
      <c r="H12" s="715"/>
      <c r="I12" s="711"/>
      <c r="J12" s="721"/>
      <c r="K12" s="721"/>
    </row>
    <row r="13" spans="1:11" ht="15.75" customHeight="1" x14ac:dyDescent="0.3">
      <c r="A13" s="708" t="s">
        <v>1156</v>
      </c>
      <c r="B13" s="713">
        <v>0.80500000000000005</v>
      </c>
      <c r="C13" s="709">
        <v>2013</v>
      </c>
      <c r="D13" s="709">
        <v>2021</v>
      </c>
      <c r="H13" s="715"/>
      <c r="I13" s="711"/>
      <c r="J13" s="721"/>
      <c r="K13" s="721"/>
    </row>
    <row r="14" spans="1:11" ht="15.75" customHeight="1" x14ac:dyDescent="0.3">
      <c r="A14" s="708" t="s">
        <v>1157</v>
      </c>
      <c r="B14" s="713">
        <v>0.48</v>
      </c>
      <c r="C14" s="709">
        <v>2013</v>
      </c>
      <c r="D14" s="709">
        <v>2021</v>
      </c>
      <c r="H14" s="715"/>
      <c r="I14" s="711"/>
      <c r="J14" s="721"/>
      <c r="K14" s="721"/>
    </row>
    <row r="15" spans="1:11" ht="15.75" customHeight="1" x14ac:dyDescent="0.3">
      <c r="A15" s="708" t="s">
        <v>1158</v>
      </c>
      <c r="B15" s="713">
        <v>0.54</v>
      </c>
      <c r="C15" s="709">
        <v>2015</v>
      </c>
      <c r="D15" s="709">
        <v>2021</v>
      </c>
      <c r="H15" s="715"/>
      <c r="I15" s="711"/>
      <c r="J15" s="721"/>
      <c r="K15" s="714"/>
    </row>
    <row r="16" spans="1:11" ht="21" customHeight="1" x14ac:dyDescent="0.3">
      <c r="A16" s="708" t="s">
        <v>1159</v>
      </c>
      <c r="B16" s="713">
        <v>0.73799999999999999</v>
      </c>
      <c r="C16" s="709">
        <v>2017</v>
      </c>
      <c r="D16" s="709">
        <v>2021</v>
      </c>
      <c r="H16" s="715"/>
      <c r="I16" s="711"/>
      <c r="J16" s="721"/>
      <c r="K16" s="714"/>
    </row>
    <row r="17" spans="1:11" ht="21.9" customHeight="1" x14ac:dyDescent="0.3">
      <c r="A17" s="708" t="s">
        <v>1160</v>
      </c>
      <c r="B17" s="713">
        <v>0.74350000000000005</v>
      </c>
      <c r="C17" s="709">
        <v>2017</v>
      </c>
      <c r="D17" s="709">
        <v>2021</v>
      </c>
      <c r="H17" s="715"/>
      <c r="I17" s="711"/>
      <c r="J17" s="721"/>
      <c r="K17" s="714"/>
    </row>
    <row r="18" spans="1:11" ht="15.75" customHeight="1" x14ac:dyDescent="0.3">
      <c r="A18" s="708" t="s">
        <v>1161</v>
      </c>
      <c r="B18" s="713">
        <v>0.78600000000000003</v>
      </c>
      <c r="C18" s="709">
        <v>2013</v>
      </c>
      <c r="D18" s="709">
        <v>2021</v>
      </c>
      <c r="H18" s="715"/>
      <c r="I18" s="711"/>
      <c r="J18" s="721"/>
      <c r="K18" s="714"/>
    </row>
    <row r="19" spans="1:11" ht="15.75" customHeight="1" x14ac:dyDescent="0.3">
      <c r="A19" s="708" t="s">
        <v>1162</v>
      </c>
      <c r="B19" s="713">
        <v>0.58499999999999996</v>
      </c>
      <c r="C19" s="709">
        <v>2017</v>
      </c>
      <c r="D19" s="709">
        <v>2021</v>
      </c>
      <c r="H19" s="715"/>
      <c r="I19" s="711"/>
      <c r="J19" s="721"/>
      <c r="K19" s="714"/>
    </row>
    <row r="20" spans="1:11" ht="15.75" customHeight="1" x14ac:dyDescent="0.3">
      <c r="A20" s="708" t="s">
        <v>1163</v>
      </c>
      <c r="B20" s="713">
        <v>0.38</v>
      </c>
      <c r="C20" s="709">
        <v>2016</v>
      </c>
      <c r="D20" s="709">
        <v>2021</v>
      </c>
    </row>
    <row r="21" spans="1:11" ht="21.9" customHeight="1" x14ac:dyDescent="0.3">
      <c r="A21" s="717" t="s">
        <v>1164</v>
      </c>
      <c r="B21" s="713">
        <v>0.55500000000000005</v>
      </c>
      <c r="C21" s="709">
        <v>2017</v>
      </c>
      <c r="D21" s="726">
        <v>2021</v>
      </c>
    </row>
    <row r="22" spans="1:11" ht="21" customHeight="1" x14ac:dyDescent="0.3">
      <c r="A22" s="717" t="s">
        <v>1165</v>
      </c>
      <c r="B22" s="713">
        <v>0.8679</v>
      </c>
      <c r="C22" s="709">
        <v>2017</v>
      </c>
      <c r="D22" s="726">
        <v>2021</v>
      </c>
    </row>
    <row r="23" spans="1:11" ht="15.75" customHeight="1" x14ac:dyDescent="0.3">
      <c r="A23" s="717" t="s">
        <v>1166</v>
      </c>
      <c r="B23" s="713">
        <v>0.72</v>
      </c>
      <c r="C23" s="709">
        <v>2013</v>
      </c>
      <c r="D23" s="726">
        <v>2021</v>
      </c>
    </row>
    <row r="24" spans="1:11" ht="15.75" customHeight="1" x14ac:dyDescent="0.3">
      <c r="A24" s="717" t="s">
        <v>1167</v>
      </c>
      <c r="B24" s="713">
        <v>0.5494</v>
      </c>
      <c r="C24" s="709">
        <v>2017</v>
      </c>
      <c r="D24" s="726">
        <v>2021</v>
      </c>
    </row>
    <row r="25" spans="1:11" ht="15.75" customHeight="1" x14ac:dyDescent="0.3">
      <c r="A25" s="717" t="s">
        <v>1168</v>
      </c>
      <c r="B25" s="713">
        <v>0.67</v>
      </c>
      <c r="C25" s="709">
        <v>2017</v>
      </c>
      <c r="D25" s="726">
        <v>2021</v>
      </c>
    </row>
    <row r="26" spans="1:11" ht="21.9" customHeight="1" x14ac:dyDescent="0.3">
      <c r="A26" s="717" t="s">
        <v>1169</v>
      </c>
      <c r="B26" s="713">
        <v>0.66</v>
      </c>
      <c r="C26" s="709">
        <v>2017</v>
      </c>
      <c r="D26" s="726">
        <v>2021</v>
      </c>
    </row>
    <row r="27" spans="1:11" ht="21.9" customHeight="1" x14ac:dyDescent="0.3">
      <c r="A27" s="717" t="s">
        <v>1170</v>
      </c>
      <c r="B27" s="713">
        <v>0.58199999999999996</v>
      </c>
      <c r="C27" s="709">
        <v>2016</v>
      </c>
      <c r="D27" s="726">
        <v>2021</v>
      </c>
    </row>
    <row r="28" spans="1:11" ht="15.75" customHeight="1" x14ac:dyDescent="0.3">
      <c r="A28" s="717" t="s">
        <v>1171</v>
      </c>
      <c r="B28" s="713">
        <v>0.36</v>
      </c>
      <c r="C28" s="709">
        <v>2013</v>
      </c>
      <c r="D28" s="726">
        <v>2021</v>
      </c>
    </row>
    <row r="29" spans="1:11" ht="15.75" customHeight="1" x14ac:dyDescent="0.3">
      <c r="A29" s="717" t="s">
        <v>1172</v>
      </c>
      <c r="B29" s="713">
        <v>0.63600000000000001</v>
      </c>
      <c r="C29" s="709">
        <v>2016</v>
      </c>
      <c r="D29" s="726">
        <v>2021</v>
      </c>
    </row>
    <row r="30" spans="1:11" ht="15.75" customHeight="1" x14ac:dyDescent="0.3">
      <c r="A30" s="717" t="s">
        <v>1173</v>
      </c>
      <c r="B30" s="713">
        <v>0.73089999999999999</v>
      </c>
      <c r="C30" s="709">
        <v>2015</v>
      </c>
      <c r="D30" s="726">
        <v>2021</v>
      </c>
    </row>
    <row r="31" spans="1:11" ht="21" customHeight="1" x14ac:dyDescent="0.3">
      <c r="A31" s="717" t="s">
        <v>1174</v>
      </c>
      <c r="B31" s="713">
        <v>0.85499999999999998</v>
      </c>
      <c r="C31" s="709">
        <v>2013</v>
      </c>
      <c r="D31" s="726">
        <v>2021</v>
      </c>
    </row>
    <row r="32" spans="1:11" ht="21.9" customHeight="1" x14ac:dyDescent="0.3">
      <c r="A32" s="729" t="s">
        <v>1175</v>
      </c>
      <c r="B32" s="707">
        <v>0.55000000000000004</v>
      </c>
      <c r="C32" s="725">
        <v>2018</v>
      </c>
      <c r="D32" s="725">
        <v>2022</v>
      </c>
    </row>
    <row r="33" spans="1:4" ht="15.75" customHeight="1" x14ac:dyDescent="0.3">
      <c r="A33" s="729" t="s">
        <v>1176</v>
      </c>
      <c r="B33" s="707">
        <v>0.82</v>
      </c>
      <c r="C33" s="725">
        <v>2015</v>
      </c>
      <c r="D33" s="725">
        <v>2022</v>
      </c>
    </row>
    <row r="34" spans="1:4" ht="15.75" customHeight="1" x14ac:dyDescent="0.3">
      <c r="A34" s="729" t="s">
        <v>1177</v>
      </c>
      <c r="B34" s="707">
        <v>0.755</v>
      </c>
      <c r="C34" s="725">
        <v>2014</v>
      </c>
      <c r="D34" s="725">
        <v>2022</v>
      </c>
    </row>
    <row r="35" spans="1:4" ht="15.75" customHeight="1" x14ac:dyDescent="0.3">
      <c r="A35" s="729" t="s">
        <v>1178</v>
      </c>
      <c r="B35" s="707">
        <v>0.5494</v>
      </c>
      <c r="C35" s="725">
        <v>2016</v>
      </c>
      <c r="D35" s="725">
        <v>2022</v>
      </c>
    </row>
    <row r="36" spans="1:4" ht="21.9" customHeight="1" x14ac:dyDescent="0.3">
      <c r="A36" s="729" t="s">
        <v>1179</v>
      </c>
      <c r="B36" s="707">
        <v>0.73499999999999999</v>
      </c>
      <c r="C36" s="725">
        <v>2017</v>
      </c>
      <c r="D36" s="725">
        <v>2022</v>
      </c>
    </row>
    <row r="37" spans="1:4" ht="21" customHeight="1" x14ac:dyDescent="0.3">
      <c r="A37" s="729" t="s">
        <v>1180</v>
      </c>
      <c r="B37" s="707">
        <v>0.73050000000000004</v>
      </c>
      <c r="C37" s="725">
        <v>2017</v>
      </c>
      <c r="D37" s="725">
        <v>2022</v>
      </c>
    </row>
    <row r="38" spans="1:4" ht="15.75" customHeight="1" x14ac:dyDescent="0.3">
      <c r="A38" s="729" t="s">
        <v>1181</v>
      </c>
      <c r="B38" s="707">
        <v>0.75</v>
      </c>
      <c r="C38" s="725">
        <v>2017</v>
      </c>
      <c r="D38" s="725">
        <v>2022</v>
      </c>
    </row>
    <row r="39" spans="1:4" ht="15.75" customHeight="1" x14ac:dyDescent="0.3">
      <c r="A39" s="729" t="s">
        <v>1182</v>
      </c>
      <c r="B39" s="707">
        <v>0.75</v>
      </c>
      <c r="C39" s="725">
        <v>2014</v>
      </c>
      <c r="D39" s="725">
        <v>2022</v>
      </c>
    </row>
    <row r="40" spans="1:4" ht="15.75" customHeight="1" x14ac:dyDescent="0.3">
      <c r="A40" s="730" t="s">
        <v>1183</v>
      </c>
      <c r="B40" s="707">
        <v>0.77</v>
      </c>
      <c r="C40" s="725">
        <v>2014</v>
      </c>
      <c r="D40" s="712">
        <v>2022</v>
      </c>
    </row>
    <row r="41" spans="1:4" ht="21" customHeight="1" x14ac:dyDescent="0.3">
      <c r="A41" s="730" t="s">
        <v>1184</v>
      </c>
      <c r="B41" s="707">
        <v>0.57999999999999996</v>
      </c>
      <c r="C41" s="725">
        <v>2018</v>
      </c>
      <c r="D41" s="712">
        <v>2022</v>
      </c>
    </row>
    <row r="42" spans="1:4" ht="21.9" customHeight="1" x14ac:dyDescent="0.3">
      <c r="A42" s="730" t="s">
        <v>1185</v>
      </c>
      <c r="B42" s="707">
        <v>0.70499999999999996</v>
      </c>
      <c r="C42" s="725">
        <v>2018</v>
      </c>
      <c r="D42" s="712">
        <v>2022</v>
      </c>
    </row>
    <row r="43" spans="1:4" ht="15.75" customHeight="1" x14ac:dyDescent="0.3">
      <c r="A43" s="730" t="s">
        <v>1186</v>
      </c>
      <c r="B43" s="707">
        <v>0.77</v>
      </c>
      <c r="C43" s="725">
        <v>2014</v>
      </c>
      <c r="D43" s="712">
        <v>2022</v>
      </c>
    </row>
    <row r="44" spans="1:4" ht="15.75" customHeight="1" x14ac:dyDescent="0.3">
      <c r="A44" s="730" t="s">
        <v>1187</v>
      </c>
      <c r="B44" s="707">
        <v>0.40300000000000002</v>
      </c>
      <c r="C44" s="725">
        <v>2014</v>
      </c>
      <c r="D44" s="712">
        <v>2022</v>
      </c>
    </row>
    <row r="45" spans="1:4" ht="15.75" customHeight="1" x14ac:dyDescent="0.3">
      <c r="A45" s="708" t="s">
        <v>1188</v>
      </c>
      <c r="B45" s="713">
        <v>0.79</v>
      </c>
      <c r="C45" s="709">
        <v>2015</v>
      </c>
      <c r="D45" s="709">
        <v>2023</v>
      </c>
    </row>
    <row r="46" spans="1:4" ht="21.9" customHeight="1" x14ac:dyDescent="0.3">
      <c r="A46" s="708" t="s">
        <v>1189</v>
      </c>
      <c r="B46" s="713">
        <v>0.443</v>
      </c>
      <c r="C46" s="709">
        <v>2019</v>
      </c>
      <c r="D46" s="709">
        <v>2023</v>
      </c>
    </row>
    <row r="47" spans="1:4" ht="21" customHeight="1" x14ac:dyDescent="0.3">
      <c r="A47" s="708" t="s">
        <v>1190</v>
      </c>
      <c r="B47" s="713">
        <v>0.48499999999999999</v>
      </c>
      <c r="C47" s="709">
        <v>2019</v>
      </c>
      <c r="D47" s="709">
        <v>2023</v>
      </c>
    </row>
    <row r="48" spans="1:4" ht="15.75" customHeight="1" x14ac:dyDescent="0.3">
      <c r="A48" s="708" t="s">
        <v>1191</v>
      </c>
      <c r="B48" s="713">
        <v>0.74</v>
      </c>
      <c r="C48" s="709">
        <v>2015</v>
      </c>
      <c r="D48" s="709">
        <v>2023</v>
      </c>
    </row>
    <row r="49" spans="1:4" ht="15.75" customHeight="1" x14ac:dyDescent="0.3">
      <c r="A49" s="708" t="s">
        <v>1192</v>
      </c>
      <c r="B49" s="713">
        <v>0.57499999999999996</v>
      </c>
      <c r="C49" s="709">
        <v>2019</v>
      </c>
      <c r="D49" s="709">
        <v>2023</v>
      </c>
    </row>
    <row r="50" spans="1:4" ht="15.75" customHeight="1" x14ac:dyDescent="0.3">
      <c r="A50" s="708" t="s">
        <v>1193</v>
      </c>
      <c r="B50" s="713">
        <v>0.71220000000000006</v>
      </c>
      <c r="C50" s="709">
        <v>2019</v>
      </c>
      <c r="D50" s="709">
        <v>2023</v>
      </c>
    </row>
    <row r="51" spans="1:4" ht="21.9" customHeight="1" x14ac:dyDescent="0.3">
      <c r="A51" s="708" t="s">
        <v>1194</v>
      </c>
      <c r="B51" s="713">
        <v>0.83</v>
      </c>
      <c r="C51" s="709">
        <v>2019</v>
      </c>
      <c r="D51" s="709">
        <v>2023</v>
      </c>
    </row>
    <row r="52" spans="1:4" ht="21.9" customHeight="1" x14ac:dyDescent="0.3">
      <c r="A52" s="708" t="s">
        <v>1195</v>
      </c>
      <c r="B52" s="713">
        <v>0.65</v>
      </c>
      <c r="C52" s="709">
        <v>2019</v>
      </c>
      <c r="D52" s="709">
        <v>2023</v>
      </c>
    </row>
    <row r="53" spans="1:4" ht="15.75" customHeight="1" x14ac:dyDescent="0.3">
      <c r="A53" s="708" t="s">
        <v>1196</v>
      </c>
      <c r="B53" s="713">
        <v>0.56100000000000005</v>
      </c>
      <c r="C53" s="709">
        <v>2019</v>
      </c>
      <c r="D53" s="709">
        <v>2023</v>
      </c>
    </row>
    <row r="54" spans="1:4" ht="15.75" customHeight="1" x14ac:dyDescent="0.3">
      <c r="A54" s="708" t="s">
        <v>1197</v>
      </c>
      <c r="B54" s="713">
        <v>0.77</v>
      </c>
      <c r="C54" s="709">
        <v>2017</v>
      </c>
      <c r="D54" s="709">
        <v>2023</v>
      </c>
    </row>
    <row r="55" spans="1:4" ht="15.75" customHeight="1" x14ac:dyDescent="0.3">
      <c r="A55" s="708" t="s">
        <v>1198</v>
      </c>
      <c r="B55" s="713">
        <v>0.53749999999999998</v>
      </c>
      <c r="C55" s="709">
        <v>2019</v>
      </c>
      <c r="D55" s="709">
        <v>2023</v>
      </c>
    </row>
    <row r="56" spans="1:4" ht="36" customHeight="1" x14ac:dyDescent="0.3">
      <c r="A56" s="717" t="s">
        <v>1199</v>
      </c>
      <c r="B56" s="713">
        <v>0.77500000000000002</v>
      </c>
      <c r="C56" s="709">
        <v>2019</v>
      </c>
      <c r="D56" s="726">
        <v>2023</v>
      </c>
    </row>
    <row r="57" spans="1:4" ht="36" customHeight="1" x14ac:dyDescent="0.3">
      <c r="A57" s="717" t="s">
        <v>1200</v>
      </c>
      <c r="B57" s="713">
        <v>0.59899999999999998</v>
      </c>
      <c r="C57" s="709">
        <v>2019</v>
      </c>
      <c r="D57" s="726">
        <v>2023</v>
      </c>
    </row>
    <row r="58" spans="1:4" ht="36" customHeight="1" x14ac:dyDescent="0.3">
      <c r="A58" s="717" t="s">
        <v>1201</v>
      </c>
      <c r="B58" s="713">
        <v>0.37469999999999998</v>
      </c>
      <c r="C58" s="709">
        <v>2019</v>
      </c>
      <c r="D58" s="726">
        <v>2023</v>
      </c>
    </row>
    <row r="59" spans="1:4" ht="36" customHeight="1" x14ac:dyDescent="0.3">
      <c r="A59" s="717" t="s">
        <v>1202</v>
      </c>
      <c r="B59" s="713">
        <v>0.58750000000000002</v>
      </c>
      <c r="C59" s="709">
        <v>2019</v>
      </c>
      <c r="D59" s="726">
        <v>2023</v>
      </c>
    </row>
    <row r="60" spans="1:4" ht="36" customHeight="1" x14ac:dyDescent="0.3">
      <c r="A60" s="717" t="s">
        <v>1203</v>
      </c>
      <c r="B60" s="713">
        <v>0.6169</v>
      </c>
      <c r="C60" s="709">
        <v>2019</v>
      </c>
      <c r="D60" s="726">
        <v>2023</v>
      </c>
    </row>
    <row r="61" spans="1:4" ht="36" customHeight="1" x14ac:dyDescent="0.3">
      <c r="A61" s="717" t="s">
        <v>1204</v>
      </c>
      <c r="B61" s="713">
        <v>0.51</v>
      </c>
      <c r="C61" s="709">
        <v>2019</v>
      </c>
      <c r="D61" s="726">
        <v>2023</v>
      </c>
    </row>
    <row r="62" spans="1:4" ht="36" customHeight="1" x14ac:dyDescent="0.3">
      <c r="A62" s="717" t="s">
        <v>1205</v>
      </c>
      <c r="B62" s="713">
        <v>0.91</v>
      </c>
      <c r="C62" s="709">
        <v>2015</v>
      </c>
      <c r="D62" s="726">
        <v>2023</v>
      </c>
    </row>
    <row r="63" spans="1:4" ht="36" customHeight="1" x14ac:dyDescent="0.3">
      <c r="A63" s="717" t="s">
        <v>1206</v>
      </c>
      <c r="B63" s="713">
        <v>0.65749999999999997</v>
      </c>
      <c r="C63" s="709">
        <v>2019</v>
      </c>
      <c r="D63" s="726">
        <v>2023</v>
      </c>
    </row>
    <row r="64" spans="1:4" ht="36" customHeight="1" x14ac:dyDescent="0.3">
      <c r="A64" s="717" t="s">
        <v>1207</v>
      </c>
      <c r="B64" s="713">
        <v>0.59699999999999998</v>
      </c>
      <c r="C64" s="709">
        <v>2019</v>
      </c>
      <c r="D64" s="726">
        <v>2023</v>
      </c>
    </row>
    <row r="65" spans="1:4" ht="36" customHeight="1" x14ac:dyDescent="0.3">
      <c r="A65" s="717" t="s">
        <v>1208</v>
      </c>
      <c r="B65" s="713">
        <v>0.66</v>
      </c>
      <c r="C65" s="709">
        <v>2019</v>
      </c>
      <c r="D65" s="726">
        <v>2023</v>
      </c>
    </row>
    <row r="66" spans="1:4" ht="36" customHeight="1" x14ac:dyDescent="0.3">
      <c r="A66" s="717" t="s">
        <v>1209</v>
      </c>
      <c r="B66" s="713">
        <v>0.66</v>
      </c>
      <c r="C66" s="709">
        <v>2017</v>
      </c>
      <c r="D66" s="726">
        <v>2023</v>
      </c>
    </row>
    <row r="67" spans="1:4" ht="36" customHeight="1" x14ac:dyDescent="0.3">
      <c r="A67" s="708" t="s">
        <v>1210</v>
      </c>
      <c r="B67" s="713">
        <v>0.74</v>
      </c>
      <c r="C67" s="709">
        <v>2020</v>
      </c>
      <c r="D67" s="709">
        <v>2024</v>
      </c>
    </row>
    <row r="68" spans="1:4" ht="36" customHeight="1" x14ac:dyDescent="0.3">
      <c r="A68" s="708" t="s">
        <v>1211</v>
      </c>
      <c r="B68" s="713">
        <v>0.33</v>
      </c>
      <c r="C68" s="709">
        <v>2020</v>
      </c>
      <c r="D68" s="709">
        <v>2024</v>
      </c>
    </row>
    <row r="69" spans="1:4" ht="36" customHeight="1" x14ac:dyDescent="0.3">
      <c r="A69" s="708" t="s">
        <v>1212</v>
      </c>
      <c r="B69" s="713">
        <v>0.80500000000000005</v>
      </c>
      <c r="C69" s="709">
        <v>2018</v>
      </c>
      <c r="D69" s="709">
        <v>2024</v>
      </c>
    </row>
    <row r="70" spans="1:4" ht="36" customHeight="1" x14ac:dyDescent="0.3">
      <c r="A70" s="708" t="s">
        <v>1213</v>
      </c>
      <c r="B70" s="713">
        <v>0.76</v>
      </c>
      <c r="C70" s="709">
        <v>2020</v>
      </c>
      <c r="D70" s="709">
        <v>2024</v>
      </c>
    </row>
    <row r="71" spans="1:4" ht="36" customHeight="1" x14ac:dyDescent="0.3">
      <c r="A71" s="717" t="s">
        <v>1214</v>
      </c>
      <c r="B71" s="713">
        <v>0.59</v>
      </c>
      <c r="C71" s="709">
        <v>2016</v>
      </c>
      <c r="D71" s="726">
        <v>2024</v>
      </c>
    </row>
    <row r="72" spans="1:4" ht="36" customHeight="1" x14ac:dyDescent="0.3">
      <c r="A72" s="717" t="s">
        <v>1215</v>
      </c>
      <c r="B72" s="713">
        <v>0.67969999999999997</v>
      </c>
      <c r="C72" s="709">
        <v>2020</v>
      </c>
      <c r="D72" s="726">
        <v>2024</v>
      </c>
    </row>
    <row r="73" spans="1:4" ht="36" customHeight="1" x14ac:dyDescent="0.3">
      <c r="A73" s="717" t="s">
        <v>1216</v>
      </c>
      <c r="B73" s="713">
        <v>0.83</v>
      </c>
      <c r="C73" s="709">
        <v>2016</v>
      </c>
      <c r="D73" s="726">
        <v>2024</v>
      </c>
    </row>
    <row r="74" spans="1:4" ht="36" customHeight="1" x14ac:dyDescent="0.3">
      <c r="A74" s="717" t="s">
        <v>1217</v>
      </c>
      <c r="B74" s="713">
        <v>0.77</v>
      </c>
      <c r="C74" s="709">
        <v>2018</v>
      </c>
      <c r="D74" s="726">
        <v>2024</v>
      </c>
    </row>
    <row r="75" spans="1:4" ht="36" customHeight="1" x14ac:dyDescent="0.3">
      <c r="A75" s="717" t="s">
        <v>1218</v>
      </c>
      <c r="B75" s="713">
        <v>0.89</v>
      </c>
      <c r="C75" s="709">
        <v>2016</v>
      </c>
      <c r="D75" s="726">
        <v>2024</v>
      </c>
    </row>
    <row r="76" spans="1:4" ht="36" customHeight="1" x14ac:dyDescent="0.3">
      <c r="A76" s="717" t="s">
        <v>1219</v>
      </c>
      <c r="B76" s="713">
        <v>0.6</v>
      </c>
      <c r="C76" s="709">
        <v>2020</v>
      </c>
      <c r="D76" s="726">
        <v>2024</v>
      </c>
    </row>
    <row r="77" spans="1:4" ht="36" customHeight="1" x14ac:dyDescent="0.3">
      <c r="A77" s="717" t="s">
        <v>1220</v>
      </c>
      <c r="B77" s="713">
        <v>0.73</v>
      </c>
      <c r="C77" s="709">
        <v>2016</v>
      </c>
      <c r="D77" s="726">
        <v>2024</v>
      </c>
    </row>
    <row r="78" spans="1:4" ht="36" customHeight="1" x14ac:dyDescent="0.3">
      <c r="A78" s="717" t="s">
        <v>1221</v>
      </c>
      <c r="B78" s="713">
        <v>0.6</v>
      </c>
      <c r="C78" s="709">
        <v>2016</v>
      </c>
      <c r="D78" s="726">
        <v>2024</v>
      </c>
    </row>
    <row r="79" spans="1:4" ht="36" customHeight="1" x14ac:dyDescent="0.3">
      <c r="A79" s="708" t="s">
        <v>1222</v>
      </c>
      <c r="B79" s="713">
        <v>0.67</v>
      </c>
      <c r="C79" s="709">
        <v>2017</v>
      </c>
      <c r="D79" s="709">
        <v>2025</v>
      </c>
    </row>
    <row r="80" spans="1:4" ht="36" customHeight="1" x14ac:dyDescent="0.3">
      <c r="A80" s="708" t="s">
        <v>1223</v>
      </c>
      <c r="B80" s="713">
        <v>0.69499999999999995</v>
      </c>
      <c r="C80" s="709">
        <v>2019</v>
      </c>
      <c r="D80" s="709">
        <v>2025</v>
      </c>
    </row>
    <row r="81" spans="1:4" ht="36" customHeight="1" x14ac:dyDescent="0.3">
      <c r="A81" s="708" t="s">
        <v>1224</v>
      </c>
      <c r="B81" s="713">
        <v>0.79900000000000004</v>
      </c>
      <c r="C81" s="709">
        <v>2017</v>
      </c>
      <c r="D81" s="709">
        <v>2025</v>
      </c>
    </row>
    <row r="82" spans="1:4" ht="36" customHeight="1" x14ac:dyDescent="0.3">
      <c r="A82" s="708" t="s">
        <v>1225</v>
      </c>
      <c r="B82" s="713">
        <v>0.40050000000000002</v>
      </c>
      <c r="C82" s="709">
        <v>2020</v>
      </c>
      <c r="D82" s="709">
        <v>2025</v>
      </c>
    </row>
    <row r="83" spans="1:4" ht="36" customHeight="1" x14ac:dyDescent="0.3">
      <c r="A83" s="708" t="s">
        <v>1226</v>
      </c>
      <c r="B83" s="713">
        <v>0.95</v>
      </c>
      <c r="C83" s="709">
        <v>2017</v>
      </c>
      <c r="D83" s="709">
        <v>2025</v>
      </c>
    </row>
    <row r="84" spans="1:4" ht="36" customHeight="1" x14ac:dyDescent="0.3">
      <c r="A84" s="708" t="s">
        <v>1227</v>
      </c>
      <c r="B84" s="713">
        <v>0.79</v>
      </c>
      <c r="C84" s="709">
        <v>2017</v>
      </c>
      <c r="D84" s="709">
        <v>2025</v>
      </c>
    </row>
    <row r="85" spans="1:4" ht="36" customHeight="1" x14ac:dyDescent="0.3">
      <c r="A85" s="717" t="s">
        <v>1228</v>
      </c>
      <c r="B85" s="713">
        <v>0.76</v>
      </c>
      <c r="C85" s="709">
        <v>2019</v>
      </c>
      <c r="D85" s="726">
        <v>2025</v>
      </c>
    </row>
    <row r="86" spans="1:4" ht="36" customHeight="1" x14ac:dyDescent="0.3">
      <c r="A86" s="717" t="s">
        <v>1229</v>
      </c>
      <c r="B86" s="713">
        <v>0.84499999999999997</v>
      </c>
      <c r="C86" s="709">
        <v>2017</v>
      </c>
      <c r="D86" s="726">
        <v>2025</v>
      </c>
    </row>
    <row r="87" spans="1:4" ht="36" customHeight="1" x14ac:dyDescent="0.3">
      <c r="A87" s="717" t="s">
        <v>1230</v>
      </c>
      <c r="B87" s="713">
        <v>0.81</v>
      </c>
      <c r="C87" s="709">
        <v>2017</v>
      </c>
      <c r="D87" s="726">
        <v>2025</v>
      </c>
    </row>
    <row r="88" spans="1:4" ht="36" customHeight="1" x14ac:dyDescent="0.3">
      <c r="A88" s="717" t="s">
        <v>1231</v>
      </c>
      <c r="B88" s="713">
        <v>0.67</v>
      </c>
      <c r="C88" s="709">
        <v>2017</v>
      </c>
      <c r="D88" s="726">
        <v>2025</v>
      </c>
    </row>
    <row r="89" spans="1:4" ht="36" customHeight="1" x14ac:dyDescent="0.3">
      <c r="A89" s="717" t="s">
        <v>1232</v>
      </c>
      <c r="B89" s="713">
        <v>0.63270000000000004</v>
      </c>
      <c r="C89" s="709">
        <v>2019</v>
      </c>
      <c r="D89" s="726">
        <v>2025</v>
      </c>
    </row>
    <row r="90" spans="1:4" ht="36" customHeight="1" x14ac:dyDescent="0.3">
      <c r="A90" s="717" t="s">
        <v>1233</v>
      </c>
      <c r="B90" s="713">
        <v>0.94</v>
      </c>
      <c r="C90" s="709">
        <v>2017</v>
      </c>
      <c r="D90" s="726">
        <v>2025</v>
      </c>
    </row>
    <row r="91" spans="1:4" ht="36" customHeight="1" x14ac:dyDescent="0.3">
      <c r="A91" s="717" t="s">
        <v>1234</v>
      </c>
      <c r="B91" s="713">
        <v>0.81</v>
      </c>
      <c r="C91" s="709">
        <v>2017</v>
      </c>
      <c r="D91" s="726">
        <v>2025</v>
      </c>
    </row>
    <row r="92" spans="1:4" ht="36" customHeight="1" x14ac:dyDescent="0.3">
      <c r="A92" s="708" t="s">
        <v>1235</v>
      </c>
      <c r="B92" s="713">
        <v>0.77700000000000002</v>
      </c>
      <c r="C92" s="709">
        <v>2018</v>
      </c>
      <c r="D92" s="709">
        <v>2026</v>
      </c>
    </row>
    <row r="93" spans="1:4" ht="36" customHeight="1" x14ac:dyDescent="0.3">
      <c r="A93" s="708" t="s">
        <v>1236</v>
      </c>
      <c r="B93" s="713">
        <v>0.63500000000000001</v>
      </c>
      <c r="C93" s="709">
        <v>2018</v>
      </c>
      <c r="D93" s="709">
        <v>2026</v>
      </c>
    </row>
    <row r="94" spans="1:4" ht="36" customHeight="1" x14ac:dyDescent="0.3">
      <c r="A94" s="708" t="s">
        <v>1237</v>
      </c>
      <c r="B94" s="713">
        <v>0.43</v>
      </c>
      <c r="C94" s="709">
        <v>2018</v>
      </c>
      <c r="D94" s="709">
        <v>2026</v>
      </c>
    </row>
    <row r="95" spans="1:4" ht="36" customHeight="1" x14ac:dyDescent="0.3">
      <c r="A95" s="708" t="s">
        <v>1238</v>
      </c>
      <c r="B95" s="713">
        <v>0.84</v>
      </c>
      <c r="C95" s="709">
        <v>2018</v>
      </c>
      <c r="D95" s="709">
        <v>2026</v>
      </c>
    </row>
    <row r="96" spans="1:4" ht="36" customHeight="1" x14ac:dyDescent="0.3">
      <c r="A96" s="708" t="s">
        <v>1239</v>
      </c>
      <c r="B96" s="713">
        <v>0.84</v>
      </c>
      <c r="C96" s="709">
        <v>2019</v>
      </c>
      <c r="D96" s="709">
        <v>2027</v>
      </c>
    </row>
    <row r="97" spans="1:4" ht="36" customHeight="1" x14ac:dyDescent="0.3">
      <c r="A97" s="717" t="s">
        <v>1240</v>
      </c>
      <c r="B97" s="713">
        <v>0.64500000000000002</v>
      </c>
      <c r="C97" s="709">
        <v>2019</v>
      </c>
      <c r="D97" s="726">
        <v>2027</v>
      </c>
    </row>
    <row r="98" spans="1:4" ht="36" customHeight="1" x14ac:dyDescent="0.3">
      <c r="A98" s="717" t="s">
        <v>1241</v>
      </c>
      <c r="B98" s="713">
        <v>0.69499999999999995</v>
      </c>
      <c r="C98" s="709">
        <v>2019</v>
      </c>
      <c r="D98" s="726">
        <v>2027</v>
      </c>
    </row>
    <row r="99" spans="1:4" ht="36" customHeight="1" x14ac:dyDescent="0.3">
      <c r="A99" s="717" t="s">
        <v>1242</v>
      </c>
      <c r="B99" s="713">
        <v>0.82499999999999996</v>
      </c>
      <c r="C99" s="709">
        <v>2019</v>
      </c>
      <c r="D99" s="726">
        <v>2027</v>
      </c>
    </row>
    <row r="100" spans="1:4" ht="36" customHeight="1" x14ac:dyDescent="0.3">
      <c r="A100" s="717" t="s">
        <v>1243</v>
      </c>
      <c r="B100" s="713">
        <v>1</v>
      </c>
      <c r="C100" s="709">
        <v>2019</v>
      </c>
      <c r="D100" s="726">
        <v>2027</v>
      </c>
    </row>
    <row r="101" spans="1:4" ht="36" customHeight="1" x14ac:dyDescent="0.3">
      <c r="A101" s="717" t="s">
        <v>1244</v>
      </c>
      <c r="B101" s="713">
        <v>0.66349999999999998</v>
      </c>
      <c r="C101" s="709">
        <v>2019</v>
      </c>
      <c r="D101" s="726">
        <v>2027</v>
      </c>
    </row>
    <row r="102" spans="1:4" ht="36" customHeight="1" x14ac:dyDescent="0.3">
      <c r="A102" s="708" t="s">
        <v>1245</v>
      </c>
      <c r="B102" s="713">
        <v>0.86499999999999999</v>
      </c>
      <c r="C102" s="709">
        <v>2020</v>
      </c>
      <c r="D102" s="709">
        <v>2028</v>
      </c>
    </row>
    <row r="103" spans="1:4" ht="36" customHeight="1" x14ac:dyDescent="0.3">
      <c r="A103" s="708" t="s">
        <v>1246</v>
      </c>
      <c r="B103" s="713">
        <v>0.46</v>
      </c>
      <c r="C103" s="709">
        <v>2020</v>
      </c>
      <c r="D103" s="709">
        <v>2028</v>
      </c>
    </row>
    <row r="104" spans="1:4" ht="36" customHeight="1" x14ac:dyDescent="0.3">
      <c r="A104" s="717" t="s">
        <v>1247</v>
      </c>
      <c r="B104" s="713">
        <v>0.5</v>
      </c>
      <c r="C104" s="709">
        <v>2020</v>
      </c>
      <c r="D104" s="726">
        <v>2028</v>
      </c>
    </row>
    <row r="105" spans="1:4" ht="36" customHeight="1" x14ac:dyDescent="0.3">
      <c r="A105" s="717" t="s">
        <v>1248</v>
      </c>
      <c r="B105" s="713">
        <v>0.62</v>
      </c>
      <c r="C105" s="709">
        <v>2020</v>
      </c>
      <c r="D105" s="726">
        <v>2028</v>
      </c>
    </row>
    <row r="106" spans="1:4" ht="36" customHeight="1" x14ac:dyDescent="0.3">
      <c r="A106" s="717" t="s">
        <v>1249</v>
      </c>
      <c r="B106" s="713">
        <v>0.625</v>
      </c>
      <c r="C106" s="709">
        <v>2020</v>
      </c>
      <c r="D106" s="726">
        <v>2028</v>
      </c>
    </row>
    <row r="107" spans="1:4" ht="36" customHeight="1" x14ac:dyDescent="0.3">
      <c r="A107" s="708"/>
      <c r="B107" s="713"/>
      <c r="C107" s="709"/>
      <c r="D107" s="709"/>
    </row>
    <row r="108" spans="1:4" ht="36" customHeight="1" x14ac:dyDescent="0.3">
      <c r="A108" s="708"/>
      <c r="B108" s="713"/>
      <c r="C108" s="709"/>
      <c r="D108" s="709"/>
    </row>
    <row r="109" spans="1:4" ht="36" customHeight="1" x14ac:dyDescent="0.3">
      <c r="A109" s="708"/>
      <c r="B109" s="713"/>
      <c r="C109" s="709"/>
      <c r="D109" s="709"/>
    </row>
    <row r="110" spans="1:4" ht="36" customHeight="1" x14ac:dyDescent="0.3">
      <c r="A110" s="708"/>
      <c r="B110" s="713"/>
      <c r="C110" s="709"/>
      <c r="D110" s="709"/>
    </row>
    <row r="111" spans="1:4" ht="36" customHeight="1" x14ac:dyDescent="0.3">
      <c r="A111" s="708"/>
      <c r="B111" s="713"/>
      <c r="C111" s="709"/>
      <c r="D111" s="709"/>
    </row>
    <row r="112" spans="1:4" ht="36" customHeight="1" x14ac:dyDescent="0.3">
      <c r="A112" s="1426" t="s">
        <v>1250</v>
      </c>
      <c r="B112" s="1426"/>
      <c r="C112" s="1426"/>
      <c r="D112" s="1426"/>
    </row>
    <row r="113" spans="1:4" ht="15.75" customHeight="1" x14ac:dyDescent="0.3">
      <c r="A113" s="1421" t="s">
        <v>1251</v>
      </c>
      <c r="B113" s="1421"/>
      <c r="C113" s="1421"/>
      <c r="D113" s="1421"/>
    </row>
    <row r="114" spans="1:4" ht="15.75" customHeight="1" x14ac:dyDescent="0.3">
      <c r="A114" s="1424" t="s">
        <v>1252</v>
      </c>
      <c r="B114" s="1424"/>
      <c r="C114" s="1424"/>
      <c r="D114" s="1424"/>
    </row>
    <row r="115" spans="1:4" ht="15.75" customHeight="1" x14ac:dyDescent="0.3">
      <c r="A115" s="1421" t="s">
        <v>1253</v>
      </c>
      <c r="B115" s="1421"/>
      <c r="C115" s="1421"/>
      <c r="D115" s="1421"/>
    </row>
    <row r="116" spans="1:4" ht="21.9" customHeight="1" x14ac:dyDescent="0.3">
      <c r="A116" s="1422" t="s">
        <v>1254</v>
      </c>
      <c r="B116" s="1422"/>
      <c r="C116" s="1422"/>
      <c r="D116" s="1422"/>
    </row>
    <row r="117" spans="1:4" ht="21" customHeight="1" x14ac:dyDescent="0.3">
      <c r="A117" s="1423" t="s">
        <v>1255</v>
      </c>
      <c r="B117" s="1423"/>
      <c r="C117" s="1423"/>
      <c r="D117" s="1423"/>
    </row>
    <row r="118" spans="1:4" ht="15.75" customHeight="1" x14ac:dyDescent="0.3">
      <c r="A118" s="1423" t="s">
        <v>1256</v>
      </c>
      <c r="B118" s="1423"/>
      <c r="C118" s="1423"/>
      <c r="D118" s="1423"/>
    </row>
    <row r="119" spans="1:4" ht="15.75" customHeight="1" x14ac:dyDescent="0.3">
      <c r="A119" s="1423" t="s">
        <v>1257</v>
      </c>
      <c r="B119" s="1423"/>
      <c r="C119" s="1423"/>
      <c r="D119" s="1423"/>
    </row>
  </sheetData>
  <sheetProtection algorithmName="SHA-512" hashValue="JUv3hmo8GmNafP2C3cSb4PgSBLmWwf4yXEdhgi59i6CWTqxCf+qalfkg5TodjzDQw2B6s940/O+iXmOv8r5p4w==" saltValue="zet0ItdJrJNLuGLCnL0msw==" spinCount="100000" sheet="1" objects="1" scenarios="1"/>
  <sortState xmlns:xlrd2="http://schemas.microsoft.com/office/spreadsheetml/2017/richdata2" ref="A7:D106">
    <sortCondition ref="D7:D106"/>
  </sortState>
  <mergeCells count="11">
    <mergeCell ref="A114:D114"/>
    <mergeCell ref="A1:D1"/>
    <mergeCell ref="A2:D2"/>
    <mergeCell ref="A3:D3"/>
    <mergeCell ref="A112:D112"/>
    <mergeCell ref="A113:D113"/>
    <mergeCell ref="A115:D115"/>
    <mergeCell ref="A116:D116"/>
    <mergeCell ref="A117:D117"/>
    <mergeCell ref="A118:D118"/>
    <mergeCell ref="A119:D11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V80"/>
  <sheetViews>
    <sheetView workbookViewId="0">
      <selection activeCell="D1" sqref="D1"/>
    </sheetView>
  </sheetViews>
  <sheetFormatPr defaultColWidth="9.109375" defaultRowHeight="14.4" x14ac:dyDescent="0.3"/>
  <cols>
    <col min="1" max="1" width="28.5546875" style="734" customWidth="1"/>
    <col min="2" max="12" width="9.109375" style="734"/>
    <col min="13" max="13" width="9.109375" style="1235"/>
    <col min="14" max="16384" width="9.109375" style="734"/>
  </cols>
  <sheetData>
    <row r="1" spans="1:21" x14ac:dyDescent="0.3">
      <c r="A1" s="734" t="s">
        <v>1596</v>
      </c>
      <c r="M1" s="989" t="s">
        <v>1799</v>
      </c>
      <c r="N1" s="267"/>
      <c r="O1" s="267"/>
      <c r="P1" s="267"/>
      <c r="Q1" s="267"/>
      <c r="R1" s="267" t="s">
        <v>1800</v>
      </c>
      <c r="S1" s="267"/>
      <c r="T1" s="267"/>
      <c r="U1" s="267"/>
    </row>
    <row r="2" spans="1:21" ht="15" thickBot="1" x14ac:dyDescent="0.35">
      <c r="A2" s="1130" t="s">
        <v>1621</v>
      </c>
      <c r="B2" s="1129">
        <v>50254</v>
      </c>
      <c r="C2" s="1229"/>
      <c r="D2" s="1230"/>
      <c r="E2" s="1230"/>
      <c r="F2" s="267"/>
      <c r="G2" s="267">
        <v>100</v>
      </c>
      <c r="H2" s="267"/>
      <c r="I2" s="267" t="s">
        <v>614</v>
      </c>
      <c r="M2" s="1233" t="e">
        <v>#N/A</v>
      </c>
      <c r="N2" s="1151">
        <v>50254</v>
      </c>
      <c r="O2" s="267" t="e">
        <f>EXACT(A2,M2)</f>
        <v>#N/A</v>
      </c>
      <c r="P2" s="267" t="b">
        <f>EXACT(B2,N2)</f>
        <v>1</v>
      </c>
      <c r="Q2" s="267"/>
      <c r="R2" s="267" t="s">
        <v>1621</v>
      </c>
      <c r="S2" s="267">
        <v>50254</v>
      </c>
      <c r="T2" s="267" t="e">
        <f>EXACT(M2,R2)</f>
        <v>#N/A</v>
      </c>
      <c r="U2" s="267" t="b">
        <f>EXACT(N2,S2)</f>
        <v>1</v>
      </c>
    </row>
    <row r="3" spans="1:21" ht="15" customHeight="1" thickBot="1" x14ac:dyDescent="0.35">
      <c r="A3" s="1130" t="s">
        <v>1622</v>
      </c>
      <c r="B3" s="1129">
        <v>50255</v>
      </c>
      <c r="C3" s="1229"/>
      <c r="D3" s="1231"/>
      <c r="E3" s="1230"/>
      <c r="F3" s="267"/>
      <c r="G3" s="267">
        <v>200</v>
      </c>
      <c r="H3" s="267"/>
      <c r="I3" s="267" t="s">
        <v>615</v>
      </c>
      <c r="M3" s="1233" t="s">
        <v>1622</v>
      </c>
      <c r="N3" s="1151">
        <v>50255</v>
      </c>
      <c r="O3" s="267" t="b">
        <f t="shared" ref="O3:O66" si="0">EXACT(A3,M3)</f>
        <v>1</v>
      </c>
      <c r="P3" s="267" t="b">
        <f t="shared" ref="P3:P66" si="1">EXACT(B3,N3)</f>
        <v>1</v>
      </c>
      <c r="R3" s="267" t="s">
        <v>1622</v>
      </c>
      <c r="S3" s="267">
        <v>50255</v>
      </c>
      <c r="T3" s="267" t="b">
        <f t="shared" ref="T3:T66" si="2">EXACT(M3,R3)</f>
        <v>1</v>
      </c>
      <c r="U3" s="267" t="b">
        <f t="shared" ref="U3:U66" si="3">EXACT(N3,S3)</f>
        <v>1</v>
      </c>
    </row>
    <row r="4" spans="1:21" ht="15" customHeight="1" thickBot="1" x14ac:dyDescent="0.35">
      <c r="A4" s="1130" t="s">
        <v>1703</v>
      </c>
      <c r="B4" s="1129">
        <v>50256</v>
      </c>
      <c r="C4" s="1229"/>
      <c r="D4" s="1231"/>
      <c r="E4" s="1230"/>
      <c r="F4" s="267"/>
      <c r="G4" s="267">
        <v>300</v>
      </c>
      <c r="H4" s="267"/>
      <c r="I4" s="267" t="s">
        <v>616</v>
      </c>
      <c r="M4" s="1233" t="s">
        <v>1703</v>
      </c>
      <c r="N4" s="1151">
        <v>50256</v>
      </c>
      <c r="O4" s="267" t="b">
        <f t="shared" si="0"/>
        <v>1</v>
      </c>
      <c r="P4" s="267" t="b">
        <f t="shared" si="1"/>
        <v>1</v>
      </c>
      <c r="R4" s="267" t="s">
        <v>1703</v>
      </c>
      <c r="S4" s="267">
        <v>50256</v>
      </c>
      <c r="T4" s="267" t="b">
        <f t="shared" si="2"/>
        <v>1</v>
      </c>
      <c r="U4" s="267" t="b">
        <f t="shared" si="3"/>
        <v>1</v>
      </c>
    </row>
    <row r="5" spans="1:21" ht="15" thickBot="1" x14ac:dyDescent="0.35">
      <c r="A5" s="1130" t="s">
        <v>1704</v>
      </c>
      <c r="B5" s="1129">
        <v>50558</v>
      </c>
      <c r="C5" s="1229"/>
      <c r="D5" s="1231"/>
      <c r="E5" s="1230"/>
      <c r="F5" s="267"/>
      <c r="G5" s="267">
        <v>400</v>
      </c>
      <c r="H5" s="267"/>
      <c r="I5" s="267"/>
      <c r="M5" s="1233" t="s">
        <v>1704</v>
      </c>
      <c r="N5" s="1151">
        <v>50558</v>
      </c>
      <c r="O5" s="267" t="b">
        <f t="shared" si="0"/>
        <v>1</v>
      </c>
      <c r="P5" s="267" t="b">
        <f t="shared" si="1"/>
        <v>1</v>
      </c>
      <c r="R5" s="267" t="s">
        <v>1704</v>
      </c>
      <c r="S5" s="267">
        <v>50558</v>
      </c>
      <c r="T5" s="267" t="b">
        <f t="shared" si="2"/>
        <v>1</v>
      </c>
      <c r="U5" s="267" t="b">
        <f t="shared" si="3"/>
        <v>1</v>
      </c>
    </row>
    <row r="6" spans="1:21" ht="15" thickBot="1" x14ac:dyDescent="0.35">
      <c r="A6" s="1130" t="s">
        <v>1705</v>
      </c>
      <c r="B6" s="1129">
        <v>50566</v>
      </c>
      <c r="C6" s="1229"/>
      <c r="D6" s="1231"/>
      <c r="E6" s="1230"/>
      <c r="F6" s="267"/>
      <c r="G6" s="267">
        <v>500</v>
      </c>
      <c r="H6" s="267"/>
      <c r="I6" s="267"/>
      <c r="M6" s="1233" t="s">
        <v>1705</v>
      </c>
      <c r="N6" s="1151">
        <v>50566</v>
      </c>
      <c r="O6" s="267" t="b">
        <f t="shared" si="0"/>
        <v>1</v>
      </c>
      <c r="P6" s="267" t="b">
        <f t="shared" si="1"/>
        <v>1</v>
      </c>
      <c r="R6" s="267" t="s">
        <v>1705</v>
      </c>
      <c r="S6" s="267">
        <v>50566</v>
      </c>
      <c r="T6" s="267" t="b">
        <f t="shared" si="2"/>
        <v>1</v>
      </c>
      <c r="U6" s="267" t="b">
        <f t="shared" si="3"/>
        <v>1</v>
      </c>
    </row>
    <row r="7" spans="1:21" ht="15" thickBot="1" x14ac:dyDescent="0.35">
      <c r="A7" s="1130" t="s">
        <v>1706</v>
      </c>
      <c r="B7" s="1129">
        <v>50562</v>
      </c>
      <c r="C7" s="1229"/>
      <c r="D7" s="1231"/>
      <c r="E7" s="1230"/>
      <c r="F7" s="267"/>
      <c r="G7" s="267"/>
      <c r="H7" s="267"/>
      <c r="I7" s="267"/>
      <c r="M7" s="1233" t="s">
        <v>1706</v>
      </c>
      <c r="N7" s="1151">
        <v>50562</v>
      </c>
      <c r="O7" s="267" t="b">
        <f t="shared" si="0"/>
        <v>1</v>
      </c>
      <c r="P7" s="267" t="b">
        <f t="shared" si="1"/>
        <v>1</v>
      </c>
      <c r="R7" s="267" t="s">
        <v>1706</v>
      </c>
      <c r="S7" s="267">
        <v>50562</v>
      </c>
      <c r="T7" s="267" t="b">
        <f t="shared" si="2"/>
        <v>1</v>
      </c>
      <c r="U7" s="267" t="b">
        <f t="shared" si="3"/>
        <v>1</v>
      </c>
    </row>
    <row r="8" spans="1:21" ht="15" thickBot="1" x14ac:dyDescent="0.35">
      <c r="A8" s="1130" t="s">
        <v>974</v>
      </c>
      <c r="B8" s="1129">
        <v>50257</v>
      </c>
      <c r="C8" s="1229"/>
      <c r="D8" s="1231"/>
      <c r="E8" s="1230"/>
      <c r="F8" s="267"/>
      <c r="G8" s="267"/>
      <c r="H8" s="267"/>
      <c r="I8" s="267"/>
      <c r="M8" s="1233" t="s">
        <v>974</v>
      </c>
      <c r="N8" s="1150">
        <v>50257</v>
      </c>
      <c r="O8" s="267" t="b">
        <f t="shared" si="0"/>
        <v>1</v>
      </c>
      <c r="P8" s="267" t="b">
        <f t="shared" si="1"/>
        <v>1</v>
      </c>
      <c r="R8" s="267" t="s">
        <v>974</v>
      </c>
      <c r="S8" s="267">
        <v>50257</v>
      </c>
      <c r="T8" s="267" t="b">
        <f t="shared" si="2"/>
        <v>1</v>
      </c>
      <c r="U8" s="267" t="b">
        <f t="shared" si="3"/>
        <v>1</v>
      </c>
    </row>
    <row r="9" spans="1:21" ht="15" thickBot="1" x14ac:dyDescent="0.35">
      <c r="A9" s="1130" t="s">
        <v>1707</v>
      </c>
      <c r="B9" s="1129">
        <v>50555</v>
      </c>
      <c r="C9" s="1229"/>
      <c r="D9" s="1231"/>
      <c r="E9" s="1230"/>
      <c r="F9" s="267"/>
      <c r="G9" s="267"/>
      <c r="H9" s="267"/>
      <c r="I9" s="267"/>
      <c r="M9" s="1233" t="s">
        <v>1707</v>
      </c>
      <c r="N9" s="1152">
        <v>50555</v>
      </c>
      <c r="O9" s="267" t="b">
        <f t="shared" si="0"/>
        <v>1</v>
      </c>
      <c r="P9" s="267" t="b">
        <f t="shared" si="1"/>
        <v>1</v>
      </c>
      <c r="R9" s="267" t="s">
        <v>1707</v>
      </c>
      <c r="S9" s="267">
        <v>50555</v>
      </c>
      <c r="T9" s="267" t="b">
        <f t="shared" si="2"/>
        <v>1</v>
      </c>
      <c r="U9" s="267" t="b">
        <f t="shared" si="3"/>
        <v>1</v>
      </c>
    </row>
    <row r="10" spans="1:21" ht="15" thickBot="1" x14ac:dyDescent="0.35">
      <c r="A10" s="1130" t="s">
        <v>1708</v>
      </c>
      <c r="B10" s="1129">
        <v>50445</v>
      </c>
      <c r="C10" s="1229"/>
      <c r="D10" s="1231"/>
      <c r="E10" s="1230"/>
      <c r="F10" s="267"/>
      <c r="G10" s="267"/>
      <c r="H10" s="267"/>
      <c r="I10" s="267"/>
      <c r="M10" s="1233" t="s">
        <v>1708</v>
      </c>
      <c r="N10" s="1150">
        <v>50445</v>
      </c>
      <c r="O10" s="267" t="b">
        <f t="shared" si="0"/>
        <v>1</v>
      </c>
      <c r="P10" s="267" t="b">
        <f t="shared" si="1"/>
        <v>1</v>
      </c>
      <c r="R10" s="267" t="s">
        <v>1708</v>
      </c>
      <c r="S10" s="267">
        <v>50445</v>
      </c>
      <c r="T10" s="267" t="b">
        <f t="shared" si="2"/>
        <v>1</v>
      </c>
      <c r="U10" s="267" t="b">
        <f t="shared" si="3"/>
        <v>1</v>
      </c>
    </row>
    <row r="11" spans="1:21" ht="15" thickBot="1" x14ac:dyDescent="0.35">
      <c r="A11" s="1130" t="s">
        <v>1623</v>
      </c>
      <c r="B11" s="1129">
        <v>50452</v>
      </c>
      <c r="C11" s="1229"/>
      <c r="D11" s="1231"/>
      <c r="E11" s="1230"/>
      <c r="F11" s="267"/>
      <c r="G11" s="267"/>
      <c r="H11" s="267"/>
      <c r="I11" s="267"/>
      <c r="M11" s="1233" t="s">
        <v>1623</v>
      </c>
      <c r="N11" s="1152">
        <v>50452</v>
      </c>
      <c r="O11" s="267" t="b">
        <f t="shared" si="0"/>
        <v>1</v>
      </c>
      <c r="P11" s="267" t="b">
        <f t="shared" si="1"/>
        <v>1</v>
      </c>
      <c r="R11" s="267" t="s">
        <v>1623</v>
      </c>
      <c r="S11" s="267">
        <v>50452</v>
      </c>
      <c r="T11" s="267" t="b">
        <f t="shared" si="2"/>
        <v>1</v>
      </c>
      <c r="U11" s="267" t="b">
        <f t="shared" si="3"/>
        <v>1</v>
      </c>
    </row>
    <row r="12" spans="1:21" ht="15" thickBot="1" x14ac:dyDescent="0.35">
      <c r="A12" s="1130" t="s">
        <v>1709</v>
      </c>
      <c r="B12" s="1129">
        <v>50563</v>
      </c>
      <c r="C12" s="1229"/>
      <c r="D12" s="1231"/>
      <c r="E12" s="1230"/>
      <c r="F12" s="267"/>
      <c r="G12" s="267"/>
      <c r="H12" s="267"/>
      <c r="I12" s="267"/>
      <c r="M12" s="1233" t="s">
        <v>1709</v>
      </c>
      <c r="N12" s="1152">
        <v>50563</v>
      </c>
      <c r="O12" s="267" t="b">
        <f t="shared" si="0"/>
        <v>1</v>
      </c>
      <c r="P12" s="267" t="b">
        <f t="shared" si="1"/>
        <v>1</v>
      </c>
      <c r="R12" s="267" t="s">
        <v>1709</v>
      </c>
      <c r="S12" s="267">
        <v>50563</v>
      </c>
      <c r="T12" s="267" t="b">
        <f t="shared" si="2"/>
        <v>1</v>
      </c>
      <c r="U12" s="267" t="b">
        <f t="shared" si="3"/>
        <v>1</v>
      </c>
    </row>
    <row r="13" spans="1:21" ht="15" thickBot="1" x14ac:dyDescent="0.35">
      <c r="A13" s="1130" t="s">
        <v>1710</v>
      </c>
      <c r="B13" s="1129">
        <v>50258</v>
      </c>
      <c r="C13" s="1229"/>
      <c r="D13" s="1231"/>
      <c r="E13" s="1230"/>
      <c r="F13" s="267"/>
      <c r="G13" s="267"/>
      <c r="H13" s="267"/>
      <c r="I13" s="267"/>
      <c r="M13" s="1233" t="s">
        <v>1710</v>
      </c>
      <c r="N13" s="1152">
        <v>50258</v>
      </c>
      <c r="O13" s="267" t="b">
        <f t="shared" si="0"/>
        <v>1</v>
      </c>
      <c r="P13" s="267" t="b">
        <f t="shared" si="1"/>
        <v>1</v>
      </c>
      <c r="R13" s="267" t="s">
        <v>1710</v>
      </c>
      <c r="S13" s="267">
        <v>50258</v>
      </c>
      <c r="T13" s="267" t="b">
        <f t="shared" si="2"/>
        <v>1</v>
      </c>
      <c r="U13" s="267" t="b">
        <f t="shared" si="3"/>
        <v>1</v>
      </c>
    </row>
    <row r="14" spans="1:21" ht="15" thickBot="1" x14ac:dyDescent="0.35">
      <c r="A14" s="1130" t="s">
        <v>1711</v>
      </c>
      <c r="B14" s="1129">
        <v>50523</v>
      </c>
      <c r="C14" s="1229"/>
      <c r="D14" s="1231"/>
      <c r="E14" s="1230"/>
      <c r="F14" s="267"/>
      <c r="G14" s="267"/>
      <c r="H14" s="267"/>
      <c r="I14" s="267"/>
      <c r="M14" s="1233" t="s">
        <v>1711</v>
      </c>
      <c r="N14" s="1152">
        <v>50523</v>
      </c>
      <c r="O14" s="267" t="b">
        <f t="shared" si="0"/>
        <v>1</v>
      </c>
      <c r="P14" s="267" t="b">
        <f t="shared" si="1"/>
        <v>1</v>
      </c>
      <c r="R14" s="267" t="s">
        <v>1711</v>
      </c>
      <c r="S14" s="267">
        <v>50523</v>
      </c>
      <c r="T14" s="267" t="b">
        <f t="shared" si="2"/>
        <v>1</v>
      </c>
      <c r="U14" s="267" t="b">
        <f t="shared" si="3"/>
        <v>1</v>
      </c>
    </row>
    <row r="15" spans="1:21" ht="15" thickBot="1" x14ac:dyDescent="0.35">
      <c r="A15" s="1130" t="s">
        <v>1712</v>
      </c>
      <c r="B15" s="1129">
        <v>50259</v>
      </c>
      <c r="C15" s="1229"/>
      <c r="D15" s="1231"/>
      <c r="E15" s="1230"/>
      <c r="F15" s="267"/>
      <c r="G15" s="267"/>
      <c r="H15" s="267"/>
      <c r="I15" s="267"/>
      <c r="M15" s="1233" t="s">
        <v>1712</v>
      </c>
      <c r="N15" s="1152">
        <v>50259</v>
      </c>
      <c r="O15" s="267" t="b">
        <f t="shared" si="0"/>
        <v>1</v>
      </c>
      <c r="P15" s="267" t="b">
        <f t="shared" si="1"/>
        <v>1</v>
      </c>
      <c r="R15" s="267" t="s">
        <v>1712</v>
      </c>
      <c r="S15" s="267">
        <v>50259</v>
      </c>
      <c r="T15" s="267" t="b">
        <f t="shared" si="2"/>
        <v>1</v>
      </c>
      <c r="U15" s="267" t="b">
        <f t="shared" si="3"/>
        <v>1</v>
      </c>
    </row>
    <row r="16" spans="1:21" ht="15" thickBot="1" x14ac:dyDescent="0.35">
      <c r="A16" s="1130" t="s">
        <v>975</v>
      </c>
      <c r="B16" s="1129">
        <v>50260</v>
      </c>
      <c r="C16" s="1229"/>
      <c r="D16" s="1231"/>
      <c r="E16" s="1230"/>
      <c r="F16" s="267"/>
      <c r="G16" s="267"/>
      <c r="H16" s="267"/>
      <c r="I16" s="267"/>
      <c r="M16" s="1233" t="s">
        <v>975</v>
      </c>
      <c r="N16" s="1152">
        <v>50260</v>
      </c>
      <c r="O16" s="267" t="b">
        <f t="shared" si="0"/>
        <v>1</v>
      </c>
      <c r="P16" s="267" t="b">
        <f t="shared" si="1"/>
        <v>1</v>
      </c>
      <c r="R16" s="267" t="s">
        <v>975</v>
      </c>
      <c r="S16" s="267">
        <v>50260</v>
      </c>
      <c r="T16" s="267" t="b">
        <f t="shared" si="2"/>
        <v>1</v>
      </c>
      <c r="U16" s="267" t="b">
        <f t="shared" si="3"/>
        <v>1</v>
      </c>
    </row>
    <row r="17" spans="1:21" ht="15" thickBot="1" x14ac:dyDescent="0.35">
      <c r="A17" s="1130" t="s">
        <v>1713</v>
      </c>
      <c r="B17" s="1129">
        <v>50487</v>
      </c>
      <c r="C17" s="1229"/>
      <c r="D17" s="1231"/>
      <c r="E17" s="1230"/>
      <c r="F17" s="267"/>
      <c r="G17" s="267"/>
      <c r="H17" s="267"/>
      <c r="I17" s="267"/>
      <c r="M17" s="1233" t="s">
        <v>1713</v>
      </c>
      <c r="N17" s="1152">
        <v>50487</v>
      </c>
      <c r="O17" s="267" t="b">
        <f t="shared" si="0"/>
        <v>1</v>
      </c>
      <c r="P17" s="267" t="b">
        <f t="shared" si="1"/>
        <v>1</v>
      </c>
      <c r="R17" s="267" t="s">
        <v>1713</v>
      </c>
      <c r="S17" s="267">
        <v>50487</v>
      </c>
      <c r="T17" s="267" t="b">
        <f t="shared" si="2"/>
        <v>1</v>
      </c>
      <c r="U17" s="267" t="b">
        <f t="shared" si="3"/>
        <v>1</v>
      </c>
    </row>
    <row r="18" spans="1:21" ht="15" thickBot="1" x14ac:dyDescent="0.35">
      <c r="A18" s="1130" t="s">
        <v>1714</v>
      </c>
      <c r="B18" s="1129">
        <v>50261</v>
      </c>
      <c r="C18" s="1229"/>
      <c r="D18" s="1231"/>
      <c r="E18" s="1230"/>
      <c r="F18" s="267"/>
      <c r="G18" s="267"/>
      <c r="H18" s="267"/>
      <c r="I18" s="267"/>
      <c r="M18" s="1233" t="s">
        <v>1714</v>
      </c>
      <c r="N18" s="1152">
        <v>50261</v>
      </c>
      <c r="O18" s="267" t="b">
        <f t="shared" si="0"/>
        <v>1</v>
      </c>
      <c r="P18" s="267" t="b">
        <f t="shared" si="1"/>
        <v>1</v>
      </c>
      <c r="R18" s="267" t="s">
        <v>1714</v>
      </c>
      <c r="S18" s="267">
        <v>50261</v>
      </c>
      <c r="T18" s="267" t="b">
        <f t="shared" si="2"/>
        <v>1</v>
      </c>
      <c r="U18" s="267" t="b">
        <f t="shared" si="3"/>
        <v>1</v>
      </c>
    </row>
    <row r="19" spans="1:21" ht="15" thickBot="1" x14ac:dyDescent="0.35">
      <c r="A19" s="1130" t="s">
        <v>1715</v>
      </c>
      <c r="B19" s="1129">
        <v>50262</v>
      </c>
      <c r="C19" s="1229"/>
      <c r="D19" s="1231"/>
      <c r="E19" s="1230"/>
      <c r="F19" s="267"/>
      <c r="G19" s="267"/>
      <c r="H19" s="267"/>
      <c r="I19" s="267"/>
      <c r="M19" s="1233" t="s">
        <v>1715</v>
      </c>
      <c r="N19" s="1152">
        <v>50262</v>
      </c>
      <c r="O19" s="267" t="b">
        <f t="shared" si="0"/>
        <v>1</v>
      </c>
      <c r="P19" s="267" t="b">
        <f t="shared" si="1"/>
        <v>1</v>
      </c>
      <c r="R19" s="267" t="s">
        <v>1715</v>
      </c>
      <c r="S19" s="267">
        <v>50262</v>
      </c>
      <c r="T19" s="267" t="b">
        <f t="shared" si="2"/>
        <v>1</v>
      </c>
      <c r="U19" s="267" t="b">
        <f t="shared" si="3"/>
        <v>1</v>
      </c>
    </row>
    <row r="20" spans="1:21" ht="15" thickBot="1" x14ac:dyDescent="0.35">
      <c r="A20" s="1130" t="s">
        <v>1716</v>
      </c>
      <c r="B20" s="1129">
        <v>50263</v>
      </c>
      <c r="C20" s="1229"/>
      <c r="D20" s="1231"/>
      <c r="E20" s="1230"/>
      <c r="F20" s="267"/>
      <c r="G20" s="267"/>
      <c r="H20" s="267"/>
      <c r="I20" s="267"/>
      <c r="M20" s="1233" t="s">
        <v>1716</v>
      </c>
      <c r="N20" s="1152">
        <v>50263</v>
      </c>
      <c r="O20" s="267" t="b">
        <f t="shared" si="0"/>
        <v>1</v>
      </c>
      <c r="P20" s="267" t="b">
        <f t="shared" si="1"/>
        <v>1</v>
      </c>
      <c r="R20" s="267" t="s">
        <v>1716</v>
      </c>
      <c r="S20" s="267">
        <v>50263</v>
      </c>
      <c r="T20" s="267" t="b">
        <f t="shared" si="2"/>
        <v>1</v>
      </c>
      <c r="U20" s="267" t="b">
        <f t="shared" si="3"/>
        <v>1</v>
      </c>
    </row>
    <row r="21" spans="1:21" ht="15" thickBot="1" x14ac:dyDescent="0.35">
      <c r="A21" s="1130" t="s">
        <v>1717</v>
      </c>
      <c r="B21" s="1129">
        <v>50264</v>
      </c>
      <c r="C21" s="1229"/>
      <c r="D21" s="1231"/>
      <c r="E21" s="1230"/>
      <c r="F21" s="267"/>
      <c r="G21" s="267"/>
      <c r="H21" s="267"/>
      <c r="I21" s="267"/>
      <c r="M21" s="1233" t="s">
        <v>1717</v>
      </c>
      <c r="N21" s="1152">
        <v>50264</v>
      </c>
      <c r="O21" s="267" t="b">
        <f t="shared" si="0"/>
        <v>1</v>
      </c>
      <c r="P21" s="267" t="b">
        <f t="shared" si="1"/>
        <v>1</v>
      </c>
      <c r="R21" s="267" t="s">
        <v>1717</v>
      </c>
      <c r="S21" s="267">
        <v>50264</v>
      </c>
      <c r="T21" s="267" t="b">
        <f t="shared" si="2"/>
        <v>1</v>
      </c>
      <c r="U21" s="267" t="b">
        <f t="shared" si="3"/>
        <v>1</v>
      </c>
    </row>
    <row r="22" spans="1:21" ht="15" thickBot="1" x14ac:dyDescent="0.35">
      <c r="A22" s="1130" t="s">
        <v>1718</v>
      </c>
      <c r="B22" s="1129">
        <v>50265</v>
      </c>
      <c r="C22" s="1229"/>
      <c r="D22" s="1231"/>
      <c r="E22" s="1230"/>
      <c r="F22" s="267"/>
      <c r="G22" s="267"/>
      <c r="H22" s="267"/>
      <c r="I22" s="267"/>
      <c r="M22" s="1233" t="s">
        <v>1718</v>
      </c>
      <c r="N22" s="1152">
        <v>50265</v>
      </c>
      <c r="O22" s="267" t="b">
        <f t="shared" si="0"/>
        <v>1</v>
      </c>
      <c r="P22" s="267" t="b">
        <f t="shared" si="1"/>
        <v>1</v>
      </c>
      <c r="R22" s="267" t="s">
        <v>1718</v>
      </c>
      <c r="S22" s="267">
        <v>50265</v>
      </c>
      <c r="T22" s="267" t="b">
        <f t="shared" si="2"/>
        <v>1</v>
      </c>
      <c r="U22" s="267" t="b">
        <f t="shared" si="3"/>
        <v>1</v>
      </c>
    </row>
    <row r="23" spans="1:21" ht="15" thickBot="1" x14ac:dyDescent="0.35">
      <c r="A23" s="1130" t="s">
        <v>1719</v>
      </c>
      <c r="B23" s="1129">
        <v>50266</v>
      </c>
      <c r="C23" s="1229"/>
      <c r="D23" s="1231"/>
      <c r="E23" s="1230"/>
      <c r="F23" s="267"/>
      <c r="G23" s="267"/>
      <c r="H23" s="267"/>
      <c r="I23" s="267"/>
      <c r="M23" s="1233" t="s">
        <v>1719</v>
      </c>
      <c r="N23" s="1152">
        <v>50266</v>
      </c>
      <c r="O23" s="267" t="b">
        <f t="shared" si="0"/>
        <v>1</v>
      </c>
      <c r="P23" s="267" t="b">
        <f t="shared" si="1"/>
        <v>1</v>
      </c>
      <c r="R23" s="267" t="s">
        <v>1719</v>
      </c>
      <c r="S23" s="267">
        <v>50266</v>
      </c>
      <c r="T23" s="267" t="b">
        <f t="shared" si="2"/>
        <v>1</v>
      </c>
      <c r="U23" s="267" t="b">
        <f t="shared" si="3"/>
        <v>1</v>
      </c>
    </row>
    <row r="24" spans="1:21" ht="15" thickBot="1" x14ac:dyDescent="0.35">
      <c r="A24" s="1130" t="s">
        <v>1720</v>
      </c>
      <c r="B24" s="1129">
        <v>50267</v>
      </c>
      <c r="C24" s="1229"/>
      <c r="D24" s="1231"/>
      <c r="E24" s="1230"/>
      <c r="F24" s="267"/>
      <c r="G24" s="267"/>
      <c r="H24" s="267"/>
      <c r="I24" s="267"/>
      <c r="M24" s="1233" t="s">
        <v>1720</v>
      </c>
      <c r="N24" s="1152">
        <v>50267</v>
      </c>
      <c r="O24" s="267" t="b">
        <f t="shared" si="0"/>
        <v>1</v>
      </c>
      <c r="P24" s="267" t="b">
        <f t="shared" si="1"/>
        <v>1</v>
      </c>
      <c r="R24" s="267" t="s">
        <v>1720</v>
      </c>
      <c r="S24" s="267">
        <v>50267</v>
      </c>
      <c r="T24" s="267" t="b">
        <f t="shared" si="2"/>
        <v>1</v>
      </c>
      <c r="U24" s="267" t="b">
        <f t="shared" si="3"/>
        <v>1</v>
      </c>
    </row>
    <row r="25" spans="1:21" ht="15" thickBot="1" x14ac:dyDescent="0.35">
      <c r="A25" s="1130" t="s">
        <v>1624</v>
      </c>
      <c r="B25" s="1129">
        <v>50268</v>
      </c>
      <c r="C25" s="1229"/>
      <c r="D25" s="1231"/>
      <c r="E25" s="1230"/>
      <c r="F25" s="267"/>
      <c r="G25" s="267"/>
      <c r="H25" s="267"/>
      <c r="I25" s="267"/>
      <c r="M25" s="1233" t="s">
        <v>1624</v>
      </c>
      <c r="N25" s="1152">
        <v>50268</v>
      </c>
      <c r="O25" s="267" t="b">
        <f t="shared" si="0"/>
        <v>1</v>
      </c>
      <c r="P25" s="267" t="b">
        <f t="shared" si="1"/>
        <v>1</v>
      </c>
      <c r="R25" s="267" t="s">
        <v>1624</v>
      </c>
      <c r="S25" s="267">
        <v>50268</v>
      </c>
      <c r="T25" s="267" t="b">
        <f t="shared" si="2"/>
        <v>1</v>
      </c>
      <c r="U25" s="267" t="b">
        <f t="shared" si="3"/>
        <v>1</v>
      </c>
    </row>
    <row r="26" spans="1:21" ht="15" thickBot="1" x14ac:dyDescent="0.35">
      <c r="A26" s="1130" t="s">
        <v>976</v>
      </c>
      <c r="B26" s="1129">
        <v>50269</v>
      </c>
      <c r="C26" s="1229"/>
      <c r="D26" s="1231"/>
      <c r="E26" s="1230"/>
      <c r="F26" s="267"/>
      <c r="G26" s="267"/>
      <c r="H26" s="267"/>
      <c r="I26" s="267"/>
      <c r="M26" s="1233" t="s">
        <v>976</v>
      </c>
      <c r="N26" s="1152">
        <v>50269</v>
      </c>
      <c r="O26" s="267" t="b">
        <f t="shared" si="0"/>
        <v>1</v>
      </c>
      <c r="P26" s="267" t="b">
        <f t="shared" si="1"/>
        <v>1</v>
      </c>
      <c r="R26" s="267" t="s">
        <v>976</v>
      </c>
      <c r="S26" s="267">
        <v>50269</v>
      </c>
      <c r="T26" s="267" t="b">
        <f t="shared" si="2"/>
        <v>1</v>
      </c>
      <c r="U26" s="267" t="b">
        <f t="shared" si="3"/>
        <v>1</v>
      </c>
    </row>
    <row r="27" spans="1:21" ht="15" thickBot="1" x14ac:dyDescent="0.35">
      <c r="A27" s="1130" t="s">
        <v>1721</v>
      </c>
      <c r="B27" s="1129">
        <v>50270</v>
      </c>
      <c r="C27" s="1229"/>
      <c r="D27" s="1231"/>
      <c r="E27" s="1230"/>
      <c r="F27" s="267"/>
      <c r="G27" s="267"/>
      <c r="H27" s="267"/>
      <c r="I27" s="267"/>
      <c r="M27" s="1233" t="s">
        <v>1721</v>
      </c>
      <c r="N27" s="1152">
        <v>50270</v>
      </c>
      <c r="O27" s="267" t="b">
        <f t="shared" si="0"/>
        <v>1</v>
      </c>
      <c r="P27" s="267" t="b">
        <f t="shared" si="1"/>
        <v>1</v>
      </c>
      <c r="R27" s="267" t="s">
        <v>1721</v>
      </c>
      <c r="S27" s="267">
        <v>50270</v>
      </c>
      <c r="T27" s="267" t="b">
        <f t="shared" si="2"/>
        <v>1</v>
      </c>
      <c r="U27" s="267" t="b">
        <f t="shared" si="3"/>
        <v>1</v>
      </c>
    </row>
    <row r="28" spans="1:21" ht="15" thickBot="1" x14ac:dyDescent="0.35">
      <c r="A28" s="1130" t="s">
        <v>1722</v>
      </c>
      <c r="B28" s="1129">
        <v>50271</v>
      </c>
      <c r="C28" s="1229"/>
      <c r="D28" s="1231"/>
      <c r="E28" s="1230"/>
      <c r="F28" s="267"/>
      <c r="G28" s="267"/>
      <c r="H28" s="267"/>
      <c r="I28" s="267"/>
      <c r="M28" s="1233" t="s">
        <v>1722</v>
      </c>
      <c r="N28" s="1152">
        <v>50271</v>
      </c>
      <c r="O28" s="267" t="b">
        <f t="shared" si="0"/>
        <v>1</v>
      </c>
      <c r="P28" s="267" t="b">
        <f t="shared" si="1"/>
        <v>1</v>
      </c>
      <c r="R28" s="267" t="s">
        <v>1722</v>
      </c>
      <c r="S28" s="267">
        <v>50271</v>
      </c>
      <c r="T28" s="267" t="b">
        <f t="shared" si="2"/>
        <v>1</v>
      </c>
      <c r="U28" s="267" t="b">
        <f t="shared" si="3"/>
        <v>1</v>
      </c>
    </row>
    <row r="29" spans="1:21" ht="15" thickBot="1" x14ac:dyDescent="0.35">
      <c r="A29" s="1130" t="s">
        <v>1723</v>
      </c>
      <c r="B29" s="1129">
        <v>50272</v>
      </c>
      <c r="C29" s="1229"/>
      <c r="D29" s="1231"/>
      <c r="E29" s="1230"/>
      <c r="F29" s="267"/>
      <c r="G29" s="267"/>
      <c r="H29" s="267"/>
      <c r="I29" s="267"/>
      <c r="M29" s="1233" t="s">
        <v>1723</v>
      </c>
      <c r="N29" s="1152">
        <v>50272</v>
      </c>
      <c r="O29" s="267" t="b">
        <f t="shared" si="0"/>
        <v>1</v>
      </c>
      <c r="P29" s="267" t="b">
        <f t="shared" si="1"/>
        <v>1</v>
      </c>
      <c r="R29" s="267" t="s">
        <v>1723</v>
      </c>
      <c r="S29" s="267">
        <v>50272</v>
      </c>
      <c r="T29" s="267" t="b">
        <f t="shared" si="2"/>
        <v>1</v>
      </c>
      <c r="U29" s="267" t="b">
        <f t="shared" si="3"/>
        <v>1</v>
      </c>
    </row>
    <row r="30" spans="1:21" ht="15" thickBot="1" x14ac:dyDescent="0.35">
      <c r="A30" s="1130" t="s">
        <v>1724</v>
      </c>
      <c r="B30" s="1129">
        <v>50273</v>
      </c>
      <c r="C30" s="1229"/>
      <c r="D30" s="1231"/>
      <c r="E30" s="1230"/>
      <c r="F30" s="267"/>
      <c r="G30" s="267"/>
      <c r="H30" s="267"/>
      <c r="I30" s="267"/>
      <c r="M30" s="1233" t="s">
        <v>1724</v>
      </c>
      <c r="N30" s="1152">
        <v>50273</v>
      </c>
      <c r="O30" s="267" t="b">
        <f t="shared" si="0"/>
        <v>1</v>
      </c>
      <c r="P30" s="267" t="b">
        <f t="shared" si="1"/>
        <v>1</v>
      </c>
      <c r="R30" s="267" t="s">
        <v>1724</v>
      </c>
      <c r="S30" s="267">
        <v>50273</v>
      </c>
      <c r="T30" s="267" t="b">
        <f t="shared" si="2"/>
        <v>1</v>
      </c>
      <c r="U30" s="267" t="b">
        <f t="shared" si="3"/>
        <v>1</v>
      </c>
    </row>
    <row r="31" spans="1:21" ht="15" thickBot="1" x14ac:dyDescent="0.35">
      <c r="A31" s="1130" t="s">
        <v>1725</v>
      </c>
      <c r="B31" s="1129">
        <v>50274</v>
      </c>
      <c r="C31" s="1229"/>
      <c r="D31" s="1231"/>
      <c r="E31" s="1230"/>
      <c r="F31" s="267"/>
      <c r="G31" s="267"/>
      <c r="H31" s="267"/>
      <c r="I31" s="267"/>
      <c r="M31" s="1233" t="s">
        <v>1725</v>
      </c>
      <c r="N31" s="1152">
        <v>50274</v>
      </c>
      <c r="O31" s="267" t="b">
        <f t="shared" si="0"/>
        <v>1</v>
      </c>
      <c r="P31" s="267" t="b">
        <f t="shared" si="1"/>
        <v>1</v>
      </c>
      <c r="R31" s="267" t="s">
        <v>1725</v>
      </c>
      <c r="S31" s="267">
        <v>50274</v>
      </c>
      <c r="T31" s="267" t="b">
        <f t="shared" si="2"/>
        <v>1</v>
      </c>
      <c r="U31" s="267" t="b">
        <f t="shared" si="3"/>
        <v>1</v>
      </c>
    </row>
    <row r="32" spans="1:21" ht="15" thickBot="1" x14ac:dyDescent="0.35">
      <c r="A32" s="1130" t="s">
        <v>977</v>
      </c>
      <c r="B32" s="1129">
        <v>50480</v>
      </c>
      <c r="C32" s="1229"/>
      <c r="D32" s="1231"/>
      <c r="E32" s="1230"/>
      <c r="F32" s="267"/>
      <c r="G32" s="267"/>
      <c r="H32" s="267"/>
      <c r="I32" s="267"/>
      <c r="M32" s="1233" t="s">
        <v>977</v>
      </c>
      <c r="N32" s="1152">
        <v>50480</v>
      </c>
      <c r="O32" s="267" t="b">
        <f t="shared" si="0"/>
        <v>1</v>
      </c>
      <c r="P32" s="267" t="b">
        <f t="shared" si="1"/>
        <v>1</v>
      </c>
      <c r="R32" s="267" t="s">
        <v>977</v>
      </c>
      <c r="S32" s="267">
        <v>50480</v>
      </c>
      <c r="T32" s="267" t="b">
        <f t="shared" si="2"/>
        <v>1</v>
      </c>
      <c r="U32" s="267" t="b">
        <f t="shared" si="3"/>
        <v>1</v>
      </c>
    </row>
    <row r="33" spans="1:21" ht="15" thickBot="1" x14ac:dyDescent="0.35">
      <c r="A33" s="1130" t="s">
        <v>1726</v>
      </c>
      <c r="B33" s="1129">
        <v>50275</v>
      </c>
      <c r="C33" s="1229"/>
      <c r="D33" s="1231"/>
      <c r="E33" s="1230"/>
      <c r="F33" s="267"/>
      <c r="G33" s="267"/>
      <c r="H33" s="267"/>
      <c r="I33" s="267"/>
      <c r="M33" s="1233" t="s">
        <v>1726</v>
      </c>
      <c r="N33" s="1152">
        <v>50275</v>
      </c>
      <c r="O33" s="267" t="b">
        <f t="shared" si="0"/>
        <v>1</v>
      </c>
      <c r="P33" s="267" t="b">
        <f t="shared" si="1"/>
        <v>1</v>
      </c>
      <c r="R33" s="267" t="s">
        <v>1726</v>
      </c>
      <c r="S33" s="267">
        <v>50275</v>
      </c>
      <c r="T33" s="267" t="b">
        <f t="shared" si="2"/>
        <v>1</v>
      </c>
      <c r="U33" s="267" t="b">
        <f t="shared" si="3"/>
        <v>1</v>
      </c>
    </row>
    <row r="34" spans="1:21" ht="15" thickBot="1" x14ac:dyDescent="0.35">
      <c r="A34" s="1130" t="s">
        <v>1727</v>
      </c>
      <c r="B34" s="1129">
        <v>50277</v>
      </c>
      <c r="C34" s="1229"/>
      <c r="D34" s="1231"/>
      <c r="E34" s="1230"/>
      <c r="F34" s="267"/>
      <c r="G34" s="267"/>
      <c r="H34" s="267"/>
      <c r="I34" s="267"/>
      <c r="M34" s="1233" t="s">
        <v>1727</v>
      </c>
      <c r="N34" s="1152">
        <v>50277</v>
      </c>
      <c r="O34" s="267" t="b">
        <f t="shared" si="0"/>
        <v>1</v>
      </c>
      <c r="P34" s="267" t="b">
        <f t="shared" si="1"/>
        <v>1</v>
      </c>
      <c r="R34" s="267" t="s">
        <v>1727</v>
      </c>
      <c r="S34" s="267">
        <v>50277</v>
      </c>
      <c r="T34" s="267" t="b">
        <f t="shared" si="2"/>
        <v>1</v>
      </c>
      <c r="U34" s="267" t="b">
        <f t="shared" si="3"/>
        <v>1</v>
      </c>
    </row>
    <row r="35" spans="1:21" ht="15" thickBot="1" x14ac:dyDescent="0.35">
      <c r="A35" s="1130" t="s">
        <v>1728</v>
      </c>
      <c r="B35" s="1129">
        <v>50276</v>
      </c>
      <c r="C35" s="1229"/>
      <c r="D35" s="1231"/>
      <c r="E35" s="1230"/>
      <c r="F35" s="267"/>
      <c r="G35" s="267"/>
      <c r="H35" s="267"/>
      <c r="I35" s="267"/>
      <c r="M35" s="1233" t="s">
        <v>1728</v>
      </c>
      <c r="N35" s="1152">
        <v>50276</v>
      </c>
      <c r="O35" s="267" t="b">
        <f t="shared" si="0"/>
        <v>1</v>
      </c>
      <c r="P35" s="267" t="b">
        <f t="shared" si="1"/>
        <v>1</v>
      </c>
      <c r="R35" s="267" t="s">
        <v>1728</v>
      </c>
      <c r="S35" s="267">
        <v>50276</v>
      </c>
      <c r="T35" s="267" t="b">
        <f t="shared" si="2"/>
        <v>1</v>
      </c>
      <c r="U35" s="267" t="b">
        <f t="shared" si="3"/>
        <v>1</v>
      </c>
    </row>
    <row r="36" spans="1:21" ht="15" thickBot="1" x14ac:dyDescent="0.35">
      <c r="A36" s="1130" t="s">
        <v>978</v>
      </c>
      <c r="B36" s="1129">
        <v>50278</v>
      </c>
      <c r="C36" s="1229"/>
      <c r="D36" s="1231"/>
      <c r="E36" s="1230"/>
      <c r="F36" s="267"/>
      <c r="G36" s="267"/>
      <c r="H36" s="267"/>
      <c r="I36" s="267"/>
      <c r="M36" s="1233" t="e">
        <v>#N/A</v>
      </c>
      <c r="N36" s="1152">
        <v>50278</v>
      </c>
      <c r="O36" s="267" t="e">
        <f t="shared" si="0"/>
        <v>#N/A</v>
      </c>
      <c r="P36" s="267" t="b">
        <f t="shared" si="1"/>
        <v>1</v>
      </c>
      <c r="R36" s="267" t="s">
        <v>978</v>
      </c>
      <c r="S36" s="267">
        <v>50278</v>
      </c>
      <c r="T36" s="267" t="e">
        <f t="shared" si="2"/>
        <v>#N/A</v>
      </c>
      <c r="U36" s="267" t="b">
        <f t="shared" si="3"/>
        <v>1</v>
      </c>
    </row>
    <row r="37" spans="1:21" ht="15" thickBot="1" x14ac:dyDescent="0.35">
      <c r="A37" s="1130" t="s">
        <v>1729</v>
      </c>
      <c r="B37" s="1129">
        <v>50279</v>
      </c>
      <c r="C37" s="1229"/>
      <c r="D37" s="1231"/>
      <c r="E37" s="1230"/>
      <c r="F37" s="267"/>
      <c r="G37" s="267"/>
      <c r="H37" s="267"/>
      <c r="I37" s="267"/>
      <c r="M37" s="1233" t="s">
        <v>1729</v>
      </c>
      <c r="N37" s="1152">
        <v>50279</v>
      </c>
      <c r="O37" s="267" t="b">
        <f t="shared" si="0"/>
        <v>1</v>
      </c>
      <c r="P37" s="267" t="b">
        <f t="shared" si="1"/>
        <v>1</v>
      </c>
      <c r="R37" s="267" t="s">
        <v>1729</v>
      </c>
      <c r="S37" s="267">
        <v>50279</v>
      </c>
      <c r="T37" s="267" t="b">
        <f t="shared" si="2"/>
        <v>1</v>
      </c>
      <c r="U37" s="267" t="b">
        <f t="shared" si="3"/>
        <v>1</v>
      </c>
    </row>
    <row r="38" spans="1:21" ht="15" thickBot="1" x14ac:dyDescent="0.35">
      <c r="A38" s="1130" t="s">
        <v>979</v>
      </c>
      <c r="B38" s="1129">
        <v>50280</v>
      </c>
      <c r="C38" s="1229"/>
      <c r="D38" s="1231"/>
      <c r="E38" s="1230"/>
      <c r="F38" s="267"/>
      <c r="G38" s="267"/>
      <c r="H38" s="267"/>
      <c r="I38" s="267"/>
      <c r="M38" s="1233" t="s">
        <v>979</v>
      </c>
      <c r="N38" s="1152">
        <v>50280</v>
      </c>
      <c r="O38" s="267" t="b">
        <f t="shared" si="0"/>
        <v>1</v>
      </c>
      <c r="P38" s="267" t="b">
        <f t="shared" si="1"/>
        <v>1</v>
      </c>
      <c r="R38" s="267" t="s">
        <v>979</v>
      </c>
      <c r="S38" s="267">
        <v>50280</v>
      </c>
      <c r="T38" s="267" t="b">
        <f t="shared" si="2"/>
        <v>1</v>
      </c>
      <c r="U38" s="267" t="b">
        <f t="shared" si="3"/>
        <v>1</v>
      </c>
    </row>
    <row r="39" spans="1:21" ht="15" thickBot="1" x14ac:dyDescent="0.35">
      <c r="A39" s="1130" t="s">
        <v>980</v>
      </c>
      <c r="B39" s="1129">
        <v>50281</v>
      </c>
      <c r="C39" s="1229"/>
      <c r="D39" s="1231"/>
      <c r="E39" s="1230"/>
      <c r="F39" s="267"/>
      <c r="G39" s="267"/>
      <c r="H39" s="267"/>
      <c r="I39" s="267"/>
      <c r="M39" s="1233" t="s">
        <v>980</v>
      </c>
      <c r="N39" s="1152">
        <v>50281</v>
      </c>
      <c r="O39" s="267" t="b">
        <f t="shared" si="0"/>
        <v>1</v>
      </c>
      <c r="P39" s="267" t="b">
        <f t="shared" si="1"/>
        <v>1</v>
      </c>
      <c r="R39" s="267" t="s">
        <v>980</v>
      </c>
      <c r="S39" s="267">
        <v>50281</v>
      </c>
      <c r="T39" s="267" t="b">
        <f t="shared" si="2"/>
        <v>1</v>
      </c>
      <c r="U39" s="267" t="b">
        <f t="shared" si="3"/>
        <v>1</v>
      </c>
    </row>
    <row r="40" spans="1:21" ht="15" thickBot="1" x14ac:dyDescent="0.35">
      <c r="A40" s="1130" t="s">
        <v>981</v>
      </c>
      <c r="B40" s="1129">
        <v>50478</v>
      </c>
      <c r="C40" s="1229"/>
      <c r="D40" s="1231"/>
      <c r="E40" s="1230"/>
      <c r="F40" s="267"/>
      <c r="G40" s="267"/>
      <c r="H40" s="267"/>
      <c r="I40" s="267"/>
      <c r="M40" s="1233" t="s">
        <v>981</v>
      </c>
      <c r="N40" s="1152">
        <v>50478</v>
      </c>
      <c r="O40" s="267" t="b">
        <f t="shared" si="0"/>
        <v>1</v>
      </c>
      <c r="P40" s="267" t="b">
        <f t="shared" si="1"/>
        <v>1</v>
      </c>
      <c r="R40" s="267" t="s">
        <v>981</v>
      </c>
      <c r="S40" s="267">
        <v>50478</v>
      </c>
      <c r="T40" s="267" t="b">
        <f t="shared" si="2"/>
        <v>1</v>
      </c>
      <c r="U40" s="267" t="b">
        <f t="shared" si="3"/>
        <v>1</v>
      </c>
    </row>
    <row r="41" spans="1:21" ht="15" thickBot="1" x14ac:dyDescent="0.35">
      <c r="A41" s="1130" t="s">
        <v>1730</v>
      </c>
      <c r="B41" s="1129">
        <v>50524</v>
      </c>
      <c r="C41" s="1229"/>
      <c r="D41" s="1231"/>
      <c r="E41" s="1230"/>
      <c r="F41" s="267"/>
      <c r="G41" s="267"/>
      <c r="H41" s="267"/>
      <c r="I41" s="267"/>
      <c r="M41" s="1233" t="s">
        <v>1730</v>
      </c>
      <c r="N41" s="1152">
        <v>50524</v>
      </c>
      <c r="O41" s="267" t="b">
        <f t="shared" si="0"/>
        <v>1</v>
      </c>
      <c r="P41" s="267" t="b">
        <f t="shared" si="1"/>
        <v>1</v>
      </c>
      <c r="R41" s="267" t="s">
        <v>1730</v>
      </c>
      <c r="S41" s="267">
        <v>50524</v>
      </c>
      <c r="T41" s="267" t="b">
        <f t="shared" si="2"/>
        <v>1</v>
      </c>
      <c r="U41" s="267" t="b">
        <f t="shared" si="3"/>
        <v>1</v>
      </c>
    </row>
    <row r="42" spans="1:21" ht="15" thickBot="1" x14ac:dyDescent="0.35">
      <c r="A42" s="1130" t="s">
        <v>1731</v>
      </c>
      <c r="B42" s="1129">
        <v>50282</v>
      </c>
      <c r="C42" s="1229"/>
      <c r="D42" s="1231"/>
      <c r="E42" s="1230"/>
      <c r="F42" s="267"/>
      <c r="G42" s="267"/>
      <c r="H42" s="267"/>
      <c r="I42" s="267"/>
      <c r="M42" s="1233" t="s">
        <v>1731</v>
      </c>
      <c r="N42" s="1152">
        <v>50282</v>
      </c>
      <c r="O42" s="267" t="b">
        <f t="shared" si="0"/>
        <v>1</v>
      </c>
      <c r="P42" s="267" t="b">
        <f t="shared" si="1"/>
        <v>1</v>
      </c>
      <c r="R42" s="267" t="s">
        <v>1731</v>
      </c>
      <c r="S42" s="267">
        <v>50282</v>
      </c>
      <c r="T42" s="267" t="b">
        <f t="shared" si="2"/>
        <v>1</v>
      </c>
      <c r="U42" s="267" t="b">
        <f t="shared" si="3"/>
        <v>1</v>
      </c>
    </row>
    <row r="43" spans="1:21" ht="15" thickBot="1" x14ac:dyDescent="0.35">
      <c r="A43" s="1130" t="s">
        <v>1732</v>
      </c>
      <c r="B43" s="1129">
        <v>50525</v>
      </c>
      <c r="C43" s="1229"/>
      <c r="D43" s="1231"/>
      <c r="E43" s="1230"/>
      <c r="F43" s="267"/>
      <c r="G43" s="267"/>
      <c r="H43" s="267"/>
      <c r="I43" s="267"/>
      <c r="M43" s="1233" t="s">
        <v>1732</v>
      </c>
      <c r="N43" s="1152">
        <v>50525</v>
      </c>
      <c r="O43" s="267" t="b">
        <f t="shared" si="0"/>
        <v>1</v>
      </c>
      <c r="P43" s="267" t="b">
        <f t="shared" si="1"/>
        <v>1</v>
      </c>
      <c r="R43" s="267" t="s">
        <v>1732</v>
      </c>
      <c r="S43" s="267">
        <v>50525</v>
      </c>
      <c r="T43" s="267" t="b">
        <f t="shared" si="2"/>
        <v>1</v>
      </c>
      <c r="U43" s="267" t="b">
        <f t="shared" si="3"/>
        <v>1</v>
      </c>
    </row>
    <row r="44" spans="1:21" ht="15" thickBot="1" x14ac:dyDescent="0.35">
      <c r="A44" s="1130" t="s">
        <v>983</v>
      </c>
      <c r="B44" s="1129">
        <v>50283</v>
      </c>
      <c r="C44" s="1229"/>
      <c r="D44" s="1231"/>
      <c r="E44" s="1230"/>
      <c r="F44" s="267"/>
      <c r="G44" s="267"/>
      <c r="H44" s="267"/>
      <c r="I44" s="267"/>
      <c r="M44" s="1233" t="s">
        <v>983</v>
      </c>
      <c r="N44" s="1152">
        <v>50283</v>
      </c>
      <c r="O44" s="267" t="b">
        <f t="shared" si="0"/>
        <v>1</v>
      </c>
      <c r="P44" s="267" t="b">
        <f t="shared" si="1"/>
        <v>1</v>
      </c>
      <c r="R44" s="267" t="s">
        <v>983</v>
      </c>
      <c r="S44" s="267">
        <v>50283</v>
      </c>
      <c r="T44" s="267" t="b">
        <f t="shared" si="2"/>
        <v>1</v>
      </c>
      <c r="U44" s="267" t="b">
        <f t="shared" si="3"/>
        <v>1</v>
      </c>
    </row>
    <row r="45" spans="1:21" ht="15" thickBot="1" x14ac:dyDescent="0.35">
      <c r="A45" s="1130" t="s">
        <v>984</v>
      </c>
      <c r="B45" s="1129">
        <v>50285</v>
      </c>
      <c r="C45" s="1229"/>
      <c r="D45" s="1231"/>
      <c r="E45" s="1230"/>
      <c r="F45" s="267"/>
      <c r="G45" s="267"/>
      <c r="H45" s="267"/>
      <c r="I45" s="267"/>
      <c r="M45" s="1233" t="s">
        <v>984</v>
      </c>
      <c r="N45" s="1152">
        <v>50285</v>
      </c>
      <c r="O45" s="267" t="b">
        <f t="shared" si="0"/>
        <v>1</v>
      </c>
      <c r="P45" s="267" t="b">
        <f t="shared" si="1"/>
        <v>1</v>
      </c>
      <c r="R45" s="267" t="s">
        <v>984</v>
      </c>
      <c r="S45" s="267">
        <v>50285</v>
      </c>
      <c r="T45" s="267" t="b">
        <f t="shared" si="2"/>
        <v>1</v>
      </c>
      <c r="U45" s="267" t="b">
        <f t="shared" si="3"/>
        <v>1</v>
      </c>
    </row>
    <row r="46" spans="1:21" ht="15" thickBot="1" x14ac:dyDescent="0.35">
      <c r="A46" s="1130" t="s">
        <v>1733</v>
      </c>
      <c r="B46" s="1129">
        <v>50553</v>
      </c>
      <c r="C46" s="1229"/>
      <c r="D46" s="1231"/>
      <c r="E46" s="1230"/>
      <c r="F46" s="267"/>
      <c r="G46" s="267"/>
      <c r="H46" s="267"/>
      <c r="I46" s="267"/>
      <c r="M46" s="1233" t="s">
        <v>1733</v>
      </c>
      <c r="N46" s="1152">
        <v>50553</v>
      </c>
      <c r="O46" s="267" t="b">
        <f t="shared" si="0"/>
        <v>1</v>
      </c>
      <c r="P46" s="267" t="b">
        <f t="shared" si="1"/>
        <v>1</v>
      </c>
      <c r="R46" s="267" t="s">
        <v>1733</v>
      </c>
      <c r="S46" s="267">
        <v>50553</v>
      </c>
      <c r="T46" s="267" t="b">
        <f t="shared" si="2"/>
        <v>1</v>
      </c>
      <c r="U46" s="267" t="b">
        <f t="shared" si="3"/>
        <v>1</v>
      </c>
    </row>
    <row r="47" spans="1:21" ht="15" thickBot="1" x14ac:dyDescent="0.35">
      <c r="A47" s="1130" t="s">
        <v>1734</v>
      </c>
      <c r="B47" s="1129">
        <v>50548</v>
      </c>
      <c r="C47" s="1229"/>
      <c r="D47" s="1231"/>
      <c r="E47" s="1230"/>
      <c r="F47" s="267"/>
      <c r="G47" s="267"/>
      <c r="H47" s="267"/>
      <c r="I47" s="267"/>
      <c r="M47" s="1233" t="s">
        <v>1734</v>
      </c>
      <c r="N47" s="1152">
        <v>50548</v>
      </c>
      <c r="O47" s="267" t="b">
        <f t="shared" si="0"/>
        <v>1</v>
      </c>
      <c r="P47" s="267" t="b">
        <f t="shared" si="1"/>
        <v>1</v>
      </c>
      <c r="R47" s="267" t="s">
        <v>1734</v>
      </c>
      <c r="S47" s="267">
        <v>50548</v>
      </c>
      <c r="T47" s="267" t="b">
        <f t="shared" si="2"/>
        <v>1</v>
      </c>
      <c r="U47" s="267" t="b">
        <f t="shared" si="3"/>
        <v>1</v>
      </c>
    </row>
    <row r="48" spans="1:21" ht="15" thickBot="1" x14ac:dyDescent="0.35">
      <c r="A48" s="1130" t="s">
        <v>1735</v>
      </c>
      <c r="B48" s="1129">
        <v>50284</v>
      </c>
      <c r="C48" s="1229"/>
      <c r="D48" s="1231"/>
      <c r="E48" s="1230"/>
      <c r="F48" s="267"/>
      <c r="G48" s="267"/>
      <c r="H48" s="267"/>
      <c r="I48" s="267"/>
      <c r="M48" s="1233" t="s">
        <v>1735</v>
      </c>
      <c r="N48" s="1152">
        <v>50284</v>
      </c>
      <c r="O48" s="267" t="b">
        <f t="shared" si="0"/>
        <v>1</v>
      </c>
      <c r="P48" s="267" t="b">
        <f t="shared" si="1"/>
        <v>1</v>
      </c>
      <c r="R48" s="267" t="s">
        <v>1735</v>
      </c>
      <c r="S48" s="267">
        <v>50284</v>
      </c>
      <c r="T48" s="267" t="b">
        <f t="shared" si="2"/>
        <v>1</v>
      </c>
      <c r="U48" s="267" t="b">
        <f t="shared" si="3"/>
        <v>1</v>
      </c>
    </row>
    <row r="49" spans="1:22" ht="15" thickBot="1" x14ac:dyDescent="0.35">
      <c r="A49" s="1130" t="s">
        <v>1736</v>
      </c>
      <c r="B49" s="1129">
        <v>50286</v>
      </c>
      <c r="C49" s="1229"/>
      <c r="D49" s="1231"/>
      <c r="E49" s="1230"/>
      <c r="F49" s="267"/>
      <c r="G49" s="267"/>
      <c r="H49" s="267"/>
      <c r="I49" s="267"/>
      <c r="M49" s="1233" t="s">
        <v>1736</v>
      </c>
      <c r="N49" s="1152">
        <v>50286</v>
      </c>
      <c r="O49" s="267" t="b">
        <f t="shared" si="0"/>
        <v>1</v>
      </c>
      <c r="P49" s="267" t="b">
        <f t="shared" si="1"/>
        <v>1</v>
      </c>
      <c r="R49" s="267" t="s">
        <v>1736</v>
      </c>
      <c r="S49" s="267">
        <v>50286</v>
      </c>
      <c r="T49" s="267" t="b">
        <f t="shared" si="2"/>
        <v>1</v>
      </c>
      <c r="U49" s="267" t="b">
        <f t="shared" si="3"/>
        <v>1</v>
      </c>
    </row>
    <row r="50" spans="1:22" ht="15" thickBot="1" x14ac:dyDescent="0.35">
      <c r="A50" s="1130" t="s">
        <v>1737</v>
      </c>
      <c r="B50" s="1129">
        <v>50287</v>
      </c>
      <c r="C50" s="1229"/>
      <c r="D50" s="1231"/>
      <c r="E50" s="1230"/>
      <c r="F50" s="267"/>
      <c r="G50" s="267"/>
      <c r="H50" s="267"/>
      <c r="I50" s="267"/>
      <c r="M50" s="1233" t="s">
        <v>1737</v>
      </c>
      <c r="N50" s="1152">
        <v>50287</v>
      </c>
      <c r="O50" s="267" t="b">
        <f t="shared" si="0"/>
        <v>1</v>
      </c>
      <c r="P50" s="267" t="b">
        <f t="shared" si="1"/>
        <v>1</v>
      </c>
      <c r="R50" s="267" t="s">
        <v>1737</v>
      </c>
      <c r="S50" s="267">
        <v>50287</v>
      </c>
      <c r="T50" s="267" t="b">
        <f t="shared" si="2"/>
        <v>1</v>
      </c>
      <c r="U50" s="267" t="b">
        <f t="shared" si="3"/>
        <v>1</v>
      </c>
    </row>
    <row r="51" spans="1:22" ht="15" thickBot="1" x14ac:dyDescent="0.35">
      <c r="A51" s="1130" t="s">
        <v>1738</v>
      </c>
      <c r="B51" s="1129">
        <v>50288</v>
      </c>
      <c r="C51" s="1229"/>
      <c r="D51" s="1231"/>
      <c r="E51" s="1230"/>
      <c r="F51" s="267"/>
      <c r="G51" s="267"/>
      <c r="H51" s="267"/>
      <c r="I51" s="267"/>
      <c r="M51" s="1233" t="s">
        <v>1738</v>
      </c>
      <c r="N51" s="1152">
        <v>50288</v>
      </c>
      <c r="O51" s="267" t="b">
        <f t="shared" si="0"/>
        <v>1</v>
      </c>
      <c r="P51" s="267" t="b">
        <f t="shared" si="1"/>
        <v>1</v>
      </c>
      <c r="R51" s="267" t="s">
        <v>1738</v>
      </c>
      <c r="S51" s="267">
        <v>50288</v>
      </c>
      <c r="T51" s="267" t="b">
        <f t="shared" si="2"/>
        <v>1</v>
      </c>
      <c r="U51" s="267" t="b">
        <f t="shared" si="3"/>
        <v>1</v>
      </c>
    </row>
    <row r="52" spans="1:22" ht="15" thickBot="1" x14ac:dyDescent="0.35">
      <c r="A52" s="1130" t="s">
        <v>1739</v>
      </c>
      <c r="B52" s="1129">
        <v>50290</v>
      </c>
      <c r="C52" s="1229"/>
      <c r="D52" s="1231"/>
      <c r="E52" s="1230"/>
      <c r="F52" s="267"/>
      <c r="G52" s="267"/>
      <c r="H52" s="267"/>
      <c r="I52" s="267"/>
      <c r="M52" s="1233" t="s">
        <v>1739</v>
      </c>
      <c r="N52" s="1152">
        <v>50290</v>
      </c>
      <c r="O52" s="267" t="b">
        <f t="shared" si="0"/>
        <v>1</v>
      </c>
      <c r="P52" s="267" t="b">
        <f t="shared" si="1"/>
        <v>1</v>
      </c>
      <c r="R52" s="267" t="s">
        <v>1739</v>
      </c>
      <c r="S52" s="267">
        <v>50290</v>
      </c>
      <c r="T52" s="267" t="b">
        <f t="shared" si="2"/>
        <v>1</v>
      </c>
      <c r="U52" s="267" t="b">
        <f t="shared" si="3"/>
        <v>1</v>
      </c>
    </row>
    <row r="53" spans="1:22" ht="15" thickBot="1" x14ac:dyDescent="0.35">
      <c r="A53" s="1130" t="s">
        <v>1740</v>
      </c>
      <c r="B53" s="1129">
        <v>50564</v>
      </c>
      <c r="C53" s="1229"/>
      <c r="D53" s="1231"/>
      <c r="E53" s="1230"/>
      <c r="F53" s="267"/>
      <c r="G53" s="267"/>
      <c r="H53" s="267"/>
      <c r="I53" s="267"/>
      <c r="M53" s="1233" t="s">
        <v>1740</v>
      </c>
      <c r="N53" s="1152">
        <v>50564</v>
      </c>
      <c r="O53" s="267" t="b">
        <f t="shared" si="0"/>
        <v>1</v>
      </c>
      <c r="P53" s="267" t="b">
        <f t="shared" si="1"/>
        <v>1</v>
      </c>
      <c r="R53" s="267" t="s">
        <v>1740</v>
      </c>
      <c r="S53" s="267">
        <v>50564</v>
      </c>
      <c r="T53" s="267" t="b">
        <f t="shared" si="2"/>
        <v>1</v>
      </c>
      <c r="U53" s="267" t="b">
        <f t="shared" si="3"/>
        <v>1</v>
      </c>
    </row>
    <row r="54" spans="1:22" ht="15" thickBot="1" x14ac:dyDescent="0.35">
      <c r="A54" s="1130" t="s">
        <v>1741</v>
      </c>
      <c r="B54" s="1129">
        <v>50289</v>
      </c>
      <c r="C54" s="1229"/>
      <c r="D54" s="1231"/>
      <c r="E54" s="1230"/>
      <c r="F54" s="267"/>
      <c r="G54" s="267"/>
      <c r="H54" s="267"/>
      <c r="I54" s="267"/>
      <c r="M54" s="1233" t="s">
        <v>1741</v>
      </c>
      <c r="N54" s="1152">
        <v>50289</v>
      </c>
      <c r="O54" s="267" t="b">
        <f t="shared" si="0"/>
        <v>1</v>
      </c>
      <c r="P54" s="267" t="b">
        <f t="shared" si="1"/>
        <v>1</v>
      </c>
      <c r="R54" s="267" t="s">
        <v>1741</v>
      </c>
      <c r="S54" s="267">
        <v>50289</v>
      </c>
      <c r="T54" s="267" t="b">
        <f t="shared" si="2"/>
        <v>1</v>
      </c>
      <c r="U54" s="267" t="b">
        <f t="shared" si="3"/>
        <v>1</v>
      </c>
    </row>
    <row r="55" spans="1:22" ht="15" thickBot="1" x14ac:dyDescent="0.35">
      <c r="A55" s="1130" t="s">
        <v>1742</v>
      </c>
      <c r="B55" s="1129">
        <v>50291</v>
      </c>
      <c r="C55" s="1229"/>
      <c r="D55" s="1231"/>
      <c r="E55" s="1230"/>
      <c r="F55" s="267"/>
      <c r="G55" s="267"/>
      <c r="H55" s="267"/>
      <c r="I55" s="267"/>
      <c r="M55" s="1233" t="s">
        <v>1742</v>
      </c>
      <c r="N55" s="1152">
        <v>50291</v>
      </c>
      <c r="O55" s="267" t="b">
        <f t="shared" si="0"/>
        <v>1</v>
      </c>
      <c r="P55" s="267" t="b">
        <f t="shared" si="1"/>
        <v>1</v>
      </c>
      <c r="R55" s="267" t="s">
        <v>1742</v>
      </c>
      <c r="S55" s="267">
        <v>50291</v>
      </c>
      <c r="T55" s="267" t="b">
        <f t="shared" si="2"/>
        <v>1</v>
      </c>
      <c r="U55" s="267" t="b">
        <f t="shared" si="3"/>
        <v>1</v>
      </c>
    </row>
    <row r="56" spans="1:22" ht="15" thickBot="1" x14ac:dyDescent="0.35">
      <c r="A56" s="1130" t="s">
        <v>1743</v>
      </c>
      <c r="B56" s="1129">
        <v>50292</v>
      </c>
      <c r="C56" s="1229"/>
      <c r="D56" s="1231"/>
      <c r="E56" s="1230"/>
      <c r="F56" s="267"/>
      <c r="G56" s="267"/>
      <c r="H56" s="267"/>
      <c r="I56" s="267"/>
      <c r="M56" s="1233" t="s">
        <v>1743</v>
      </c>
      <c r="N56" s="1152">
        <v>50292</v>
      </c>
      <c r="O56" s="267" t="b">
        <f t="shared" si="0"/>
        <v>1</v>
      </c>
      <c r="P56" s="267" t="b">
        <f t="shared" si="1"/>
        <v>1</v>
      </c>
      <c r="R56" s="267" t="s">
        <v>1743</v>
      </c>
      <c r="S56" s="267">
        <v>50292</v>
      </c>
      <c r="T56" s="267" t="b">
        <f t="shared" si="2"/>
        <v>1</v>
      </c>
      <c r="U56" s="267" t="b">
        <f t="shared" si="3"/>
        <v>1</v>
      </c>
    </row>
    <row r="57" spans="1:22" ht="15" thickBot="1" x14ac:dyDescent="0.35">
      <c r="A57" s="1130" t="s">
        <v>1744</v>
      </c>
      <c r="B57" s="1129">
        <v>50293</v>
      </c>
      <c r="C57" s="1229"/>
      <c r="D57" s="1231"/>
      <c r="E57" s="1230"/>
      <c r="F57" s="267"/>
      <c r="G57" s="267"/>
      <c r="H57" s="267"/>
      <c r="I57" s="267"/>
      <c r="M57" s="1233" t="s">
        <v>1744</v>
      </c>
      <c r="N57" s="1152">
        <v>50293</v>
      </c>
      <c r="O57" s="267" t="b">
        <f t="shared" si="0"/>
        <v>1</v>
      </c>
      <c r="P57" s="267" t="b">
        <f t="shared" si="1"/>
        <v>1</v>
      </c>
      <c r="R57" s="267" t="s">
        <v>1744</v>
      </c>
      <c r="S57" s="267">
        <v>50293</v>
      </c>
      <c r="T57" s="267" t="b">
        <f t="shared" si="2"/>
        <v>1</v>
      </c>
      <c r="U57" s="267" t="b">
        <f t="shared" si="3"/>
        <v>1</v>
      </c>
    </row>
    <row r="58" spans="1:22" ht="15" thickBot="1" x14ac:dyDescent="0.35">
      <c r="A58" s="1130" t="s">
        <v>1745</v>
      </c>
      <c r="B58" s="1129">
        <v>50463</v>
      </c>
      <c r="C58" s="1229"/>
      <c r="D58" s="1231"/>
      <c r="E58" s="1230"/>
      <c r="F58" s="267"/>
      <c r="G58" s="267"/>
      <c r="H58" s="267"/>
      <c r="I58" s="267"/>
      <c r="M58" s="1233" t="s">
        <v>1745</v>
      </c>
      <c r="N58" s="1152">
        <v>50463</v>
      </c>
      <c r="O58" s="267" t="b">
        <f t="shared" si="0"/>
        <v>1</v>
      </c>
      <c r="P58" s="267" t="b">
        <f t="shared" si="1"/>
        <v>1</v>
      </c>
      <c r="R58" s="267" t="s">
        <v>1745</v>
      </c>
      <c r="S58" s="267">
        <v>50463</v>
      </c>
      <c r="T58" s="267" t="b">
        <f t="shared" si="2"/>
        <v>1</v>
      </c>
      <c r="U58" s="267" t="b">
        <f t="shared" si="3"/>
        <v>1</v>
      </c>
    </row>
    <row r="59" spans="1:22" ht="15" thickBot="1" x14ac:dyDescent="0.35">
      <c r="A59" s="1130" t="s">
        <v>1746</v>
      </c>
      <c r="B59" s="1129">
        <v>50294</v>
      </c>
      <c r="C59" s="1229"/>
      <c r="D59" s="1231"/>
      <c r="E59" s="1230"/>
      <c r="F59" s="267"/>
      <c r="G59" s="267"/>
      <c r="H59" s="267"/>
      <c r="I59" s="267"/>
      <c r="M59" s="1233" t="s">
        <v>1746</v>
      </c>
      <c r="N59" s="1152">
        <v>50294</v>
      </c>
      <c r="O59" s="267" t="b">
        <f t="shared" si="0"/>
        <v>1</v>
      </c>
      <c r="P59" s="267" t="b">
        <f t="shared" si="1"/>
        <v>1</v>
      </c>
      <c r="R59" s="267" t="s">
        <v>1746</v>
      </c>
      <c r="S59" s="267">
        <v>50294</v>
      </c>
      <c r="T59" s="267" t="b">
        <f t="shared" si="2"/>
        <v>1</v>
      </c>
      <c r="U59" s="267" t="b">
        <f t="shared" si="3"/>
        <v>1</v>
      </c>
    </row>
    <row r="60" spans="1:22" ht="15" thickBot="1" x14ac:dyDescent="0.35">
      <c r="A60" s="1130" t="s">
        <v>1747</v>
      </c>
      <c r="B60" s="1129">
        <v>50538</v>
      </c>
      <c r="C60" s="1229"/>
      <c r="D60" s="1231"/>
      <c r="E60" s="1230"/>
      <c r="F60" s="267"/>
      <c r="G60" s="267"/>
      <c r="H60" s="267"/>
      <c r="I60" s="267"/>
      <c r="M60" s="1233" t="s">
        <v>1747</v>
      </c>
      <c r="N60" s="1152">
        <v>50538</v>
      </c>
      <c r="O60" s="267" t="b">
        <f t="shared" si="0"/>
        <v>1</v>
      </c>
      <c r="P60" s="267" t="b">
        <f t="shared" si="1"/>
        <v>1</v>
      </c>
      <c r="R60" s="267" t="s">
        <v>1747</v>
      </c>
      <c r="S60" s="267">
        <v>50538</v>
      </c>
      <c r="T60" s="267" t="b">
        <f t="shared" si="2"/>
        <v>1</v>
      </c>
      <c r="U60" s="267" t="b">
        <f t="shared" si="3"/>
        <v>1</v>
      </c>
    </row>
    <row r="61" spans="1:22" ht="15" thickBot="1" x14ac:dyDescent="0.35">
      <c r="A61" s="1130" t="s">
        <v>1748</v>
      </c>
      <c r="B61" s="1129">
        <v>50295</v>
      </c>
      <c r="C61" s="1229"/>
      <c r="D61" s="1231"/>
      <c r="E61" s="1230"/>
      <c r="F61" s="267"/>
      <c r="G61" s="267"/>
      <c r="H61" s="267"/>
      <c r="I61" s="267"/>
      <c r="M61" s="1233" t="s">
        <v>1748</v>
      </c>
      <c r="N61" s="1152">
        <v>50295</v>
      </c>
      <c r="O61" s="267" t="b">
        <f t="shared" si="0"/>
        <v>1</v>
      </c>
      <c r="P61" s="267" t="b">
        <f t="shared" si="1"/>
        <v>1</v>
      </c>
      <c r="R61" s="267" t="s">
        <v>1748</v>
      </c>
      <c r="S61" s="267">
        <v>50295</v>
      </c>
      <c r="T61" s="267" t="b">
        <f t="shared" si="2"/>
        <v>1</v>
      </c>
      <c r="U61" s="267" t="b">
        <f t="shared" si="3"/>
        <v>1</v>
      </c>
    </row>
    <row r="62" spans="1:22" ht="15" thickBot="1" x14ac:dyDescent="0.35">
      <c r="A62" s="1130" t="s">
        <v>987</v>
      </c>
      <c r="B62" s="1129">
        <v>50296</v>
      </c>
      <c r="C62" s="1229"/>
      <c r="D62" s="1231"/>
      <c r="E62" s="1230"/>
      <c r="F62" s="267"/>
      <c r="G62" s="267"/>
      <c r="H62" s="267"/>
      <c r="I62" s="267"/>
      <c r="M62" s="1233" t="e">
        <v>#N/A</v>
      </c>
      <c r="N62" s="1152">
        <v>0</v>
      </c>
      <c r="O62" s="267" t="e">
        <f t="shared" si="0"/>
        <v>#N/A</v>
      </c>
      <c r="P62" s="267" t="b">
        <f t="shared" si="1"/>
        <v>0</v>
      </c>
      <c r="R62" s="267" t="s">
        <v>987</v>
      </c>
      <c r="S62" s="267">
        <v>50296</v>
      </c>
      <c r="T62" s="267" t="e">
        <f t="shared" si="2"/>
        <v>#N/A</v>
      </c>
      <c r="U62" s="267" t="b">
        <f t="shared" si="3"/>
        <v>0</v>
      </c>
      <c r="V62" s="734" t="s">
        <v>1801</v>
      </c>
    </row>
    <row r="63" spans="1:22" ht="15" thickBot="1" x14ac:dyDescent="0.35">
      <c r="A63" s="1130" t="s">
        <v>988</v>
      </c>
      <c r="B63" s="1129">
        <v>50297</v>
      </c>
      <c r="C63" s="1229"/>
      <c r="D63" s="1231"/>
      <c r="E63" s="1230"/>
      <c r="F63" s="267"/>
      <c r="G63" s="267"/>
      <c r="H63" s="267"/>
      <c r="I63" s="267"/>
      <c r="M63" s="1233" t="s">
        <v>988</v>
      </c>
      <c r="N63" s="1152">
        <v>50297</v>
      </c>
      <c r="O63" s="267" t="b">
        <f t="shared" si="0"/>
        <v>1</v>
      </c>
      <c r="P63" s="267" t="b">
        <f t="shared" si="1"/>
        <v>1</v>
      </c>
      <c r="R63" s="267" t="s">
        <v>988</v>
      </c>
      <c r="S63" s="267">
        <v>50297</v>
      </c>
      <c r="T63" s="267" t="b">
        <f t="shared" si="2"/>
        <v>1</v>
      </c>
      <c r="U63" s="267" t="b">
        <f t="shared" si="3"/>
        <v>1</v>
      </c>
    </row>
    <row r="64" spans="1:22" ht="15" thickBot="1" x14ac:dyDescent="0.35">
      <c r="A64" s="1130" t="s">
        <v>1749</v>
      </c>
      <c r="B64" s="1129">
        <v>50449</v>
      </c>
      <c r="C64" s="1229"/>
      <c r="D64" s="1231"/>
      <c r="E64" s="1230"/>
      <c r="F64" s="267"/>
      <c r="G64" s="267"/>
      <c r="H64" s="267"/>
      <c r="I64" s="267"/>
      <c r="M64" s="1233" t="s">
        <v>1749</v>
      </c>
      <c r="N64" s="1152">
        <v>50449</v>
      </c>
      <c r="O64" s="267" t="b">
        <f t="shared" si="0"/>
        <v>1</v>
      </c>
      <c r="P64" s="267" t="b">
        <f t="shared" si="1"/>
        <v>1</v>
      </c>
      <c r="R64" s="267" t="s">
        <v>1749</v>
      </c>
      <c r="S64" s="267">
        <v>50449</v>
      </c>
      <c r="T64" s="267" t="b">
        <f t="shared" si="2"/>
        <v>1</v>
      </c>
      <c r="U64" s="267" t="b">
        <f t="shared" si="3"/>
        <v>1</v>
      </c>
    </row>
    <row r="65" spans="1:21" ht="15" thickBot="1" x14ac:dyDescent="0.35">
      <c r="A65" s="1130" t="s">
        <v>1750</v>
      </c>
      <c r="B65" s="1129">
        <v>50300</v>
      </c>
      <c r="C65" s="1229"/>
      <c r="D65" s="1231"/>
      <c r="E65" s="1230"/>
      <c r="F65" s="267"/>
      <c r="G65" s="267"/>
      <c r="H65" s="267"/>
      <c r="I65" s="267"/>
      <c r="M65" s="1233" t="s">
        <v>1750</v>
      </c>
      <c r="N65" s="1152">
        <v>50300</v>
      </c>
      <c r="O65" s="267" t="b">
        <f t="shared" si="0"/>
        <v>1</v>
      </c>
      <c r="P65" s="267" t="b">
        <f t="shared" si="1"/>
        <v>1</v>
      </c>
      <c r="R65" s="267" t="s">
        <v>1750</v>
      </c>
      <c r="S65" s="267">
        <v>50300</v>
      </c>
      <c r="T65" s="267" t="b">
        <f t="shared" si="2"/>
        <v>1</v>
      </c>
      <c r="U65" s="267" t="b">
        <f t="shared" si="3"/>
        <v>1</v>
      </c>
    </row>
    <row r="66" spans="1:21" ht="15" thickBot="1" x14ac:dyDescent="0.35">
      <c r="A66" s="1130" t="s">
        <v>1751</v>
      </c>
      <c r="B66" s="1129">
        <v>50298</v>
      </c>
      <c r="C66" s="1229"/>
      <c r="D66" s="1231"/>
      <c r="E66" s="1230"/>
      <c r="F66" s="267"/>
      <c r="G66" s="267"/>
      <c r="H66" s="267"/>
      <c r="I66" s="267"/>
      <c r="M66" s="1233" t="s">
        <v>1751</v>
      </c>
      <c r="N66" s="1152">
        <v>50298</v>
      </c>
      <c r="O66" s="267" t="b">
        <f t="shared" si="0"/>
        <v>1</v>
      </c>
      <c r="P66" s="267" t="b">
        <f t="shared" si="1"/>
        <v>1</v>
      </c>
      <c r="R66" s="267" t="s">
        <v>1751</v>
      </c>
      <c r="S66" s="267">
        <v>50298</v>
      </c>
      <c r="T66" s="267" t="b">
        <f t="shared" si="2"/>
        <v>1</v>
      </c>
      <c r="U66" s="267" t="b">
        <f t="shared" si="3"/>
        <v>1</v>
      </c>
    </row>
    <row r="67" spans="1:21" ht="15" thickBot="1" x14ac:dyDescent="0.35">
      <c r="A67" s="1130" t="s">
        <v>1752</v>
      </c>
      <c r="B67" s="1129">
        <v>50299</v>
      </c>
      <c r="C67" s="1229"/>
      <c r="D67" s="1231"/>
      <c r="E67" s="1230"/>
      <c r="F67" s="267"/>
      <c r="G67" s="267"/>
      <c r="H67" s="267"/>
      <c r="I67" s="267"/>
      <c r="M67" s="1233" t="s">
        <v>1752</v>
      </c>
      <c r="N67" s="1152">
        <v>50299</v>
      </c>
      <c r="O67" s="267" t="b">
        <f t="shared" ref="O67:O80" si="4">EXACT(A67,M67)</f>
        <v>1</v>
      </c>
      <c r="P67" s="267" t="b">
        <f t="shared" ref="P67:P80" si="5">EXACT(B67,N67)</f>
        <v>1</v>
      </c>
      <c r="R67" s="267" t="s">
        <v>1752</v>
      </c>
      <c r="S67" s="267">
        <v>50299</v>
      </c>
      <c r="T67" s="267" t="b">
        <f t="shared" ref="T67:T80" si="6">EXACT(M67,R67)</f>
        <v>1</v>
      </c>
      <c r="U67" s="267" t="b">
        <f t="shared" ref="U67:U80" si="7">EXACT(N67,S67)</f>
        <v>1</v>
      </c>
    </row>
    <row r="68" spans="1:21" ht="15" thickBot="1" x14ac:dyDescent="0.35">
      <c r="A68" s="1130" t="s">
        <v>1753</v>
      </c>
      <c r="B68" s="1129">
        <v>50301</v>
      </c>
      <c r="C68" s="1229"/>
      <c r="D68" s="1231"/>
      <c r="E68" s="1230"/>
      <c r="F68" s="267"/>
      <c r="G68" s="267"/>
      <c r="H68" s="267"/>
      <c r="I68" s="267"/>
      <c r="M68" s="1233" t="s">
        <v>1753</v>
      </c>
      <c r="N68" s="1152">
        <v>50301</v>
      </c>
      <c r="O68" s="267" t="b">
        <f t="shared" si="4"/>
        <v>1</v>
      </c>
      <c r="P68" s="267" t="b">
        <f t="shared" si="5"/>
        <v>1</v>
      </c>
      <c r="R68" s="267" t="s">
        <v>1753</v>
      </c>
      <c r="S68" s="267">
        <v>50301</v>
      </c>
      <c r="T68" s="267" t="b">
        <f t="shared" si="6"/>
        <v>1</v>
      </c>
      <c r="U68" s="267" t="b">
        <f t="shared" si="7"/>
        <v>1</v>
      </c>
    </row>
    <row r="69" spans="1:21" ht="15" thickBot="1" x14ac:dyDescent="0.35">
      <c r="A69" s="1130" t="s">
        <v>1754</v>
      </c>
      <c r="B69" s="1129">
        <v>50302</v>
      </c>
      <c r="C69" s="267"/>
      <c r="D69" s="267"/>
      <c r="E69" s="267"/>
      <c r="F69" s="267"/>
      <c r="G69" s="267"/>
      <c r="H69" s="267"/>
      <c r="I69" s="267"/>
      <c r="M69" s="1233" t="s">
        <v>1754</v>
      </c>
      <c r="N69" s="1152">
        <v>50302</v>
      </c>
      <c r="O69" s="267" t="b">
        <f t="shared" si="4"/>
        <v>1</v>
      </c>
      <c r="P69" s="267" t="b">
        <f t="shared" si="5"/>
        <v>1</v>
      </c>
      <c r="R69" s="267" t="s">
        <v>1754</v>
      </c>
      <c r="S69" s="267">
        <v>50302</v>
      </c>
      <c r="T69" s="267" t="b">
        <f t="shared" si="6"/>
        <v>1</v>
      </c>
      <c r="U69" s="267" t="b">
        <f t="shared" si="7"/>
        <v>1</v>
      </c>
    </row>
    <row r="70" spans="1:21" ht="15" thickBot="1" x14ac:dyDescent="0.35">
      <c r="A70" s="1130" t="s">
        <v>1755</v>
      </c>
      <c r="B70" s="1129">
        <v>50303</v>
      </c>
      <c r="C70" s="267"/>
      <c r="D70" s="267"/>
      <c r="E70" s="267"/>
      <c r="F70" s="267"/>
      <c r="G70" s="267"/>
      <c r="H70" s="267"/>
      <c r="I70" s="267"/>
      <c r="M70" s="1233" t="s">
        <v>1755</v>
      </c>
      <c r="N70" s="1152">
        <v>50303</v>
      </c>
      <c r="O70" s="267" t="b">
        <f t="shared" si="4"/>
        <v>1</v>
      </c>
      <c r="P70" s="267" t="b">
        <f t="shared" si="5"/>
        <v>1</v>
      </c>
      <c r="R70" s="267" t="s">
        <v>1755</v>
      </c>
      <c r="S70" s="267">
        <v>50303</v>
      </c>
      <c r="T70" s="267" t="b">
        <f t="shared" si="6"/>
        <v>1</v>
      </c>
      <c r="U70" s="267" t="b">
        <f t="shared" si="7"/>
        <v>1</v>
      </c>
    </row>
    <row r="71" spans="1:21" ht="15" thickBot="1" x14ac:dyDescent="0.35">
      <c r="A71" s="1130" t="s">
        <v>1756</v>
      </c>
      <c r="B71" s="1129">
        <v>50304</v>
      </c>
      <c r="C71" s="267"/>
      <c r="D71" s="267"/>
      <c r="E71" s="267"/>
      <c r="F71" s="267"/>
      <c r="G71" s="267"/>
      <c r="H71" s="267"/>
      <c r="I71" s="267"/>
      <c r="M71" s="1233" t="s">
        <v>1756</v>
      </c>
      <c r="N71" s="1152">
        <v>50304</v>
      </c>
      <c r="O71" s="267" t="b">
        <f t="shared" si="4"/>
        <v>1</v>
      </c>
      <c r="P71" s="267" t="b">
        <f t="shared" si="5"/>
        <v>1</v>
      </c>
      <c r="R71" s="267" t="s">
        <v>1756</v>
      </c>
      <c r="S71" s="267">
        <v>50304</v>
      </c>
      <c r="T71" s="267" t="b">
        <f t="shared" si="6"/>
        <v>1</v>
      </c>
      <c r="U71" s="267" t="b">
        <f t="shared" si="7"/>
        <v>1</v>
      </c>
    </row>
    <row r="72" spans="1:21" ht="15" thickBot="1" x14ac:dyDescent="0.35">
      <c r="A72" s="1130" t="s">
        <v>1757</v>
      </c>
      <c r="B72" s="1129">
        <v>50540</v>
      </c>
      <c r="C72" s="267"/>
      <c r="D72" s="267"/>
      <c r="E72" s="267"/>
      <c r="F72" s="267"/>
      <c r="G72" s="267"/>
      <c r="H72" s="267"/>
      <c r="I72" s="267"/>
      <c r="M72" s="1233" t="s">
        <v>1757</v>
      </c>
      <c r="N72" s="1152">
        <v>50540</v>
      </c>
      <c r="O72" s="267" t="b">
        <f t="shared" si="4"/>
        <v>1</v>
      </c>
      <c r="P72" s="267" t="b">
        <f t="shared" si="5"/>
        <v>1</v>
      </c>
      <c r="R72" s="267" t="s">
        <v>1757</v>
      </c>
      <c r="S72" s="267">
        <v>50540</v>
      </c>
      <c r="T72" s="267" t="b">
        <f t="shared" si="6"/>
        <v>1</v>
      </c>
      <c r="U72" s="267" t="b">
        <f t="shared" si="7"/>
        <v>1</v>
      </c>
    </row>
    <row r="73" spans="1:21" ht="15" thickBot="1" x14ac:dyDescent="0.35">
      <c r="A73" s="1130" t="s">
        <v>1625</v>
      </c>
      <c r="B73" s="1129">
        <v>50305</v>
      </c>
      <c r="C73" s="267"/>
      <c r="D73" s="267"/>
      <c r="E73" s="267"/>
      <c r="F73" s="267"/>
      <c r="G73" s="267"/>
      <c r="H73" s="267"/>
      <c r="I73" s="267"/>
      <c r="M73" s="1233" t="s">
        <v>1625</v>
      </c>
      <c r="N73" s="1152">
        <v>50305</v>
      </c>
      <c r="O73" s="267" t="b">
        <f t="shared" si="4"/>
        <v>1</v>
      </c>
      <c r="P73" s="267" t="b">
        <f t="shared" si="5"/>
        <v>1</v>
      </c>
      <c r="R73" s="267" t="s">
        <v>1625</v>
      </c>
      <c r="S73" s="267">
        <v>50305</v>
      </c>
      <c r="T73" s="267" t="b">
        <f t="shared" si="6"/>
        <v>1</v>
      </c>
      <c r="U73" s="267" t="b">
        <f t="shared" si="7"/>
        <v>1</v>
      </c>
    </row>
    <row r="74" spans="1:21" ht="15" thickBot="1" x14ac:dyDescent="0.35">
      <c r="A74" s="1130" t="s">
        <v>1758</v>
      </c>
      <c r="B74" s="1129">
        <v>50306</v>
      </c>
      <c r="C74" s="267"/>
      <c r="D74" s="267"/>
      <c r="E74" s="267"/>
      <c r="F74" s="267"/>
      <c r="G74" s="267"/>
      <c r="H74" s="267"/>
      <c r="I74" s="267"/>
      <c r="M74" s="1233" t="s">
        <v>1758</v>
      </c>
      <c r="N74" s="1152">
        <v>50306</v>
      </c>
      <c r="O74" s="267" t="b">
        <f t="shared" si="4"/>
        <v>1</v>
      </c>
      <c r="P74" s="267" t="b">
        <f t="shared" si="5"/>
        <v>1</v>
      </c>
      <c r="R74" s="267" t="s">
        <v>1758</v>
      </c>
      <c r="S74" s="267">
        <v>50306</v>
      </c>
      <c r="T74" s="267" t="b">
        <f t="shared" si="6"/>
        <v>1</v>
      </c>
      <c r="U74" s="267" t="b">
        <f t="shared" si="7"/>
        <v>1</v>
      </c>
    </row>
    <row r="75" spans="1:21" ht="15" thickBot="1" x14ac:dyDescent="0.35">
      <c r="A75" s="1130" t="s">
        <v>989</v>
      </c>
      <c r="B75" s="1129">
        <v>50479</v>
      </c>
      <c r="C75" s="267"/>
      <c r="D75" s="267"/>
      <c r="E75" s="267"/>
      <c r="F75" s="267"/>
      <c r="G75" s="267"/>
      <c r="H75" s="267"/>
      <c r="I75" s="267"/>
      <c r="M75" s="1233" t="s">
        <v>989</v>
      </c>
      <c r="N75" s="1152">
        <v>50479</v>
      </c>
      <c r="O75" s="267" t="b">
        <f t="shared" si="4"/>
        <v>1</v>
      </c>
      <c r="P75" s="267" t="b">
        <f t="shared" si="5"/>
        <v>1</v>
      </c>
      <c r="R75" s="267" t="s">
        <v>989</v>
      </c>
      <c r="S75" s="267">
        <v>50479</v>
      </c>
      <c r="T75" s="267" t="b">
        <f t="shared" si="6"/>
        <v>1</v>
      </c>
      <c r="U75" s="267" t="b">
        <f t="shared" si="7"/>
        <v>1</v>
      </c>
    </row>
    <row r="76" spans="1:21" ht="15" thickBot="1" x14ac:dyDescent="0.35">
      <c r="A76" s="1130" t="s">
        <v>990</v>
      </c>
      <c r="B76" s="1129">
        <v>50307</v>
      </c>
      <c r="C76" s="267"/>
      <c r="D76" s="267"/>
      <c r="E76" s="267"/>
      <c r="F76" s="267"/>
      <c r="G76" s="267"/>
      <c r="H76" s="267"/>
      <c r="I76" s="267"/>
      <c r="M76" s="1233" t="s">
        <v>990</v>
      </c>
      <c r="N76" s="1152">
        <v>50307</v>
      </c>
      <c r="O76" s="267" t="b">
        <f t="shared" si="4"/>
        <v>1</v>
      </c>
      <c r="P76" s="267" t="b">
        <f t="shared" si="5"/>
        <v>1</v>
      </c>
      <c r="R76" s="267" t="s">
        <v>990</v>
      </c>
      <c r="S76" s="267">
        <v>50307</v>
      </c>
      <c r="T76" s="267" t="b">
        <f t="shared" si="6"/>
        <v>1</v>
      </c>
      <c r="U76" s="267" t="b">
        <f t="shared" si="7"/>
        <v>1</v>
      </c>
    </row>
    <row r="77" spans="1:21" ht="15" thickBot="1" x14ac:dyDescent="0.35">
      <c r="A77" s="1130" t="s">
        <v>1759</v>
      </c>
      <c r="B77" s="1129">
        <v>50308</v>
      </c>
      <c r="C77" s="267"/>
      <c r="D77" s="267"/>
      <c r="E77" s="267"/>
      <c r="F77" s="267"/>
      <c r="G77" s="267"/>
      <c r="H77" s="267"/>
      <c r="I77" s="267"/>
      <c r="M77" s="1234" t="s">
        <v>1759</v>
      </c>
      <c r="N77" s="1148">
        <v>50308</v>
      </c>
      <c r="O77" s="267" t="b">
        <f t="shared" si="4"/>
        <v>1</v>
      </c>
      <c r="P77" s="267" t="b">
        <f t="shared" si="5"/>
        <v>1</v>
      </c>
      <c r="R77" s="267" t="s">
        <v>1759</v>
      </c>
      <c r="S77" s="267">
        <v>50308</v>
      </c>
      <c r="T77" s="267" t="b">
        <f t="shared" si="6"/>
        <v>1</v>
      </c>
      <c r="U77" s="267" t="b">
        <f t="shared" si="7"/>
        <v>1</v>
      </c>
    </row>
    <row r="78" spans="1:21" ht="15" thickBot="1" x14ac:dyDescent="0.35">
      <c r="A78" s="1130" t="s">
        <v>1760</v>
      </c>
      <c r="B78" s="1129">
        <v>50309</v>
      </c>
      <c r="C78" s="267"/>
      <c r="D78" s="267"/>
      <c r="E78" s="267"/>
      <c r="F78" s="267"/>
      <c r="G78" s="267"/>
      <c r="H78" s="267"/>
      <c r="I78" s="267"/>
      <c r="M78" s="1234" t="s">
        <v>1760</v>
      </c>
      <c r="N78" s="1148">
        <v>50309</v>
      </c>
      <c r="O78" s="267" t="b">
        <f t="shared" si="4"/>
        <v>1</v>
      </c>
      <c r="P78" s="267" t="b">
        <f t="shared" si="5"/>
        <v>1</v>
      </c>
      <c r="R78" s="267" t="s">
        <v>1760</v>
      </c>
      <c r="S78" s="267">
        <v>50309</v>
      </c>
      <c r="T78" s="267" t="b">
        <f t="shared" si="6"/>
        <v>1</v>
      </c>
      <c r="U78" s="267" t="b">
        <f t="shared" si="7"/>
        <v>1</v>
      </c>
    </row>
    <row r="79" spans="1:21" ht="15" thickBot="1" x14ac:dyDescent="0.35">
      <c r="A79" s="1130" t="s">
        <v>991</v>
      </c>
      <c r="B79" s="1129">
        <v>50310</v>
      </c>
      <c r="C79" s="267"/>
      <c r="D79" s="267"/>
      <c r="E79" s="267"/>
      <c r="F79" s="267"/>
      <c r="G79" s="267"/>
      <c r="H79" s="267"/>
      <c r="I79" s="267"/>
      <c r="M79" s="1234" t="s">
        <v>991</v>
      </c>
      <c r="N79" s="1148">
        <v>50310</v>
      </c>
      <c r="O79" s="267" t="b">
        <f t="shared" si="4"/>
        <v>1</v>
      </c>
      <c r="P79" s="267" t="b">
        <f t="shared" si="5"/>
        <v>1</v>
      </c>
      <c r="R79" s="267" t="s">
        <v>991</v>
      </c>
      <c r="S79" s="267">
        <v>50310</v>
      </c>
      <c r="T79" s="267" t="b">
        <f t="shared" si="6"/>
        <v>1</v>
      </c>
      <c r="U79" s="267" t="b">
        <f t="shared" si="7"/>
        <v>1</v>
      </c>
    </row>
    <row r="80" spans="1:21" ht="15" thickBot="1" x14ac:dyDescent="0.35">
      <c r="A80" s="1130" t="s">
        <v>992</v>
      </c>
      <c r="B80" s="1129">
        <v>50311</v>
      </c>
      <c r="C80" s="267"/>
      <c r="D80" s="267"/>
      <c r="E80" s="267"/>
      <c r="F80" s="267"/>
      <c r="G80" s="267"/>
      <c r="H80" s="267"/>
      <c r="I80" s="267"/>
      <c r="M80" s="1234" t="s">
        <v>992</v>
      </c>
      <c r="N80" s="1148">
        <v>50311</v>
      </c>
      <c r="O80" s="267" t="b">
        <f t="shared" si="4"/>
        <v>1</v>
      </c>
      <c r="P80" s="267" t="b">
        <f t="shared" si="5"/>
        <v>1</v>
      </c>
      <c r="R80" s="267" t="s">
        <v>992</v>
      </c>
      <c r="S80" s="267">
        <v>50311</v>
      </c>
      <c r="T80" s="267" t="b">
        <f t="shared" si="6"/>
        <v>1</v>
      </c>
      <c r="U80" s="267" t="b">
        <f t="shared" si="7"/>
        <v>1</v>
      </c>
    </row>
  </sheetData>
  <sheetProtection algorithmName="SHA-512" hashValue="CEK+lZVnOPTKWKx0Nu0hmwftR4NGx49qWx4CbYO9vooIYw9wOnb7v9pIIAPLKjvsPwCU5/CJVqD4yU4qkLwaMg==" saltValue="oVqtiSAMS+rok3ZCnMHfvQ==" spinCount="100000" sheet="1" objects="1" scenarios="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DD6BC-D915-4DB1-A21C-7A0CCB10E5C2}">
  <sheetPr codeName="Sheet16">
    <tabColor theme="3" tint="0.79998168889431442"/>
  </sheetPr>
  <dimension ref="A1:H56"/>
  <sheetViews>
    <sheetView workbookViewId="0">
      <selection activeCell="B13" sqref="B13"/>
    </sheetView>
  </sheetViews>
  <sheetFormatPr defaultColWidth="9.109375" defaultRowHeight="14.4" x14ac:dyDescent="0.3"/>
  <cols>
    <col min="1" max="1" width="45.109375" style="413" customWidth="1"/>
    <col min="2" max="2" width="36.44140625" style="413" customWidth="1"/>
    <col min="3" max="3" width="9.109375" style="413"/>
    <col min="4" max="4" width="1.33203125" style="413" customWidth="1"/>
    <col min="5" max="5" width="37.5546875" style="413" customWidth="1"/>
    <col min="6" max="6" width="18.109375" style="413" customWidth="1"/>
    <col min="7" max="7" width="16.109375" style="413" customWidth="1"/>
    <col min="8" max="8" width="3.109375" style="413" customWidth="1"/>
    <col min="9" max="16384" width="9.109375" style="413"/>
  </cols>
  <sheetData>
    <row r="1" spans="1:8" x14ac:dyDescent="0.3">
      <c r="A1" s="414"/>
      <c r="B1" s="415"/>
      <c r="C1" s="416"/>
      <c r="D1" s="416"/>
      <c r="E1" s="417"/>
      <c r="F1" s="416"/>
      <c r="G1" s="416"/>
      <c r="H1" s="416"/>
    </row>
    <row r="2" spans="1:8" x14ac:dyDescent="0.3">
      <c r="A2" s="418" t="s">
        <v>1019</v>
      </c>
      <c r="B2" s="419" t="str">
        <f>+'Unit Data from Audit Worksheet'!D2</f>
        <v>Select Unit Name from Drop Down List</v>
      </c>
      <c r="C2" s="416"/>
      <c r="D2" s="416"/>
      <c r="E2" s="417"/>
      <c r="F2" s="416"/>
      <c r="G2" s="416"/>
      <c r="H2" s="416"/>
    </row>
    <row r="3" spans="1:8" x14ac:dyDescent="0.3">
      <c r="A3" s="418" t="s">
        <v>1123</v>
      </c>
      <c r="B3" s="416" t="e">
        <f>+'Unit Data from Audit Worksheet'!D3</f>
        <v>#N/A</v>
      </c>
      <c r="C3" s="416"/>
      <c r="D3" s="416"/>
      <c r="E3" s="417"/>
      <c r="F3" s="416"/>
      <c r="G3" s="416"/>
      <c r="H3" s="416"/>
    </row>
    <row r="4" spans="1:8" x14ac:dyDescent="0.3">
      <c r="A4" s="416"/>
      <c r="B4" s="416"/>
      <c r="C4" s="416"/>
      <c r="D4" s="416"/>
      <c r="E4" s="417"/>
      <c r="F4" s="416"/>
      <c r="G4" s="416"/>
      <c r="H4" s="416"/>
    </row>
    <row r="5" spans="1:8" x14ac:dyDescent="0.3">
      <c r="A5" s="1436" t="s">
        <v>1020</v>
      </c>
      <c r="B5" s="1436"/>
      <c r="C5" s="1436"/>
      <c r="D5" s="416"/>
      <c r="E5" s="1437" t="s">
        <v>1021</v>
      </c>
      <c r="F5" s="1437"/>
      <c r="G5" s="416"/>
      <c r="H5" s="416"/>
    </row>
    <row r="6" spans="1:8" ht="15" thickBot="1" x14ac:dyDescent="0.35">
      <c r="A6" s="420"/>
      <c r="B6" s="421"/>
      <c r="C6" s="420"/>
      <c r="D6" s="414"/>
      <c r="E6" s="420"/>
      <c r="F6" s="421"/>
      <c r="G6" s="421"/>
      <c r="H6" s="416"/>
    </row>
    <row r="7" spans="1:8" ht="15" thickBot="1" x14ac:dyDescent="0.35">
      <c r="A7" s="422" t="s">
        <v>1022</v>
      </c>
      <c r="B7" s="423">
        <v>0.03</v>
      </c>
      <c r="C7" s="423"/>
      <c r="D7" s="423"/>
      <c r="E7" s="423"/>
      <c r="F7" s="423"/>
      <c r="G7" s="423"/>
      <c r="H7" s="423"/>
    </row>
    <row r="8" spans="1:8" ht="15" thickBot="1" x14ac:dyDescent="0.35">
      <c r="A8" s="416" t="s">
        <v>1380</v>
      </c>
      <c r="B8" s="424" t="e">
        <f>HLOOKUP(B2,'2020 Data(H)'!F1:CF397,353,FALSE)</f>
        <v>#N/A</v>
      </c>
      <c r="C8" s="425"/>
      <c r="D8" s="425"/>
      <c r="E8" s="425"/>
      <c r="F8" s="416"/>
      <c r="G8" s="416"/>
      <c r="H8" s="416"/>
    </row>
    <row r="9" spans="1:8" ht="15" thickBot="1" x14ac:dyDescent="0.35">
      <c r="A9" s="416" t="s">
        <v>1024</v>
      </c>
      <c r="B9" s="426" t="e">
        <f>B8*B7</f>
        <v>#N/A</v>
      </c>
      <c r="C9" s="427"/>
      <c r="D9" s="427"/>
      <c r="E9" s="427"/>
      <c r="F9" s="416"/>
      <c r="G9" s="416"/>
      <c r="H9" s="416"/>
    </row>
    <row r="10" spans="1:8" ht="15" thickBot="1" x14ac:dyDescent="0.35">
      <c r="A10" s="416"/>
      <c r="B10" s="416"/>
      <c r="C10" s="416"/>
      <c r="D10" s="416"/>
      <c r="E10" s="416"/>
      <c r="F10" s="416"/>
      <c r="G10" s="416"/>
      <c r="H10" s="416"/>
    </row>
    <row r="11" spans="1:8" ht="15" thickBot="1" x14ac:dyDescent="0.35">
      <c r="A11" s="422" t="s">
        <v>1025</v>
      </c>
      <c r="B11" s="423">
        <v>0.05</v>
      </c>
      <c r="C11" s="423"/>
      <c r="D11" s="423"/>
      <c r="E11" s="423"/>
      <c r="F11" s="423"/>
      <c r="G11" s="423"/>
      <c r="H11" s="423"/>
    </row>
    <row r="12" spans="1:8" ht="15" thickBot="1" x14ac:dyDescent="0.35">
      <c r="A12" s="416" t="s">
        <v>1381</v>
      </c>
      <c r="B12" s="428" t="e">
        <f>HLOOKUP(B2,'2020 Data(H)'!F1:CF397,55,FALSE)</f>
        <v>#N/A</v>
      </c>
      <c r="C12" s="429"/>
      <c r="D12" s="429"/>
      <c r="E12" s="429"/>
      <c r="F12" s="416"/>
      <c r="G12" s="416"/>
      <c r="H12" s="416"/>
    </row>
    <row r="13" spans="1:8" ht="15" thickBot="1" x14ac:dyDescent="0.35">
      <c r="A13" s="416" t="s">
        <v>1024</v>
      </c>
      <c r="B13" s="426" t="e">
        <f>B12*B11</f>
        <v>#N/A</v>
      </c>
      <c r="C13" s="427"/>
      <c r="D13" s="427"/>
      <c r="E13" s="427"/>
      <c r="F13" s="416"/>
      <c r="G13" s="416"/>
      <c r="H13" s="416"/>
    </row>
    <row r="14" spans="1:8" ht="15" thickBot="1" x14ac:dyDescent="0.35">
      <c r="A14" s="416"/>
      <c r="B14" s="416"/>
      <c r="C14" s="416"/>
      <c r="D14" s="416"/>
      <c r="E14" s="430" t="s">
        <v>1026</v>
      </c>
      <c r="F14" s="431">
        <f>+Import!L177</f>
        <v>0</v>
      </c>
      <c r="G14" s="432"/>
      <c r="H14" s="416"/>
    </row>
    <row r="15" spans="1:8" x14ac:dyDescent="0.3">
      <c r="A15" s="416"/>
      <c r="B15" s="416"/>
      <c r="C15" s="416"/>
      <c r="D15" s="416"/>
      <c r="E15" s="416"/>
      <c r="F15" s="416"/>
      <c r="G15" s="416"/>
      <c r="H15" s="433"/>
    </row>
    <row r="16" spans="1:8" x14ac:dyDescent="0.3">
      <c r="A16" s="416"/>
      <c r="B16" s="430"/>
      <c r="C16" s="416"/>
      <c r="D16" s="416"/>
      <c r="E16" s="416"/>
      <c r="F16" s="416"/>
      <c r="G16" s="416"/>
      <c r="H16" s="416"/>
    </row>
    <row r="17" spans="1:8" x14ac:dyDescent="0.3">
      <c r="A17" s="420"/>
      <c r="B17" s="421"/>
      <c r="C17" s="420"/>
      <c r="D17" s="414"/>
      <c r="E17" s="420"/>
      <c r="F17" s="421"/>
      <c r="G17" s="421"/>
      <c r="H17" s="416"/>
    </row>
    <row r="18" spans="1:8" ht="15" thickBot="1" x14ac:dyDescent="0.35">
      <c r="A18" s="434" t="s">
        <v>1027</v>
      </c>
      <c r="B18" s="416"/>
      <c r="C18" s="416"/>
      <c r="D18" s="416"/>
      <c r="E18" s="434" t="s">
        <v>1027</v>
      </c>
      <c r="F18" s="418" t="s">
        <v>1028</v>
      </c>
      <c r="G18" s="418" t="s">
        <v>1029</v>
      </c>
      <c r="H18" s="416"/>
    </row>
    <row r="19" spans="1:8" ht="15" thickBot="1" x14ac:dyDescent="0.35">
      <c r="A19" s="416" t="s">
        <v>1023</v>
      </c>
      <c r="B19" s="424" t="e">
        <f>+B8</f>
        <v>#N/A</v>
      </c>
      <c r="C19" s="425"/>
      <c r="D19" s="425"/>
      <c r="E19" s="416" t="s">
        <v>1030</v>
      </c>
      <c r="F19" s="435">
        <f>+Import!L229</f>
        <v>0</v>
      </c>
      <c r="G19" s="436" t="e">
        <f>+B21</f>
        <v>#N/A</v>
      </c>
      <c r="H19" s="416"/>
    </row>
    <row r="20" spans="1:8" ht="15" thickBot="1" x14ac:dyDescent="0.35">
      <c r="A20" s="416" t="s">
        <v>1031</v>
      </c>
      <c r="B20" s="437">
        <f>+Import!L243</f>
        <v>0</v>
      </c>
      <c r="C20" s="416"/>
      <c r="D20" s="416"/>
      <c r="E20" s="416"/>
      <c r="F20" s="438"/>
      <c r="G20" s="416"/>
      <c r="H20" s="416"/>
    </row>
    <row r="21" spans="1:8" ht="15" thickBot="1" x14ac:dyDescent="0.35">
      <c r="A21" s="416" t="s">
        <v>1024</v>
      </c>
      <c r="B21" s="426" t="e">
        <f>ROUND((B19/100)*B20,0)</f>
        <v>#N/A</v>
      </c>
      <c r="C21" s="439"/>
      <c r="D21" s="427"/>
      <c r="E21" s="416"/>
      <c r="F21" s="416"/>
      <c r="G21" s="416"/>
      <c r="H21" s="416"/>
    </row>
    <row r="22" spans="1:8" ht="15" thickBot="1" x14ac:dyDescent="0.35">
      <c r="A22" s="416"/>
      <c r="B22" s="416"/>
      <c r="C22" s="440"/>
      <c r="D22" s="440"/>
      <c r="E22" s="416"/>
      <c r="F22" s="416"/>
      <c r="G22" s="416"/>
      <c r="H22" s="416"/>
    </row>
    <row r="23" spans="1:8" ht="15" thickBot="1" x14ac:dyDescent="0.35">
      <c r="A23" s="430"/>
      <c r="B23" s="441"/>
      <c r="C23" s="416"/>
      <c r="D23" s="416"/>
      <c r="E23" s="442" t="s">
        <v>1032</v>
      </c>
      <c r="F23" s="426">
        <f>IF(F19=0,F14-F19,F14-MAX(F19,G19))</f>
        <v>0</v>
      </c>
      <c r="G23" s="443"/>
      <c r="H23" s="427"/>
    </row>
    <row r="24" spans="1:8" x14ac:dyDescent="0.3">
      <c r="A24" s="416"/>
      <c r="B24" s="416"/>
      <c r="C24" s="416"/>
      <c r="D24" s="416"/>
      <c r="E24" s="416"/>
      <c r="F24" s="439"/>
      <c r="G24" s="439"/>
      <c r="H24" s="427"/>
    </row>
    <row r="25" spans="1:8" x14ac:dyDescent="0.3">
      <c r="A25" s="420"/>
      <c r="B25" s="421"/>
      <c r="C25" s="420"/>
      <c r="D25" s="414"/>
      <c r="E25" s="420"/>
      <c r="F25" s="421"/>
      <c r="G25" s="421"/>
      <c r="H25" s="416"/>
    </row>
    <row r="26" spans="1:8" ht="15" thickBot="1" x14ac:dyDescent="0.35">
      <c r="A26" s="416"/>
      <c r="B26" s="416"/>
      <c r="C26" s="416"/>
      <c r="D26" s="434"/>
      <c r="E26" s="434" t="s">
        <v>1033</v>
      </c>
      <c r="F26" s="434"/>
      <c r="G26" s="434"/>
      <c r="H26" s="434"/>
    </row>
    <row r="27" spans="1:8" ht="15" thickBot="1" x14ac:dyDescent="0.35">
      <c r="A27" s="416"/>
      <c r="B27" s="416"/>
      <c r="C27" s="416"/>
      <c r="D27" s="440"/>
      <c r="E27" s="416" t="s">
        <v>1034</v>
      </c>
      <c r="F27" s="444" t="e">
        <f>MAX(B9,B13)</f>
        <v>#N/A</v>
      </c>
      <c r="G27" s="440"/>
      <c r="H27" s="416"/>
    </row>
    <row r="28" spans="1:8" ht="15" thickBot="1" x14ac:dyDescent="0.35">
      <c r="A28" s="416"/>
      <c r="B28" s="416"/>
      <c r="C28" s="416"/>
      <c r="D28" s="440"/>
      <c r="E28" s="416"/>
      <c r="F28" s="440"/>
      <c r="G28" s="440"/>
      <c r="H28" s="416"/>
    </row>
    <row r="29" spans="1:8" ht="33.75" customHeight="1" x14ac:dyDescent="0.3">
      <c r="A29" s="416"/>
      <c r="B29" s="416"/>
      <c r="C29" s="416"/>
      <c r="D29" s="445"/>
      <c r="E29" s="416" t="s">
        <v>1035</v>
      </c>
      <c r="F29" s="446" t="e">
        <f>IF(F23&lt;=F27,"Yes", "No, unit exceeds limit by:")</f>
        <v>#N/A</v>
      </c>
      <c r="G29" s="416"/>
      <c r="H29" s="416"/>
    </row>
    <row r="30" spans="1:8" ht="15" thickBot="1" x14ac:dyDescent="0.35">
      <c r="A30" s="416"/>
      <c r="B30" s="416"/>
      <c r="C30" s="416"/>
      <c r="D30" s="445"/>
      <c r="E30" s="416"/>
      <c r="F30" s="447" t="e">
        <f>IF(F23-F27&lt;=0,0,F23-F27)</f>
        <v>#N/A</v>
      </c>
      <c r="G30" s="448"/>
      <c r="H30" s="416"/>
    </row>
    <row r="31" spans="1:8" ht="15" thickBot="1" x14ac:dyDescent="0.35">
      <c r="A31" s="416"/>
      <c r="B31" s="416"/>
      <c r="C31" s="416"/>
      <c r="D31" s="416"/>
      <c r="E31" s="416"/>
      <c r="F31" s="416"/>
      <c r="G31" s="416"/>
      <c r="H31" s="416"/>
    </row>
    <row r="32" spans="1:8" x14ac:dyDescent="0.3">
      <c r="A32" s="416"/>
      <c r="B32" s="416"/>
      <c r="C32" s="416"/>
      <c r="D32" s="416"/>
      <c r="E32" s="442" t="s">
        <v>1036</v>
      </c>
      <c r="F32" s="449">
        <f>IF(F19=0,0,F19-G19)</f>
        <v>0</v>
      </c>
      <c r="G32" s="416"/>
      <c r="H32" s="416"/>
    </row>
    <row r="33" spans="1:7" ht="15" thickBot="1" x14ac:dyDescent="0.35">
      <c r="A33" s="416"/>
      <c r="B33" s="416"/>
      <c r="C33" s="416"/>
      <c r="D33" s="416"/>
      <c r="E33" s="416"/>
      <c r="F33" s="450" t="s">
        <v>705</v>
      </c>
      <c r="G33" s="416"/>
    </row>
    <row r="34" spans="1:7" x14ac:dyDescent="0.3">
      <c r="A34" s="414"/>
      <c r="B34" s="416"/>
      <c r="C34" s="416"/>
      <c r="D34" s="416"/>
      <c r="E34" s="414" t="s">
        <v>1037</v>
      </c>
      <c r="F34" s="416"/>
      <c r="G34" s="416"/>
    </row>
    <row r="35" spans="1:7" x14ac:dyDescent="0.3">
      <c r="A35" s="451"/>
      <c r="B35" s="451"/>
      <c r="C35" s="451"/>
      <c r="D35" s="416"/>
      <c r="E35" s="1438" t="s">
        <v>1382</v>
      </c>
      <c r="F35" s="1439"/>
      <c r="G35" s="1440"/>
    </row>
    <row r="36" spans="1:7" x14ac:dyDescent="0.3">
      <c r="A36" s="451"/>
      <c r="B36" s="451"/>
      <c r="C36" s="451"/>
      <c r="D36" s="416"/>
      <c r="E36" s="1441"/>
      <c r="F36" s="1442"/>
      <c r="G36" s="1443"/>
    </row>
    <row r="37" spans="1:7" x14ac:dyDescent="0.3">
      <c r="A37" s="451"/>
      <c r="B37" s="451"/>
      <c r="C37" s="451"/>
      <c r="D37" s="416"/>
      <c r="E37" s="1441"/>
      <c r="F37" s="1442"/>
      <c r="G37" s="1443"/>
    </row>
    <row r="38" spans="1:7" x14ac:dyDescent="0.3">
      <c r="A38" s="451"/>
      <c r="B38" s="451"/>
      <c r="C38" s="451"/>
      <c r="D38" s="416"/>
      <c r="E38" s="1444"/>
      <c r="F38" s="1445"/>
      <c r="G38" s="1446"/>
    </row>
    <row r="39" spans="1:7" x14ac:dyDescent="0.3">
      <c r="A39" s="451"/>
      <c r="B39" s="451"/>
      <c r="C39" s="451"/>
      <c r="D39" s="416"/>
      <c r="E39" s="452"/>
      <c r="F39" s="452"/>
      <c r="G39" s="452"/>
    </row>
    <row r="40" spans="1:7" x14ac:dyDescent="0.3">
      <c r="A40" s="451"/>
      <c r="B40" s="451"/>
      <c r="C40" s="451"/>
      <c r="D40" s="416"/>
      <c r="E40" s="1438" t="s">
        <v>1383</v>
      </c>
      <c r="F40" s="1439"/>
      <c r="G40" s="1440"/>
    </row>
    <row r="41" spans="1:7" x14ac:dyDescent="0.3">
      <c r="A41" s="416"/>
      <c r="B41" s="416"/>
      <c r="C41" s="416"/>
      <c r="D41" s="416"/>
      <c r="E41" s="1441"/>
      <c r="F41" s="1442"/>
      <c r="G41" s="1443"/>
    </row>
    <row r="42" spans="1:7" x14ac:dyDescent="0.3">
      <c r="A42" s="416"/>
      <c r="B42" s="416"/>
      <c r="C42" s="416"/>
      <c r="D42" s="416"/>
      <c r="E42" s="1444"/>
      <c r="F42" s="1445"/>
      <c r="G42" s="1446"/>
    </row>
    <row r="43" spans="1:7" x14ac:dyDescent="0.3">
      <c r="A43" s="416"/>
      <c r="B43" s="416"/>
      <c r="C43" s="416"/>
      <c r="D43" s="416"/>
      <c r="E43" s="416"/>
      <c r="F43" s="416"/>
      <c r="G43" s="416"/>
    </row>
    <row r="44" spans="1:7" ht="15" thickBot="1" x14ac:dyDescent="0.35">
      <c r="A44" s="416"/>
      <c r="B44" s="416"/>
      <c r="C44" s="416"/>
      <c r="D44" s="416"/>
      <c r="E44" s="1447" t="s">
        <v>1038</v>
      </c>
      <c r="F44" s="1447"/>
      <c r="G44" s="1447"/>
    </row>
    <row r="45" spans="1:7" x14ac:dyDescent="0.3">
      <c r="A45" s="416"/>
      <c r="B45" s="416"/>
      <c r="C45" s="416"/>
      <c r="D45" s="416"/>
      <c r="E45" s="1427"/>
      <c r="F45" s="1428"/>
      <c r="G45" s="1429"/>
    </row>
    <row r="46" spans="1:7" x14ac:dyDescent="0.3">
      <c r="A46" s="416"/>
      <c r="B46" s="416"/>
      <c r="C46" s="416"/>
      <c r="D46" s="416"/>
      <c r="E46" s="1430"/>
      <c r="F46" s="1431"/>
      <c r="G46" s="1432"/>
    </row>
    <row r="47" spans="1:7" x14ac:dyDescent="0.3">
      <c r="A47" s="416"/>
      <c r="B47" s="416"/>
      <c r="C47" s="416"/>
      <c r="D47" s="416"/>
      <c r="E47" s="1430"/>
      <c r="F47" s="1431"/>
      <c r="G47" s="1432"/>
    </row>
    <row r="48" spans="1:7" x14ac:dyDescent="0.3">
      <c r="A48" s="416"/>
      <c r="B48" s="416"/>
      <c r="C48" s="416"/>
      <c r="D48" s="416"/>
      <c r="E48" s="1430"/>
      <c r="F48" s="1431"/>
      <c r="G48" s="1432"/>
    </row>
    <row r="49" spans="5:7" x14ac:dyDescent="0.3">
      <c r="E49" s="1430"/>
      <c r="F49" s="1431"/>
      <c r="G49" s="1432"/>
    </row>
    <row r="50" spans="5:7" x14ac:dyDescent="0.3">
      <c r="E50" s="1430"/>
      <c r="F50" s="1431"/>
      <c r="G50" s="1432"/>
    </row>
    <row r="51" spans="5:7" x14ac:dyDescent="0.3">
      <c r="E51" s="1430"/>
      <c r="F51" s="1431"/>
      <c r="G51" s="1432"/>
    </row>
    <row r="52" spans="5:7" x14ac:dyDescent="0.3">
      <c r="E52" s="1430"/>
      <c r="F52" s="1431"/>
      <c r="G52" s="1432"/>
    </row>
    <row r="53" spans="5:7" x14ac:dyDescent="0.3">
      <c r="E53" s="1430"/>
      <c r="F53" s="1431"/>
      <c r="G53" s="1432"/>
    </row>
    <row r="54" spans="5:7" x14ac:dyDescent="0.3">
      <c r="E54" s="1430"/>
      <c r="F54" s="1431"/>
      <c r="G54" s="1432"/>
    </row>
    <row r="55" spans="5:7" x14ac:dyDescent="0.3">
      <c r="E55" s="1430"/>
      <c r="F55" s="1431"/>
      <c r="G55" s="1432"/>
    </row>
    <row r="56" spans="5:7" ht="15" thickBot="1" x14ac:dyDescent="0.35">
      <c r="E56" s="1433"/>
      <c r="F56" s="1434"/>
      <c r="G56" s="1435"/>
    </row>
  </sheetData>
  <sheetProtection algorithmName="SHA-512" hashValue="CivnYFC486O5VIwh/wcl71oQFpHDyCRbxdI8o7dcplOWUUPvso+y07Bzr/Yu3heijp0RqvxhzGUBP4yOImnr+g==" saltValue="dg1E8F6/cCesnjBpXfLFUA==" spinCount="100000" sheet="1" objects="1" scenarios="1"/>
  <mergeCells count="6">
    <mergeCell ref="E45:G56"/>
    <mergeCell ref="A5:C5"/>
    <mergeCell ref="E5:F5"/>
    <mergeCell ref="E35:G38"/>
    <mergeCell ref="E40:G42"/>
    <mergeCell ref="E44:G44"/>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pageSetUpPr fitToPage="1"/>
  </sheetPr>
  <dimension ref="A1:BTI443"/>
  <sheetViews>
    <sheetView zoomScaleNormal="100" workbookViewId="0">
      <pane ySplit="5" topLeftCell="A6" activePane="bottomLeft" state="frozen"/>
      <selection activeCell="K179" sqref="K179"/>
      <selection pane="bottomLeft" activeCell="D2" sqref="D2"/>
    </sheetView>
  </sheetViews>
  <sheetFormatPr defaultColWidth="9.109375" defaultRowHeight="14.4" x14ac:dyDescent="0.3"/>
  <cols>
    <col min="1" max="1" width="8.5546875" style="18" customWidth="1"/>
    <col min="2" max="2" width="16.33203125" style="5" customWidth="1"/>
    <col min="3" max="3" width="17.44140625" style="5" customWidth="1"/>
    <col min="4" max="4" width="46.33203125" style="738" customWidth="1"/>
    <col min="5" max="5" width="17.109375" style="18" customWidth="1"/>
    <col min="6" max="6" width="21.5546875" style="738" customWidth="1"/>
    <col min="7" max="7" width="26.6640625" style="832" customWidth="1"/>
    <col min="8" max="8" width="25.109375" style="623" customWidth="1"/>
    <col min="9" max="9" width="24" style="738" customWidth="1"/>
    <col min="10" max="10" width="13.5546875" style="18" hidden="1" customWidth="1"/>
    <col min="11" max="11" width="11.6640625" style="18" hidden="1" customWidth="1"/>
    <col min="12" max="12" width="15.6640625" style="18" hidden="1" customWidth="1"/>
    <col min="13" max="13" width="11" style="18" hidden="1" customWidth="1"/>
    <col min="14" max="14" width="3.33203125" style="302" hidden="1" customWidth="1"/>
    <col min="15" max="15" width="2.109375" style="18" hidden="1" customWidth="1"/>
    <col min="16" max="16" width="0" style="18" hidden="1" customWidth="1"/>
    <col min="17" max="17" width="15.109375" style="18" hidden="1" customWidth="1"/>
    <col min="18" max="25" width="9.109375" style="18"/>
    <col min="26" max="26" width="30.6640625" style="665" customWidth="1"/>
    <col min="27" max="1881" width="9.109375" style="18"/>
    <col min="1882" max="16384" width="9.109375" style="738"/>
  </cols>
  <sheetData>
    <row r="1" spans="1:44" ht="15" thickBot="1" x14ac:dyDescent="0.35">
      <c r="B1" s="834" t="s">
        <v>757</v>
      </c>
      <c r="C1" s="834"/>
      <c r="E1" s="741" t="s">
        <v>36</v>
      </c>
      <c r="F1" s="742">
        <v>2021</v>
      </c>
      <c r="G1" s="120" t="s">
        <v>126</v>
      </c>
      <c r="H1" s="743"/>
      <c r="I1" s="744"/>
      <c r="J1" s="745" t="s">
        <v>1297</v>
      </c>
      <c r="M1" s="18" t="s">
        <v>51</v>
      </c>
      <c r="O1" s="18">
        <v>1</v>
      </c>
    </row>
    <row r="2" spans="1:44" ht="44.25" customHeight="1" thickBot="1" x14ac:dyDescent="0.35">
      <c r="B2" s="1275" t="s">
        <v>525</v>
      </c>
      <c r="C2" s="1276"/>
      <c r="D2" s="746" t="s">
        <v>1596</v>
      </c>
      <c r="E2" s="1273" t="s">
        <v>539</v>
      </c>
      <c r="F2" s="1273"/>
      <c r="G2" s="1274"/>
      <c r="H2" s="747"/>
      <c r="I2" s="1265" t="s">
        <v>1833</v>
      </c>
      <c r="M2" s="18" t="s">
        <v>52</v>
      </c>
      <c r="N2" s="302">
        <v>50</v>
      </c>
      <c r="O2" s="18">
        <v>2</v>
      </c>
    </row>
    <row r="3" spans="1:44" ht="15" thickBot="1" x14ac:dyDescent="0.35">
      <c r="B3" s="835" t="s">
        <v>0</v>
      </c>
      <c r="C3" s="836"/>
      <c r="D3" s="748" t="e">
        <f>VLOOKUP(D2,'Unit Names(H)'!A2:B151,2,FALSE)</f>
        <v>#N/A</v>
      </c>
      <c r="E3" s="944"/>
      <c r="F3" s="749"/>
      <c r="G3" s="750"/>
      <c r="H3" s="747"/>
      <c r="N3" s="302">
        <v>51</v>
      </c>
      <c r="O3" s="18">
        <v>3</v>
      </c>
    </row>
    <row r="4" spans="1:44" ht="15" thickBot="1" x14ac:dyDescent="0.35">
      <c r="B4" s="837" t="s">
        <v>1429</v>
      </c>
      <c r="C4" s="838"/>
      <c r="D4" s="751"/>
      <c r="E4" s="751"/>
      <c r="F4" s="752"/>
      <c r="G4" s="753"/>
      <c r="H4" s="747"/>
      <c r="I4" s="2"/>
      <c r="M4" s="18" t="s">
        <v>605</v>
      </c>
      <c r="N4" s="302">
        <v>52</v>
      </c>
      <c r="O4" s="18">
        <v>4</v>
      </c>
    </row>
    <row r="5" spans="1:44" ht="37.5" customHeight="1" x14ac:dyDescent="0.3">
      <c r="A5" s="701" t="s">
        <v>754</v>
      </c>
      <c r="B5" s="590" t="s">
        <v>111</v>
      </c>
      <c r="C5" s="590" t="s">
        <v>128</v>
      </c>
      <c r="D5" s="754" t="s">
        <v>1</v>
      </c>
      <c r="E5" s="754">
        <v>2020</v>
      </c>
      <c r="F5" s="755">
        <v>2021</v>
      </c>
      <c r="G5" s="756" t="s">
        <v>1551</v>
      </c>
      <c r="H5" s="757" t="s">
        <v>545</v>
      </c>
      <c r="I5" s="742" t="s">
        <v>13</v>
      </c>
      <c r="M5" s="18" t="s">
        <v>827</v>
      </c>
    </row>
    <row r="6" spans="1:44" ht="22.5" customHeight="1" x14ac:dyDescent="0.3">
      <c r="A6" s="589"/>
      <c r="B6" s="883" t="s">
        <v>127</v>
      </c>
      <c r="C6" s="884"/>
      <c r="D6" s="885"/>
      <c r="E6" s="886"/>
      <c r="F6" s="887"/>
      <c r="G6" s="879"/>
      <c r="H6" s="17"/>
      <c r="M6" s="18" t="s">
        <v>808</v>
      </c>
    </row>
    <row r="7" spans="1:44" s="18" customFormat="1" ht="63.75" customHeight="1" thickBot="1" x14ac:dyDescent="0.35">
      <c r="A7" s="105">
        <v>333</v>
      </c>
      <c r="B7" s="665" t="s">
        <v>67</v>
      </c>
      <c r="C7" s="665" t="s">
        <v>129</v>
      </c>
      <c r="D7" s="737" t="s">
        <v>1430</v>
      </c>
      <c r="E7" s="699" t="e">
        <f>HLOOKUP($D$2,'2020 Data(H)'!$C$1:$CZ$428,99,FALSE)</f>
        <v>#N/A</v>
      </c>
      <c r="F7" s="301">
        <v>0</v>
      </c>
      <c r="G7" s="759">
        <f>IF(F7&lt;0,"Note: Number is normally positive.",)</f>
        <v>0</v>
      </c>
      <c r="H7" s="760"/>
      <c r="I7" s="761"/>
      <c r="J7" s="605" t="s">
        <v>1276</v>
      </c>
      <c r="L7" s="724"/>
      <c r="M7" s="18" t="s">
        <v>828</v>
      </c>
      <c r="N7" s="302"/>
      <c r="Q7" s="301">
        <v>475882</v>
      </c>
      <c r="Z7" s="105"/>
      <c r="AA7" s="105"/>
      <c r="AB7" s="105"/>
      <c r="AC7" s="105"/>
      <c r="AD7" s="105"/>
      <c r="AE7" s="105"/>
      <c r="AF7" s="105"/>
      <c r="AG7" s="105"/>
      <c r="AH7" s="105"/>
      <c r="AI7" s="105"/>
      <c r="AJ7" s="105"/>
      <c r="AK7" s="105"/>
      <c r="AL7" s="105"/>
      <c r="AM7" s="105"/>
      <c r="AN7" s="105"/>
      <c r="AO7" s="105"/>
      <c r="AP7" s="105"/>
      <c r="AQ7" s="105"/>
      <c r="AR7" s="105"/>
    </row>
    <row r="8" spans="1:44" s="18" customFormat="1" ht="51" customHeight="1" thickBot="1" x14ac:dyDescent="0.35">
      <c r="A8" s="105">
        <v>500</v>
      </c>
      <c r="B8" s="665" t="s">
        <v>55</v>
      </c>
      <c r="C8" s="665" t="s">
        <v>129</v>
      </c>
      <c r="D8" s="737" t="s">
        <v>1431</v>
      </c>
      <c r="E8" s="699" t="e">
        <f>HLOOKUP($D$2,'2020 Data(H)'!$C$1:$CZ$428,150,FALSE)</f>
        <v>#N/A</v>
      </c>
      <c r="F8" s="301">
        <v>0</v>
      </c>
      <c r="G8" s="759">
        <f>IF(F8&lt;0,"Note: Number is normally positive.",)</f>
        <v>0</v>
      </c>
      <c r="H8" s="760"/>
      <c r="I8" s="760"/>
      <c r="J8" s="605"/>
      <c r="L8" s="733"/>
      <c r="M8" s="18" t="s">
        <v>829</v>
      </c>
      <c r="N8" s="302"/>
      <c r="Q8" s="301">
        <v>1528687</v>
      </c>
      <c r="Z8" s="105"/>
      <c r="AA8" s="105"/>
      <c r="AB8" s="105"/>
      <c r="AC8" s="105"/>
      <c r="AD8" s="105"/>
      <c r="AE8" s="105"/>
      <c r="AF8" s="105"/>
      <c r="AG8" s="105"/>
      <c r="AH8" s="105"/>
      <c r="AI8" s="105"/>
      <c r="AJ8" s="105"/>
      <c r="AK8" s="105"/>
      <c r="AL8" s="105"/>
      <c r="AM8" s="105"/>
      <c r="AN8" s="105"/>
      <c r="AO8" s="105"/>
      <c r="AP8" s="105"/>
      <c r="AQ8" s="105"/>
      <c r="AR8" s="105"/>
    </row>
    <row r="9" spans="1:44" ht="51" customHeight="1" thickBot="1" x14ac:dyDescent="0.35">
      <c r="A9" s="105">
        <v>385</v>
      </c>
      <c r="B9" s="623" t="s">
        <v>60</v>
      </c>
      <c r="C9" s="665" t="s">
        <v>129</v>
      </c>
      <c r="D9" s="104" t="s">
        <v>130</v>
      </c>
      <c r="E9" s="699" t="e">
        <f>HLOOKUP($D$2,'2020 Data(H)'!$C$1:$CZ$428,144,FALSE)-E11</f>
        <v>#N/A</v>
      </c>
      <c r="F9" s="301">
        <v>0</v>
      </c>
      <c r="G9" s="759">
        <f>IF((F7+F8)&gt;F9,"Error: Please review Account numbers (333+500)&gt;385",)</f>
        <v>0</v>
      </c>
      <c r="H9" s="17"/>
      <c r="I9" s="760"/>
      <c r="J9" s="605"/>
      <c r="L9" s="733"/>
      <c r="Q9" s="301">
        <v>4566372</v>
      </c>
      <c r="Z9" s="105"/>
      <c r="AA9" s="105"/>
      <c r="AB9" s="105"/>
      <c r="AC9" s="105"/>
      <c r="AD9" s="105"/>
      <c r="AE9" s="105"/>
      <c r="AF9" s="105"/>
      <c r="AG9" s="105"/>
      <c r="AH9" s="105"/>
      <c r="AI9" s="105"/>
      <c r="AJ9" s="105"/>
      <c r="AK9" s="105"/>
      <c r="AL9" s="105"/>
      <c r="AM9" s="105"/>
      <c r="AN9" s="105"/>
      <c r="AO9" s="105"/>
      <c r="AP9" s="105"/>
      <c r="AQ9" s="105"/>
      <c r="AR9" s="105"/>
    </row>
    <row r="10" spans="1:44" s="18" customFormat="1" ht="90" customHeight="1" thickBot="1" x14ac:dyDescent="0.35">
      <c r="A10" s="105">
        <v>575</v>
      </c>
      <c r="B10" s="665" t="s">
        <v>70</v>
      </c>
      <c r="C10" s="665" t="s">
        <v>129</v>
      </c>
      <c r="D10" s="839" t="s">
        <v>1432</v>
      </c>
      <c r="E10" s="699" t="e">
        <f>HLOOKUP($D$2,'2020 Data(H)'!$C$1:$CZ$428,225,FALSE)</f>
        <v>#N/A</v>
      </c>
      <c r="F10" s="301">
        <v>0</v>
      </c>
      <c r="G10" s="759">
        <f>IF(F10&lt;0,"Note: Number is normally positive.",)</f>
        <v>0</v>
      </c>
      <c r="H10" s="762"/>
      <c r="I10" s="763"/>
      <c r="L10" s="733"/>
      <c r="N10" s="302"/>
      <c r="Q10" s="301">
        <v>0</v>
      </c>
      <c r="Z10" s="105"/>
      <c r="AA10" s="105"/>
      <c r="AB10" s="105"/>
      <c r="AC10" s="105"/>
      <c r="AD10" s="105"/>
      <c r="AE10" s="105"/>
      <c r="AF10" s="105"/>
      <c r="AG10" s="105"/>
      <c r="AH10" s="105"/>
      <c r="AI10" s="105"/>
      <c r="AJ10" s="105"/>
      <c r="AK10" s="105"/>
      <c r="AL10" s="105"/>
      <c r="AM10" s="105"/>
      <c r="AN10" s="105"/>
      <c r="AO10" s="105"/>
      <c r="AP10" s="105"/>
      <c r="AQ10" s="105"/>
      <c r="AR10" s="105"/>
    </row>
    <row r="11" spans="1:44" s="18" customFormat="1" ht="93.75" customHeight="1" thickBot="1" x14ac:dyDescent="0.35">
      <c r="A11" s="105">
        <v>576</v>
      </c>
      <c r="B11" s="665" t="s">
        <v>70</v>
      </c>
      <c r="C11" s="665" t="s">
        <v>129</v>
      </c>
      <c r="D11" s="839" t="s">
        <v>1433</v>
      </c>
      <c r="E11" s="699" t="e">
        <f>HLOOKUP($D$2,'2020 Data(H)'!$C$1:$CZ$428,226,FALSE)</f>
        <v>#N/A</v>
      </c>
      <c r="F11" s="301">
        <v>0</v>
      </c>
      <c r="G11" s="759">
        <f>IF(F11&lt;0,"Error: Enter as positive.",)</f>
        <v>0</v>
      </c>
      <c r="H11" s="762"/>
      <c r="I11" s="763"/>
      <c r="J11" s="605"/>
      <c r="L11" s="733"/>
      <c r="N11" s="302"/>
      <c r="Q11" s="301">
        <v>0</v>
      </c>
      <c r="Z11" s="105"/>
      <c r="AA11" s="105"/>
      <c r="AB11" s="105"/>
      <c r="AC11" s="105"/>
      <c r="AD11" s="105"/>
      <c r="AE11" s="105"/>
      <c r="AF11" s="105"/>
      <c r="AG11" s="105"/>
      <c r="AH11" s="105"/>
      <c r="AI11" s="105"/>
      <c r="AJ11" s="105"/>
      <c r="AK11" s="105"/>
      <c r="AL11" s="105"/>
      <c r="AM11" s="105"/>
      <c r="AN11" s="105"/>
      <c r="AO11" s="105"/>
      <c r="AP11" s="105"/>
      <c r="AQ11" s="105"/>
      <c r="AR11" s="105"/>
    </row>
    <row r="12" spans="1:44" ht="85.5" customHeight="1" thickBot="1" x14ac:dyDescent="0.35">
      <c r="A12" s="315">
        <v>626</v>
      </c>
      <c r="B12" s="840" t="s">
        <v>861</v>
      </c>
      <c r="C12" s="840" t="s">
        <v>129</v>
      </c>
      <c r="D12" s="344" t="s">
        <v>1434</v>
      </c>
      <c r="E12" s="699" t="e">
        <f>HLOOKUP($D$2,'2020 Data(H)'!$C$1:$CZ$428,285,FALSE)-E11</f>
        <v>#N/A</v>
      </c>
      <c r="F12" s="301">
        <v>0</v>
      </c>
      <c r="G12" s="759">
        <f>IF(F12&lt;0,"Error: Enter as positive.",)</f>
        <v>0</v>
      </c>
      <c r="H12" s="764"/>
      <c r="I12" s="764"/>
      <c r="J12" s="605"/>
      <c r="L12" s="733"/>
      <c r="Q12" s="301">
        <v>136667</v>
      </c>
      <c r="Z12" s="315"/>
      <c r="AA12" s="315"/>
      <c r="AB12" s="315"/>
      <c r="AC12" s="315"/>
      <c r="AD12" s="315"/>
      <c r="AE12" s="315"/>
      <c r="AF12" s="315"/>
      <c r="AG12" s="315"/>
      <c r="AH12" s="315"/>
      <c r="AI12" s="315"/>
      <c r="AJ12" s="315"/>
      <c r="AK12" s="315"/>
      <c r="AL12" s="315"/>
      <c r="AM12" s="315"/>
      <c r="AN12" s="315"/>
      <c r="AO12" s="315"/>
      <c r="AP12" s="315"/>
      <c r="AQ12" s="315"/>
      <c r="AR12" s="315"/>
    </row>
    <row r="13" spans="1:44" ht="89.25" customHeight="1" thickBot="1" x14ac:dyDescent="0.35">
      <c r="A13" s="314">
        <v>627</v>
      </c>
      <c r="B13" s="841" t="s">
        <v>723</v>
      </c>
      <c r="C13" s="840" t="s">
        <v>129</v>
      </c>
      <c r="D13" s="344" t="s">
        <v>1435</v>
      </c>
      <c r="E13" s="699" t="e">
        <f>HLOOKUP($D$2,'2020 Data(H)'!$C$1:$CZ$428,286,FALSE)</f>
        <v>#N/A</v>
      </c>
      <c r="F13" s="301">
        <v>0</v>
      </c>
      <c r="G13" s="759">
        <f>IF(F13&gt;F12,"Please review account numbers 627 &gt;626",)</f>
        <v>0</v>
      </c>
      <c r="H13" s="764"/>
      <c r="I13" s="764"/>
      <c r="J13" s="605"/>
      <c r="L13" s="733"/>
      <c r="Q13" s="301">
        <v>0</v>
      </c>
      <c r="Z13" s="314"/>
      <c r="AA13" s="314"/>
      <c r="AB13" s="314"/>
      <c r="AC13" s="314"/>
      <c r="AD13" s="314"/>
      <c r="AE13" s="314"/>
      <c r="AF13" s="314"/>
      <c r="AG13" s="314"/>
      <c r="AH13" s="314"/>
      <c r="AI13" s="314"/>
      <c r="AJ13" s="314"/>
      <c r="AK13" s="314"/>
      <c r="AL13" s="314"/>
      <c r="AM13" s="314"/>
      <c r="AN13" s="314"/>
      <c r="AO13" s="314"/>
      <c r="AP13" s="314"/>
      <c r="AQ13" s="314"/>
      <c r="AR13" s="314"/>
    </row>
    <row r="14" spans="1:44" ht="105" customHeight="1" thickBot="1" x14ac:dyDescent="0.35">
      <c r="A14" s="314">
        <v>628</v>
      </c>
      <c r="B14" s="841" t="s">
        <v>723</v>
      </c>
      <c r="C14" s="840" t="s">
        <v>129</v>
      </c>
      <c r="D14" s="344" t="s">
        <v>1436</v>
      </c>
      <c r="E14" s="699" t="e">
        <f>HLOOKUP($D$2,'2020 Data(H)'!$C$1:$CZ$428,287,FALSE)</f>
        <v>#N/A</v>
      </c>
      <c r="F14" s="301">
        <v>0</v>
      </c>
      <c r="G14" s="759">
        <f>IF(F14&gt;F12,"Please review account numbers 628 &gt; 626",)</f>
        <v>0</v>
      </c>
      <c r="H14" s="764"/>
      <c r="I14" s="764"/>
      <c r="J14" s="605"/>
      <c r="L14" s="733"/>
      <c r="Q14" s="301">
        <v>56141</v>
      </c>
      <c r="Z14" s="314"/>
      <c r="AA14" s="314"/>
      <c r="AB14" s="314"/>
      <c r="AC14" s="314"/>
      <c r="AD14" s="314"/>
      <c r="AE14" s="314"/>
      <c r="AF14" s="314"/>
      <c r="AG14" s="314"/>
      <c r="AH14" s="314"/>
      <c r="AI14" s="314"/>
      <c r="AJ14" s="314"/>
      <c r="AK14" s="314"/>
      <c r="AL14" s="314"/>
      <c r="AM14" s="314"/>
      <c r="AN14" s="314"/>
      <c r="AO14" s="314"/>
      <c r="AP14" s="314"/>
      <c r="AQ14" s="314"/>
      <c r="AR14" s="314"/>
    </row>
    <row r="15" spans="1:44" ht="95.25" customHeight="1" thickBot="1" x14ac:dyDescent="0.35">
      <c r="A15" s="314">
        <v>629</v>
      </c>
      <c r="B15" s="841" t="s">
        <v>723</v>
      </c>
      <c r="C15" s="840" t="s">
        <v>129</v>
      </c>
      <c r="D15" s="344" t="s">
        <v>1437</v>
      </c>
      <c r="E15" s="699" t="e">
        <f>HLOOKUP($D$2,'2020 Data(H)'!$C$1:$CZ$428,288,FALSE)</f>
        <v>#N/A</v>
      </c>
      <c r="F15" s="301">
        <v>0</v>
      </c>
      <c r="G15" s="759">
        <f>IF(F15&gt;F12,"Please review account numbers 629 &gt; 626",)</f>
        <v>0</v>
      </c>
      <c r="H15" s="764"/>
      <c r="I15" s="764"/>
      <c r="J15" s="605"/>
      <c r="L15" s="733"/>
      <c r="Q15" s="301">
        <v>0</v>
      </c>
      <c r="Z15" s="314"/>
      <c r="AA15" s="314"/>
      <c r="AB15" s="314"/>
      <c r="AC15" s="314"/>
      <c r="AD15" s="314"/>
      <c r="AE15" s="314"/>
      <c r="AF15" s="314"/>
      <c r="AG15" s="314"/>
      <c r="AH15" s="314"/>
      <c r="AI15" s="314"/>
      <c r="AJ15" s="314"/>
      <c r="AK15" s="314"/>
      <c r="AL15" s="314"/>
      <c r="AM15" s="314"/>
      <c r="AN15" s="314"/>
      <c r="AO15" s="314"/>
      <c r="AP15" s="314"/>
      <c r="AQ15" s="314"/>
      <c r="AR15" s="314"/>
    </row>
    <row r="16" spans="1:44" ht="69" customHeight="1" thickBot="1" x14ac:dyDescent="0.35">
      <c r="A16" s="314">
        <v>630</v>
      </c>
      <c r="B16" s="841" t="s">
        <v>723</v>
      </c>
      <c r="C16" s="840" t="s">
        <v>129</v>
      </c>
      <c r="D16" s="344" t="s">
        <v>822</v>
      </c>
      <c r="E16" s="699" t="e">
        <f>HLOOKUP($D$2,'2020 Data(H)'!$C$1:$CZ$428,289,FALSE)</f>
        <v>#N/A</v>
      </c>
      <c r="F16" s="301">
        <v>0</v>
      </c>
      <c r="G16" s="759">
        <f>IF(F16&gt;F12,"Please review account numbers 630 &gt; 626",)</f>
        <v>0</v>
      </c>
      <c r="H16" s="764"/>
      <c r="I16" s="764"/>
      <c r="J16" s="605"/>
      <c r="L16" s="733"/>
      <c r="Q16" s="301">
        <v>0</v>
      </c>
      <c r="Z16" s="314"/>
      <c r="AA16" s="314"/>
      <c r="AB16" s="314"/>
      <c r="AC16" s="314"/>
      <c r="AD16" s="314"/>
      <c r="AE16" s="314"/>
      <c r="AF16" s="314"/>
      <c r="AG16" s="314"/>
      <c r="AH16" s="314"/>
      <c r="AI16" s="314"/>
      <c r="AJ16" s="314"/>
      <c r="AK16" s="314"/>
      <c r="AL16" s="314"/>
      <c r="AM16" s="314"/>
      <c r="AN16" s="314"/>
      <c r="AO16" s="314"/>
      <c r="AP16" s="314"/>
      <c r="AQ16" s="314"/>
      <c r="AR16" s="314"/>
    </row>
    <row r="17" spans="1:44" ht="95.25" customHeight="1" thickBot="1" x14ac:dyDescent="0.35">
      <c r="A17" s="314">
        <v>631</v>
      </c>
      <c r="B17" s="841" t="s">
        <v>723</v>
      </c>
      <c r="C17" s="840" t="s">
        <v>129</v>
      </c>
      <c r="D17" s="344" t="s">
        <v>1438</v>
      </c>
      <c r="E17" s="699" t="e">
        <f>HLOOKUP($D$2,'2020 Data(H)'!$C$1:$CZ$428,290,FALSE)</f>
        <v>#N/A</v>
      </c>
      <c r="F17" s="301">
        <v>0</v>
      </c>
      <c r="G17" s="759">
        <f>IF(F17&gt;F12,"Please review account numbers 631 &gt; 626",)</f>
        <v>0</v>
      </c>
      <c r="H17" s="764"/>
      <c r="I17" s="764"/>
      <c r="J17" s="605"/>
      <c r="L17" s="733"/>
      <c r="Q17" s="301">
        <v>0</v>
      </c>
      <c r="Z17" s="314"/>
      <c r="AA17" s="314"/>
      <c r="AB17" s="314"/>
      <c r="AC17" s="314"/>
      <c r="AD17" s="314"/>
      <c r="AE17" s="314"/>
      <c r="AF17" s="314"/>
      <c r="AG17" s="314"/>
      <c r="AH17" s="314"/>
      <c r="AI17" s="314"/>
      <c r="AJ17" s="314"/>
      <c r="AK17" s="314"/>
      <c r="AL17" s="314"/>
      <c r="AM17" s="314"/>
      <c r="AN17" s="314"/>
      <c r="AO17" s="314"/>
      <c r="AP17" s="314"/>
      <c r="AQ17" s="314"/>
      <c r="AR17" s="314"/>
    </row>
    <row r="18" spans="1:44" ht="111.75" customHeight="1" thickBot="1" x14ac:dyDescent="0.35">
      <c r="A18" s="314">
        <v>632</v>
      </c>
      <c r="B18" s="841" t="s">
        <v>723</v>
      </c>
      <c r="C18" s="840" t="s">
        <v>129</v>
      </c>
      <c r="D18" s="344" t="s">
        <v>1439</v>
      </c>
      <c r="E18" s="699" t="e">
        <f>HLOOKUP($D$2,'2020 Data(H)'!$C$1:$CZ$428,291,FALSE)</f>
        <v>#N/A</v>
      </c>
      <c r="F18" s="301">
        <v>0</v>
      </c>
      <c r="G18" s="759">
        <f>IF(F18&gt;F12,"Please review account numbers 632 &gt; 626",)</f>
        <v>0</v>
      </c>
      <c r="H18" s="764"/>
      <c r="I18" s="764"/>
      <c r="J18" s="605"/>
      <c r="L18" s="733"/>
      <c r="Q18" s="301">
        <v>0</v>
      </c>
      <c r="Z18" s="314"/>
      <c r="AA18" s="314"/>
      <c r="AB18" s="314"/>
      <c r="AC18" s="314"/>
      <c r="AD18" s="314"/>
      <c r="AE18" s="314"/>
      <c r="AF18" s="314"/>
      <c r="AG18" s="314"/>
      <c r="AH18" s="314"/>
      <c r="AI18" s="314"/>
      <c r="AJ18" s="314"/>
      <c r="AK18" s="314"/>
      <c r="AL18" s="314"/>
      <c r="AM18" s="314"/>
      <c r="AN18" s="314"/>
      <c r="AO18" s="314"/>
      <c r="AP18" s="314"/>
      <c r="AQ18" s="314"/>
      <c r="AR18" s="314"/>
    </row>
    <row r="19" spans="1:44" ht="55.5" customHeight="1" thickBot="1" x14ac:dyDescent="0.35">
      <c r="A19" s="105">
        <v>338</v>
      </c>
      <c r="B19" s="623" t="s">
        <v>56</v>
      </c>
      <c r="C19" s="665" t="s">
        <v>129</v>
      </c>
      <c r="D19" s="104" t="s">
        <v>131</v>
      </c>
      <c r="E19" s="699" t="e">
        <f>HLOOKUP($D$2,'2020 Data(H)'!$C$1:$CZ$428,104,FALSE)</f>
        <v>#N/A</v>
      </c>
      <c r="F19" s="301">
        <v>0</v>
      </c>
      <c r="G19" s="759" t="str">
        <f>IF(F12&gt;F19,"Error: Please review accts 626 &gt; 338","")</f>
        <v/>
      </c>
      <c r="H19" s="17"/>
      <c r="I19" s="760"/>
      <c r="J19" s="605"/>
      <c r="L19" s="733"/>
      <c r="Q19" s="301">
        <v>1131889</v>
      </c>
      <c r="Z19" s="105"/>
      <c r="AA19" s="105"/>
      <c r="AB19" s="105"/>
      <c r="AC19" s="105"/>
      <c r="AD19" s="105"/>
      <c r="AE19" s="105"/>
      <c r="AF19" s="105"/>
      <c r="AG19" s="105"/>
      <c r="AH19" s="105"/>
      <c r="AI19" s="105"/>
      <c r="AJ19" s="105"/>
      <c r="AK19" s="105"/>
      <c r="AL19" s="105"/>
      <c r="AM19" s="105"/>
      <c r="AN19" s="105"/>
      <c r="AO19" s="105"/>
      <c r="AP19" s="105"/>
      <c r="AQ19" s="105"/>
      <c r="AR19" s="105"/>
    </row>
    <row r="20" spans="1:44" ht="89.25" customHeight="1" thickBot="1" x14ac:dyDescent="0.35">
      <c r="A20" s="105">
        <v>335</v>
      </c>
      <c r="B20" s="623" t="s">
        <v>56</v>
      </c>
      <c r="C20" s="665" t="s">
        <v>129</v>
      </c>
      <c r="D20" s="737" t="s">
        <v>1440</v>
      </c>
      <c r="E20" s="699" t="e">
        <f>HLOOKUP($D$2,'2020 Data(H)'!$C$1:$CZ$428,101,FALSE)</f>
        <v>#N/A</v>
      </c>
      <c r="F20" s="301">
        <v>0</v>
      </c>
      <c r="G20" s="759">
        <f>IF(F20&lt;0,"Error: Enter as positive.",)</f>
        <v>0</v>
      </c>
      <c r="H20" s="17"/>
      <c r="I20" s="379"/>
      <c r="J20" s="605"/>
      <c r="L20" s="733"/>
      <c r="Q20" s="301">
        <v>0</v>
      </c>
      <c r="Z20" s="105"/>
      <c r="AA20" s="105"/>
      <c r="AB20" s="105"/>
      <c r="AC20" s="105"/>
      <c r="AD20" s="105"/>
      <c r="AE20" s="105"/>
      <c r="AF20" s="105"/>
      <c r="AG20" s="105"/>
      <c r="AH20" s="105"/>
      <c r="AI20" s="105"/>
      <c r="AJ20" s="105"/>
      <c r="AK20" s="105"/>
      <c r="AL20" s="105"/>
      <c r="AM20" s="105"/>
      <c r="AN20" s="105"/>
      <c r="AO20" s="105"/>
      <c r="AP20" s="105"/>
      <c r="AQ20" s="105"/>
      <c r="AR20" s="105"/>
    </row>
    <row r="21" spans="1:44" ht="48.75" customHeight="1" thickBot="1" x14ac:dyDescent="0.35">
      <c r="A21" s="105">
        <v>252</v>
      </c>
      <c r="B21" s="623" t="s">
        <v>56</v>
      </c>
      <c r="C21" s="665" t="s">
        <v>129</v>
      </c>
      <c r="D21" s="104" t="s">
        <v>132</v>
      </c>
      <c r="E21" s="699" t="e">
        <f>HLOOKUP($D$2,'2020 Data(H)'!$C$1:$CZ$428,78,FALSE)</f>
        <v>#N/A</v>
      </c>
      <c r="F21" s="301">
        <v>0</v>
      </c>
      <c r="G21" s="765"/>
      <c r="H21" s="17"/>
      <c r="I21" s="77"/>
      <c r="J21" s="605"/>
      <c r="L21" s="733"/>
      <c r="Q21" s="301">
        <v>1656465</v>
      </c>
      <c r="Z21" s="105"/>
      <c r="AA21" s="105"/>
      <c r="AB21" s="105"/>
      <c r="AC21" s="105"/>
      <c r="AD21" s="105"/>
      <c r="AE21" s="105"/>
      <c r="AF21" s="105"/>
      <c r="AG21" s="105"/>
      <c r="AH21" s="105"/>
      <c r="AI21" s="105"/>
      <c r="AJ21" s="105"/>
      <c r="AK21" s="105"/>
      <c r="AL21" s="105"/>
      <c r="AM21" s="105"/>
      <c r="AN21" s="105"/>
      <c r="AO21" s="105"/>
      <c r="AP21" s="105"/>
      <c r="AQ21" s="105"/>
      <c r="AR21" s="105"/>
    </row>
    <row r="22" spans="1:44" ht="43.8" thickBot="1" x14ac:dyDescent="0.35">
      <c r="A22" s="105">
        <v>253</v>
      </c>
      <c r="B22" s="623" t="s">
        <v>56</v>
      </c>
      <c r="C22" s="665" t="s">
        <v>129</v>
      </c>
      <c r="D22" s="104" t="s">
        <v>133</v>
      </c>
      <c r="E22" s="699" t="e">
        <f>HLOOKUP($D$2,'2020 Data(H)'!$C$1:$CZ$428,79,FALSE)</f>
        <v>#N/A</v>
      </c>
      <c r="F22" s="301">
        <v>0</v>
      </c>
      <c r="G22" s="759"/>
      <c r="H22" s="17"/>
      <c r="I22" s="77"/>
      <c r="J22" s="605"/>
      <c r="L22" s="733"/>
      <c r="Q22" s="301">
        <v>172269</v>
      </c>
      <c r="Z22" s="105"/>
      <c r="AA22" s="105"/>
      <c r="AB22" s="105"/>
      <c r="AC22" s="105"/>
      <c r="AD22" s="105"/>
      <c r="AE22" s="105"/>
      <c r="AF22" s="105"/>
      <c r="AG22" s="105"/>
      <c r="AH22" s="105"/>
      <c r="AI22" s="105"/>
      <c r="AJ22" s="105"/>
      <c r="AK22" s="105"/>
      <c r="AL22" s="105"/>
      <c r="AM22" s="105"/>
      <c r="AN22" s="105"/>
      <c r="AO22" s="105"/>
      <c r="AP22" s="105"/>
      <c r="AQ22" s="105"/>
      <c r="AR22" s="105"/>
    </row>
    <row r="23" spans="1:44" ht="73.5" customHeight="1" thickBot="1" x14ac:dyDescent="0.35">
      <c r="A23" s="105">
        <v>254</v>
      </c>
      <c r="B23" s="623" t="s">
        <v>56</v>
      </c>
      <c r="C23" s="665" t="s">
        <v>129</v>
      </c>
      <c r="D23" s="104" t="s">
        <v>1441</v>
      </c>
      <c r="E23" s="699" t="e">
        <f>HLOOKUP($D$2,'2020 Data(H)'!$C$1:$CZ$428,80,FALSE)</f>
        <v>#N/A</v>
      </c>
      <c r="F23" s="301">
        <v>0</v>
      </c>
      <c r="G23" s="759">
        <f>IF(H23=0,,"Error: Total assets and deferred outflows less total liabilities and deferred inflows do not equal total net position. Account numbers  385-338-252-253-254 = 0.  The amount the formula is off is located in the cell to the right")</f>
        <v>0</v>
      </c>
      <c r="H23" s="762">
        <f>F9-F19-F21-F22-F23</f>
        <v>0</v>
      </c>
      <c r="I23" s="77"/>
      <c r="J23" s="605"/>
      <c r="L23" s="733"/>
      <c r="Q23" s="301">
        <v>1605749</v>
      </c>
      <c r="Z23" s="105"/>
      <c r="AA23" s="105"/>
      <c r="AB23" s="105"/>
      <c r="AC23" s="105"/>
      <c r="AD23" s="105"/>
      <c r="AE23" s="105"/>
      <c r="AF23" s="105"/>
      <c r="AG23" s="105"/>
      <c r="AH23" s="105"/>
      <c r="AI23" s="105"/>
      <c r="AJ23" s="105"/>
      <c r="AK23" s="105"/>
      <c r="AL23" s="105"/>
      <c r="AM23" s="105"/>
      <c r="AN23" s="105"/>
      <c r="AO23" s="105"/>
      <c r="AP23" s="105"/>
      <c r="AQ23" s="105"/>
      <c r="AR23" s="105"/>
    </row>
    <row r="24" spans="1:44" ht="21.75" customHeight="1" thickBot="1" x14ac:dyDescent="0.35">
      <c r="A24" s="105"/>
      <c r="B24" s="871" t="s">
        <v>134</v>
      </c>
      <c r="C24" s="872"/>
      <c r="D24" s="876"/>
      <c r="E24" s="877"/>
      <c r="F24" s="888"/>
      <c r="G24" s="889"/>
      <c r="H24" s="17"/>
      <c r="I24" s="77"/>
      <c r="L24" s="733"/>
      <c r="Z24" s="105"/>
      <c r="AA24" s="105"/>
      <c r="AB24" s="105"/>
      <c r="AC24" s="105"/>
      <c r="AD24" s="105"/>
      <c r="AE24" s="105"/>
      <c r="AF24" s="105"/>
      <c r="AG24" s="105"/>
      <c r="AH24" s="105"/>
      <c r="AI24" s="105"/>
      <c r="AJ24" s="105"/>
      <c r="AK24" s="105"/>
      <c r="AL24" s="105"/>
      <c r="AM24" s="105"/>
      <c r="AN24" s="105"/>
      <c r="AO24" s="105"/>
      <c r="AP24" s="105"/>
      <c r="AQ24" s="105"/>
      <c r="AR24" s="105"/>
    </row>
    <row r="25" spans="1:44" ht="59.25" customHeight="1" thickBot="1" x14ac:dyDescent="0.35">
      <c r="A25" s="105">
        <v>502</v>
      </c>
      <c r="B25" s="623" t="s">
        <v>55</v>
      </c>
      <c r="C25" s="665" t="s">
        <v>136</v>
      </c>
      <c r="D25" s="737" t="s">
        <v>1442</v>
      </c>
      <c r="E25" s="699" t="e">
        <f>HLOOKUP($D$2,'2020 Data(H)'!$C$1:$CZ$428,152,FALSE)</f>
        <v>#N/A</v>
      </c>
      <c r="F25" s="301">
        <v>0</v>
      </c>
      <c r="G25" s="759">
        <f>IF(F25&lt;0,"Note: Number is normally positive.",)</f>
        <v>0</v>
      </c>
      <c r="H25" s="17"/>
      <c r="I25" s="77"/>
      <c r="L25" s="733"/>
      <c r="Z25" s="105"/>
      <c r="AA25" s="105"/>
      <c r="AB25" s="105"/>
      <c r="AC25" s="105"/>
      <c r="AD25" s="105"/>
      <c r="AE25" s="105"/>
      <c r="AF25" s="105"/>
      <c r="AG25" s="105"/>
      <c r="AH25" s="105"/>
      <c r="AI25" s="105"/>
      <c r="AJ25" s="105"/>
      <c r="AK25" s="105"/>
      <c r="AL25" s="105"/>
      <c r="AM25" s="105"/>
      <c r="AN25" s="105"/>
      <c r="AO25" s="105"/>
      <c r="AP25" s="105"/>
      <c r="AQ25" s="105"/>
      <c r="AR25" s="105"/>
    </row>
    <row r="26" spans="1:44" ht="59.25" customHeight="1" thickBot="1" x14ac:dyDescent="0.35">
      <c r="A26" s="105">
        <v>503</v>
      </c>
      <c r="B26" s="623" t="s">
        <v>55</v>
      </c>
      <c r="C26" s="665" t="s">
        <v>136</v>
      </c>
      <c r="D26" s="104" t="s">
        <v>135</v>
      </c>
      <c r="E26" s="699" t="e">
        <f>HLOOKUP($D$2,'2020 Data(H)'!$C$1:$CZ$428,153,FALSE)</f>
        <v>#N/A</v>
      </c>
      <c r="F26" s="271">
        <v>0</v>
      </c>
      <c r="G26" s="759">
        <f>IF(F26&lt;0,"Note: Number is normally positive.",)</f>
        <v>0</v>
      </c>
      <c r="H26" s="17"/>
      <c r="I26" s="77"/>
      <c r="L26" s="733"/>
      <c r="Z26" s="105"/>
      <c r="AA26" s="105"/>
      <c r="AB26" s="105"/>
      <c r="AC26" s="105"/>
      <c r="AD26" s="105"/>
      <c r="AE26" s="105"/>
      <c r="AF26" s="105"/>
      <c r="AG26" s="105"/>
      <c r="AH26" s="105"/>
      <c r="AI26" s="105"/>
      <c r="AJ26" s="105"/>
      <c r="AK26" s="105"/>
      <c r="AL26" s="105"/>
      <c r="AM26" s="105"/>
      <c r="AN26" s="105"/>
      <c r="AO26" s="105"/>
      <c r="AP26" s="105"/>
      <c r="AQ26" s="105"/>
      <c r="AR26" s="105"/>
    </row>
    <row r="27" spans="1:44" ht="27" customHeight="1" thickBot="1" x14ac:dyDescent="0.35">
      <c r="A27" s="105"/>
      <c r="B27" s="871" t="s">
        <v>137</v>
      </c>
      <c r="C27" s="872"/>
      <c r="D27" s="876"/>
      <c r="E27" s="877"/>
      <c r="F27" s="878"/>
      <c r="G27" s="879"/>
      <c r="H27" s="17"/>
      <c r="I27" s="77"/>
      <c r="L27" s="733"/>
      <c r="Z27" s="105"/>
      <c r="AA27" s="105"/>
      <c r="AB27" s="105"/>
      <c r="AC27" s="105"/>
      <c r="AD27" s="105"/>
      <c r="AE27" s="105"/>
      <c r="AF27" s="105"/>
      <c r="AG27" s="105"/>
      <c r="AH27" s="105"/>
      <c r="AI27" s="105"/>
      <c r="AJ27" s="105"/>
      <c r="AK27" s="105"/>
      <c r="AL27" s="105"/>
      <c r="AM27" s="105"/>
      <c r="AN27" s="105"/>
      <c r="AO27" s="105"/>
      <c r="AP27" s="105"/>
      <c r="AQ27" s="105"/>
      <c r="AR27" s="105"/>
    </row>
    <row r="28" spans="1:44" ht="49.5" customHeight="1" thickBot="1" x14ac:dyDescent="0.35">
      <c r="A28" s="105">
        <v>344</v>
      </c>
      <c r="B28" s="623" t="s">
        <v>56</v>
      </c>
      <c r="C28" s="623" t="s">
        <v>144</v>
      </c>
      <c r="D28" s="104" t="s">
        <v>138</v>
      </c>
      <c r="E28" s="699" t="e">
        <f>HLOOKUP($D$2,'2020 Data(H)'!$C$1:$CZ$428,110,FALSE)</f>
        <v>#N/A</v>
      </c>
      <c r="F28" s="301">
        <v>0</v>
      </c>
      <c r="G28" s="759">
        <f t="shared" ref="G28:G35" si="0">IF(F28&lt;0,"Error: Enter as positive.",)</f>
        <v>0</v>
      </c>
      <c r="H28" s="17"/>
      <c r="I28" s="77"/>
      <c r="L28" s="733"/>
      <c r="Z28" s="105"/>
      <c r="AA28" s="105"/>
      <c r="AB28" s="105"/>
      <c r="AC28" s="105"/>
      <c r="AD28" s="105"/>
      <c r="AE28" s="105"/>
      <c r="AF28" s="105"/>
      <c r="AG28" s="105"/>
      <c r="AH28" s="105"/>
      <c r="AI28" s="105"/>
      <c r="AJ28" s="105"/>
      <c r="AK28" s="105"/>
      <c r="AL28" s="105"/>
      <c r="AM28" s="105"/>
      <c r="AN28" s="105"/>
      <c r="AO28" s="105"/>
      <c r="AP28" s="105"/>
      <c r="AQ28" s="105"/>
      <c r="AR28" s="105"/>
    </row>
    <row r="29" spans="1:44" ht="49.5" customHeight="1" thickBot="1" x14ac:dyDescent="0.35">
      <c r="A29" s="105">
        <v>388</v>
      </c>
      <c r="B29" s="623" t="s">
        <v>60</v>
      </c>
      <c r="C29" s="623" t="s">
        <v>144</v>
      </c>
      <c r="D29" s="104" t="s">
        <v>139</v>
      </c>
      <c r="E29" s="699" t="e">
        <f>HLOOKUP($D$2,'2020 Data(H)'!$C$1:$CZ$428,147,FALSE)</f>
        <v>#N/A</v>
      </c>
      <c r="F29" s="301">
        <v>0</v>
      </c>
      <c r="G29" s="759">
        <f t="shared" si="0"/>
        <v>0</v>
      </c>
      <c r="H29" s="17"/>
      <c r="I29" s="77"/>
      <c r="J29" s="605"/>
      <c r="L29" s="733"/>
      <c r="Z29" s="105"/>
      <c r="AA29" s="105"/>
      <c r="AB29" s="105"/>
      <c r="AC29" s="105"/>
      <c r="AD29" s="105"/>
      <c r="AE29" s="105"/>
      <c r="AF29" s="105"/>
      <c r="AG29" s="105"/>
      <c r="AH29" s="105"/>
      <c r="AI29" s="105"/>
      <c r="AJ29" s="105"/>
      <c r="AK29" s="105"/>
      <c r="AL29" s="105"/>
      <c r="AM29" s="105"/>
      <c r="AN29" s="105"/>
      <c r="AO29" s="105"/>
      <c r="AP29" s="105"/>
      <c r="AQ29" s="105"/>
      <c r="AR29" s="105"/>
    </row>
    <row r="30" spans="1:44" ht="51.75" customHeight="1" thickBot="1" x14ac:dyDescent="0.35">
      <c r="A30" s="105">
        <v>339</v>
      </c>
      <c r="B30" s="623" t="s">
        <v>56</v>
      </c>
      <c r="C30" s="623" t="s">
        <v>144</v>
      </c>
      <c r="D30" s="104" t="s">
        <v>140</v>
      </c>
      <c r="E30" s="699" t="e">
        <f>HLOOKUP($D$2,'2020 Data(H)'!$C$1:$CZ$428,105,FALSE)</f>
        <v>#N/A</v>
      </c>
      <c r="F30" s="301">
        <v>0</v>
      </c>
      <c r="G30" s="759">
        <f t="shared" si="0"/>
        <v>0</v>
      </c>
      <c r="H30" s="17"/>
      <c r="I30" s="77"/>
      <c r="J30" s="605"/>
      <c r="L30" s="733"/>
      <c r="Z30" s="105"/>
      <c r="AA30" s="105"/>
      <c r="AB30" s="105"/>
      <c r="AC30" s="105"/>
      <c r="AD30" s="105"/>
      <c r="AE30" s="105"/>
      <c r="AF30" s="105"/>
      <c r="AG30" s="105"/>
      <c r="AH30" s="105"/>
      <c r="AI30" s="105"/>
      <c r="AJ30" s="105"/>
      <c r="AK30" s="105"/>
      <c r="AL30" s="105"/>
      <c r="AM30" s="105"/>
      <c r="AN30" s="105"/>
      <c r="AO30" s="105"/>
      <c r="AP30" s="105"/>
      <c r="AQ30" s="105"/>
      <c r="AR30" s="105"/>
    </row>
    <row r="31" spans="1:44" ht="50.25" customHeight="1" thickBot="1" x14ac:dyDescent="0.35">
      <c r="A31" s="105">
        <v>504</v>
      </c>
      <c r="B31" s="623" t="s">
        <v>56</v>
      </c>
      <c r="C31" s="623" t="s">
        <v>144</v>
      </c>
      <c r="D31" s="104" t="s">
        <v>141</v>
      </c>
      <c r="E31" s="699" t="e">
        <f>HLOOKUP($D$2,'2020 Data(H)'!$C$1:$CZ$428,154,FALSE)</f>
        <v>#N/A</v>
      </c>
      <c r="F31" s="301">
        <v>0</v>
      </c>
      <c r="G31" s="759">
        <f t="shared" si="0"/>
        <v>0</v>
      </c>
      <c r="H31" s="17"/>
      <c r="I31" s="77"/>
      <c r="J31" s="605"/>
      <c r="L31" s="733"/>
      <c r="Z31" s="105"/>
      <c r="AA31" s="105"/>
      <c r="AB31" s="105"/>
      <c r="AC31" s="105"/>
      <c r="AD31" s="105"/>
      <c r="AE31" s="105"/>
      <c r="AF31" s="105"/>
      <c r="AG31" s="105"/>
      <c r="AH31" s="105"/>
      <c r="AI31" s="105"/>
      <c r="AJ31" s="105"/>
      <c r="AK31" s="105"/>
      <c r="AL31" s="105"/>
      <c r="AM31" s="105"/>
      <c r="AN31" s="105"/>
      <c r="AO31" s="105"/>
      <c r="AP31" s="105"/>
      <c r="AQ31" s="105"/>
      <c r="AR31" s="105"/>
    </row>
    <row r="32" spans="1:44" ht="60" customHeight="1" thickBot="1" x14ac:dyDescent="0.35">
      <c r="A32" s="105">
        <v>505</v>
      </c>
      <c r="B32" s="623" t="s">
        <v>56</v>
      </c>
      <c r="C32" s="623" t="s">
        <v>144</v>
      </c>
      <c r="D32" s="718" t="s">
        <v>142</v>
      </c>
      <c r="E32" s="699" t="e">
        <f>HLOOKUP($D$2,'2020 Data(H)'!$C$1:$CZ$428,155,FALSE)</f>
        <v>#N/A</v>
      </c>
      <c r="F32" s="301">
        <v>0</v>
      </c>
      <c r="G32" s="759">
        <f t="shared" si="0"/>
        <v>0</v>
      </c>
      <c r="H32" s="17"/>
      <c r="I32" s="77"/>
      <c r="J32" s="605"/>
      <c r="L32" s="733"/>
      <c r="Z32" s="105"/>
      <c r="AA32" s="105"/>
      <c r="AB32" s="105"/>
      <c r="AC32" s="105"/>
      <c r="AD32" s="105"/>
      <c r="AE32" s="105"/>
      <c r="AF32" s="105"/>
      <c r="AG32" s="105"/>
      <c r="AH32" s="105"/>
      <c r="AI32" s="105"/>
      <c r="AJ32" s="105"/>
      <c r="AK32" s="105"/>
      <c r="AL32" s="105"/>
      <c r="AM32" s="105"/>
      <c r="AN32" s="105"/>
      <c r="AO32" s="105"/>
      <c r="AP32" s="105"/>
      <c r="AQ32" s="105"/>
      <c r="AR32" s="105"/>
    </row>
    <row r="33" spans="1:44" ht="67.95" customHeight="1" thickBot="1" x14ac:dyDescent="0.35">
      <c r="A33" s="105">
        <v>341</v>
      </c>
      <c r="B33" s="623" t="s">
        <v>56</v>
      </c>
      <c r="C33" s="623" t="s">
        <v>144</v>
      </c>
      <c r="D33" s="737" t="s">
        <v>1443</v>
      </c>
      <c r="E33" s="699" t="e">
        <f>HLOOKUP($D$2,'2020 Data(H)'!$C$1:$CZ$428,107,FALSE)</f>
        <v>#N/A</v>
      </c>
      <c r="F33" s="301">
        <v>0</v>
      </c>
      <c r="G33" s="759">
        <f t="shared" si="0"/>
        <v>0</v>
      </c>
      <c r="H33" s="17"/>
      <c r="I33" s="77"/>
      <c r="J33" s="605"/>
      <c r="L33" s="733"/>
      <c r="Z33" s="105"/>
      <c r="AA33" s="105"/>
      <c r="AB33" s="105"/>
      <c r="AC33" s="105"/>
      <c r="AD33" s="105"/>
      <c r="AE33" s="105"/>
      <c r="AF33" s="105"/>
      <c r="AG33" s="105"/>
      <c r="AH33" s="105"/>
      <c r="AI33" s="105"/>
      <c r="AJ33" s="105"/>
      <c r="AK33" s="105"/>
      <c r="AL33" s="105"/>
      <c r="AM33" s="105"/>
      <c r="AN33" s="105"/>
      <c r="AO33" s="105"/>
      <c r="AP33" s="105"/>
      <c r="AQ33" s="105"/>
      <c r="AR33" s="105"/>
    </row>
    <row r="34" spans="1:44" ht="44.25" customHeight="1" thickBot="1" x14ac:dyDescent="0.35">
      <c r="A34" s="105">
        <v>386</v>
      </c>
      <c r="B34" s="623" t="s">
        <v>56</v>
      </c>
      <c r="C34" s="623" t="s">
        <v>144</v>
      </c>
      <c r="D34" s="104" t="s">
        <v>1444</v>
      </c>
      <c r="E34" s="699" t="e">
        <f>HLOOKUP($D$2,'2020 Data(H)'!$C$1:$CZ$428,145,FALSE)</f>
        <v>#N/A</v>
      </c>
      <c r="F34" s="301">
        <v>0</v>
      </c>
      <c r="G34" s="759">
        <f t="shared" si="0"/>
        <v>0</v>
      </c>
      <c r="H34" s="17"/>
      <c r="I34" s="77"/>
      <c r="L34" s="733"/>
      <c r="Z34" s="105"/>
      <c r="AA34" s="105"/>
      <c r="AB34" s="105"/>
      <c r="AC34" s="105"/>
      <c r="AD34" s="105"/>
      <c r="AE34" s="105"/>
      <c r="AF34" s="105"/>
      <c r="AG34" s="105"/>
      <c r="AH34" s="105"/>
      <c r="AI34" s="105"/>
      <c r="AJ34" s="105"/>
      <c r="AK34" s="105"/>
      <c r="AL34" s="105"/>
      <c r="AM34" s="105"/>
      <c r="AN34" s="105"/>
      <c r="AO34" s="105"/>
      <c r="AP34" s="105"/>
      <c r="AQ34" s="105"/>
      <c r="AR34" s="105"/>
    </row>
    <row r="35" spans="1:44" ht="48.75" customHeight="1" thickBot="1" x14ac:dyDescent="0.35">
      <c r="A35" s="105">
        <v>387</v>
      </c>
      <c r="B35" s="623" t="s">
        <v>60</v>
      </c>
      <c r="C35" s="623" t="s">
        <v>144</v>
      </c>
      <c r="D35" s="104" t="s">
        <v>1445</v>
      </c>
      <c r="E35" s="699" t="e">
        <f>HLOOKUP($D$2,'2020 Data(H)'!$C$1:$CZ$428,146,FALSE)</f>
        <v>#N/A</v>
      </c>
      <c r="F35" s="301">
        <v>0</v>
      </c>
      <c r="G35" s="759">
        <f t="shared" si="0"/>
        <v>0</v>
      </c>
      <c r="H35" s="17"/>
      <c r="I35" s="77"/>
      <c r="L35" s="733"/>
      <c r="Z35" s="105"/>
      <c r="AA35" s="105"/>
      <c r="AB35" s="105"/>
      <c r="AC35" s="105"/>
      <c r="AD35" s="105"/>
      <c r="AE35" s="105"/>
      <c r="AF35" s="105"/>
      <c r="AG35" s="105"/>
      <c r="AH35" s="105"/>
      <c r="AI35" s="105"/>
      <c r="AJ35" s="105"/>
      <c r="AK35" s="105"/>
      <c r="AL35" s="105"/>
      <c r="AM35" s="105"/>
      <c r="AN35" s="105"/>
      <c r="AO35" s="105"/>
      <c r="AP35" s="105"/>
      <c r="AQ35" s="105"/>
      <c r="AR35" s="105"/>
    </row>
    <row r="36" spans="1:44" ht="92.25" customHeight="1" thickBot="1" x14ac:dyDescent="0.35">
      <c r="A36" s="105">
        <v>389</v>
      </c>
      <c r="B36" s="623" t="s">
        <v>60</v>
      </c>
      <c r="C36" s="623" t="s">
        <v>144</v>
      </c>
      <c r="D36" s="737" t="s">
        <v>1446</v>
      </c>
      <c r="E36" s="699" t="e">
        <f>HLOOKUP($D$2,'2020 Data(H)'!$C$1:$CZ$428,148,FALSE)</f>
        <v>#N/A</v>
      </c>
      <c r="F36" s="301">
        <v>0</v>
      </c>
      <c r="G36" s="759"/>
      <c r="H36" s="17"/>
      <c r="I36" s="77"/>
      <c r="J36" s="605"/>
      <c r="L36" s="733"/>
      <c r="Z36" s="105"/>
      <c r="AA36" s="105"/>
      <c r="AB36" s="105"/>
      <c r="AC36" s="105"/>
      <c r="AD36" s="105"/>
      <c r="AE36" s="105"/>
      <c r="AF36" s="105"/>
      <c r="AG36" s="105"/>
      <c r="AH36" s="105"/>
      <c r="AI36" s="105"/>
      <c r="AJ36" s="105"/>
      <c r="AK36" s="105"/>
      <c r="AL36" s="105"/>
      <c r="AM36" s="105"/>
      <c r="AN36" s="105"/>
      <c r="AO36" s="105"/>
      <c r="AP36" s="105"/>
      <c r="AQ36" s="105"/>
      <c r="AR36" s="105"/>
    </row>
    <row r="37" spans="1:44" ht="84.75" customHeight="1" thickBot="1" x14ac:dyDescent="0.35">
      <c r="A37" s="105">
        <v>255</v>
      </c>
      <c r="B37" s="623" t="s">
        <v>56</v>
      </c>
      <c r="C37" s="623" t="s">
        <v>144</v>
      </c>
      <c r="D37" s="737" t="s">
        <v>1447</v>
      </c>
      <c r="E37" s="699" t="e">
        <f>HLOOKUP($D$2,'2020 Data(H)'!$C$1:$CZ$428,81,FALSE)</f>
        <v>#N/A</v>
      </c>
      <c r="F37" s="301">
        <v>0</v>
      </c>
      <c r="G37" s="759">
        <f>IF(H37=0,,"Error: Total revenues less total expenses do not equal total change in net position. Account numbers 339+504+505+341+386-387+389-388-255 = 0  The amount the formula is off is located in the cell to the right")</f>
        <v>0</v>
      </c>
      <c r="H37" s="762">
        <f>F30+F31+F32+F33+F34-F35+F36-F29-F37</f>
        <v>0</v>
      </c>
      <c r="I37" s="77"/>
      <c r="J37" s="605"/>
      <c r="L37" s="733"/>
      <c r="Z37" s="105"/>
      <c r="AA37" s="105"/>
      <c r="AB37" s="105"/>
      <c r="AC37" s="105"/>
      <c r="AD37" s="105"/>
      <c r="AE37" s="105"/>
      <c r="AF37" s="105"/>
      <c r="AG37" s="105"/>
      <c r="AH37" s="105"/>
      <c r="AI37" s="105"/>
      <c r="AJ37" s="105"/>
      <c r="AK37" s="105"/>
      <c r="AL37" s="105"/>
      <c r="AM37" s="105"/>
      <c r="AN37" s="105"/>
      <c r="AO37" s="105"/>
      <c r="AP37" s="105"/>
      <c r="AQ37" s="105"/>
      <c r="AR37" s="105"/>
    </row>
    <row r="38" spans="1:44" ht="138" customHeight="1" thickBot="1" x14ac:dyDescent="0.35">
      <c r="A38" s="105">
        <v>376</v>
      </c>
      <c r="B38" s="623" t="s">
        <v>56</v>
      </c>
      <c r="C38" s="623" t="s">
        <v>144</v>
      </c>
      <c r="D38" s="737" t="s">
        <v>1448</v>
      </c>
      <c r="E38" s="699" t="e">
        <f>HLOOKUP($D$2,'2020 Data(H)'!$C$1:$CZ$428,135,FALSE)</f>
        <v>#N/A</v>
      </c>
      <c r="F38" s="299">
        <v>0</v>
      </c>
      <c r="G38" s="941" t="e">
        <f>IF(H38=0,,"Error: Beginning Balance does not agree with our records.  Account numbers  252+253+254-255-376-(Prior Year 252+253+254)=0  The amount the formula is off is located in the cell to the right")</f>
        <v>#N/A</v>
      </c>
      <c r="H38" s="766" t="e">
        <f>F21+F22+F23-F37-F38-(E21+E22+E23)</f>
        <v>#N/A</v>
      </c>
      <c r="I38" s="1266" t="s">
        <v>1830</v>
      </c>
      <c r="J38" s="605"/>
      <c r="L38" s="733"/>
      <c r="Z38" s="105"/>
      <c r="AA38" s="105"/>
      <c r="AB38" s="105"/>
      <c r="AC38" s="105"/>
      <c r="AD38" s="105"/>
      <c r="AE38" s="105"/>
      <c r="AF38" s="105"/>
      <c r="AG38" s="105"/>
      <c r="AH38" s="105"/>
      <c r="AI38" s="105"/>
      <c r="AJ38" s="105"/>
      <c r="AK38" s="105"/>
      <c r="AL38" s="105"/>
      <c r="AM38" s="105"/>
      <c r="AN38" s="105"/>
      <c r="AO38" s="105"/>
      <c r="AP38" s="105"/>
      <c r="AQ38" s="105"/>
      <c r="AR38" s="105"/>
    </row>
    <row r="39" spans="1:44" s="18" customFormat="1" ht="141.75" customHeight="1" thickBot="1" x14ac:dyDescent="0.35">
      <c r="A39" s="105">
        <v>597</v>
      </c>
      <c r="B39" s="665" t="s">
        <v>607</v>
      </c>
      <c r="C39" s="665" t="s">
        <v>673</v>
      </c>
      <c r="D39" s="842" t="s">
        <v>1449</v>
      </c>
      <c r="E39" s="699" t="e">
        <f>HLOOKUP($D$2,'2020 Data(H)'!$C$1:$CZ$428,256,FALSE)</f>
        <v>#N/A</v>
      </c>
      <c r="F39" s="299">
        <v>0</v>
      </c>
      <c r="G39" s="759">
        <f>IF(F39&lt;0,"Note: Number is normally positive.",)</f>
        <v>0</v>
      </c>
      <c r="H39" s="760"/>
      <c r="I39" s="761"/>
      <c r="J39" s="605"/>
      <c r="L39" s="733"/>
      <c r="N39" s="302"/>
      <c r="Z39" s="105"/>
      <c r="AA39" s="105"/>
      <c r="AB39" s="105"/>
      <c r="AC39" s="105"/>
      <c r="AD39" s="105"/>
      <c r="AE39" s="105"/>
      <c r="AF39" s="105"/>
      <c r="AG39" s="105"/>
      <c r="AH39" s="105"/>
      <c r="AI39" s="105"/>
      <c r="AJ39" s="105"/>
      <c r="AK39" s="105"/>
      <c r="AL39" s="105"/>
      <c r="AM39" s="105"/>
      <c r="AN39" s="105"/>
      <c r="AO39" s="105"/>
      <c r="AP39" s="105"/>
      <c r="AQ39" s="105"/>
      <c r="AR39" s="105"/>
    </row>
    <row r="40" spans="1:44" ht="25.5" customHeight="1" thickBot="1" x14ac:dyDescent="0.35">
      <c r="A40" s="105"/>
      <c r="B40" s="871" t="s">
        <v>606</v>
      </c>
      <c r="C40" s="872"/>
      <c r="D40" s="876"/>
      <c r="E40" s="877"/>
      <c r="F40" s="878"/>
      <c r="G40" s="879"/>
      <c r="H40" s="17"/>
      <c r="I40" s="77"/>
      <c r="L40" s="733"/>
      <c r="Z40" s="105"/>
      <c r="AA40" s="105"/>
      <c r="AB40" s="105"/>
      <c r="AC40" s="105"/>
      <c r="AD40" s="105"/>
      <c r="AE40" s="105"/>
      <c r="AF40" s="105"/>
      <c r="AG40" s="105"/>
      <c r="AH40" s="105"/>
      <c r="AI40" s="105"/>
      <c r="AJ40" s="105"/>
      <c r="AK40" s="105"/>
      <c r="AL40" s="105"/>
      <c r="AM40" s="105"/>
      <c r="AN40" s="105"/>
      <c r="AO40" s="105"/>
      <c r="AP40" s="105"/>
      <c r="AQ40" s="105"/>
      <c r="AR40" s="105"/>
    </row>
    <row r="41" spans="1:44" s="18" customFormat="1" ht="86.25" customHeight="1" thickBot="1" x14ac:dyDescent="0.35">
      <c r="A41" s="105">
        <v>592</v>
      </c>
      <c r="B41" s="665" t="s">
        <v>59</v>
      </c>
      <c r="C41" s="665" t="s">
        <v>608</v>
      </c>
      <c r="D41" s="737" t="s">
        <v>1450</v>
      </c>
      <c r="E41" s="699" t="e">
        <f>HLOOKUP($D$2,'2020 Data(H)'!$C$1:$CZ$428,253,FALSE)</f>
        <v>#N/A</v>
      </c>
      <c r="F41" s="767">
        <v>0</v>
      </c>
      <c r="G41" s="759"/>
      <c r="H41" s="760"/>
      <c r="J41" s="605"/>
      <c r="L41" s="733"/>
      <c r="N41" s="302"/>
      <c r="Z41" s="105"/>
      <c r="AA41" s="105"/>
      <c r="AB41" s="105"/>
      <c r="AC41" s="105"/>
      <c r="AD41" s="105"/>
      <c r="AE41" s="105"/>
      <c r="AF41" s="105"/>
      <c r="AG41" s="105"/>
      <c r="AH41" s="105"/>
      <c r="AI41" s="105"/>
      <c r="AJ41" s="105"/>
      <c r="AK41" s="105"/>
      <c r="AL41" s="105"/>
      <c r="AM41" s="105"/>
      <c r="AN41" s="105"/>
      <c r="AO41" s="105"/>
      <c r="AP41" s="105"/>
      <c r="AQ41" s="105"/>
      <c r="AR41" s="105"/>
    </row>
    <row r="42" spans="1:44" s="18" customFormat="1" ht="71.25" customHeight="1" thickBot="1" x14ac:dyDescent="0.35">
      <c r="A42" s="105">
        <v>591</v>
      </c>
      <c r="B42" s="665" t="s">
        <v>59</v>
      </c>
      <c r="C42" s="665" t="s">
        <v>608</v>
      </c>
      <c r="D42" s="104" t="s">
        <v>609</v>
      </c>
      <c r="E42" s="699" t="e">
        <f>HLOOKUP($D$2,'2020 Data(H)'!$C$1:$CZ$428,252,FALSE)</f>
        <v>#N/A</v>
      </c>
      <c r="F42" s="767">
        <v>0</v>
      </c>
      <c r="G42" s="759">
        <f>IF(F42&lt;0,"Error: Enter as positive.",)</f>
        <v>0</v>
      </c>
      <c r="H42" s="760"/>
      <c r="J42" s="605"/>
      <c r="L42" s="733"/>
      <c r="N42" s="302"/>
      <c r="Z42" s="105"/>
      <c r="AA42" s="105"/>
      <c r="AB42" s="105"/>
      <c r="AC42" s="105"/>
      <c r="AD42" s="105"/>
      <c r="AE42" s="105"/>
      <c r="AF42" s="105"/>
      <c r="AG42" s="105"/>
      <c r="AH42" s="105"/>
      <c r="AI42" s="105"/>
      <c r="AJ42" s="105"/>
      <c r="AK42" s="105"/>
      <c r="AL42" s="105"/>
      <c r="AM42" s="105"/>
      <c r="AN42" s="105"/>
      <c r="AO42" s="105"/>
      <c r="AP42" s="105"/>
      <c r="AQ42" s="105"/>
      <c r="AR42" s="105"/>
    </row>
    <row r="43" spans="1:44" s="18" customFormat="1" ht="71.25" hidden="1" customHeight="1" thickBot="1" x14ac:dyDescent="0.35">
      <c r="A43" s="105">
        <v>593</v>
      </c>
      <c r="B43" s="665" t="s">
        <v>59</v>
      </c>
      <c r="C43" s="843" t="s">
        <v>608</v>
      </c>
      <c r="D43" s="104" t="s">
        <v>1393</v>
      </c>
      <c r="E43" s="699" t="s">
        <v>1552</v>
      </c>
      <c r="F43" s="767">
        <v>0</v>
      </c>
      <c r="G43" s="759"/>
      <c r="H43" s="760"/>
      <c r="J43" s="605"/>
      <c r="L43" s="733"/>
      <c r="N43" s="302"/>
      <c r="Z43" s="105"/>
      <c r="AA43" s="105"/>
      <c r="AB43" s="105"/>
      <c r="AC43" s="105"/>
      <c r="AD43" s="105"/>
      <c r="AE43" s="105"/>
      <c r="AF43" s="105"/>
      <c r="AG43" s="105"/>
      <c r="AH43" s="105"/>
      <c r="AI43" s="105"/>
      <c r="AJ43" s="105"/>
      <c r="AK43" s="105"/>
      <c r="AL43" s="105"/>
      <c r="AM43" s="105"/>
      <c r="AN43" s="105"/>
      <c r="AO43" s="105"/>
      <c r="AP43" s="105"/>
      <c r="AQ43" s="105"/>
      <c r="AR43" s="105"/>
    </row>
    <row r="44" spans="1:44" s="18" customFormat="1" ht="71.25" hidden="1" customHeight="1" thickBot="1" x14ac:dyDescent="0.35">
      <c r="A44" s="105">
        <v>594</v>
      </c>
      <c r="B44" s="665" t="s">
        <v>59</v>
      </c>
      <c r="C44" s="843" t="s">
        <v>608</v>
      </c>
      <c r="D44" s="104" t="s">
        <v>1394</v>
      </c>
      <c r="E44" s="699" t="s">
        <v>1552</v>
      </c>
      <c r="F44" s="767">
        <v>0</v>
      </c>
      <c r="G44" s="759"/>
      <c r="H44" s="760"/>
      <c r="J44" s="605"/>
      <c r="L44" s="733"/>
      <c r="N44" s="302"/>
      <c r="Z44" s="105"/>
      <c r="AA44" s="105"/>
      <c r="AB44" s="105"/>
      <c r="AC44" s="105"/>
      <c r="AD44" s="105"/>
      <c r="AE44" s="105"/>
      <c r="AF44" s="105"/>
      <c r="AG44" s="105"/>
      <c r="AH44" s="105"/>
      <c r="AI44" s="105"/>
      <c r="AJ44" s="105"/>
      <c r="AK44" s="105"/>
      <c r="AL44" s="105"/>
      <c r="AM44" s="105"/>
      <c r="AN44" s="105"/>
      <c r="AO44" s="105"/>
      <c r="AP44" s="105"/>
      <c r="AQ44" s="105"/>
      <c r="AR44" s="105"/>
    </row>
    <row r="45" spans="1:44" s="18" customFormat="1" ht="27" hidden="1" customHeight="1" thickBot="1" x14ac:dyDescent="0.35">
      <c r="A45" s="105"/>
      <c r="B45" s="871" t="s">
        <v>1556</v>
      </c>
      <c r="C45" s="927"/>
      <c r="D45" s="928"/>
      <c r="E45" s="904"/>
      <c r="F45" s="878"/>
      <c r="G45" s="889"/>
      <c r="H45" s="760"/>
      <c r="J45" s="605"/>
      <c r="L45" s="733"/>
      <c r="N45" s="302"/>
      <c r="Z45" s="105"/>
      <c r="AA45" s="105"/>
      <c r="AB45" s="105"/>
      <c r="AC45" s="105"/>
      <c r="AD45" s="105"/>
      <c r="AE45" s="105"/>
      <c r="AF45" s="105"/>
      <c r="AG45" s="105"/>
      <c r="AH45" s="105"/>
      <c r="AI45" s="105"/>
      <c r="AJ45" s="105"/>
      <c r="AK45" s="105"/>
      <c r="AL45" s="105"/>
      <c r="AM45" s="105"/>
      <c r="AN45" s="105"/>
      <c r="AO45" s="105"/>
      <c r="AP45" s="105"/>
      <c r="AQ45" s="105"/>
      <c r="AR45" s="105"/>
    </row>
    <row r="46" spans="1:44" s="18" customFormat="1" ht="71.25" hidden="1" customHeight="1" thickBot="1" x14ac:dyDescent="0.35">
      <c r="A46" s="105">
        <v>558</v>
      </c>
      <c r="B46" s="665" t="s">
        <v>59</v>
      </c>
      <c r="C46" s="843" t="s">
        <v>1395</v>
      </c>
      <c r="D46" s="104" t="s">
        <v>1400</v>
      </c>
      <c r="E46" s="699" t="e">
        <f>HLOOKUP($D$2,'2020 Data(H)'!$C$1:$CZ$428,208,FALSE)</f>
        <v>#N/A</v>
      </c>
      <c r="F46" s="767">
        <v>0</v>
      </c>
      <c r="G46" s="759"/>
      <c r="H46" s="760"/>
      <c r="J46" s="605"/>
      <c r="L46" s="733"/>
      <c r="N46" s="302"/>
      <c r="Z46" s="105"/>
      <c r="AA46" s="105"/>
      <c r="AB46" s="105"/>
      <c r="AC46" s="105"/>
      <c r="AD46" s="105"/>
      <c r="AE46" s="105"/>
      <c r="AF46" s="105"/>
      <c r="AG46" s="105"/>
      <c r="AH46" s="105"/>
      <c r="AI46" s="105"/>
      <c r="AJ46" s="105"/>
      <c r="AK46" s="105"/>
      <c r="AL46" s="105"/>
      <c r="AM46" s="105"/>
      <c r="AN46" s="105"/>
      <c r="AO46" s="105"/>
      <c r="AP46" s="105"/>
      <c r="AQ46" s="105"/>
      <c r="AR46" s="105"/>
    </row>
    <row r="47" spans="1:44" s="18" customFormat="1" ht="71.25" hidden="1" customHeight="1" thickBot="1" x14ac:dyDescent="0.35">
      <c r="A47" s="105">
        <v>559</v>
      </c>
      <c r="B47" s="665" t="s">
        <v>59</v>
      </c>
      <c r="C47" s="843" t="s">
        <v>1395</v>
      </c>
      <c r="D47" s="104" t="s">
        <v>146</v>
      </c>
      <c r="E47" s="699" t="e">
        <f>HLOOKUP($D$2,'2020 Data(H)'!$C$1:$CZ$428,209,FALSE)</f>
        <v>#N/A</v>
      </c>
      <c r="F47" s="767">
        <v>0</v>
      </c>
      <c r="G47" s="759"/>
      <c r="H47" s="760"/>
      <c r="J47" s="605"/>
      <c r="L47" s="733"/>
      <c r="N47" s="302"/>
      <c r="Z47" s="105"/>
      <c r="AA47" s="105"/>
      <c r="AB47" s="105"/>
      <c r="AC47" s="105"/>
      <c r="AD47" s="105"/>
      <c r="AE47" s="105"/>
      <c r="AF47" s="105"/>
      <c r="AG47" s="105"/>
      <c r="AH47" s="105"/>
      <c r="AI47" s="105"/>
      <c r="AJ47" s="105"/>
      <c r="AK47" s="105"/>
      <c r="AL47" s="105"/>
      <c r="AM47" s="105"/>
      <c r="AN47" s="105"/>
      <c r="AO47" s="105"/>
      <c r="AP47" s="105"/>
      <c r="AQ47" s="105"/>
      <c r="AR47" s="105"/>
    </row>
    <row r="48" spans="1:44" s="18" customFormat="1" ht="108" hidden="1" customHeight="1" thickBot="1" x14ac:dyDescent="0.35">
      <c r="A48" s="105">
        <v>560</v>
      </c>
      <c r="B48" s="665" t="s">
        <v>59</v>
      </c>
      <c r="C48" s="843" t="s">
        <v>1395</v>
      </c>
      <c r="D48" s="737" t="s">
        <v>1397</v>
      </c>
      <c r="E48" s="699" t="e">
        <f>HLOOKUP($D$2,'2020 Data(H)'!$C$1:$CZ$428,210,FALSE)</f>
        <v>#N/A</v>
      </c>
      <c r="F48" s="767">
        <v>0</v>
      </c>
      <c r="G48" s="759"/>
      <c r="H48" s="760"/>
      <c r="J48" s="605"/>
      <c r="L48" s="733"/>
      <c r="N48" s="302"/>
      <c r="Z48" s="105"/>
      <c r="AA48" s="105"/>
      <c r="AB48" s="105"/>
      <c r="AC48" s="105"/>
      <c r="AD48" s="105"/>
      <c r="AE48" s="105"/>
      <c r="AF48" s="105"/>
      <c r="AG48" s="105"/>
      <c r="AH48" s="105"/>
      <c r="AI48" s="105"/>
      <c r="AJ48" s="105"/>
      <c r="AK48" s="105"/>
      <c r="AL48" s="105"/>
      <c r="AM48" s="105"/>
      <c r="AN48" s="105"/>
      <c r="AO48" s="105"/>
      <c r="AP48" s="105"/>
      <c r="AQ48" s="105"/>
      <c r="AR48" s="105"/>
    </row>
    <row r="49" spans="1:44" s="18" customFormat="1" ht="71.25" hidden="1" customHeight="1" thickBot="1" x14ac:dyDescent="0.35">
      <c r="A49" s="105">
        <v>561</v>
      </c>
      <c r="B49" s="665" t="s">
        <v>59</v>
      </c>
      <c r="C49" s="843" t="s">
        <v>1395</v>
      </c>
      <c r="D49" s="737" t="s">
        <v>1398</v>
      </c>
      <c r="E49" s="699" t="e">
        <f>HLOOKUP($D$2,'2020 Data(H)'!$C$1:$CZ$428,211,FALSE)</f>
        <v>#N/A</v>
      </c>
      <c r="F49" s="767">
        <v>0</v>
      </c>
      <c r="G49" s="759"/>
      <c r="H49" s="760"/>
      <c r="J49" s="605"/>
      <c r="L49" s="733"/>
      <c r="N49" s="302"/>
      <c r="Z49" s="105"/>
      <c r="AA49" s="105"/>
      <c r="AB49" s="105"/>
      <c r="AC49" s="105"/>
      <c r="AD49" s="105"/>
      <c r="AE49" s="105"/>
      <c r="AF49" s="105"/>
      <c r="AG49" s="105"/>
      <c r="AH49" s="105"/>
      <c r="AI49" s="105"/>
      <c r="AJ49" s="105"/>
      <c r="AK49" s="105"/>
      <c r="AL49" s="105"/>
      <c r="AM49" s="105"/>
      <c r="AN49" s="105"/>
      <c r="AO49" s="105"/>
      <c r="AP49" s="105"/>
      <c r="AQ49" s="105"/>
      <c r="AR49" s="105"/>
    </row>
    <row r="50" spans="1:44" s="18" customFormat="1" ht="122.25" hidden="1" customHeight="1" thickBot="1" x14ac:dyDescent="0.35">
      <c r="A50" s="105">
        <v>563</v>
      </c>
      <c r="B50" s="665" t="s">
        <v>59</v>
      </c>
      <c r="C50" s="843" t="s">
        <v>1395</v>
      </c>
      <c r="D50" s="737" t="s">
        <v>1396</v>
      </c>
      <c r="E50" s="699" t="e">
        <f>HLOOKUP($D$2,'2020 Data(H)'!$C$1:$CZ$428,213,FALSE)</f>
        <v>#N/A</v>
      </c>
      <c r="F50" s="767">
        <v>0</v>
      </c>
      <c r="G50" s="759"/>
      <c r="H50" s="760"/>
      <c r="J50" s="605"/>
      <c r="L50" s="733"/>
      <c r="N50" s="302"/>
      <c r="Z50" s="105"/>
      <c r="AA50" s="105"/>
      <c r="AB50" s="105"/>
      <c r="AC50" s="105"/>
      <c r="AD50" s="105"/>
      <c r="AE50" s="105"/>
      <c r="AF50" s="105"/>
      <c r="AG50" s="105"/>
      <c r="AH50" s="105"/>
      <c r="AI50" s="105"/>
      <c r="AJ50" s="105"/>
      <c r="AK50" s="105"/>
      <c r="AL50" s="105"/>
      <c r="AM50" s="105"/>
      <c r="AN50" s="105"/>
      <c r="AO50" s="105"/>
      <c r="AP50" s="105"/>
      <c r="AQ50" s="105"/>
      <c r="AR50" s="105"/>
    </row>
    <row r="51" spans="1:44" s="18" customFormat="1" ht="96.75" hidden="1" customHeight="1" thickBot="1" x14ac:dyDescent="0.35">
      <c r="A51" s="105">
        <v>564</v>
      </c>
      <c r="B51" s="665" t="s">
        <v>59</v>
      </c>
      <c r="C51" s="843" t="s">
        <v>1402</v>
      </c>
      <c r="D51" s="737" t="s">
        <v>1399</v>
      </c>
      <c r="E51" s="699" t="e">
        <f>HLOOKUP($D$2,'2020 Data(H)'!$C$1:$CZ$428,214,FALSE)</f>
        <v>#N/A</v>
      </c>
      <c r="F51" s="767">
        <v>0</v>
      </c>
      <c r="G51" s="759"/>
      <c r="H51" s="760"/>
      <c r="J51" s="605"/>
      <c r="L51" s="733"/>
      <c r="N51" s="302"/>
      <c r="Z51" s="105"/>
      <c r="AA51" s="105"/>
      <c r="AB51" s="105"/>
      <c r="AC51" s="105"/>
      <c r="AD51" s="105"/>
      <c r="AE51" s="105"/>
      <c r="AF51" s="105"/>
      <c r="AG51" s="105"/>
      <c r="AH51" s="105"/>
      <c r="AI51" s="105"/>
      <c r="AJ51" s="105"/>
      <c r="AK51" s="105"/>
      <c r="AL51" s="105"/>
      <c r="AM51" s="105"/>
      <c r="AN51" s="105"/>
      <c r="AO51" s="105"/>
      <c r="AP51" s="105"/>
      <c r="AQ51" s="105"/>
      <c r="AR51" s="105"/>
    </row>
    <row r="52" spans="1:44" s="18" customFormat="1" ht="93.75" hidden="1" customHeight="1" thickBot="1" x14ac:dyDescent="0.35">
      <c r="A52" s="105">
        <v>568</v>
      </c>
      <c r="B52" s="665" t="s">
        <v>59</v>
      </c>
      <c r="C52" s="843" t="s">
        <v>1402</v>
      </c>
      <c r="D52" s="737" t="s">
        <v>1401</v>
      </c>
      <c r="E52" s="699" t="e">
        <f>HLOOKUP($D$2,'2020 Data(H)'!$C$1:$CZ$428,218,FALSE)</f>
        <v>#N/A</v>
      </c>
      <c r="F52" s="767">
        <v>0</v>
      </c>
      <c r="G52" s="759"/>
      <c r="H52" s="760"/>
      <c r="J52" s="605"/>
      <c r="L52" s="733"/>
      <c r="N52" s="302"/>
      <c r="Z52" s="105"/>
      <c r="AA52" s="105"/>
      <c r="AB52" s="105"/>
      <c r="AC52" s="105"/>
      <c r="AD52" s="105"/>
      <c r="AE52" s="105"/>
      <c r="AF52" s="105"/>
      <c r="AG52" s="105"/>
      <c r="AH52" s="105"/>
      <c r="AI52" s="105"/>
      <c r="AJ52" s="105"/>
      <c r="AK52" s="105"/>
      <c r="AL52" s="105"/>
      <c r="AM52" s="105"/>
      <c r="AN52" s="105"/>
      <c r="AO52" s="105"/>
      <c r="AP52" s="105"/>
      <c r="AQ52" s="105"/>
      <c r="AR52" s="105"/>
    </row>
    <row r="53" spans="1:44" s="18" customFormat="1" ht="100.5" hidden="1" customHeight="1" thickBot="1" x14ac:dyDescent="0.35">
      <c r="A53" s="105">
        <v>565</v>
      </c>
      <c r="B53" s="665" t="s">
        <v>59</v>
      </c>
      <c r="C53" s="843" t="s">
        <v>1402</v>
      </c>
      <c r="D53" s="737" t="s">
        <v>533</v>
      </c>
      <c r="E53" s="699" t="e">
        <f>HLOOKUP($D$2,'2020 Data(H)'!$C$1:$CZ$428,215,FALSE)</f>
        <v>#N/A</v>
      </c>
      <c r="F53" s="767">
        <v>0</v>
      </c>
      <c r="G53" s="759"/>
      <c r="H53" s="760"/>
      <c r="J53" s="605"/>
      <c r="L53" s="733"/>
      <c r="N53" s="302"/>
      <c r="Z53" s="105"/>
      <c r="AA53" s="105"/>
      <c r="AB53" s="105"/>
      <c r="AC53" s="105"/>
      <c r="AD53" s="105"/>
      <c r="AE53" s="105"/>
      <c r="AF53" s="105"/>
      <c r="AG53" s="105"/>
      <c r="AH53" s="105"/>
      <c r="AI53" s="105"/>
      <c r="AJ53" s="105"/>
      <c r="AK53" s="105"/>
      <c r="AL53" s="105"/>
      <c r="AM53" s="105"/>
      <c r="AN53" s="105"/>
      <c r="AO53" s="105"/>
      <c r="AP53" s="105"/>
      <c r="AQ53" s="105"/>
      <c r="AR53" s="105"/>
    </row>
    <row r="54" spans="1:44" s="18" customFormat="1" ht="98.25" hidden="1" customHeight="1" thickBot="1" x14ac:dyDescent="0.35">
      <c r="A54" s="105">
        <v>566</v>
      </c>
      <c r="B54" s="665" t="s">
        <v>59</v>
      </c>
      <c r="C54" s="843" t="s">
        <v>1402</v>
      </c>
      <c r="D54" s="737" t="s">
        <v>535</v>
      </c>
      <c r="E54" s="699" t="e">
        <f>HLOOKUP($D$2,'2020 Data(H)'!$C$1:$CZ$428,216,FALSE)</f>
        <v>#N/A</v>
      </c>
      <c r="F54" s="767">
        <v>0</v>
      </c>
      <c r="G54" s="759"/>
      <c r="H54" s="760"/>
      <c r="J54" s="605"/>
      <c r="L54" s="733"/>
      <c r="N54" s="302"/>
      <c r="Z54" s="105"/>
      <c r="AA54" s="105"/>
      <c r="AB54" s="105"/>
      <c r="AC54" s="105"/>
      <c r="AD54" s="105"/>
      <c r="AE54" s="105"/>
      <c r="AF54" s="105"/>
      <c r="AG54" s="105"/>
      <c r="AH54" s="105"/>
      <c r="AI54" s="105"/>
      <c r="AJ54" s="105"/>
      <c r="AK54" s="105"/>
      <c r="AL54" s="105"/>
      <c r="AM54" s="105"/>
      <c r="AN54" s="105"/>
      <c r="AO54" s="105"/>
      <c r="AP54" s="105"/>
      <c r="AQ54" s="105"/>
      <c r="AR54" s="105"/>
    </row>
    <row r="55" spans="1:44" s="18" customFormat="1" ht="111" hidden="1" customHeight="1" thickBot="1" x14ac:dyDescent="0.35">
      <c r="A55" s="105">
        <v>567</v>
      </c>
      <c r="B55" s="665" t="s">
        <v>59</v>
      </c>
      <c r="C55" s="843" t="s">
        <v>1402</v>
      </c>
      <c r="D55" s="737" t="s">
        <v>1394</v>
      </c>
      <c r="E55" s="699" t="e">
        <f>HLOOKUP($D$2,'2020 Data(H)'!$C$1:$CZ$428,217,FALSE)</f>
        <v>#N/A</v>
      </c>
      <c r="F55" s="767">
        <v>0</v>
      </c>
      <c r="G55" s="759"/>
      <c r="H55" s="760"/>
      <c r="J55" s="605"/>
      <c r="L55" s="733"/>
      <c r="N55" s="302"/>
      <c r="Z55" s="105"/>
      <c r="AA55" s="105"/>
      <c r="AB55" s="105"/>
      <c r="AC55" s="105"/>
      <c r="AD55" s="105"/>
      <c r="AE55" s="105"/>
      <c r="AF55" s="105"/>
      <c r="AG55" s="105"/>
      <c r="AH55" s="105"/>
      <c r="AI55" s="105"/>
      <c r="AJ55" s="105"/>
      <c r="AK55" s="105"/>
      <c r="AL55" s="105"/>
      <c r="AM55" s="105"/>
      <c r="AN55" s="105"/>
      <c r="AO55" s="105"/>
      <c r="AP55" s="105"/>
      <c r="AQ55" s="105"/>
      <c r="AR55" s="105"/>
    </row>
    <row r="56" spans="1:44" s="18" customFormat="1" ht="71.25" hidden="1" customHeight="1" thickBot="1" x14ac:dyDescent="0.35">
      <c r="A56" s="105">
        <v>562</v>
      </c>
      <c r="B56" s="665" t="s">
        <v>59</v>
      </c>
      <c r="C56" s="843" t="s">
        <v>13</v>
      </c>
      <c r="D56" s="121" t="s">
        <v>1403</v>
      </c>
      <c r="E56" s="699" t="e">
        <f>HLOOKUP($D$2,'2020 Data(H)'!$C$1:$CZ$428,212,FALSE)</f>
        <v>#N/A</v>
      </c>
      <c r="F56" s="767">
        <v>0</v>
      </c>
      <c r="G56" s="759"/>
      <c r="H56" s="760"/>
      <c r="J56" s="605"/>
      <c r="L56" s="733"/>
      <c r="N56" s="302"/>
      <c r="Z56" s="105"/>
      <c r="AA56" s="105"/>
      <c r="AB56" s="105"/>
      <c r="AC56" s="105"/>
      <c r="AD56" s="105"/>
      <c r="AE56" s="105"/>
      <c r="AF56" s="105"/>
      <c r="AG56" s="105"/>
      <c r="AH56" s="105"/>
      <c r="AI56" s="105"/>
      <c r="AJ56" s="105"/>
      <c r="AK56" s="105"/>
      <c r="AL56" s="105"/>
      <c r="AM56" s="105"/>
      <c r="AN56" s="105"/>
      <c r="AO56" s="105"/>
      <c r="AP56" s="105"/>
      <c r="AQ56" s="105"/>
      <c r="AR56" s="105"/>
    </row>
    <row r="57" spans="1:44" s="18" customFormat="1" ht="71.25" hidden="1" customHeight="1" thickBot="1" x14ac:dyDescent="0.35">
      <c r="A57" s="105">
        <v>569</v>
      </c>
      <c r="B57" s="665" t="s">
        <v>59</v>
      </c>
      <c r="C57" s="843" t="s">
        <v>13</v>
      </c>
      <c r="D57" s="737" t="s">
        <v>1404</v>
      </c>
      <c r="E57" s="699" t="e">
        <f>HLOOKUP($D$2,'2020 Data(H)'!$C$1:$CZ$428,219,FALSE)</f>
        <v>#N/A</v>
      </c>
      <c r="F57" s="767">
        <v>0</v>
      </c>
      <c r="G57" s="759"/>
      <c r="H57" s="760"/>
      <c r="J57" s="605"/>
      <c r="L57" s="733"/>
      <c r="N57" s="302"/>
      <c r="Z57" s="105"/>
      <c r="AA57" s="105"/>
      <c r="AB57" s="105"/>
      <c r="AC57" s="105"/>
      <c r="AD57" s="105"/>
      <c r="AE57" s="105"/>
      <c r="AF57" s="105"/>
      <c r="AG57" s="105"/>
      <c r="AH57" s="105"/>
      <c r="AI57" s="105"/>
      <c r="AJ57" s="105"/>
      <c r="AK57" s="105"/>
      <c r="AL57" s="105"/>
      <c r="AM57" s="105"/>
      <c r="AN57" s="105"/>
      <c r="AO57" s="105"/>
      <c r="AP57" s="105"/>
      <c r="AQ57" s="105"/>
      <c r="AR57" s="105"/>
    </row>
    <row r="58" spans="1:44" ht="27" customHeight="1" thickBot="1" x14ac:dyDescent="0.35">
      <c r="A58" s="105"/>
      <c r="B58" s="871" t="s">
        <v>145</v>
      </c>
      <c r="C58" s="872"/>
      <c r="D58" s="880"/>
      <c r="E58" s="877"/>
      <c r="F58" s="881"/>
      <c r="G58" s="882"/>
      <c r="H58" s="17"/>
      <c r="I58" s="77"/>
      <c r="L58" s="733"/>
      <c r="Z58" s="105"/>
      <c r="AA58" s="105"/>
      <c r="AB58" s="105"/>
      <c r="AC58" s="105"/>
      <c r="AD58" s="105"/>
      <c r="AE58" s="105"/>
      <c r="AF58" s="105"/>
      <c r="AG58" s="105"/>
      <c r="AH58" s="105"/>
      <c r="AI58" s="105"/>
      <c r="AJ58" s="105"/>
      <c r="AK58" s="105"/>
      <c r="AL58" s="105"/>
      <c r="AM58" s="105"/>
      <c r="AN58" s="105"/>
      <c r="AO58" s="105"/>
      <c r="AP58" s="105"/>
      <c r="AQ58" s="105"/>
      <c r="AR58" s="105"/>
    </row>
    <row r="59" spans="1:44" s="18" customFormat="1" ht="55.5" customHeight="1" thickBot="1" x14ac:dyDescent="0.35">
      <c r="A59" s="105">
        <v>506</v>
      </c>
      <c r="B59" s="844" t="s">
        <v>55</v>
      </c>
      <c r="C59" s="844" t="s">
        <v>149</v>
      </c>
      <c r="D59" s="104" t="s">
        <v>1451</v>
      </c>
      <c r="E59" s="957" t="e">
        <f>HLOOKUP($D$2,'2020 Data(H)'!$C$1:$CZ$428,156,FALSE)</f>
        <v>#N/A</v>
      </c>
      <c r="F59" s="301">
        <v>0</v>
      </c>
      <c r="G59" s="759">
        <f>IF(F59&lt;0,"Note: Number is normally positive.",)</f>
        <v>0</v>
      </c>
      <c r="H59" s="760"/>
      <c r="I59" s="77"/>
      <c r="J59" s="605"/>
      <c r="L59" s="733"/>
      <c r="N59" s="302"/>
      <c r="Z59" s="105"/>
      <c r="AA59" s="105"/>
      <c r="AB59" s="105"/>
      <c r="AC59" s="105"/>
      <c r="AD59" s="105"/>
      <c r="AE59" s="105"/>
      <c r="AF59" s="105"/>
      <c r="AG59" s="105"/>
      <c r="AH59" s="105"/>
      <c r="AI59" s="105"/>
      <c r="AJ59" s="105"/>
      <c r="AK59" s="105"/>
      <c r="AL59" s="105"/>
      <c r="AM59" s="105"/>
      <c r="AN59" s="105"/>
      <c r="AO59" s="105"/>
      <c r="AP59" s="105"/>
      <c r="AQ59" s="105"/>
      <c r="AR59" s="105"/>
    </row>
    <row r="60" spans="1:44" s="18" customFormat="1" ht="45.75" customHeight="1" thickBot="1" x14ac:dyDescent="0.35">
      <c r="A60" s="105">
        <v>536</v>
      </c>
      <c r="B60" s="844" t="s">
        <v>55</v>
      </c>
      <c r="C60" s="844" t="s">
        <v>149</v>
      </c>
      <c r="D60" s="104" t="s">
        <v>146</v>
      </c>
      <c r="E60" s="699" t="e">
        <f>HLOOKUP($D$2,'2020 Data(H)'!$C$1:$CZ$428,186,FALSE)</f>
        <v>#N/A</v>
      </c>
      <c r="F60" s="301">
        <v>0</v>
      </c>
      <c r="G60" s="759">
        <f>IF(F60&lt;0,"Note: Number is normally positive.",)</f>
        <v>0</v>
      </c>
      <c r="H60" s="760"/>
      <c r="I60" s="761"/>
      <c r="J60" s="605"/>
      <c r="L60" s="733"/>
      <c r="N60" s="302"/>
      <c r="Z60" s="105"/>
      <c r="AA60" s="105"/>
      <c r="AB60" s="105"/>
      <c r="AC60" s="105"/>
      <c r="AD60" s="105"/>
      <c r="AE60" s="105"/>
      <c r="AF60" s="105"/>
      <c r="AG60" s="105"/>
      <c r="AH60" s="105"/>
      <c r="AI60" s="105"/>
      <c r="AJ60" s="105"/>
      <c r="AK60" s="105"/>
      <c r="AL60" s="105"/>
      <c r="AM60" s="105"/>
      <c r="AN60" s="105"/>
      <c r="AO60" s="105"/>
      <c r="AP60" s="105"/>
      <c r="AQ60" s="105"/>
      <c r="AR60" s="105"/>
    </row>
    <row r="61" spans="1:44" s="18" customFormat="1" ht="51.75" customHeight="1" thickBot="1" x14ac:dyDescent="0.35">
      <c r="A61" s="105">
        <v>586</v>
      </c>
      <c r="B61" s="844" t="s">
        <v>59</v>
      </c>
      <c r="C61" s="844" t="s">
        <v>149</v>
      </c>
      <c r="D61" s="710" t="s">
        <v>561</v>
      </c>
      <c r="E61" s="699" t="e">
        <f>HLOOKUP($D$2,'2020 Data(H)'!$C$1:$CZ$428,236,FALSE)</f>
        <v>#N/A</v>
      </c>
      <c r="F61" s="301">
        <v>0</v>
      </c>
      <c r="G61" s="759">
        <f>IF(F61&lt;0,"Note: Number is normally positive.",)</f>
        <v>0</v>
      </c>
      <c r="H61" s="760"/>
      <c r="I61" s="761"/>
      <c r="L61" s="733"/>
      <c r="N61" s="302"/>
      <c r="Z61" s="105"/>
      <c r="AA61" s="105"/>
      <c r="AB61" s="105"/>
      <c r="AC61" s="105"/>
      <c r="AD61" s="105"/>
      <c r="AE61" s="105"/>
      <c r="AF61" s="105"/>
      <c r="AG61" s="105"/>
      <c r="AH61" s="105"/>
      <c r="AI61" s="105"/>
      <c r="AJ61" s="105"/>
      <c r="AK61" s="105"/>
      <c r="AL61" s="105"/>
      <c r="AM61" s="105"/>
      <c r="AN61" s="105"/>
      <c r="AO61" s="105"/>
      <c r="AP61" s="105"/>
      <c r="AQ61" s="105"/>
      <c r="AR61" s="105"/>
    </row>
    <row r="62" spans="1:44" ht="37.5" customHeight="1" thickBot="1" x14ac:dyDescent="0.35">
      <c r="A62" s="105">
        <v>379</v>
      </c>
      <c r="B62" s="844" t="s">
        <v>60</v>
      </c>
      <c r="C62" s="844" t="s">
        <v>149</v>
      </c>
      <c r="D62" s="104" t="s">
        <v>130</v>
      </c>
      <c r="E62" s="699" t="e">
        <f>HLOOKUP($D$2,'2020 Data(H)'!$C$1:$CZ$428,138,FALSE)</f>
        <v>#N/A</v>
      </c>
      <c r="F62" s="301">
        <v>0</v>
      </c>
      <c r="G62" s="759">
        <f>IF((F59+F60)&gt;F62,"Error: Please review account numbers (506+536)&gt;379",)</f>
        <v>0</v>
      </c>
      <c r="H62" s="17"/>
      <c r="I62" s="77"/>
      <c r="J62" s="605"/>
      <c r="L62" s="733"/>
      <c r="Z62" s="105"/>
      <c r="AA62" s="105"/>
      <c r="AB62" s="105"/>
      <c r="AC62" s="105"/>
      <c r="AD62" s="105"/>
      <c r="AE62" s="105"/>
      <c r="AF62" s="105"/>
      <c r="AG62" s="105"/>
      <c r="AH62" s="105"/>
      <c r="AI62" s="105"/>
      <c r="AJ62" s="105"/>
      <c r="AK62" s="105"/>
      <c r="AL62" s="105"/>
      <c r="AM62" s="105"/>
      <c r="AN62" s="105"/>
      <c r="AO62" s="105"/>
      <c r="AP62" s="105"/>
      <c r="AQ62" s="105"/>
      <c r="AR62" s="105"/>
    </row>
    <row r="63" spans="1:44" ht="93" customHeight="1" thickBot="1" x14ac:dyDescent="0.35">
      <c r="A63" s="105">
        <v>368</v>
      </c>
      <c r="B63" s="844" t="s">
        <v>69</v>
      </c>
      <c r="C63" s="844" t="s">
        <v>149</v>
      </c>
      <c r="D63" s="737" t="s">
        <v>1452</v>
      </c>
      <c r="E63" s="699" t="e">
        <f>HLOOKUP($D$2,'2020 Data(H)'!$C$1:$CZ$428,129,FALSE)</f>
        <v>#N/A</v>
      </c>
      <c r="F63" s="301">
        <v>0</v>
      </c>
      <c r="G63" s="759">
        <f t="shared" ref="G63:G69" si="1">IF(F63&lt;0,"Error: Enter as positive.",)</f>
        <v>0</v>
      </c>
      <c r="H63" s="17"/>
      <c r="I63" s="760"/>
      <c r="J63" s="605"/>
      <c r="L63" s="733"/>
      <c r="Z63" s="105"/>
      <c r="AA63" s="105"/>
      <c r="AB63" s="105"/>
      <c r="AC63" s="105"/>
      <c r="AD63" s="105"/>
      <c r="AE63" s="105"/>
      <c r="AF63" s="105"/>
      <c r="AG63" s="105"/>
      <c r="AH63" s="105"/>
      <c r="AI63" s="105"/>
      <c r="AJ63" s="105"/>
      <c r="AK63" s="105"/>
      <c r="AL63" s="105"/>
      <c r="AM63" s="105"/>
      <c r="AN63" s="105"/>
      <c r="AO63" s="105"/>
      <c r="AP63" s="105"/>
      <c r="AQ63" s="105"/>
      <c r="AR63" s="105"/>
    </row>
    <row r="64" spans="1:44" ht="99.75" customHeight="1" thickBot="1" x14ac:dyDescent="0.35">
      <c r="A64" s="105">
        <v>4</v>
      </c>
      <c r="B64" s="844" t="s">
        <v>55</v>
      </c>
      <c r="C64" s="844" t="s">
        <v>149</v>
      </c>
      <c r="D64" s="313" t="s">
        <v>1453</v>
      </c>
      <c r="E64" s="699" t="e">
        <f>HLOOKUP($D$2,'2020 Data(H)'!$C$1:$CZ$428,3,FALSE)</f>
        <v>#N/A</v>
      </c>
      <c r="F64" s="301">
        <v>0</v>
      </c>
      <c r="G64" s="759">
        <f t="shared" si="1"/>
        <v>0</v>
      </c>
      <c r="H64" s="17"/>
      <c r="I64" s="77"/>
      <c r="J64" s="605"/>
      <c r="L64" s="733"/>
      <c r="Z64" s="105"/>
      <c r="AA64" s="105"/>
      <c r="AB64" s="105"/>
      <c r="AC64" s="105"/>
      <c r="AD64" s="105"/>
      <c r="AE64" s="105"/>
      <c r="AF64" s="105"/>
      <c r="AG64" s="105"/>
      <c r="AH64" s="105"/>
      <c r="AI64" s="105"/>
      <c r="AJ64" s="105"/>
      <c r="AK64" s="105"/>
      <c r="AL64" s="105"/>
      <c r="AM64" s="105"/>
      <c r="AN64" s="105"/>
      <c r="AO64" s="105"/>
      <c r="AP64" s="105"/>
      <c r="AQ64" s="105"/>
      <c r="AR64" s="105"/>
    </row>
    <row r="65" spans="1:44" ht="132" customHeight="1" thickBot="1" x14ac:dyDescent="0.35">
      <c r="A65" s="105">
        <v>5</v>
      </c>
      <c r="B65" s="844" t="s">
        <v>55</v>
      </c>
      <c r="C65" s="844" t="s">
        <v>149</v>
      </c>
      <c r="D65" s="341" t="s">
        <v>1454</v>
      </c>
      <c r="E65" s="699" t="e">
        <f>HLOOKUP($D$2,'2020 Data(H)'!$C$1:$CZ$428,4,FALSE)</f>
        <v>#N/A</v>
      </c>
      <c r="F65" s="301">
        <v>0</v>
      </c>
      <c r="G65" s="759">
        <f t="shared" si="1"/>
        <v>0</v>
      </c>
      <c r="H65" s="17"/>
      <c r="I65" s="77"/>
      <c r="J65" s="605"/>
      <c r="L65" s="733"/>
      <c r="Z65" s="105"/>
      <c r="AA65" s="105"/>
      <c r="AB65" s="105"/>
      <c r="AC65" s="105"/>
      <c r="AD65" s="105"/>
      <c r="AE65" s="105"/>
      <c r="AF65" s="105"/>
      <c r="AG65" s="105"/>
      <c r="AH65" s="105"/>
      <c r="AI65" s="105"/>
      <c r="AJ65" s="105"/>
      <c r="AK65" s="105"/>
      <c r="AL65" s="105"/>
      <c r="AM65" s="105"/>
      <c r="AN65" s="105"/>
      <c r="AO65" s="105"/>
      <c r="AP65" s="105"/>
      <c r="AQ65" s="105"/>
      <c r="AR65" s="105"/>
    </row>
    <row r="66" spans="1:44" ht="93.75" customHeight="1" thickBot="1" x14ac:dyDescent="0.35">
      <c r="A66" s="105">
        <v>380</v>
      </c>
      <c r="B66" s="844" t="s">
        <v>60</v>
      </c>
      <c r="C66" s="844" t="s">
        <v>149</v>
      </c>
      <c r="D66" s="341" t="s">
        <v>1455</v>
      </c>
      <c r="E66" s="699" t="e">
        <f>HLOOKUP($D$2,'2020 Data(H)'!$C$1:$CZ$428,139,FALSE)</f>
        <v>#N/A</v>
      </c>
      <c r="F66" s="301">
        <v>0</v>
      </c>
      <c r="G66" s="759">
        <f t="shared" si="1"/>
        <v>0</v>
      </c>
      <c r="H66" s="17"/>
      <c r="I66" s="77"/>
      <c r="J66" s="605"/>
      <c r="L66" s="733"/>
      <c r="Z66" s="105"/>
      <c r="AA66" s="105"/>
      <c r="AB66" s="105"/>
      <c r="AC66" s="105"/>
      <c r="AD66" s="105"/>
      <c r="AE66" s="105"/>
      <c r="AF66" s="105"/>
      <c r="AG66" s="105"/>
      <c r="AH66" s="105"/>
      <c r="AI66" s="105"/>
      <c r="AJ66" s="105"/>
      <c r="AK66" s="105"/>
      <c r="AL66" s="105"/>
      <c r="AM66" s="105"/>
      <c r="AN66" s="105"/>
      <c r="AO66" s="105"/>
      <c r="AP66" s="105"/>
      <c r="AQ66" s="105"/>
      <c r="AR66" s="105"/>
    </row>
    <row r="67" spans="1:44" ht="48.75" customHeight="1" thickBot="1" x14ac:dyDescent="0.35">
      <c r="A67" s="105">
        <v>391</v>
      </c>
      <c r="B67" s="844" t="s">
        <v>69</v>
      </c>
      <c r="C67" s="844" t="s">
        <v>149</v>
      </c>
      <c r="D67" s="104" t="s">
        <v>147</v>
      </c>
      <c r="E67" s="699" t="e">
        <f>HLOOKUP($D$2,'2020 Data(H)'!$C$1:$CZ$428,149,FALSE)</f>
        <v>#N/A</v>
      </c>
      <c r="F67" s="301">
        <v>0</v>
      </c>
      <c r="G67" s="759">
        <f t="shared" si="1"/>
        <v>0</v>
      </c>
      <c r="H67" s="17"/>
      <c r="I67" s="77"/>
      <c r="J67" s="605"/>
      <c r="L67" s="733"/>
      <c r="Z67" s="105"/>
      <c r="AA67" s="105"/>
      <c r="AB67" s="105"/>
      <c r="AC67" s="105"/>
      <c r="AD67" s="105"/>
      <c r="AE67" s="105"/>
      <c r="AF67" s="105"/>
      <c r="AG67" s="105"/>
      <c r="AH67" s="105"/>
      <c r="AI67" s="105"/>
      <c r="AJ67" s="105"/>
      <c r="AK67" s="105"/>
      <c r="AL67" s="105"/>
      <c r="AM67" s="105"/>
      <c r="AN67" s="105"/>
      <c r="AO67" s="105"/>
      <c r="AP67" s="105"/>
      <c r="AQ67" s="105"/>
      <c r="AR67" s="105"/>
    </row>
    <row r="68" spans="1:44" ht="51.75" customHeight="1" thickBot="1" x14ac:dyDescent="0.35">
      <c r="A68" s="105">
        <v>7</v>
      </c>
      <c r="B68" s="844" t="s">
        <v>69</v>
      </c>
      <c r="C68" s="844" t="s">
        <v>149</v>
      </c>
      <c r="D68" s="104" t="s">
        <v>148</v>
      </c>
      <c r="E68" s="699" t="e">
        <f>HLOOKUP($D$2,'2020 Data(H)'!$C$1:$CZ$428,6,FALSE)</f>
        <v>#N/A</v>
      </c>
      <c r="F68" s="301">
        <v>0</v>
      </c>
      <c r="G68" s="759">
        <f t="shared" si="1"/>
        <v>0</v>
      </c>
      <c r="H68" s="17"/>
      <c r="I68" s="77"/>
      <c r="J68" s="605"/>
      <c r="L68" s="733"/>
      <c r="Z68" s="105"/>
      <c r="AA68" s="105"/>
      <c r="AB68" s="105"/>
      <c r="AC68" s="105"/>
      <c r="AD68" s="105"/>
      <c r="AE68" s="105"/>
      <c r="AF68" s="105"/>
      <c r="AG68" s="105"/>
      <c r="AH68" s="105"/>
      <c r="AI68" s="105"/>
      <c r="AJ68" s="105"/>
      <c r="AK68" s="105"/>
      <c r="AL68" s="105"/>
      <c r="AM68" s="105"/>
      <c r="AN68" s="105"/>
      <c r="AO68" s="105"/>
      <c r="AP68" s="105"/>
      <c r="AQ68" s="105"/>
      <c r="AR68" s="105"/>
    </row>
    <row r="69" spans="1:44" ht="78.75" customHeight="1" thickBot="1" x14ac:dyDescent="0.35">
      <c r="A69" s="105">
        <v>11</v>
      </c>
      <c r="B69" s="844" t="s">
        <v>69</v>
      </c>
      <c r="C69" s="844" t="s">
        <v>149</v>
      </c>
      <c r="D69" s="737" t="s">
        <v>1456</v>
      </c>
      <c r="E69" s="699" t="e">
        <f>HLOOKUP($D$2,'2020 Data(H)'!$C$1:$CZ$428,8,FALSE)</f>
        <v>#N/A</v>
      </c>
      <c r="F69" s="301">
        <v>0</v>
      </c>
      <c r="G69" s="759">
        <f t="shared" si="1"/>
        <v>0</v>
      </c>
      <c r="H69" s="17"/>
      <c r="I69" s="77"/>
      <c r="J69" s="605"/>
      <c r="L69" s="733"/>
      <c r="Z69" s="105"/>
      <c r="AA69" s="105"/>
      <c r="AB69" s="105"/>
      <c r="AC69" s="105"/>
      <c r="AD69" s="105"/>
      <c r="AE69" s="105"/>
      <c r="AF69" s="105"/>
      <c r="AG69" s="105"/>
      <c r="AH69" s="105"/>
      <c r="AI69" s="105"/>
      <c r="AJ69" s="105"/>
      <c r="AK69" s="105"/>
      <c r="AL69" s="105"/>
      <c r="AM69" s="105"/>
      <c r="AN69" s="105"/>
      <c r="AO69" s="105"/>
      <c r="AP69" s="105"/>
      <c r="AQ69" s="105"/>
      <c r="AR69" s="105"/>
    </row>
    <row r="70" spans="1:44" ht="78.75" customHeight="1" thickBot="1" x14ac:dyDescent="0.35">
      <c r="A70" s="314">
        <v>645</v>
      </c>
      <c r="B70" s="841" t="s">
        <v>723</v>
      </c>
      <c r="C70" s="841" t="s">
        <v>149</v>
      </c>
      <c r="D70" s="732" t="s">
        <v>755</v>
      </c>
      <c r="E70" s="699" t="e">
        <f>HLOOKUP($D$2,'2020 Data(H)'!$C$1:$CZ$428,304,FALSE)</f>
        <v>#N/A</v>
      </c>
      <c r="F70" s="301">
        <v>0</v>
      </c>
      <c r="G70" s="759">
        <f>IF(F70&lt;0,"Note: Number is normally positive.",)</f>
        <v>0</v>
      </c>
      <c r="H70" s="760"/>
      <c r="I70" s="761"/>
      <c r="J70" s="605"/>
      <c r="L70" s="733"/>
      <c r="Z70" s="314"/>
      <c r="AA70" s="314"/>
      <c r="AB70" s="314"/>
      <c r="AC70" s="314"/>
      <c r="AD70" s="314"/>
      <c r="AE70" s="314"/>
      <c r="AF70" s="314"/>
      <c r="AG70" s="314"/>
      <c r="AH70" s="314"/>
      <c r="AI70" s="314"/>
      <c r="AJ70" s="314"/>
      <c r="AK70" s="314"/>
      <c r="AL70" s="314"/>
      <c r="AM70" s="314"/>
      <c r="AN70" s="314"/>
      <c r="AO70" s="314"/>
      <c r="AP70" s="314"/>
      <c r="AQ70" s="314"/>
      <c r="AR70" s="314"/>
    </row>
    <row r="71" spans="1:44" ht="78.75" customHeight="1" thickBot="1" x14ac:dyDescent="0.35">
      <c r="A71" s="314">
        <v>646</v>
      </c>
      <c r="B71" s="841" t="s">
        <v>723</v>
      </c>
      <c r="C71" s="841" t="s">
        <v>149</v>
      </c>
      <c r="D71" s="313" t="s">
        <v>724</v>
      </c>
      <c r="E71" s="699" t="e">
        <f>HLOOKUP($D$2,'2020 Data(H)'!$C$1:$CZ$428,305,FALSE)</f>
        <v>#N/A</v>
      </c>
      <c r="F71" s="301">
        <v>0</v>
      </c>
      <c r="G71" s="759">
        <f>IF(F71&lt;0,"Note: Number is normally positive.",)</f>
        <v>0</v>
      </c>
      <c r="H71" s="760"/>
      <c r="I71" s="761"/>
      <c r="J71" s="605"/>
      <c r="L71" s="733"/>
      <c r="Z71" s="314"/>
      <c r="AA71" s="314"/>
      <c r="AB71" s="314"/>
      <c r="AC71" s="314"/>
      <c r="AD71" s="314"/>
      <c r="AE71" s="314"/>
      <c r="AF71" s="314"/>
      <c r="AG71" s="314"/>
      <c r="AH71" s="314"/>
      <c r="AI71" s="314"/>
      <c r="AJ71" s="314"/>
      <c r="AK71" s="314"/>
      <c r="AL71" s="314"/>
      <c r="AM71" s="314"/>
      <c r="AN71" s="314"/>
      <c r="AO71" s="314"/>
      <c r="AP71" s="314"/>
      <c r="AQ71" s="314"/>
      <c r="AR71" s="314"/>
    </row>
    <row r="72" spans="1:44" ht="57.75" customHeight="1" thickBot="1" x14ac:dyDescent="0.35">
      <c r="A72" s="105">
        <v>9</v>
      </c>
      <c r="B72" s="844" t="s">
        <v>60</v>
      </c>
      <c r="C72" s="844" t="s">
        <v>149</v>
      </c>
      <c r="D72" s="737" t="s">
        <v>1457</v>
      </c>
      <c r="E72" s="699" t="e">
        <f>HLOOKUP($D$2,'2020 Data(H)'!$C$1:$CZ$428,7,FALSE)</f>
        <v>#N/A</v>
      </c>
      <c r="F72" s="301">
        <v>0</v>
      </c>
      <c r="G72" s="759">
        <f>IF(F62-F64-F65-F66-F72=0,,"Error: Total assets less total liabilities do not equal total fund balance. Account numbers 379-4-5-380-9= 0  The amount of the formula is in the cell to the right")</f>
        <v>0</v>
      </c>
      <c r="H72" s="762">
        <f>F62-F64-F65-F66-F72</f>
        <v>0</v>
      </c>
      <c r="I72" s="77"/>
      <c r="J72" s="605"/>
      <c r="L72" s="733"/>
      <c r="Z72" s="105"/>
      <c r="AA72" s="105"/>
      <c r="AB72" s="105"/>
      <c r="AC72" s="105"/>
      <c r="AD72" s="105"/>
      <c r="AE72" s="105"/>
      <c r="AF72" s="105"/>
      <c r="AG72" s="105"/>
      <c r="AH72" s="105"/>
      <c r="AI72" s="105"/>
      <c r="AJ72" s="105"/>
      <c r="AK72" s="105"/>
      <c r="AL72" s="105"/>
      <c r="AM72" s="105"/>
      <c r="AN72" s="105"/>
      <c r="AO72" s="105"/>
      <c r="AP72" s="105"/>
      <c r="AQ72" s="105"/>
      <c r="AR72" s="105"/>
    </row>
    <row r="73" spans="1:44" s="18" customFormat="1" ht="63.75" customHeight="1" thickBot="1" x14ac:dyDescent="0.35">
      <c r="A73" s="105">
        <v>540</v>
      </c>
      <c r="B73" s="665" t="s">
        <v>59</v>
      </c>
      <c r="C73" s="665" t="s">
        <v>1458</v>
      </c>
      <c r="D73" s="104" t="s">
        <v>756</v>
      </c>
      <c r="E73" s="699" t="e">
        <f>HLOOKUP($D$2,'2020 Data(H)'!$C$1:$CZ$428,190,FALSE)</f>
        <v>#N/A</v>
      </c>
      <c r="F73" s="301">
        <v>0</v>
      </c>
      <c r="G73" s="759"/>
      <c r="H73" s="760"/>
      <c r="I73" s="761"/>
      <c r="J73" s="605"/>
      <c r="L73" s="733"/>
      <c r="N73" s="302"/>
      <c r="Z73" s="105"/>
      <c r="AA73" s="105"/>
      <c r="AB73" s="105"/>
      <c r="AC73" s="105"/>
      <c r="AD73" s="105"/>
      <c r="AE73" s="105"/>
      <c r="AF73" s="105"/>
      <c r="AG73" s="105"/>
      <c r="AH73" s="105"/>
      <c r="AI73" s="105"/>
      <c r="AJ73" s="105"/>
      <c r="AK73" s="105"/>
      <c r="AL73" s="105"/>
      <c r="AM73" s="105"/>
      <c r="AN73" s="105"/>
      <c r="AO73" s="105"/>
      <c r="AP73" s="105"/>
      <c r="AQ73" s="105"/>
      <c r="AR73" s="105"/>
    </row>
    <row r="74" spans="1:44" ht="30" customHeight="1" thickBot="1" x14ac:dyDescent="0.35">
      <c r="A74" s="105"/>
      <c r="B74" s="871" t="s">
        <v>151</v>
      </c>
      <c r="C74" s="872"/>
      <c r="D74" s="876"/>
      <c r="E74" s="877"/>
      <c r="F74" s="878"/>
      <c r="G74" s="879"/>
      <c r="H74" s="17"/>
      <c r="I74" s="77"/>
      <c r="L74" s="733"/>
      <c r="Z74" s="105"/>
      <c r="AA74" s="105"/>
      <c r="AB74" s="105"/>
      <c r="AC74" s="105"/>
      <c r="AD74" s="105"/>
      <c r="AE74" s="105"/>
      <c r="AF74" s="105"/>
      <c r="AG74" s="105"/>
      <c r="AH74" s="105"/>
      <c r="AI74" s="105"/>
      <c r="AJ74" s="105"/>
      <c r="AK74" s="105"/>
      <c r="AL74" s="105"/>
      <c r="AM74" s="105"/>
      <c r="AN74" s="105"/>
      <c r="AO74" s="105"/>
      <c r="AP74" s="105"/>
      <c r="AQ74" s="105"/>
      <c r="AR74" s="105"/>
    </row>
    <row r="75" spans="1:44" ht="82.5" customHeight="1" thickBot="1" x14ac:dyDescent="0.35">
      <c r="A75" s="105">
        <v>984</v>
      </c>
      <c r="B75" s="743" t="s">
        <v>1046</v>
      </c>
      <c r="C75" s="743" t="s">
        <v>1458</v>
      </c>
      <c r="D75" s="768" t="s">
        <v>1553</v>
      </c>
      <c r="E75" s="699" t="s">
        <v>1047</v>
      </c>
      <c r="F75" s="301">
        <v>0</v>
      </c>
      <c r="G75" s="759"/>
      <c r="H75" s="17"/>
      <c r="I75" s="77"/>
      <c r="J75" s="605"/>
      <c r="L75" s="733"/>
      <c r="Z75" s="105"/>
      <c r="AA75" s="105"/>
      <c r="AB75" s="105"/>
      <c r="AC75" s="105"/>
      <c r="AD75" s="105"/>
      <c r="AE75" s="105"/>
      <c r="AF75" s="105"/>
      <c r="AG75" s="105"/>
      <c r="AH75" s="105"/>
      <c r="AI75" s="105"/>
      <c r="AJ75" s="105"/>
      <c r="AK75" s="105"/>
      <c r="AL75" s="105"/>
      <c r="AM75" s="105"/>
      <c r="AN75" s="105"/>
      <c r="AO75" s="105"/>
      <c r="AP75" s="105"/>
      <c r="AQ75" s="105"/>
      <c r="AR75" s="105"/>
    </row>
    <row r="76" spans="1:44" ht="69" customHeight="1" thickBot="1" x14ac:dyDescent="0.35">
      <c r="A76" s="105">
        <v>985</v>
      </c>
      <c r="B76" s="743" t="s">
        <v>1046</v>
      </c>
      <c r="C76" s="743" t="s">
        <v>1458</v>
      </c>
      <c r="D76" s="768" t="s">
        <v>1554</v>
      </c>
      <c r="E76" s="699" t="s">
        <v>1047</v>
      </c>
      <c r="F76" s="301">
        <v>0</v>
      </c>
      <c r="G76" s="759"/>
      <c r="H76" s="17"/>
      <c r="I76" s="77"/>
      <c r="J76" s="605"/>
      <c r="L76" s="733"/>
      <c r="Z76" s="105"/>
      <c r="AA76" s="105"/>
      <c r="AB76" s="105"/>
      <c r="AC76" s="105"/>
      <c r="AD76" s="105"/>
      <c r="AE76" s="105"/>
      <c r="AF76" s="105"/>
      <c r="AG76" s="105"/>
      <c r="AH76" s="105"/>
      <c r="AI76" s="105"/>
      <c r="AJ76" s="105"/>
      <c r="AK76" s="105"/>
      <c r="AL76" s="105"/>
      <c r="AM76" s="105"/>
      <c r="AN76" s="105"/>
      <c r="AO76" s="105"/>
      <c r="AP76" s="105"/>
      <c r="AQ76" s="105"/>
      <c r="AR76" s="105"/>
    </row>
    <row r="77" spans="1:44" ht="52.5" customHeight="1" thickBot="1" x14ac:dyDescent="0.35">
      <c r="A77" s="105">
        <v>369</v>
      </c>
      <c r="B77" s="623" t="s">
        <v>56</v>
      </c>
      <c r="C77" s="623" t="s">
        <v>152</v>
      </c>
      <c r="D77" s="737" t="s">
        <v>1459</v>
      </c>
      <c r="E77" s="699" t="e">
        <f>HLOOKUP($D$2,'2020 Data(H)'!$C$1:$CZ$428,130,FALSE)</f>
        <v>#N/A</v>
      </c>
      <c r="F77" s="301">
        <v>0</v>
      </c>
      <c r="G77" s="759"/>
      <c r="H77" s="17"/>
      <c r="I77" s="77"/>
      <c r="J77" s="605"/>
      <c r="L77" s="733"/>
      <c r="Z77" s="105"/>
      <c r="AA77" s="105"/>
      <c r="AB77" s="105"/>
      <c r="AC77" s="105"/>
      <c r="AD77" s="105"/>
      <c r="AE77" s="105"/>
      <c r="AF77" s="105"/>
      <c r="AG77" s="105"/>
      <c r="AH77" s="105"/>
      <c r="AI77" s="105"/>
      <c r="AJ77" s="105"/>
      <c r="AK77" s="105"/>
      <c r="AL77" s="105"/>
      <c r="AM77" s="105"/>
      <c r="AN77" s="105"/>
      <c r="AO77" s="105"/>
      <c r="AP77" s="105"/>
      <c r="AQ77" s="105"/>
      <c r="AR77" s="105"/>
    </row>
    <row r="78" spans="1:44" ht="57.75" customHeight="1" thickBot="1" x14ac:dyDescent="0.35">
      <c r="A78" s="105">
        <v>16</v>
      </c>
      <c r="B78" s="623" t="s">
        <v>66</v>
      </c>
      <c r="C78" s="623" t="s">
        <v>152</v>
      </c>
      <c r="D78" s="104" t="s">
        <v>150</v>
      </c>
      <c r="E78" s="699" t="e">
        <f>HLOOKUP($D$2,'2020 Data(H)'!$C$1:$CZ$428,12,FALSE)</f>
        <v>#N/A</v>
      </c>
      <c r="F78" s="301">
        <v>0</v>
      </c>
      <c r="G78" s="759"/>
      <c r="H78" s="17"/>
      <c r="I78" s="77"/>
      <c r="J78" s="605"/>
      <c r="L78" s="733"/>
      <c r="Z78" s="105"/>
      <c r="AA78" s="105"/>
      <c r="AB78" s="105"/>
      <c r="AC78" s="105"/>
      <c r="AD78" s="105"/>
      <c r="AE78" s="105"/>
      <c r="AF78" s="105"/>
      <c r="AG78" s="105"/>
      <c r="AH78" s="105"/>
      <c r="AI78" s="105"/>
      <c r="AJ78" s="105"/>
      <c r="AK78" s="105"/>
      <c r="AL78" s="105"/>
      <c r="AM78" s="105"/>
      <c r="AN78" s="105"/>
      <c r="AO78" s="105"/>
      <c r="AP78" s="105"/>
      <c r="AQ78" s="105"/>
      <c r="AR78" s="105"/>
    </row>
    <row r="79" spans="1:44" ht="65.25" customHeight="1" thickBot="1" x14ac:dyDescent="0.35">
      <c r="A79" s="105">
        <v>370</v>
      </c>
      <c r="B79" s="623" t="s">
        <v>56</v>
      </c>
      <c r="C79" s="623" t="s">
        <v>152</v>
      </c>
      <c r="D79" s="737" t="s">
        <v>1460</v>
      </c>
      <c r="E79" s="699" t="e">
        <f>HLOOKUP($D$2,'2020 Data(H)'!$C$1:$CZ$428,131,FALSE)</f>
        <v>#N/A</v>
      </c>
      <c r="F79" s="301">
        <v>0</v>
      </c>
      <c r="G79" s="759">
        <f>IF(F79&lt;0,"Error: Enter as positive.",)</f>
        <v>0</v>
      </c>
      <c r="H79" s="17"/>
      <c r="I79" s="77"/>
      <c r="J79" s="605"/>
      <c r="L79" s="733"/>
      <c r="Z79" s="105"/>
      <c r="AA79" s="105"/>
      <c r="AB79" s="105"/>
      <c r="AC79" s="105"/>
      <c r="AD79" s="105"/>
      <c r="AE79" s="105"/>
      <c r="AF79" s="105"/>
      <c r="AG79" s="105"/>
      <c r="AH79" s="105"/>
      <c r="AI79" s="105"/>
      <c r="AJ79" s="105"/>
      <c r="AK79" s="105"/>
      <c r="AL79" s="105"/>
      <c r="AM79" s="105"/>
      <c r="AN79" s="105"/>
      <c r="AO79" s="105"/>
      <c r="AP79" s="105"/>
      <c r="AQ79" s="105"/>
      <c r="AR79" s="105"/>
    </row>
    <row r="80" spans="1:44" ht="69.75" customHeight="1" thickBot="1" x14ac:dyDescent="0.35">
      <c r="A80" s="105">
        <v>532</v>
      </c>
      <c r="B80" s="623" t="s">
        <v>55</v>
      </c>
      <c r="C80" s="623" t="s">
        <v>152</v>
      </c>
      <c r="D80" s="722" t="s">
        <v>1461</v>
      </c>
      <c r="E80" s="699" t="e">
        <f>HLOOKUP($D$2,'2020 Data(H)'!$C$1:$CZ$428,182,FALSE)</f>
        <v>#N/A</v>
      </c>
      <c r="F80" s="301">
        <v>0</v>
      </c>
      <c r="G80" s="759">
        <f>IF(F80&lt;0,"Error: Enter as positive.",)</f>
        <v>0</v>
      </c>
      <c r="H80" s="17"/>
      <c r="I80" s="77"/>
      <c r="J80" s="605"/>
      <c r="L80" s="733"/>
      <c r="Z80" s="105"/>
      <c r="AA80" s="105"/>
      <c r="AB80" s="105"/>
      <c r="AC80" s="105"/>
      <c r="AD80" s="105"/>
      <c r="AE80" s="105"/>
      <c r="AF80" s="105"/>
      <c r="AG80" s="105"/>
      <c r="AH80" s="105"/>
      <c r="AI80" s="105"/>
      <c r="AJ80" s="105"/>
      <c r="AK80" s="105"/>
      <c r="AL80" s="105"/>
      <c r="AM80" s="105"/>
      <c r="AN80" s="105"/>
      <c r="AO80" s="105"/>
      <c r="AP80" s="105"/>
      <c r="AQ80" s="105"/>
      <c r="AR80" s="105"/>
    </row>
    <row r="81" spans="1:44" ht="54" customHeight="1" thickBot="1" x14ac:dyDescent="0.35">
      <c r="A81" s="105">
        <v>17</v>
      </c>
      <c r="B81" s="623" t="s">
        <v>60</v>
      </c>
      <c r="C81" s="623" t="s">
        <v>152</v>
      </c>
      <c r="D81" s="104" t="s">
        <v>1462</v>
      </c>
      <c r="E81" s="699" t="e">
        <f>HLOOKUP($D$2,'2020 Data(H)'!$C$1:$CZ$428,13,FALSE)</f>
        <v>#N/A</v>
      </c>
      <c r="F81" s="301">
        <v>0</v>
      </c>
      <c r="G81" s="759"/>
      <c r="H81" s="17"/>
      <c r="I81" s="77"/>
      <c r="L81" s="733"/>
      <c r="Z81" s="105"/>
      <c r="AA81" s="105"/>
      <c r="AB81" s="105"/>
      <c r="AC81" s="105"/>
      <c r="AD81" s="105"/>
      <c r="AE81" s="105"/>
      <c r="AF81" s="105"/>
      <c r="AG81" s="105"/>
      <c r="AH81" s="105"/>
      <c r="AI81" s="105"/>
      <c r="AJ81" s="105"/>
      <c r="AK81" s="105"/>
      <c r="AL81" s="105"/>
      <c r="AM81" s="105"/>
      <c r="AN81" s="105"/>
      <c r="AO81" s="105"/>
      <c r="AP81" s="105"/>
      <c r="AQ81" s="105"/>
      <c r="AR81" s="105"/>
    </row>
    <row r="82" spans="1:44" ht="58.5" customHeight="1" thickBot="1" x14ac:dyDescent="0.35">
      <c r="A82" s="105">
        <v>20</v>
      </c>
      <c r="B82" s="623" t="s">
        <v>55</v>
      </c>
      <c r="C82" s="623" t="s">
        <v>152</v>
      </c>
      <c r="D82" s="104" t="s">
        <v>1463</v>
      </c>
      <c r="E82" s="699" t="e">
        <f>HLOOKUP($D$2,'2020 Data(H)'!$C$1:$CZ$428,15,FALSE)</f>
        <v>#N/A</v>
      </c>
      <c r="F82" s="301">
        <v>0</v>
      </c>
      <c r="G82" s="759">
        <f>IF(F82&lt;0,"Error: Enter as positive.",)</f>
        <v>0</v>
      </c>
      <c r="H82" s="17"/>
      <c r="I82" s="77"/>
      <c r="L82" s="733"/>
      <c r="Z82" s="105"/>
      <c r="AA82" s="105"/>
      <c r="AB82" s="105"/>
      <c r="AC82" s="105"/>
      <c r="AD82" s="105"/>
      <c r="AE82" s="105"/>
      <c r="AF82" s="105"/>
      <c r="AG82" s="105"/>
      <c r="AH82" s="105"/>
      <c r="AI82" s="105"/>
      <c r="AJ82" s="105"/>
      <c r="AK82" s="105"/>
      <c r="AL82" s="105"/>
      <c r="AM82" s="105"/>
      <c r="AN82" s="105"/>
      <c r="AO82" s="105"/>
      <c r="AP82" s="105"/>
      <c r="AQ82" s="105"/>
      <c r="AR82" s="105"/>
    </row>
    <row r="83" spans="1:44" ht="54" customHeight="1" thickBot="1" x14ac:dyDescent="0.35">
      <c r="A83" s="105">
        <v>533</v>
      </c>
      <c r="B83" s="623" t="s">
        <v>55</v>
      </c>
      <c r="C83" s="623" t="s">
        <v>152</v>
      </c>
      <c r="D83" s="722" t="s">
        <v>1464</v>
      </c>
      <c r="E83" s="699" t="e">
        <f>HLOOKUP($D$2,'2020 Data(H)'!$C$1:$CZ$428,183,FALSE)</f>
        <v>#N/A</v>
      </c>
      <c r="F83" s="301">
        <v>0</v>
      </c>
      <c r="G83" s="769"/>
      <c r="H83" s="17"/>
      <c r="I83" s="77"/>
      <c r="L83" s="733"/>
      <c r="Z83" s="105"/>
      <c r="AA83" s="105"/>
      <c r="AB83" s="105"/>
      <c r="AC83" s="105"/>
      <c r="AD83" s="105"/>
      <c r="AE83" s="105"/>
      <c r="AF83" s="105"/>
      <c r="AG83" s="105"/>
      <c r="AH83" s="105"/>
      <c r="AI83" s="105"/>
      <c r="AJ83" s="105"/>
      <c r="AK83" s="105"/>
      <c r="AL83" s="105"/>
      <c r="AM83" s="105"/>
      <c r="AN83" s="105"/>
      <c r="AO83" s="105"/>
      <c r="AP83" s="105"/>
      <c r="AQ83" s="105"/>
      <c r="AR83" s="105"/>
    </row>
    <row r="84" spans="1:44" s="18" customFormat="1" ht="62.25" customHeight="1" thickBot="1" x14ac:dyDescent="0.35">
      <c r="A84" s="105">
        <v>508</v>
      </c>
      <c r="B84" s="623" t="s">
        <v>55</v>
      </c>
      <c r="C84" s="623" t="s">
        <v>152</v>
      </c>
      <c r="D84" s="104" t="s">
        <v>535</v>
      </c>
      <c r="E84" s="699" t="e">
        <f>HLOOKUP($D$2,'2020 Data(H)'!$C$1:$CZ$428,158,FALSE)</f>
        <v>#N/A</v>
      </c>
      <c r="F84" s="301">
        <v>0</v>
      </c>
      <c r="G84" s="759"/>
      <c r="H84" s="760"/>
      <c r="I84" s="761"/>
      <c r="L84" s="733"/>
      <c r="N84" s="302"/>
      <c r="Z84" s="105"/>
      <c r="AA84" s="105"/>
      <c r="AB84" s="105"/>
      <c r="AC84" s="105"/>
      <c r="AD84" s="105"/>
      <c r="AE84" s="105"/>
      <c r="AF84" s="105"/>
      <c r="AG84" s="105"/>
      <c r="AH84" s="105"/>
      <c r="AI84" s="105"/>
      <c r="AJ84" s="105"/>
      <c r="AK84" s="105"/>
      <c r="AL84" s="105"/>
      <c r="AM84" s="105"/>
      <c r="AN84" s="105"/>
      <c r="AO84" s="105"/>
      <c r="AP84" s="105"/>
      <c r="AQ84" s="105"/>
      <c r="AR84" s="105"/>
    </row>
    <row r="85" spans="1:44" s="18" customFormat="1" ht="81.75" customHeight="1" thickBot="1" x14ac:dyDescent="0.35">
      <c r="A85" s="105">
        <v>509</v>
      </c>
      <c r="B85" s="623" t="s">
        <v>55</v>
      </c>
      <c r="C85" s="623" t="s">
        <v>152</v>
      </c>
      <c r="D85" s="104" t="s">
        <v>533</v>
      </c>
      <c r="E85" s="699" t="e">
        <f>HLOOKUP($D$2,'2020 Data(H)'!$C$1:$CZ$428,159,FALSE)</f>
        <v>#N/A</v>
      </c>
      <c r="F85" s="301">
        <v>0</v>
      </c>
      <c r="G85" s="759">
        <f>IF(F85&lt;0,"Error: Enter as positive.",)</f>
        <v>0</v>
      </c>
      <c r="H85" s="760"/>
      <c r="I85" s="761"/>
      <c r="L85" s="733"/>
      <c r="N85" s="302"/>
      <c r="Z85" s="105"/>
      <c r="AA85" s="105"/>
      <c r="AB85" s="105"/>
      <c r="AC85" s="105"/>
      <c r="AD85" s="105"/>
      <c r="AE85" s="105"/>
      <c r="AF85" s="105"/>
      <c r="AG85" s="105"/>
      <c r="AH85" s="105"/>
      <c r="AI85" s="105"/>
      <c r="AJ85" s="105"/>
      <c r="AK85" s="105"/>
      <c r="AL85" s="105"/>
      <c r="AM85" s="105"/>
      <c r="AN85" s="105"/>
      <c r="AO85" s="105"/>
      <c r="AP85" s="105"/>
      <c r="AQ85" s="105"/>
      <c r="AR85" s="105"/>
    </row>
    <row r="86" spans="1:44" ht="69" customHeight="1" thickBot="1" x14ac:dyDescent="0.35">
      <c r="A86" s="105">
        <v>22</v>
      </c>
      <c r="B86" s="623" t="s">
        <v>60</v>
      </c>
      <c r="C86" s="623" t="s">
        <v>152</v>
      </c>
      <c r="D86" s="104" t="s">
        <v>534</v>
      </c>
      <c r="E86" s="699" t="e">
        <f>HLOOKUP($D$2,'2020 Data(H)'!$C$1:$CZ$428,17,FALSE)</f>
        <v>#N/A</v>
      </c>
      <c r="F86" s="301">
        <v>0</v>
      </c>
      <c r="G86" s="769"/>
      <c r="H86" s="17"/>
      <c r="I86" s="77"/>
      <c r="J86" s="605"/>
      <c r="L86" s="733"/>
      <c r="Z86" s="105"/>
      <c r="AA86" s="105"/>
      <c r="AB86" s="105"/>
      <c r="AC86" s="105"/>
      <c r="AD86" s="105"/>
      <c r="AE86" s="105"/>
      <c r="AF86" s="105"/>
      <c r="AG86" s="105"/>
      <c r="AH86" s="105"/>
      <c r="AI86" s="105"/>
      <c r="AJ86" s="105"/>
      <c r="AK86" s="105"/>
      <c r="AL86" s="105"/>
      <c r="AM86" s="105"/>
      <c r="AN86" s="105"/>
      <c r="AO86" s="105"/>
      <c r="AP86" s="105"/>
      <c r="AQ86" s="105"/>
      <c r="AR86" s="105"/>
    </row>
    <row r="87" spans="1:44" ht="72" customHeight="1" thickBot="1" x14ac:dyDescent="0.35">
      <c r="A87" s="105">
        <v>23</v>
      </c>
      <c r="B87" s="623" t="s">
        <v>60</v>
      </c>
      <c r="C87" s="623" t="s">
        <v>152</v>
      </c>
      <c r="D87" s="737" t="s">
        <v>1465</v>
      </c>
      <c r="E87" s="699" t="e">
        <f>HLOOKUP($D$2,'2020 Data(H)'!$C$1:$CZ$428,18,FALSE)</f>
        <v>#N/A</v>
      </c>
      <c r="F87" s="301">
        <v>0</v>
      </c>
      <c r="G87" s="759">
        <f>IF(H87=0,,"Error: Total revenues less total expenditures do not equal total change in fund balance.  Account numbers 16-532+17-20+533+22+508-509-23=0  The amount of the formula is located in the cell to the right")</f>
        <v>0</v>
      </c>
      <c r="H87" s="762">
        <f>+F78-F80+F81-F82+F83+F86+F84-F85-F87</f>
        <v>0</v>
      </c>
      <c r="I87" s="77"/>
      <c r="J87" s="605"/>
      <c r="L87" s="733"/>
      <c r="Z87" s="105"/>
      <c r="AA87" s="105"/>
      <c r="AB87" s="105"/>
      <c r="AC87" s="105"/>
      <c r="AD87" s="105"/>
      <c r="AE87" s="105"/>
      <c r="AF87" s="105"/>
      <c r="AG87" s="105"/>
      <c r="AH87" s="105"/>
      <c r="AI87" s="105"/>
      <c r="AJ87" s="105"/>
      <c r="AK87" s="105"/>
      <c r="AL87" s="105"/>
      <c r="AM87" s="105"/>
      <c r="AN87" s="105"/>
      <c r="AO87" s="105"/>
      <c r="AP87" s="105"/>
      <c r="AQ87" s="105"/>
      <c r="AR87" s="105"/>
    </row>
    <row r="88" spans="1:44" ht="194.25" customHeight="1" thickBot="1" x14ac:dyDescent="0.35">
      <c r="A88" s="105">
        <v>590</v>
      </c>
      <c r="B88" s="623" t="s">
        <v>604</v>
      </c>
      <c r="C88" s="623"/>
      <c r="D88" s="737" t="s">
        <v>1834</v>
      </c>
      <c r="E88" s="937"/>
      <c r="F88" s="301"/>
      <c r="G88" s="301"/>
      <c r="H88" s="762"/>
      <c r="I88" s="77"/>
      <c r="K88" s="770"/>
      <c r="L88" s="733"/>
      <c r="Z88" s="105"/>
      <c r="AA88" s="105"/>
      <c r="AB88" s="105"/>
      <c r="AC88" s="105"/>
      <c r="AD88" s="105"/>
      <c r="AE88" s="105"/>
      <c r="AF88" s="105"/>
      <c r="AG88" s="105"/>
      <c r="AH88" s="105"/>
      <c r="AI88" s="105"/>
      <c r="AJ88" s="105"/>
      <c r="AK88" s="105"/>
      <c r="AL88" s="105"/>
      <c r="AM88" s="105"/>
      <c r="AN88" s="105"/>
      <c r="AO88" s="105"/>
      <c r="AP88" s="105"/>
      <c r="AQ88" s="105"/>
      <c r="AR88" s="105"/>
    </row>
    <row r="89" spans="1:44" ht="115.5" customHeight="1" thickBot="1" x14ac:dyDescent="0.35">
      <c r="A89" s="105">
        <v>507</v>
      </c>
      <c r="B89" s="623" t="s">
        <v>60</v>
      </c>
      <c r="C89" s="623" t="s">
        <v>152</v>
      </c>
      <c r="D89" s="737" t="s">
        <v>1466</v>
      </c>
      <c r="E89" s="699" t="e">
        <f>HLOOKUP($D$2,'2020 Data(H)'!$C$1:$CZ$428,157,FALSE)</f>
        <v>#N/A</v>
      </c>
      <c r="F89" s="301">
        <v>0</v>
      </c>
      <c r="G89" s="759" t="e">
        <f>IF(F72-F87-F89=E72,,"Error: Beginning Balance does not agree with our records.  (Acct# 9-23-507)= Prior Years Acct # 9 The amount of the formula is in the cell to the right")</f>
        <v>#N/A</v>
      </c>
      <c r="H89" s="762" t="e">
        <f>+F72-F87-F89-E72</f>
        <v>#N/A</v>
      </c>
      <c r="I89" s="1266" t="s">
        <v>1830</v>
      </c>
      <c r="L89" s="733"/>
      <c r="Z89" s="105"/>
      <c r="AA89" s="105"/>
      <c r="AB89" s="105"/>
      <c r="AC89" s="105"/>
      <c r="AD89" s="105"/>
      <c r="AE89" s="105"/>
      <c r="AF89" s="105"/>
      <c r="AG89" s="105"/>
      <c r="AH89" s="105"/>
      <c r="AI89" s="105"/>
      <c r="AJ89" s="105"/>
      <c r="AK89" s="105"/>
      <c r="AL89" s="105"/>
      <c r="AM89" s="105"/>
      <c r="AN89" s="105"/>
      <c r="AO89" s="105"/>
      <c r="AP89" s="105"/>
      <c r="AQ89" s="105"/>
      <c r="AR89" s="105"/>
    </row>
    <row r="90" spans="1:44" ht="169.5" hidden="1" customHeight="1" thickBot="1" x14ac:dyDescent="0.35">
      <c r="A90" s="105">
        <v>147</v>
      </c>
      <c r="B90" s="845" t="s">
        <v>1263</v>
      </c>
      <c r="C90" s="845" t="s">
        <v>1264</v>
      </c>
      <c r="D90" s="737" t="s">
        <v>1265</v>
      </c>
      <c r="E90" s="699" t="e">
        <f>HLOOKUP($D$2,'2020 Data(H)'!$C$1:$CZ$428,67,FALSE)</f>
        <v>#N/A</v>
      </c>
      <c r="F90" s="301">
        <v>0</v>
      </c>
      <c r="G90" s="759"/>
      <c r="H90" s="762"/>
      <c r="I90" s="77"/>
      <c r="L90" s="733"/>
      <c r="Z90" s="105"/>
      <c r="AA90" s="105"/>
      <c r="AB90" s="105"/>
      <c r="AC90" s="105"/>
      <c r="AD90" s="105"/>
      <c r="AE90" s="105"/>
      <c r="AF90" s="105"/>
      <c r="AG90" s="105"/>
      <c r="AH90" s="105"/>
      <c r="AI90" s="105"/>
      <c r="AJ90" s="105"/>
      <c r="AK90" s="105"/>
      <c r="AL90" s="105"/>
      <c r="AM90" s="105"/>
      <c r="AN90" s="105"/>
      <c r="AO90" s="105"/>
      <c r="AP90" s="105"/>
      <c r="AQ90" s="105"/>
      <c r="AR90" s="105"/>
    </row>
    <row r="91" spans="1:44" ht="115.5" hidden="1" customHeight="1" thickBot="1" x14ac:dyDescent="0.35">
      <c r="A91" s="105">
        <v>585</v>
      </c>
      <c r="B91" s="845" t="s">
        <v>1263</v>
      </c>
      <c r="C91" s="845" t="s">
        <v>1264</v>
      </c>
      <c r="D91" s="737" t="s">
        <v>1266</v>
      </c>
      <c r="E91" s="699" t="e">
        <f>HLOOKUP($D$2,'2020 Data(H)'!$C$1:$CZ$428,235,FALSE)</f>
        <v>#N/A</v>
      </c>
      <c r="F91" s="301">
        <v>0</v>
      </c>
      <c r="G91" s="759"/>
      <c r="H91" s="762"/>
      <c r="I91" s="77"/>
      <c r="L91" s="733"/>
      <c r="Z91" s="105"/>
      <c r="AA91" s="105"/>
      <c r="AB91" s="105"/>
      <c r="AC91" s="105"/>
      <c r="AD91" s="105"/>
      <c r="AE91" s="105"/>
      <c r="AF91" s="105"/>
      <c r="AG91" s="105"/>
      <c r="AH91" s="105"/>
      <c r="AI91" s="105"/>
      <c r="AJ91" s="105"/>
      <c r="AK91" s="105"/>
      <c r="AL91" s="105"/>
      <c r="AM91" s="105"/>
      <c r="AN91" s="105"/>
      <c r="AO91" s="105"/>
      <c r="AP91" s="105"/>
      <c r="AQ91" s="105"/>
      <c r="AR91" s="105"/>
    </row>
    <row r="92" spans="1:44" ht="115.5" hidden="1" customHeight="1" thickBot="1" x14ac:dyDescent="0.35">
      <c r="A92" s="105">
        <v>546</v>
      </c>
      <c r="B92" s="845" t="s">
        <v>1263</v>
      </c>
      <c r="C92" s="845" t="s">
        <v>1264</v>
      </c>
      <c r="D92" s="737" t="s">
        <v>1267</v>
      </c>
      <c r="E92" s="699" t="e">
        <f>HLOOKUP($D$2,'2020 Data(H)'!$C$1:$CZ$428,196,FALSE)</f>
        <v>#N/A</v>
      </c>
      <c r="F92" s="301">
        <v>0</v>
      </c>
      <c r="G92" s="759"/>
      <c r="H92" s="762"/>
      <c r="I92" s="77"/>
      <c r="L92" s="733"/>
      <c r="Z92" s="105"/>
      <c r="AA92" s="105"/>
      <c r="AB92" s="105"/>
      <c r="AC92" s="105"/>
      <c r="AD92" s="105"/>
      <c r="AE92" s="105"/>
      <c r="AF92" s="105"/>
      <c r="AG92" s="105"/>
      <c r="AH92" s="105"/>
      <c r="AI92" s="105"/>
      <c r="AJ92" s="105"/>
      <c r="AK92" s="105"/>
      <c r="AL92" s="105"/>
      <c r="AM92" s="105"/>
      <c r="AN92" s="105"/>
      <c r="AO92" s="105"/>
      <c r="AP92" s="105"/>
      <c r="AQ92" s="105"/>
      <c r="AR92" s="105"/>
    </row>
    <row r="93" spans="1:44" ht="115.5" hidden="1" customHeight="1" thickBot="1" x14ac:dyDescent="0.35">
      <c r="A93" s="105">
        <v>589</v>
      </c>
      <c r="B93" s="845" t="s">
        <v>1263</v>
      </c>
      <c r="C93" s="845" t="s">
        <v>1264</v>
      </c>
      <c r="D93" s="737" t="s">
        <v>1268</v>
      </c>
      <c r="E93" s="699" t="e">
        <f>HLOOKUP($D$2,'2020 Data(H)'!$C$1:$CZ$428,239,FALSE)</f>
        <v>#N/A</v>
      </c>
      <c r="F93" s="301">
        <v>0</v>
      </c>
      <c r="G93" s="759"/>
      <c r="H93" s="762"/>
      <c r="I93" s="77"/>
      <c r="L93" s="733"/>
      <c r="Z93" s="105"/>
      <c r="AA93" s="105"/>
      <c r="AB93" s="105"/>
      <c r="AC93" s="105"/>
      <c r="AD93" s="105"/>
      <c r="AE93" s="105"/>
      <c r="AF93" s="105"/>
      <c r="AG93" s="105"/>
      <c r="AH93" s="105"/>
      <c r="AI93" s="105"/>
      <c r="AJ93" s="105"/>
      <c r="AK93" s="105"/>
      <c r="AL93" s="105"/>
      <c r="AM93" s="105"/>
      <c r="AN93" s="105"/>
      <c r="AO93" s="105"/>
      <c r="AP93" s="105"/>
      <c r="AQ93" s="105"/>
      <c r="AR93" s="105"/>
    </row>
    <row r="94" spans="1:44" ht="143.25" hidden="1" customHeight="1" thickBot="1" x14ac:dyDescent="0.35">
      <c r="A94" s="589">
        <v>149</v>
      </c>
      <c r="B94" s="623" t="s">
        <v>1263</v>
      </c>
      <c r="C94" s="623" t="s">
        <v>1264</v>
      </c>
      <c r="D94" s="737" t="s">
        <v>1359</v>
      </c>
      <c r="E94" s="699" t="e">
        <f>HLOOKUP($D$2,'2020 Data(H)'!$C$1:$CZ$428,69,FALSE)</f>
        <v>#N/A</v>
      </c>
      <c r="F94" s="301">
        <v>0</v>
      </c>
      <c r="G94" s="759"/>
      <c r="H94" s="762"/>
      <c r="I94" s="77"/>
      <c r="L94" s="733"/>
      <c r="Z94" s="589"/>
      <c r="AA94" s="589"/>
      <c r="AB94" s="589"/>
      <c r="AC94" s="589"/>
      <c r="AD94" s="589"/>
      <c r="AE94" s="589"/>
      <c r="AF94" s="589"/>
      <c r="AG94" s="589"/>
      <c r="AH94" s="589"/>
      <c r="AI94" s="589"/>
      <c r="AJ94" s="589"/>
      <c r="AK94" s="589"/>
      <c r="AL94" s="589"/>
      <c r="AM94" s="589"/>
      <c r="AN94" s="589"/>
      <c r="AO94" s="589"/>
      <c r="AP94" s="589"/>
      <c r="AQ94" s="589"/>
      <c r="AR94" s="589"/>
    </row>
    <row r="95" spans="1:44" ht="115.5" hidden="1" customHeight="1" thickBot="1" x14ac:dyDescent="0.35">
      <c r="A95" s="105">
        <v>150</v>
      </c>
      <c r="B95" s="623" t="s">
        <v>1263</v>
      </c>
      <c r="C95" s="623" t="s">
        <v>1264</v>
      </c>
      <c r="D95" s="737" t="s">
        <v>1360</v>
      </c>
      <c r="E95" s="699" t="e">
        <f>HLOOKUP($D$2,'2020 Data(H)'!$C$1:$CZ$428,70,FALSE)</f>
        <v>#N/A</v>
      </c>
      <c r="F95" s="301">
        <v>0</v>
      </c>
      <c r="G95" s="759"/>
      <c r="H95" s="762"/>
      <c r="I95" s="77"/>
      <c r="L95" s="733"/>
      <c r="Z95" s="105"/>
      <c r="AA95" s="105"/>
      <c r="AB95" s="105"/>
      <c r="AC95" s="105"/>
      <c r="AD95" s="105"/>
      <c r="AE95" s="105"/>
      <c r="AF95" s="105"/>
      <c r="AG95" s="105"/>
      <c r="AH95" s="105"/>
      <c r="AI95" s="105"/>
      <c r="AJ95" s="105"/>
      <c r="AK95" s="105"/>
      <c r="AL95" s="105"/>
      <c r="AM95" s="105"/>
      <c r="AN95" s="105"/>
      <c r="AO95" s="105"/>
      <c r="AP95" s="105"/>
      <c r="AQ95" s="105"/>
      <c r="AR95" s="105"/>
    </row>
    <row r="96" spans="1:44" ht="115.5" hidden="1" customHeight="1" thickBot="1" x14ac:dyDescent="0.35">
      <c r="A96" s="105">
        <v>587</v>
      </c>
      <c r="B96" s="665" t="s">
        <v>1361</v>
      </c>
      <c r="C96" s="665" t="s">
        <v>1362</v>
      </c>
      <c r="D96" s="737" t="s">
        <v>1467</v>
      </c>
      <c r="E96" s="699" t="e">
        <f>HLOOKUP($D$2,'2020 Data(H)'!$C$1:$CZ$428,237,FALSE)</f>
        <v>#N/A</v>
      </c>
      <c r="F96" s="301">
        <v>0</v>
      </c>
      <c r="G96" s="759"/>
      <c r="H96" s="762"/>
      <c r="I96" s="77"/>
      <c r="L96" s="733"/>
      <c r="Z96" s="105"/>
      <c r="AA96" s="105"/>
      <c r="AB96" s="105"/>
      <c r="AC96" s="105"/>
      <c r="AD96" s="105"/>
      <c r="AE96" s="105"/>
      <c r="AF96" s="105"/>
      <c r="AG96" s="105"/>
      <c r="AH96" s="105"/>
      <c r="AI96" s="105"/>
      <c r="AJ96" s="105"/>
      <c r="AK96" s="105"/>
      <c r="AL96" s="105"/>
      <c r="AM96" s="105"/>
      <c r="AN96" s="105"/>
      <c r="AO96" s="105"/>
      <c r="AP96" s="105"/>
      <c r="AQ96" s="105"/>
      <c r="AR96" s="105"/>
    </row>
    <row r="97" spans="1:44" ht="115.5" hidden="1" customHeight="1" thickBot="1" x14ac:dyDescent="0.35">
      <c r="A97" s="105">
        <v>588</v>
      </c>
      <c r="B97" s="665" t="s">
        <v>1361</v>
      </c>
      <c r="C97" s="665" t="s">
        <v>1362</v>
      </c>
      <c r="D97" s="737" t="s">
        <v>1468</v>
      </c>
      <c r="E97" s="699" t="e">
        <f>HLOOKUP($D$2,'2020 Data(H)'!$C$1:$CZ$428,238,FALSE)</f>
        <v>#N/A</v>
      </c>
      <c r="F97" s="301">
        <v>0</v>
      </c>
      <c r="G97" s="759"/>
      <c r="H97" s="762"/>
      <c r="I97" s="77"/>
      <c r="L97" s="733"/>
      <c r="Z97" s="105"/>
      <c r="AA97" s="105"/>
      <c r="AB97" s="105"/>
      <c r="AC97" s="105"/>
      <c r="AD97" s="105"/>
      <c r="AE97" s="105"/>
      <c r="AF97" s="105"/>
      <c r="AG97" s="105"/>
      <c r="AH97" s="105"/>
      <c r="AI97" s="105"/>
      <c r="AJ97" s="105"/>
      <c r="AK97" s="105"/>
      <c r="AL97" s="105"/>
      <c r="AM97" s="105"/>
      <c r="AN97" s="105"/>
      <c r="AO97" s="105"/>
      <c r="AP97" s="105"/>
      <c r="AQ97" s="105"/>
      <c r="AR97" s="105"/>
    </row>
    <row r="98" spans="1:44" ht="82.5" customHeight="1" thickBot="1" x14ac:dyDescent="0.35">
      <c r="A98" s="314">
        <v>647</v>
      </c>
      <c r="B98" s="841" t="s">
        <v>723</v>
      </c>
      <c r="C98" s="840" t="s">
        <v>725</v>
      </c>
      <c r="D98" s="313" t="s">
        <v>726</v>
      </c>
      <c r="E98" s="699" t="e">
        <f>HLOOKUP($D$2,'2020 Data(H)'!$C$1:$CZ$428,306,FALSE)</f>
        <v>#N/A</v>
      </c>
      <c r="F98" s="301">
        <v>0</v>
      </c>
      <c r="G98" s="759">
        <f>IF(F98&lt;0,"Error: Enter as positive.",)</f>
        <v>0</v>
      </c>
      <c r="H98" s="771"/>
      <c r="I98" s="77"/>
      <c r="L98" s="733"/>
      <c r="Z98" s="314"/>
      <c r="AA98" s="314"/>
      <c r="AB98" s="314"/>
      <c r="AC98" s="314"/>
      <c r="AD98" s="314"/>
      <c r="AE98" s="314"/>
      <c r="AF98" s="314"/>
      <c r="AG98" s="314"/>
      <c r="AH98" s="314"/>
      <c r="AI98" s="314"/>
      <c r="AJ98" s="314"/>
      <c r="AK98" s="314"/>
      <c r="AL98" s="314"/>
      <c r="AM98" s="314"/>
      <c r="AN98" s="314"/>
      <c r="AO98" s="314"/>
      <c r="AP98" s="314"/>
      <c r="AQ98" s="314"/>
      <c r="AR98" s="314"/>
    </row>
    <row r="99" spans="1:44" ht="25.5" customHeight="1" thickBot="1" x14ac:dyDescent="0.35">
      <c r="A99" s="105"/>
      <c r="B99" s="871" t="s">
        <v>11</v>
      </c>
      <c r="C99" s="872"/>
      <c r="D99" s="873"/>
      <c r="E99" s="869"/>
      <c r="F99" s="874"/>
      <c r="G99" s="875"/>
      <c r="H99" s="17"/>
      <c r="I99" s="77"/>
      <c r="L99" s="733"/>
      <c r="Z99" s="105"/>
      <c r="AA99" s="105"/>
      <c r="AB99" s="105"/>
      <c r="AC99" s="105"/>
      <c r="AD99" s="105"/>
      <c r="AE99" s="105"/>
      <c r="AF99" s="105"/>
      <c r="AG99" s="105"/>
      <c r="AH99" s="105"/>
      <c r="AI99" s="105"/>
      <c r="AJ99" s="105"/>
      <c r="AK99" s="105"/>
      <c r="AL99" s="105"/>
      <c r="AM99" s="105"/>
      <c r="AN99" s="105"/>
      <c r="AO99" s="105"/>
      <c r="AP99" s="105"/>
      <c r="AQ99" s="105"/>
      <c r="AR99" s="105"/>
    </row>
    <row r="100" spans="1:44" ht="76.5" hidden="1" customHeight="1" thickBot="1" x14ac:dyDescent="0.35">
      <c r="A100" s="105">
        <v>148</v>
      </c>
      <c r="B100" s="623" t="s">
        <v>1271</v>
      </c>
      <c r="C100" s="665" t="s">
        <v>1269</v>
      </c>
      <c r="D100" s="665" t="s">
        <v>1270</v>
      </c>
      <c r="E100" s="699" t="e">
        <f>HLOOKUP($D$2,'2020 Data(H)'!$C$1:$CZ$428,68,FALSE)</f>
        <v>#N/A</v>
      </c>
      <c r="F100" s="301">
        <v>0</v>
      </c>
      <c r="G100" s="772"/>
      <c r="H100" s="17"/>
      <c r="I100" s="77"/>
      <c r="L100" s="733"/>
      <c r="Z100" s="105"/>
      <c r="AA100" s="105"/>
      <c r="AB100" s="105"/>
      <c r="AC100" s="105"/>
      <c r="AD100" s="105"/>
      <c r="AE100" s="105"/>
      <c r="AF100" s="105"/>
      <c r="AG100" s="105"/>
      <c r="AH100" s="105"/>
      <c r="AI100" s="105"/>
      <c r="AJ100" s="105"/>
      <c r="AK100" s="105"/>
      <c r="AL100" s="105"/>
      <c r="AM100" s="105"/>
      <c r="AN100" s="105"/>
      <c r="AO100" s="105"/>
      <c r="AP100" s="105"/>
      <c r="AQ100" s="105"/>
      <c r="AR100" s="105"/>
    </row>
    <row r="101" spans="1:44" ht="78" customHeight="1" thickBot="1" x14ac:dyDescent="0.35">
      <c r="A101" s="105">
        <v>171</v>
      </c>
      <c r="B101" s="623" t="s">
        <v>538</v>
      </c>
      <c r="C101" s="623" t="s">
        <v>537</v>
      </c>
      <c r="D101" s="700" t="s">
        <v>1469</v>
      </c>
      <c r="E101" s="699" t="e">
        <f>HLOOKUP($D$2,'2020 Data(H)'!$C$1:$CZ$428,71,FALSE)</f>
        <v>#N/A</v>
      </c>
      <c r="F101" s="271">
        <v>0</v>
      </c>
      <c r="G101" s="759">
        <f>IF(F101&lt;0,"Error: Enter as positive.",)</f>
        <v>0</v>
      </c>
      <c r="H101" s="17"/>
      <c r="I101" s="77"/>
      <c r="J101" s="605"/>
      <c r="L101" s="733"/>
      <c r="Z101" s="105"/>
      <c r="AA101" s="105"/>
      <c r="AB101" s="105"/>
      <c r="AC101" s="105"/>
      <c r="AD101" s="105"/>
      <c r="AE101" s="105"/>
      <c r="AF101" s="105"/>
      <c r="AG101" s="105"/>
      <c r="AH101" s="105"/>
      <c r="AI101" s="105"/>
      <c r="AJ101" s="105"/>
      <c r="AK101" s="105"/>
      <c r="AL101" s="105"/>
      <c r="AM101" s="105"/>
      <c r="AN101" s="105"/>
      <c r="AO101" s="105"/>
      <c r="AP101" s="105"/>
      <c r="AQ101" s="105"/>
      <c r="AR101" s="105"/>
    </row>
    <row r="102" spans="1:44" ht="30.75" hidden="1" customHeight="1" thickBot="1" x14ac:dyDescent="0.35">
      <c r="A102" s="105"/>
      <c r="B102" s="870" t="s">
        <v>1349</v>
      </c>
      <c r="C102" s="869"/>
      <c r="D102" s="869"/>
      <c r="E102" s="869"/>
      <c r="F102" s="869"/>
      <c r="G102" s="869"/>
      <c r="H102" s="17"/>
      <c r="I102" s="77"/>
      <c r="J102" s="605"/>
      <c r="L102" s="733"/>
      <c r="Z102" s="105"/>
      <c r="AA102" s="105"/>
      <c r="AB102" s="105"/>
      <c r="AC102" s="105"/>
      <c r="AD102" s="105"/>
      <c r="AE102" s="105"/>
      <c r="AF102" s="105"/>
      <c r="AG102" s="105"/>
      <c r="AH102" s="105"/>
      <c r="AI102" s="105"/>
      <c r="AJ102" s="105"/>
      <c r="AK102" s="105"/>
      <c r="AL102" s="105"/>
      <c r="AM102" s="105"/>
      <c r="AN102" s="105"/>
      <c r="AO102" s="105"/>
      <c r="AP102" s="105"/>
      <c r="AQ102" s="105"/>
      <c r="AR102" s="105"/>
    </row>
    <row r="103" spans="1:44" ht="48.75" hidden="1" customHeight="1" thickBot="1" x14ac:dyDescent="0.35">
      <c r="A103" s="105">
        <v>36</v>
      </c>
      <c r="B103" s="846" t="s">
        <v>723</v>
      </c>
      <c r="C103" s="341" t="s">
        <v>1365</v>
      </c>
      <c r="D103" s="698" t="s">
        <v>1388</v>
      </c>
      <c r="E103" s="699" t="e">
        <f>HLOOKUP($D$2,'2020 Data(H)'!$C$1:$CZ$428,24,FALSE)</f>
        <v>#N/A</v>
      </c>
      <c r="F103" s="301">
        <v>0</v>
      </c>
      <c r="G103" s="847"/>
      <c r="H103" s="17"/>
      <c r="I103" s="77"/>
      <c r="J103" s="605"/>
      <c r="L103" s="733"/>
      <c r="Z103" s="105"/>
      <c r="AA103" s="105"/>
      <c r="AB103" s="105"/>
      <c r="AC103" s="105"/>
      <c r="AD103" s="105"/>
      <c r="AE103" s="105"/>
      <c r="AF103" s="105"/>
      <c r="AG103" s="105"/>
      <c r="AH103" s="105"/>
      <c r="AI103" s="105"/>
      <c r="AJ103" s="105"/>
      <c r="AK103" s="105"/>
      <c r="AL103" s="105"/>
      <c r="AM103" s="105"/>
      <c r="AN103" s="105"/>
      <c r="AO103" s="105"/>
      <c r="AP103" s="105"/>
      <c r="AQ103" s="105"/>
      <c r="AR103" s="105"/>
    </row>
    <row r="104" spans="1:44" ht="56.25" hidden="1" customHeight="1" thickBot="1" x14ac:dyDescent="0.35">
      <c r="A104" s="105">
        <v>534</v>
      </c>
      <c r="B104" s="846" t="s">
        <v>723</v>
      </c>
      <c r="C104" s="341" t="s">
        <v>1365</v>
      </c>
      <c r="D104" s="737" t="s">
        <v>1389</v>
      </c>
      <c r="E104" s="699" t="e">
        <f>HLOOKUP($D$2,'2020 Data(H)'!$C$1:$CZ$428,184,FALSE)</f>
        <v>#N/A</v>
      </c>
      <c r="F104" s="301">
        <v>0</v>
      </c>
      <c r="G104" s="847"/>
      <c r="H104" s="17"/>
      <c r="I104" s="77"/>
      <c r="J104" s="605"/>
      <c r="L104" s="733"/>
      <c r="Z104" s="105"/>
      <c r="AA104" s="105"/>
      <c r="AB104" s="105"/>
      <c r="AC104" s="105"/>
      <c r="AD104" s="105"/>
      <c r="AE104" s="105"/>
      <c r="AF104" s="105"/>
      <c r="AG104" s="105"/>
      <c r="AH104" s="105"/>
      <c r="AI104" s="105"/>
      <c r="AJ104" s="105"/>
      <c r="AK104" s="105"/>
      <c r="AL104" s="105"/>
      <c r="AM104" s="105"/>
      <c r="AN104" s="105"/>
      <c r="AO104" s="105"/>
      <c r="AP104" s="105"/>
      <c r="AQ104" s="105"/>
      <c r="AR104" s="105"/>
    </row>
    <row r="105" spans="1:44" ht="78" hidden="1" customHeight="1" thickBot="1" x14ac:dyDescent="0.35">
      <c r="A105" s="848">
        <v>13</v>
      </c>
      <c r="B105" s="846" t="s">
        <v>604</v>
      </c>
      <c r="C105" s="849" t="s">
        <v>1350</v>
      </c>
      <c r="D105" s="849" t="s">
        <v>1555</v>
      </c>
      <c r="E105" s="699" t="e">
        <f>HLOOKUP($D$2,'2020 Data(H)'!$C$1:$CZ$428,10,FALSE)</f>
        <v>#N/A</v>
      </c>
      <c r="F105" s="301">
        <v>0</v>
      </c>
      <c r="G105" s="759"/>
      <c r="H105" s="17"/>
      <c r="I105" s="77"/>
      <c r="J105" s="605"/>
      <c r="L105" s="733"/>
      <c r="Z105" s="848"/>
      <c r="AA105" s="848"/>
      <c r="AB105" s="848"/>
      <c r="AC105" s="848"/>
      <c r="AD105" s="848"/>
      <c r="AE105" s="848"/>
      <c r="AF105" s="848"/>
      <c r="AG105" s="848"/>
      <c r="AH105" s="848"/>
      <c r="AI105" s="848"/>
      <c r="AJ105" s="848"/>
      <c r="AK105" s="848"/>
      <c r="AL105" s="848"/>
      <c r="AM105" s="848"/>
      <c r="AN105" s="848"/>
      <c r="AO105" s="848"/>
      <c r="AP105" s="848"/>
      <c r="AQ105" s="848"/>
      <c r="AR105" s="848"/>
    </row>
    <row r="106" spans="1:44" ht="191.25" hidden="1" customHeight="1" thickBot="1" x14ac:dyDescent="0.35">
      <c r="A106" s="848">
        <v>14</v>
      </c>
      <c r="B106" s="846" t="s">
        <v>604</v>
      </c>
      <c r="C106" s="849" t="s">
        <v>1350</v>
      </c>
      <c r="D106" s="849" t="s">
        <v>1352</v>
      </c>
      <c r="E106" s="699" t="e">
        <f>HLOOKUP($D$2,'2020 Data(H)'!$C$1:$CZ$428,11,FALSE)</f>
        <v>#N/A</v>
      </c>
      <c r="F106" s="301">
        <v>0</v>
      </c>
      <c r="G106" s="759"/>
      <c r="H106" s="17"/>
      <c r="I106" s="77"/>
      <c r="J106" s="605"/>
      <c r="L106" s="733"/>
      <c r="Z106" s="848"/>
      <c r="AA106" s="848"/>
      <c r="AB106" s="848"/>
      <c r="AC106" s="848"/>
      <c r="AD106" s="848"/>
      <c r="AE106" s="848"/>
      <c r="AF106" s="848"/>
      <c r="AG106" s="848"/>
      <c r="AH106" s="848"/>
      <c r="AI106" s="848"/>
      <c r="AJ106" s="848"/>
      <c r="AK106" s="848"/>
      <c r="AL106" s="848"/>
      <c r="AM106" s="848"/>
      <c r="AN106" s="848"/>
      <c r="AO106" s="848"/>
      <c r="AP106" s="848"/>
      <c r="AQ106" s="848"/>
      <c r="AR106" s="848"/>
    </row>
    <row r="107" spans="1:44" ht="129.75" hidden="1" customHeight="1" thickBot="1" x14ac:dyDescent="0.35">
      <c r="A107" s="848">
        <v>571</v>
      </c>
      <c r="B107" s="846" t="s">
        <v>604</v>
      </c>
      <c r="C107" s="850" t="s">
        <v>1390</v>
      </c>
      <c r="D107" s="850" t="s">
        <v>1391</v>
      </c>
      <c r="E107" s="699" t="e">
        <f>HLOOKUP($D$2,'2020 Data(H)'!$C$1:$CZ$428,221,FALSE)</f>
        <v>#N/A</v>
      </c>
      <c r="F107" s="301">
        <v>0</v>
      </c>
      <c r="G107" s="759"/>
      <c r="H107" s="17"/>
      <c r="I107" s="77"/>
      <c r="J107" s="605"/>
      <c r="L107" s="733"/>
      <c r="Z107" s="848"/>
      <c r="AA107" s="848"/>
      <c r="AB107" s="848"/>
      <c r="AC107" s="848"/>
      <c r="AD107" s="848"/>
      <c r="AE107" s="848"/>
      <c r="AF107" s="848"/>
      <c r="AG107" s="848"/>
      <c r="AH107" s="848"/>
      <c r="AI107" s="848"/>
      <c r="AJ107" s="848"/>
      <c r="AK107" s="848"/>
      <c r="AL107" s="848"/>
      <c r="AM107" s="848"/>
      <c r="AN107" s="848"/>
      <c r="AO107" s="848"/>
      <c r="AP107" s="848"/>
      <c r="AQ107" s="848"/>
      <c r="AR107" s="848"/>
    </row>
    <row r="108" spans="1:44" ht="128.25" hidden="1" customHeight="1" thickBot="1" x14ac:dyDescent="0.35">
      <c r="A108" s="848">
        <v>572</v>
      </c>
      <c r="B108" s="846" t="s">
        <v>59</v>
      </c>
      <c r="C108" s="850" t="s">
        <v>1390</v>
      </c>
      <c r="D108" s="850" t="s">
        <v>1392</v>
      </c>
      <c r="E108" s="699" t="e">
        <f>HLOOKUP($D$2,'2020 Data(H)'!$C$1:$CZ$428,222,FALSE)</f>
        <v>#N/A</v>
      </c>
      <c r="F108" s="301">
        <v>0</v>
      </c>
      <c r="G108" s="759"/>
      <c r="H108" s="17"/>
      <c r="I108" s="77"/>
      <c r="J108" s="605"/>
      <c r="L108" s="733"/>
      <c r="Z108" s="848"/>
      <c r="AA108" s="848"/>
      <c r="AB108" s="848"/>
      <c r="AC108" s="848"/>
      <c r="AD108" s="848"/>
      <c r="AE108" s="848"/>
      <c r="AF108" s="848"/>
      <c r="AG108" s="848"/>
      <c r="AH108" s="848"/>
      <c r="AI108" s="848"/>
      <c r="AJ108" s="848"/>
      <c r="AK108" s="848"/>
      <c r="AL108" s="848"/>
      <c r="AM108" s="848"/>
      <c r="AN108" s="848"/>
      <c r="AO108" s="848"/>
      <c r="AP108" s="848"/>
      <c r="AQ108" s="848"/>
      <c r="AR108" s="848"/>
    </row>
    <row r="109" spans="1:44" ht="120.75" hidden="1" customHeight="1" thickBot="1" x14ac:dyDescent="0.35">
      <c r="A109" s="848">
        <v>573</v>
      </c>
      <c r="B109" s="846" t="s">
        <v>604</v>
      </c>
      <c r="C109" s="850" t="s">
        <v>1390</v>
      </c>
      <c r="D109" s="850" t="s">
        <v>1550</v>
      </c>
      <c r="E109" s="699" t="e">
        <f>HLOOKUP($D$2,'2020 Data(H)'!$C$1:$CZ$428,223,FALSE)</f>
        <v>#N/A</v>
      </c>
      <c r="F109" s="301">
        <v>0</v>
      </c>
      <c r="G109" s="759"/>
      <c r="H109" s="17"/>
      <c r="I109" s="77"/>
      <c r="J109" s="605"/>
      <c r="L109" s="733"/>
      <c r="Z109" s="848"/>
      <c r="AA109" s="848"/>
      <c r="AB109" s="848"/>
      <c r="AC109" s="848"/>
      <c r="AD109" s="848"/>
      <c r="AE109" s="848"/>
      <c r="AF109" s="848"/>
      <c r="AG109" s="848"/>
      <c r="AH109" s="848"/>
      <c r="AI109" s="848"/>
      <c r="AJ109" s="848"/>
      <c r="AK109" s="848"/>
      <c r="AL109" s="848"/>
      <c r="AM109" s="848"/>
      <c r="AN109" s="848"/>
      <c r="AO109" s="848"/>
      <c r="AP109" s="848"/>
      <c r="AQ109" s="848"/>
      <c r="AR109" s="848"/>
    </row>
    <row r="110" spans="1:44" ht="99.75" hidden="1" customHeight="1" thickBot="1" x14ac:dyDescent="0.35">
      <c r="A110" s="848">
        <v>34</v>
      </c>
      <c r="B110" s="846" t="s">
        <v>604</v>
      </c>
      <c r="C110" s="4" t="s">
        <v>1365</v>
      </c>
      <c r="D110" s="689" t="s">
        <v>1545</v>
      </c>
      <c r="E110" s="699" t="e">
        <f>HLOOKUP($D$2,'2020 Data(H)'!$C$1:$CZ$428,22,FALSE)</f>
        <v>#N/A</v>
      </c>
      <c r="F110" s="301">
        <v>0</v>
      </c>
      <c r="G110" s="759"/>
      <c r="H110" s="17"/>
      <c r="I110" s="77"/>
      <c r="J110" s="605"/>
      <c r="L110" s="733"/>
      <c r="Z110" s="848"/>
      <c r="AA110" s="848"/>
      <c r="AB110" s="848"/>
      <c r="AC110" s="848"/>
      <c r="AD110" s="848"/>
      <c r="AE110" s="848"/>
      <c r="AF110" s="848"/>
      <c r="AG110" s="848"/>
      <c r="AH110" s="848"/>
      <c r="AI110" s="848"/>
      <c r="AJ110" s="848"/>
      <c r="AK110" s="848"/>
      <c r="AL110" s="848"/>
      <c r="AM110" s="848"/>
      <c r="AN110" s="848"/>
      <c r="AO110" s="848"/>
      <c r="AP110" s="848"/>
      <c r="AQ110" s="848"/>
      <c r="AR110" s="848"/>
    </row>
    <row r="111" spans="1:44" ht="117" hidden="1" customHeight="1" thickBot="1" x14ac:dyDescent="0.35">
      <c r="A111" s="848">
        <v>35</v>
      </c>
      <c r="B111" s="846" t="s">
        <v>604</v>
      </c>
      <c r="C111" s="4" t="s">
        <v>1365</v>
      </c>
      <c r="D111" s="689" t="s">
        <v>1557</v>
      </c>
      <c r="E111" s="699" t="e">
        <f>HLOOKUP($D$2,'2020 Data(H)'!$C$1:$CZ$428,23,FALSE)</f>
        <v>#N/A</v>
      </c>
      <c r="F111" s="301">
        <v>0</v>
      </c>
      <c r="G111" s="759"/>
      <c r="H111" s="17"/>
      <c r="I111" s="77"/>
      <c r="J111" s="605"/>
      <c r="L111" s="733"/>
      <c r="Z111" s="848"/>
      <c r="AA111" s="848"/>
      <c r="AB111" s="848"/>
      <c r="AC111" s="848"/>
      <c r="AD111" s="848"/>
      <c r="AE111" s="848"/>
      <c r="AF111" s="848"/>
      <c r="AG111" s="848"/>
      <c r="AH111" s="848"/>
      <c r="AI111" s="848"/>
      <c r="AJ111" s="848"/>
      <c r="AK111" s="848"/>
      <c r="AL111" s="848"/>
      <c r="AM111" s="848"/>
      <c r="AN111" s="848"/>
      <c r="AO111" s="848"/>
      <c r="AP111" s="848"/>
      <c r="AQ111" s="848"/>
      <c r="AR111" s="848"/>
    </row>
    <row r="112" spans="1:44" ht="108.75" hidden="1" customHeight="1" thickBot="1" x14ac:dyDescent="0.35">
      <c r="A112" s="848">
        <v>37</v>
      </c>
      <c r="B112" s="846" t="s">
        <v>604</v>
      </c>
      <c r="C112" s="4" t="s">
        <v>1365</v>
      </c>
      <c r="D112" s="689" t="s">
        <v>1470</v>
      </c>
      <c r="E112" s="699" t="e">
        <f>HLOOKUP($D$2,'2020 Data(H)'!$C$1:$CZ$428,25,FALSE)</f>
        <v>#N/A</v>
      </c>
      <c r="F112" s="301">
        <v>0</v>
      </c>
      <c r="G112" s="759"/>
      <c r="H112" s="17"/>
      <c r="I112" s="77"/>
      <c r="J112" s="605"/>
      <c r="L112" s="733"/>
      <c r="Z112" s="848"/>
      <c r="AA112" s="848"/>
      <c r="AB112" s="848"/>
      <c r="AC112" s="848"/>
      <c r="AD112" s="848"/>
      <c r="AE112" s="848"/>
      <c r="AF112" s="848"/>
      <c r="AG112" s="848"/>
      <c r="AH112" s="848"/>
      <c r="AI112" s="848"/>
      <c r="AJ112" s="848"/>
      <c r="AK112" s="848"/>
      <c r="AL112" s="848"/>
      <c r="AM112" s="848"/>
      <c r="AN112" s="848"/>
      <c r="AO112" s="848"/>
      <c r="AP112" s="848"/>
      <c r="AQ112" s="848"/>
      <c r="AR112" s="848"/>
    </row>
    <row r="113" spans="1:44" ht="102.75" hidden="1" customHeight="1" thickBot="1" x14ac:dyDescent="0.35">
      <c r="A113" s="848">
        <v>38</v>
      </c>
      <c r="B113" s="846" t="s">
        <v>604</v>
      </c>
      <c r="C113" s="4" t="s">
        <v>1365</v>
      </c>
      <c r="D113" s="689" t="s">
        <v>1368</v>
      </c>
      <c r="E113" s="699" t="e">
        <f>HLOOKUP($D$2,'2020 Data(H)'!$C$1:$CZ$428,26,FALSE)</f>
        <v>#N/A</v>
      </c>
      <c r="F113" s="301">
        <v>0</v>
      </c>
      <c r="G113" s="759"/>
      <c r="H113" s="17"/>
      <c r="I113" s="77"/>
      <c r="J113" s="605"/>
      <c r="L113" s="733"/>
      <c r="Z113" s="848"/>
      <c r="AA113" s="848"/>
      <c r="AB113" s="848"/>
      <c r="AC113" s="848"/>
      <c r="AD113" s="848"/>
      <c r="AE113" s="848"/>
      <c r="AF113" s="848"/>
      <c r="AG113" s="848"/>
      <c r="AH113" s="848"/>
      <c r="AI113" s="848"/>
      <c r="AJ113" s="848"/>
      <c r="AK113" s="848"/>
      <c r="AL113" s="848"/>
      <c r="AM113" s="848"/>
      <c r="AN113" s="848"/>
      <c r="AO113" s="848"/>
      <c r="AP113" s="848"/>
      <c r="AQ113" s="848"/>
      <c r="AR113" s="848"/>
    </row>
    <row r="114" spans="1:44" ht="117.75" hidden="1" customHeight="1" thickBot="1" x14ac:dyDescent="0.35">
      <c r="A114" s="848">
        <v>32</v>
      </c>
      <c r="B114" s="846" t="s">
        <v>723</v>
      </c>
      <c r="C114" s="849" t="s">
        <v>1353</v>
      </c>
      <c r="D114" s="849" t="s">
        <v>1354</v>
      </c>
      <c r="E114" s="699" t="e">
        <f>HLOOKUP($D$2,'2020 Data(H)'!$C$1:$CZ$428,20,FALSE)</f>
        <v>#N/A</v>
      </c>
      <c r="F114" s="301">
        <v>0</v>
      </c>
      <c r="G114" s="759"/>
      <c r="H114" s="17"/>
      <c r="I114" s="77"/>
      <c r="J114" s="605"/>
      <c r="L114" s="733"/>
      <c r="Z114" s="848"/>
      <c r="AA114" s="848"/>
      <c r="AB114" s="848"/>
      <c r="AC114" s="848"/>
      <c r="AD114" s="848"/>
      <c r="AE114" s="848"/>
      <c r="AF114" s="848"/>
      <c r="AG114" s="848"/>
      <c r="AH114" s="848"/>
      <c r="AI114" s="848"/>
      <c r="AJ114" s="848"/>
      <c r="AK114" s="848"/>
      <c r="AL114" s="848"/>
      <c r="AM114" s="848"/>
      <c r="AN114" s="848"/>
      <c r="AO114" s="848"/>
      <c r="AP114" s="848"/>
      <c r="AQ114" s="848"/>
      <c r="AR114" s="848"/>
    </row>
    <row r="115" spans="1:44" ht="116.25" hidden="1" customHeight="1" thickBot="1" x14ac:dyDescent="0.35">
      <c r="A115" s="848">
        <v>40</v>
      </c>
      <c r="B115" s="846" t="s">
        <v>604</v>
      </c>
      <c r="C115" s="849" t="s">
        <v>1369</v>
      </c>
      <c r="D115" s="689" t="s">
        <v>1370</v>
      </c>
      <c r="E115" s="699" t="e">
        <f>HLOOKUP($D$2,'2020 Data(H)'!$C$1:$CZ$428,28,FALSE)</f>
        <v>#N/A</v>
      </c>
      <c r="F115" s="301">
        <v>0</v>
      </c>
      <c r="G115" s="759"/>
      <c r="H115" s="17"/>
      <c r="I115" s="77"/>
      <c r="J115" s="605"/>
      <c r="L115" s="733"/>
      <c r="Z115" s="848"/>
      <c r="AA115" s="848"/>
      <c r="AB115" s="848"/>
      <c r="AC115" s="848"/>
      <c r="AD115" s="848"/>
      <c r="AE115" s="848"/>
      <c r="AF115" s="848"/>
      <c r="AG115" s="848"/>
      <c r="AH115" s="848"/>
      <c r="AI115" s="848"/>
      <c r="AJ115" s="848"/>
      <c r="AK115" s="848"/>
      <c r="AL115" s="848"/>
      <c r="AM115" s="848"/>
      <c r="AN115" s="848"/>
      <c r="AO115" s="848"/>
      <c r="AP115" s="848"/>
      <c r="AQ115" s="848"/>
      <c r="AR115" s="848"/>
    </row>
    <row r="116" spans="1:44" ht="104.25" hidden="1" customHeight="1" thickBot="1" x14ac:dyDescent="0.35">
      <c r="A116" s="848">
        <v>107</v>
      </c>
      <c r="B116" s="846" t="s">
        <v>604</v>
      </c>
      <c r="C116" s="849" t="s">
        <v>1369</v>
      </c>
      <c r="D116" s="689" t="s">
        <v>1371</v>
      </c>
      <c r="E116" s="699" t="e">
        <f>HLOOKUP($D$2,'2020 Data(H)'!$C$1:$CZ$428,65,FALSE)</f>
        <v>#N/A</v>
      </c>
      <c r="F116" s="301">
        <v>0</v>
      </c>
      <c r="G116" s="759"/>
      <c r="H116" s="17"/>
      <c r="I116" s="77"/>
      <c r="J116" s="605"/>
      <c r="L116" s="733"/>
      <c r="Z116" s="848"/>
      <c r="AA116" s="848"/>
      <c r="AB116" s="848"/>
      <c r="AC116" s="848"/>
      <c r="AD116" s="848"/>
      <c r="AE116" s="848"/>
      <c r="AF116" s="848"/>
      <c r="AG116" s="848"/>
      <c r="AH116" s="848"/>
      <c r="AI116" s="848"/>
      <c r="AJ116" s="848"/>
      <c r="AK116" s="848"/>
      <c r="AL116" s="848"/>
      <c r="AM116" s="848"/>
      <c r="AN116" s="848"/>
      <c r="AO116" s="848"/>
      <c r="AP116" s="848"/>
      <c r="AQ116" s="848"/>
      <c r="AR116" s="848"/>
    </row>
    <row r="117" spans="1:44" ht="107.25" hidden="1" customHeight="1" thickBot="1" x14ac:dyDescent="0.35">
      <c r="A117" s="848">
        <v>108</v>
      </c>
      <c r="B117" s="846" t="s">
        <v>604</v>
      </c>
      <c r="C117" s="849" t="s">
        <v>1369</v>
      </c>
      <c r="D117" s="689" t="s">
        <v>1471</v>
      </c>
      <c r="E117" s="699" t="e">
        <f>HLOOKUP($D$2,'2020 Data(H)'!$C$1:$CZ$428,66,FALSE)</f>
        <v>#N/A</v>
      </c>
      <c r="F117" s="301">
        <v>0</v>
      </c>
      <c r="G117" s="759"/>
      <c r="H117" s="17"/>
      <c r="I117" s="77"/>
      <c r="J117" s="605"/>
      <c r="L117" s="733"/>
      <c r="Z117" s="848"/>
      <c r="AA117" s="848"/>
      <c r="AB117" s="848"/>
      <c r="AC117" s="848"/>
      <c r="AD117" s="848"/>
      <c r="AE117" s="848"/>
      <c r="AF117" s="848"/>
      <c r="AG117" s="848"/>
      <c r="AH117" s="848"/>
      <c r="AI117" s="848"/>
      <c r="AJ117" s="848"/>
      <c r="AK117" s="848"/>
      <c r="AL117" s="848"/>
      <c r="AM117" s="848"/>
      <c r="AN117" s="848"/>
      <c r="AO117" s="848"/>
      <c r="AP117" s="848"/>
      <c r="AQ117" s="848"/>
      <c r="AR117" s="848"/>
    </row>
    <row r="118" spans="1:44" ht="93" hidden="1" customHeight="1" thickBot="1" x14ac:dyDescent="0.35">
      <c r="A118" s="848">
        <v>41</v>
      </c>
      <c r="B118" s="846" t="s">
        <v>604</v>
      </c>
      <c r="C118" s="849" t="s">
        <v>1369</v>
      </c>
      <c r="D118" s="689" t="s">
        <v>1472</v>
      </c>
      <c r="E118" s="699" t="e">
        <f>HLOOKUP($D$2,'2020 Data(H)'!$C$1:$CZ$428,29,FALSE)</f>
        <v>#N/A</v>
      </c>
      <c r="F118" s="301">
        <v>0</v>
      </c>
      <c r="G118" s="759"/>
      <c r="H118" s="17"/>
      <c r="I118" s="77"/>
      <c r="J118" s="605"/>
      <c r="L118" s="733"/>
      <c r="Z118" s="848"/>
      <c r="AA118" s="848"/>
      <c r="AB118" s="848"/>
      <c r="AC118" s="848"/>
      <c r="AD118" s="848"/>
      <c r="AE118" s="848"/>
      <c r="AF118" s="848"/>
      <c r="AG118" s="848"/>
      <c r="AH118" s="848"/>
      <c r="AI118" s="848"/>
      <c r="AJ118" s="848"/>
      <c r="AK118" s="848"/>
      <c r="AL118" s="848"/>
      <c r="AM118" s="848"/>
      <c r="AN118" s="848"/>
      <c r="AO118" s="848"/>
      <c r="AP118" s="848"/>
      <c r="AQ118" s="848"/>
      <c r="AR118" s="848"/>
    </row>
    <row r="119" spans="1:44" ht="120.75" hidden="1" customHeight="1" thickBot="1" x14ac:dyDescent="0.35">
      <c r="A119" s="848">
        <v>194</v>
      </c>
      <c r="B119" s="846" t="s">
        <v>604</v>
      </c>
      <c r="C119" s="849" t="s">
        <v>1369</v>
      </c>
      <c r="D119" s="689" t="s">
        <v>1372</v>
      </c>
      <c r="E119" s="699" t="e">
        <f>HLOOKUP($D$2,'2020 Data(H)'!$C$1:$CZ$428,75,FALSE)</f>
        <v>#N/A</v>
      </c>
      <c r="F119" s="301">
        <v>0</v>
      </c>
      <c r="G119" s="759"/>
      <c r="H119" s="17"/>
      <c r="I119" s="77"/>
      <c r="J119" s="605"/>
      <c r="L119" s="733"/>
      <c r="Z119" s="848"/>
      <c r="AA119" s="848"/>
      <c r="AB119" s="848"/>
      <c r="AC119" s="848"/>
      <c r="AD119" s="848"/>
      <c r="AE119" s="848"/>
      <c r="AF119" s="848"/>
      <c r="AG119" s="848"/>
      <c r="AH119" s="848"/>
      <c r="AI119" s="848"/>
      <c r="AJ119" s="848"/>
      <c r="AK119" s="848"/>
      <c r="AL119" s="848"/>
      <c r="AM119" s="848"/>
      <c r="AN119" s="848"/>
      <c r="AO119" s="848"/>
      <c r="AP119" s="848"/>
      <c r="AQ119" s="848"/>
      <c r="AR119" s="848"/>
    </row>
    <row r="120" spans="1:44" ht="123.75" hidden="1" customHeight="1" thickBot="1" x14ac:dyDescent="0.35">
      <c r="A120" s="848">
        <v>294</v>
      </c>
      <c r="B120" s="846" t="s">
        <v>604</v>
      </c>
      <c r="C120" s="849" t="s">
        <v>1369</v>
      </c>
      <c r="D120" s="689" t="s">
        <v>1373</v>
      </c>
      <c r="E120" s="699" t="e">
        <f>HLOOKUP($D$2,'2020 Data(H)'!$C$1:$CZ$428,83,FALSE)</f>
        <v>#N/A</v>
      </c>
      <c r="F120" s="301">
        <v>0</v>
      </c>
      <c r="G120" s="759"/>
      <c r="H120" s="17"/>
      <c r="I120" s="77"/>
      <c r="J120" s="605"/>
      <c r="L120" s="733"/>
      <c r="Z120" s="848"/>
      <c r="AA120" s="848"/>
      <c r="AB120" s="848"/>
      <c r="AC120" s="848"/>
      <c r="AD120" s="848"/>
      <c r="AE120" s="848"/>
      <c r="AF120" s="848"/>
      <c r="AG120" s="848"/>
      <c r="AH120" s="848"/>
      <c r="AI120" s="848"/>
      <c r="AJ120" s="848"/>
      <c r="AK120" s="848"/>
      <c r="AL120" s="848"/>
      <c r="AM120" s="848"/>
      <c r="AN120" s="848"/>
      <c r="AO120" s="848"/>
      <c r="AP120" s="848"/>
      <c r="AQ120" s="848"/>
      <c r="AR120" s="848"/>
    </row>
    <row r="121" spans="1:44" hidden="1" x14ac:dyDescent="0.3">
      <c r="E121" s="699"/>
      <c r="Z121" s="18"/>
    </row>
    <row r="122" spans="1:44" hidden="1" x14ac:dyDescent="0.3">
      <c r="E122" s="699"/>
      <c r="Z122" s="18"/>
    </row>
    <row r="123" spans="1:44" ht="129.75" hidden="1" customHeight="1" thickBot="1" x14ac:dyDescent="0.35">
      <c r="A123" s="848">
        <v>31</v>
      </c>
      <c r="B123" s="846" t="s">
        <v>723</v>
      </c>
      <c r="C123" s="849" t="s">
        <v>1353</v>
      </c>
      <c r="D123" s="849" t="s">
        <v>1355</v>
      </c>
      <c r="E123" s="699" t="e">
        <f>HLOOKUP($D$2,'2020 Data(H)'!$C$1:$CZ$428,19,FALSE)</f>
        <v>#N/A</v>
      </c>
      <c r="F123" s="301">
        <v>0</v>
      </c>
      <c r="G123" s="759"/>
      <c r="H123" s="17"/>
      <c r="I123" s="77"/>
      <c r="J123" s="605"/>
      <c r="L123" s="733"/>
      <c r="Z123" s="848"/>
      <c r="AA123" s="848"/>
      <c r="AB123" s="848"/>
      <c r="AC123" s="848"/>
      <c r="AD123" s="848"/>
      <c r="AE123" s="848"/>
      <c r="AF123" s="848"/>
      <c r="AG123" s="848"/>
      <c r="AH123" s="848"/>
      <c r="AI123" s="848"/>
      <c r="AJ123" s="848"/>
      <c r="AK123" s="848"/>
      <c r="AL123" s="848"/>
      <c r="AM123" s="848"/>
      <c r="AN123" s="848"/>
      <c r="AO123" s="848"/>
      <c r="AP123" s="848"/>
      <c r="AQ123" s="848"/>
      <c r="AR123" s="848"/>
    </row>
    <row r="124" spans="1:44" ht="94.5" hidden="1" customHeight="1" thickBot="1" x14ac:dyDescent="0.35">
      <c r="A124" s="848" t="s">
        <v>1356</v>
      </c>
      <c r="B124" s="846" t="s">
        <v>723</v>
      </c>
      <c r="C124" s="849" t="s">
        <v>1357</v>
      </c>
      <c r="D124" s="849" t="s">
        <v>383</v>
      </c>
      <c r="E124" s="699" t="e">
        <f>HLOOKUP($D$2,'2020 Data(H)'!$C$1:$CZ$428,74,FALSE)</f>
        <v>#N/A</v>
      </c>
      <c r="F124" s="301">
        <v>0</v>
      </c>
      <c r="G124" s="759"/>
      <c r="H124" s="17"/>
      <c r="I124" s="77"/>
      <c r="J124" s="605"/>
      <c r="L124" s="733"/>
      <c r="Z124" s="848"/>
      <c r="AA124" s="848"/>
      <c r="AB124" s="848"/>
      <c r="AC124" s="848"/>
      <c r="AD124" s="848"/>
      <c r="AE124" s="848"/>
      <c r="AF124" s="848"/>
      <c r="AG124" s="848"/>
      <c r="AH124" s="848"/>
      <c r="AI124" s="848"/>
      <c r="AJ124" s="848"/>
      <c r="AK124" s="848"/>
      <c r="AL124" s="848"/>
      <c r="AM124" s="848"/>
      <c r="AN124" s="848"/>
      <c r="AO124" s="848"/>
      <c r="AP124" s="848"/>
      <c r="AQ124" s="848"/>
      <c r="AR124" s="848"/>
    </row>
    <row r="125" spans="1:44" ht="78" hidden="1" customHeight="1" thickBot="1" x14ac:dyDescent="0.35">
      <c r="A125" s="848" t="s">
        <v>1358</v>
      </c>
      <c r="B125" s="846" t="s">
        <v>723</v>
      </c>
      <c r="C125" s="849" t="s">
        <v>1357</v>
      </c>
      <c r="D125" s="849" t="s">
        <v>318</v>
      </c>
      <c r="E125" s="699" t="e">
        <f>HLOOKUP($D$2,'2020 Data(H)'!$C$1:$CZ$428,21,FALSE)</f>
        <v>#N/A</v>
      </c>
      <c r="F125" s="301">
        <v>0</v>
      </c>
      <c r="G125" s="759"/>
      <c r="H125" s="17"/>
      <c r="I125" s="77"/>
      <c r="J125" s="605"/>
      <c r="L125" s="733"/>
      <c r="Z125" s="848"/>
      <c r="AA125" s="848"/>
      <c r="AB125" s="848"/>
      <c r="AC125" s="848"/>
      <c r="AD125" s="848"/>
      <c r="AE125" s="848"/>
      <c r="AF125" s="848"/>
      <c r="AG125" s="848"/>
      <c r="AH125" s="848"/>
      <c r="AI125" s="848"/>
      <c r="AJ125" s="848"/>
      <c r="AK125" s="848"/>
      <c r="AL125" s="848"/>
      <c r="AM125" s="848"/>
      <c r="AN125" s="848"/>
      <c r="AO125" s="848"/>
      <c r="AP125" s="848"/>
      <c r="AQ125" s="848"/>
      <c r="AR125" s="848"/>
    </row>
    <row r="126" spans="1:44" ht="55.5" hidden="1" customHeight="1" thickBot="1" x14ac:dyDescent="0.35">
      <c r="A126" s="848">
        <v>104</v>
      </c>
      <c r="B126" s="846" t="s">
        <v>723</v>
      </c>
      <c r="C126" s="4" t="s">
        <v>1374</v>
      </c>
      <c r="D126" s="689" t="s">
        <v>1375</v>
      </c>
      <c r="E126" s="699" t="e">
        <f>HLOOKUP($D$2,'2020 Data(H)'!$C$1:$CZ$428,64,FALSE)</f>
        <v>#N/A</v>
      </c>
      <c r="F126" s="301">
        <v>0</v>
      </c>
      <c r="G126" s="759"/>
      <c r="H126" s="17"/>
      <c r="I126" s="77"/>
      <c r="J126" s="605"/>
      <c r="L126" s="733"/>
      <c r="Z126" s="848"/>
      <c r="AA126" s="848"/>
      <c r="AB126" s="848"/>
      <c r="AC126" s="848"/>
      <c r="AD126" s="848"/>
      <c r="AE126" s="848"/>
      <c r="AF126" s="848"/>
      <c r="AG126" s="848"/>
      <c r="AH126" s="848"/>
      <c r="AI126" s="848"/>
      <c r="AJ126" s="848"/>
      <c r="AK126" s="848"/>
      <c r="AL126" s="848"/>
      <c r="AM126" s="848"/>
      <c r="AN126" s="848"/>
      <c r="AO126" s="848"/>
      <c r="AP126" s="848"/>
      <c r="AQ126" s="848"/>
      <c r="AR126" s="848"/>
    </row>
    <row r="127" spans="1:44" ht="70.5" hidden="1" customHeight="1" thickBot="1" x14ac:dyDescent="0.35">
      <c r="A127" s="848">
        <v>39</v>
      </c>
      <c r="B127" s="846" t="s">
        <v>723</v>
      </c>
      <c r="C127" s="4" t="s">
        <v>1374</v>
      </c>
      <c r="D127" s="24" t="s">
        <v>1376</v>
      </c>
      <c r="E127" s="699" t="e">
        <f>HLOOKUP($D$2,'2020 Data(H)'!$C$1:$CZ$428,27,FALSE)</f>
        <v>#N/A</v>
      </c>
      <c r="F127" s="301">
        <v>0</v>
      </c>
      <c r="G127" s="759"/>
      <c r="H127" s="17"/>
      <c r="I127" s="77"/>
      <c r="J127" s="605"/>
      <c r="L127" s="733"/>
      <c r="Z127" s="848"/>
      <c r="AA127" s="848"/>
      <c r="AB127" s="848"/>
      <c r="AC127" s="848"/>
      <c r="AD127" s="848"/>
      <c r="AE127" s="848"/>
      <c r="AF127" s="848"/>
      <c r="AG127" s="848"/>
      <c r="AH127" s="848"/>
      <c r="AI127" s="848"/>
      <c r="AJ127" s="848"/>
      <c r="AK127" s="848"/>
      <c r="AL127" s="848"/>
      <c r="AM127" s="848"/>
      <c r="AN127" s="848"/>
      <c r="AO127" s="848"/>
      <c r="AP127" s="848"/>
      <c r="AQ127" s="848"/>
      <c r="AR127" s="848"/>
    </row>
    <row r="128" spans="1:44" ht="15" thickBot="1" x14ac:dyDescent="0.35">
      <c r="A128" s="105"/>
      <c r="B128" s="886" t="s">
        <v>1473</v>
      </c>
      <c r="C128" s="886"/>
      <c r="D128" s="870"/>
      <c r="E128" s="870"/>
      <c r="F128" s="890"/>
      <c r="G128" s="891"/>
      <c r="H128" s="17"/>
      <c r="I128" s="77"/>
      <c r="L128" s="733"/>
      <c r="Z128" s="105"/>
      <c r="AA128" s="105"/>
      <c r="AB128" s="105"/>
      <c r="AC128" s="105"/>
      <c r="AD128" s="105"/>
      <c r="AE128" s="105"/>
      <c r="AF128" s="105"/>
      <c r="AG128" s="105"/>
      <c r="AH128" s="105"/>
      <c r="AI128" s="105"/>
      <c r="AJ128" s="105"/>
      <c r="AK128" s="105"/>
      <c r="AL128" s="105"/>
      <c r="AM128" s="105"/>
      <c r="AN128" s="105"/>
      <c r="AO128" s="105"/>
      <c r="AP128" s="105"/>
      <c r="AQ128" s="105"/>
      <c r="AR128" s="105"/>
    </row>
    <row r="129" spans="1:44" ht="15" thickBot="1" x14ac:dyDescent="0.35">
      <c r="A129" s="105"/>
      <c r="B129" s="886" t="s">
        <v>24</v>
      </c>
      <c r="C129" s="886"/>
      <c r="D129" s="886"/>
      <c r="E129" s="868"/>
      <c r="F129" s="892"/>
      <c r="G129" s="893"/>
      <c r="H129" s="17"/>
      <c r="I129" s="77"/>
      <c r="L129" s="733"/>
      <c r="Z129" s="105"/>
      <c r="AA129" s="105"/>
      <c r="AB129" s="105"/>
      <c r="AC129" s="105"/>
      <c r="AD129" s="105"/>
      <c r="AE129" s="105"/>
      <c r="AF129" s="105"/>
      <c r="AG129" s="105"/>
      <c r="AH129" s="105"/>
      <c r="AI129" s="105"/>
      <c r="AJ129" s="105"/>
      <c r="AK129" s="105"/>
      <c r="AL129" s="105"/>
      <c r="AM129" s="105"/>
      <c r="AN129" s="105"/>
      <c r="AO129" s="105"/>
      <c r="AP129" s="105"/>
      <c r="AQ129" s="105"/>
      <c r="AR129" s="105"/>
    </row>
    <row r="130" spans="1:44" ht="15" thickBot="1" x14ac:dyDescent="0.35">
      <c r="A130" s="105"/>
      <c r="B130" s="886" t="s">
        <v>22</v>
      </c>
      <c r="C130" s="886"/>
      <c r="D130" s="886"/>
      <c r="E130" s="868"/>
      <c r="F130" s="892"/>
      <c r="G130" s="893"/>
      <c r="H130" s="773"/>
      <c r="I130" s="77"/>
      <c r="L130" s="733"/>
      <c r="Z130" s="105"/>
      <c r="AA130" s="105"/>
      <c r="AB130" s="105"/>
      <c r="AC130" s="105"/>
      <c r="AD130" s="105"/>
      <c r="AE130" s="105"/>
      <c r="AF130" s="105"/>
      <c r="AG130" s="105"/>
      <c r="AH130" s="105"/>
      <c r="AI130" s="105"/>
      <c r="AJ130" s="105"/>
      <c r="AK130" s="105"/>
      <c r="AL130" s="105"/>
      <c r="AM130" s="105"/>
      <c r="AN130" s="105"/>
      <c r="AO130" s="105"/>
      <c r="AP130" s="105"/>
      <c r="AQ130" s="105"/>
      <c r="AR130" s="105"/>
    </row>
    <row r="131" spans="1:44" ht="78" customHeight="1" thickBot="1" x14ac:dyDescent="0.35">
      <c r="A131" s="105">
        <v>596</v>
      </c>
      <c r="B131" s="701" t="s">
        <v>57</v>
      </c>
      <c r="C131" s="851"/>
      <c r="D131" s="698" t="s">
        <v>613</v>
      </c>
      <c r="E131" s="699" t="e">
        <f>HLOOKUP($D$2,'2020 Data(H)'!$C$1:$CZ$428,255,FALSE)</f>
        <v>#N/A</v>
      </c>
      <c r="F131" s="301"/>
      <c r="G131" s="774"/>
      <c r="H131" s="773"/>
      <c r="I131" s="77"/>
      <c r="L131" s="733"/>
      <c r="Z131" s="105"/>
      <c r="AA131" s="105"/>
      <c r="AB131" s="105"/>
      <c r="AC131" s="105"/>
      <c r="AD131" s="105"/>
      <c r="AE131" s="105"/>
      <c r="AF131" s="105"/>
      <c r="AG131" s="105"/>
      <c r="AH131" s="105"/>
      <c r="AI131" s="105"/>
      <c r="AJ131" s="105"/>
      <c r="AK131" s="105"/>
      <c r="AL131" s="105"/>
      <c r="AM131" s="105"/>
      <c r="AN131" s="105"/>
      <c r="AO131" s="105"/>
      <c r="AP131" s="105"/>
      <c r="AQ131" s="105"/>
      <c r="AR131" s="105"/>
    </row>
    <row r="132" spans="1:44" ht="114.75" customHeight="1" thickBot="1" x14ac:dyDescent="0.35">
      <c r="A132" s="105">
        <v>80</v>
      </c>
      <c r="B132" s="4" t="s">
        <v>62</v>
      </c>
      <c r="C132" s="4" t="s">
        <v>1474</v>
      </c>
      <c r="D132" s="24" t="s">
        <v>1475</v>
      </c>
      <c r="E132" s="699" t="e">
        <f>HLOOKUP($D$2,'2020 Data(H)'!$C$1:$CZ$428,44,FALSE)</f>
        <v>#N/A</v>
      </c>
      <c r="F132" s="271">
        <v>0</v>
      </c>
      <c r="G132" s="699" t="e">
        <f>HLOOKUP($D$2,'2020 Data(H)'!C1:BS295,249,FALSE)</f>
        <v>#N/A</v>
      </c>
      <c r="H132" s="775"/>
      <c r="I132" s="77"/>
      <c r="L132" s="733"/>
      <c r="Z132" s="105"/>
      <c r="AA132" s="105"/>
      <c r="AB132" s="105"/>
      <c r="AC132" s="105"/>
      <c r="AD132" s="105"/>
      <c r="AE132" s="105"/>
      <c r="AF132" s="105"/>
      <c r="AG132" s="105"/>
      <c r="AH132" s="105"/>
      <c r="AI132" s="105"/>
      <c r="AJ132" s="105"/>
      <c r="AK132" s="105"/>
      <c r="AL132" s="105"/>
      <c r="AM132" s="105"/>
      <c r="AN132" s="105"/>
      <c r="AO132" s="105"/>
      <c r="AP132" s="105"/>
      <c r="AQ132" s="105"/>
      <c r="AR132" s="105"/>
    </row>
    <row r="133" spans="1:44" ht="63.75" customHeight="1" thickBot="1" x14ac:dyDescent="0.35">
      <c r="A133" s="105">
        <v>81</v>
      </c>
      <c r="B133" s="4" t="s">
        <v>62</v>
      </c>
      <c r="C133" s="4" t="s">
        <v>1474</v>
      </c>
      <c r="D133" s="24" t="s">
        <v>1476</v>
      </c>
      <c r="E133" s="699" t="e">
        <f>HLOOKUP($D$2,'2020 Data(H)'!$C$1:$CZ$428,45,FALSE)</f>
        <v>#N/A</v>
      </c>
      <c r="F133" s="301">
        <v>0</v>
      </c>
      <c r="G133" s="769"/>
      <c r="H133" s="17"/>
      <c r="I133" s="77"/>
      <c r="L133" s="733"/>
      <c r="Z133" s="105"/>
      <c r="AA133" s="105"/>
      <c r="AB133" s="105"/>
      <c r="AC133" s="105"/>
      <c r="AD133" s="105"/>
      <c r="AE133" s="105"/>
      <c r="AF133" s="105"/>
      <c r="AG133" s="105"/>
      <c r="AH133" s="105"/>
      <c r="AI133" s="105"/>
      <c r="AJ133" s="105"/>
      <c r="AK133" s="105"/>
      <c r="AL133" s="105"/>
      <c r="AM133" s="105"/>
      <c r="AN133" s="105"/>
      <c r="AO133" s="105"/>
      <c r="AP133" s="105"/>
      <c r="AQ133" s="105"/>
      <c r="AR133" s="105"/>
    </row>
    <row r="134" spans="1:44" ht="84" customHeight="1" thickBot="1" x14ac:dyDescent="0.35">
      <c r="A134" s="105">
        <v>579</v>
      </c>
      <c r="B134" s="852" t="s">
        <v>559</v>
      </c>
      <c r="C134" s="701" t="s">
        <v>1474</v>
      </c>
      <c r="D134" s="853" t="s">
        <v>1477</v>
      </c>
      <c r="E134" s="699" t="e">
        <f>HLOOKUP($D$2,'2020 Data(H)'!$C$1:$CZ$428,229,FALSE)</f>
        <v>#N/A</v>
      </c>
      <c r="F134" s="301">
        <v>0</v>
      </c>
      <c r="G134" s="759"/>
      <c r="H134" s="17"/>
      <c r="I134" s="760"/>
      <c r="L134" s="733"/>
      <c r="Z134" s="105"/>
      <c r="AA134" s="105"/>
      <c r="AB134" s="105"/>
      <c r="AC134" s="105"/>
      <c r="AD134" s="105"/>
      <c r="AE134" s="105"/>
      <c r="AF134" s="105"/>
      <c r="AG134" s="105"/>
      <c r="AH134" s="105"/>
      <c r="AI134" s="105"/>
      <c r="AJ134" s="105"/>
      <c r="AK134" s="105"/>
      <c r="AL134" s="105"/>
      <c r="AM134" s="105"/>
      <c r="AN134" s="105"/>
      <c r="AO134" s="105"/>
      <c r="AP134" s="105"/>
      <c r="AQ134" s="105"/>
      <c r="AR134" s="105"/>
    </row>
    <row r="135" spans="1:44" ht="48.75" customHeight="1" x14ac:dyDescent="0.3">
      <c r="A135" s="105">
        <v>510</v>
      </c>
      <c r="B135" s="4" t="s">
        <v>37</v>
      </c>
      <c r="C135" s="4" t="s">
        <v>1474</v>
      </c>
      <c r="D135" s="29" t="s">
        <v>531</v>
      </c>
      <c r="E135" s="699" t="e">
        <f>HLOOKUP($D$2,'2020 Data(H)'!$C$1:$CZ$428,160,FALSE)</f>
        <v>#N/A</v>
      </c>
      <c r="F135" s="301">
        <v>0</v>
      </c>
      <c r="G135" s="769"/>
      <c r="H135" s="17"/>
      <c r="I135" s="77"/>
      <c r="Z135" s="105"/>
      <c r="AA135" s="105"/>
      <c r="AB135" s="105"/>
      <c r="AC135" s="105"/>
      <c r="AD135" s="105"/>
      <c r="AE135" s="105"/>
      <c r="AF135" s="105"/>
      <c r="AG135" s="105"/>
      <c r="AH135" s="105"/>
      <c r="AI135" s="105"/>
      <c r="AJ135" s="105"/>
      <c r="AK135" s="105"/>
      <c r="AL135" s="105"/>
      <c r="AM135" s="105"/>
      <c r="AN135" s="105"/>
      <c r="AO135" s="105"/>
      <c r="AP135" s="105"/>
      <c r="AQ135" s="105"/>
      <c r="AR135" s="105"/>
    </row>
    <row r="136" spans="1:44" ht="68.25" customHeight="1" x14ac:dyDescent="0.3">
      <c r="A136" s="314">
        <v>654</v>
      </c>
      <c r="B136" s="854" t="s">
        <v>37</v>
      </c>
      <c r="C136" s="854" t="s">
        <v>1474</v>
      </c>
      <c r="D136" s="344" t="s">
        <v>1478</v>
      </c>
      <c r="E136" s="699" t="e">
        <f>HLOOKUP($D$2,'2020 Data(H)'!$C$1:$CZ$428,307,FALSE)</f>
        <v>#N/A</v>
      </c>
      <c r="F136" s="301">
        <v>0</v>
      </c>
      <c r="G136" s="759">
        <f>IF((F132+F133+F135)&gt;F136,"Error: Please review components of current assets above.  Account numbers (80+81+510)&gt;654",)</f>
        <v>0</v>
      </c>
      <c r="H136" s="17"/>
      <c r="I136" s="77"/>
      <c r="Z136" s="314"/>
      <c r="AA136" s="314"/>
      <c r="AB136" s="314"/>
      <c r="AC136" s="314"/>
      <c r="AD136" s="314"/>
      <c r="AE136" s="314"/>
      <c r="AF136" s="314"/>
      <c r="AG136" s="314"/>
      <c r="AH136" s="314"/>
      <c r="AI136" s="314"/>
      <c r="AJ136" s="314"/>
      <c r="AK136" s="314"/>
      <c r="AL136" s="314"/>
      <c r="AM136" s="314"/>
      <c r="AN136" s="314"/>
      <c r="AO136" s="314"/>
      <c r="AP136" s="314"/>
      <c r="AQ136" s="314"/>
      <c r="AR136" s="314"/>
    </row>
    <row r="137" spans="1:44" ht="75.75" customHeight="1" x14ac:dyDescent="0.3">
      <c r="A137" s="314">
        <v>655</v>
      </c>
      <c r="B137" s="854" t="s">
        <v>37</v>
      </c>
      <c r="C137" s="854" t="s">
        <v>1474</v>
      </c>
      <c r="D137" s="316" t="s">
        <v>862</v>
      </c>
      <c r="E137" s="699" t="e">
        <f>HLOOKUP($D$2,'2020 Data(H)'!$C$1:$CZ$428,308,FALSE)</f>
        <v>#N/A</v>
      </c>
      <c r="F137" s="301">
        <v>0</v>
      </c>
      <c r="G137" s="759"/>
      <c r="H137" s="17"/>
      <c r="I137" s="77"/>
      <c r="Z137" s="314"/>
      <c r="AA137" s="314"/>
      <c r="AB137" s="314"/>
      <c r="AC137" s="314"/>
      <c r="AD137" s="314"/>
      <c r="AE137" s="314"/>
      <c r="AF137" s="314"/>
      <c r="AG137" s="314"/>
      <c r="AH137" s="314"/>
      <c r="AI137" s="314"/>
      <c r="AJ137" s="314"/>
      <c r="AK137" s="314"/>
      <c r="AL137" s="314"/>
      <c r="AM137" s="314"/>
      <c r="AN137" s="314"/>
      <c r="AO137" s="314"/>
      <c r="AP137" s="314"/>
      <c r="AQ137" s="314"/>
      <c r="AR137" s="314"/>
    </row>
    <row r="138" spans="1:44" ht="48" customHeight="1" x14ac:dyDescent="0.3">
      <c r="A138" s="105">
        <v>381</v>
      </c>
      <c r="B138" s="4" t="s">
        <v>37</v>
      </c>
      <c r="C138" s="4" t="s">
        <v>1474</v>
      </c>
      <c r="D138" s="103" t="s">
        <v>130</v>
      </c>
      <c r="E138" s="699" t="e">
        <f>HLOOKUP($D$2,'2020 Data(H)'!$C$1:$CZ$428,140,FALSE)</f>
        <v>#N/A</v>
      </c>
      <c r="F138" s="301">
        <v>0</v>
      </c>
      <c r="G138" s="759">
        <f>IF(F136&gt;F138,"Error: Please review components of current assets above. Account numbers 654&gt;381",)</f>
        <v>0</v>
      </c>
      <c r="H138" s="17"/>
      <c r="I138" s="77"/>
      <c r="Z138" s="105"/>
      <c r="AA138" s="105"/>
      <c r="AB138" s="105"/>
      <c r="AC138" s="105"/>
      <c r="AD138" s="105"/>
      <c r="AE138" s="105"/>
      <c r="AF138" s="105"/>
      <c r="AG138" s="105"/>
      <c r="AH138" s="105"/>
      <c r="AI138" s="105"/>
      <c r="AJ138" s="105"/>
      <c r="AK138" s="105"/>
      <c r="AL138" s="105"/>
      <c r="AM138" s="105"/>
      <c r="AN138" s="105"/>
      <c r="AO138" s="105"/>
      <c r="AP138" s="105"/>
      <c r="AQ138" s="105"/>
      <c r="AR138" s="105"/>
    </row>
    <row r="139" spans="1:44" ht="63" customHeight="1" x14ac:dyDescent="0.3">
      <c r="A139" s="105">
        <v>578</v>
      </c>
      <c r="B139" s="701" t="s">
        <v>59</v>
      </c>
      <c r="C139" s="701" t="s">
        <v>1474</v>
      </c>
      <c r="D139" s="853" t="s">
        <v>1479</v>
      </c>
      <c r="E139" s="699" t="e">
        <f>HLOOKUP($D$2,'2020 Data(H)'!$C$1:$CZ$428,228,FALSE)</f>
        <v>#N/A</v>
      </c>
      <c r="F139" s="301">
        <v>0</v>
      </c>
      <c r="G139" s="759"/>
      <c r="H139" s="760"/>
      <c r="I139" s="761"/>
      <c r="Z139" s="105"/>
      <c r="AA139" s="105"/>
      <c r="AB139" s="105"/>
      <c r="AC139" s="105"/>
      <c r="AD139" s="105"/>
      <c r="AE139" s="105"/>
      <c r="AF139" s="105"/>
      <c r="AG139" s="105"/>
      <c r="AH139" s="105"/>
      <c r="AI139" s="105"/>
      <c r="AJ139" s="105"/>
      <c r="AK139" s="105"/>
      <c r="AL139" s="105"/>
      <c r="AM139" s="105"/>
      <c r="AN139" s="105"/>
      <c r="AO139" s="105"/>
      <c r="AP139" s="105"/>
      <c r="AQ139" s="105"/>
      <c r="AR139" s="105"/>
    </row>
    <row r="140" spans="1:44" ht="126" customHeight="1" x14ac:dyDescent="0.3">
      <c r="A140" s="315">
        <v>633</v>
      </c>
      <c r="B140" s="854" t="s">
        <v>861</v>
      </c>
      <c r="C140" s="854" t="s">
        <v>727</v>
      </c>
      <c r="D140" s="344" t="s">
        <v>1558</v>
      </c>
      <c r="E140" s="699" t="e">
        <f>HLOOKUP($D$2,'2020 Data(H)'!$C$1:$CZ$428,292,FALSE)</f>
        <v>#N/A</v>
      </c>
      <c r="F140" s="301">
        <v>0</v>
      </c>
      <c r="G140" s="776" t="str">
        <f>IF(F140&gt;=(F141+F142+F143+F144+F145+F146),"","Account 633 is less than the total sum of accounts 634 through 638 + 383")</f>
        <v/>
      </c>
      <c r="H140" s="782">
        <f>F140-(F141+F142+F143+F144+F145+F146)</f>
        <v>0</v>
      </c>
      <c r="I140" s="764" t="str">
        <f>IF(F140&gt;=(F141+F142+F143+F144+F145+F146),"","Account 633 is less than the total sum of accounts 634 through 638 + 383")</f>
        <v/>
      </c>
      <c r="Z140" s="315"/>
      <c r="AA140" s="315"/>
      <c r="AB140" s="315"/>
      <c r="AC140" s="315"/>
      <c r="AD140" s="315"/>
      <c r="AE140" s="315"/>
      <c r="AF140" s="315"/>
      <c r="AG140" s="315"/>
      <c r="AH140" s="315"/>
      <c r="AI140" s="315"/>
      <c r="AJ140" s="315"/>
      <c r="AK140" s="315"/>
      <c r="AL140" s="315"/>
      <c r="AM140" s="315"/>
      <c r="AN140" s="315"/>
      <c r="AO140" s="315"/>
      <c r="AP140" s="315"/>
      <c r="AQ140" s="315"/>
      <c r="AR140" s="315"/>
    </row>
    <row r="141" spans="1:44" ht="109.5" customHeight="1" x14ac:dyDescent="0.3">
      <c r="A141" s="314">
        <v>634</v>
      </c>
      <c r="B141" s="855" t="s">
        <v>723</v>
      </c>
      <c r="C141" s="854" t="s">
        <v>727</v>
      </c>
      <c r="D141" s="344" t="s">
        <v>1560</v>
      </c>
      <c r="E141" s="699" t="e">
        <f>HLOOKUP($D$2,'2020 Data(H)'!$C$1:$CZ$428,293,FALSE)</f>
        <v>#N/A</v>
      </c>
      <c r="F141" s="301">
        <v>0</v>
      </c>
      <c r="G141" s="777">
        <f>IF(F141&gt;F140,"Please review account numbers 634&gt;633",)</f>
        <v>0</v>
      </c>
      <c r="H141" s="764"/>
      <c r="I141" s="764"/>
      <c r="Z141" s="314"/>
      <c r="AA141" s="314"/>
      <c r="AB141" s="314"/>
      <c r="AC141" s="314"/>
      <c r="AD141" s="314"/>
      <c r="AE141" s="314"/>
      <c r="AF141" s="314"/>
      <c r="AG141" s="314"/>
      <c r="AH141" s="314"/>
      <c r="AI141" s="314"/>
      <c r="AJ141" s="314"/>
      <c r="AK141" s="314"/>
      <c r="AL141" s="314"/>
      <c r="AM141" s="314"/>
      <c r="AN141" s="314"/>
      <c r="AO141" s="314"/>
      <c r="AP141" s="314"/>
      <c r="AQ141" s="314"/>
      <c r="AR141" s="314"/>
    </row>
    <row r="142" spans="1:44" ht="130.5" customHeight="1" x14ac:dyDescent="0.3">
      <c r="A142" s="314">
        <v>635</v>
      </c>
      <c r="B142" s="855" t="s">
        <v>723</v>
      </c>
      <c r="C142" s="854" t="s">
        <v>727</v>
      </c>
      <c r="D142" s="344" t="s">
        <v>1559</v>
      </c>
      <c r="E142" s="699" t="e">
        <f>HLOOKUP($D$2,'2020 Data(H)'!$C$1:$CZ$428,294,FALSE)</f>
        <v>#N/A</v>
      </c>
      <c r="F142" s="301">
        <v>0</v>
      </c>
      <c r="G142" s="777">
        <f>IF(F142&gt;F140,"Please review account numbers 635&gt;633",)</f>
        <v>0</v>
      </c>
      <c r="H142" s="764"/>
      <c r="I142" s="764"/>
      <c r="Z142" s="314"/>
      <c r="AA142" s="314"/>
      <c r="AB142" s="314"/>
      <c r="AC142" s="314"/>
      <c r="AD142" s="314"/>
      <c r="AE142" s="314"/>
      <c r="AF142" s="314"/>
      <c r="AG142" s="314"/>
      <c r="AH142" s="314"/>
      <c r="AI142" s="314"/>
      <c r="AJ142" s="314"/>
      <c r="AK142" s="314"/>
      <c r="AL142" s="314"/>
      <c r="AM142" s="314"/>
      <c r="AN142" s="314"/>
      <c r="AO142" s="314"/>
      <c r="AP142" s="314"/>
      <c r="AQ142" s="314"/>
      <c r="AR142" s="314"/>
    </row>
    <row r="143" spans="1:44" ht="106.5" customHeight="1" x14ac:dyDescent="0.3">
      <c r="A143" s="314">
        <v>636</v>
      </c>
      <c r="B143" s="855" t="s">
        <v>723</v>
      </c>
      <c r="C143" s="854" t="s">
        <v>727</v>
      </c>
      <c r="D143" s="344" t="s">
        <v>1564</v>
      </c>
      <c r="E143" s="699" t="e">
        <f>HLOOKUP($D$2,'2020 Data(H)'!$C$1:$CZ$428,295,FALSE)</f>
        <v>#N/A</v>
      </c>
      <c r="F143" s="301">
        <v>0</v>
      </c>
      <c r="G143" s="777">
        <f>IF(F143&gt;F140,"Please review account numbers 636&gt;633",)</f>
        <v>0</v>
      </c>
      <c r="H143" s="764"/>
      <c r="I143" s="764"/>
      <c r="Z143" s="314"/>
      <c r="AA143" s="314"/>
      <c r="AB143" s="314"/>
      <c r="AC143" s="314"/>
      <c r="AD143" s="314"/>
      <c r="AE143" s="314"/>
      <c r="AF143" s="314"/>
      <c r="AG143" s="314"/>
      <c r="AH143" s="314"/>
      <c r="AI143" s="314"/>
      <c r="AJ143" s="314"/>
      <c r="AK143" s="314"/>
      <c r="AL143" s="314"/>
      <c r="AM143" s="314"/>
      <c r="AN143" s="314"/>
      <c r="AO143" s="314"/>
      <c r="AP143" s="314"/>
      <c r="AQ143" s="314"/>
      <c r="AR143" s="314"/>
    </row>
    <row r="144" spans="1:44" ht="80.25" customHeight="1" x14ac:dyDescent="0.3">
      <c r="A144" s="314">
        <v>637</v>
      </c>
      <c r="B144" s="855" t="s">
        <v>723</v>
      </c>
      <c r="C144" s="854" t="s">
        <v>727</v>
      </c>
      <c r="D144" s="344" t="s">
        <v>1563</v>
      </c>
      <c r="E144" s="699" t="e">
        <f>HLOOKUP($D$2,'2020 Data(H)'!$C$1:$CZ$428,296,FALSE)</f>
        <v>#N/A</v>
      </c>
      <c r="F144" s="301">
        <v>0</v>
      </c>
      <c r="G144" s="777">
        <f>IF(F144&gt;F140,"Please review account numbers 637&gt;633",)</f>
        <v>0</v>
      </c>
      <c r="H144" s="764"/>
      <c r="I144" s="764"/>
      <c r="Z144" s="314"/>
      <c r="AA144" s="314"/>
      <c r="AB144" s="314"/>
      <c r="AC144" s="314"/>
      <c r="AD144" s="314"/>
      <c r="AE144" s="314"/>
      <c r="AF144" s="314"/>
      <c r="AG144" s="314"/>
      <c r="AH144" s="314"/>
      <c r="AI144" s="314"/>
      <c r="AJ144" s="314"/>
      <c r="AK144" s="314"/>
      <c r="AL144" s="314"/>
      <c r="AM144" s="314"/>
      <c r="AN144" s="314"/>
      <c r="AO144" s="314"/>
      <c r="AP144" s="314"/>
      <c r="AQ144" s="314"/>
      <c r="AR144" s="314"/>
    </row>
    <row r="145" spans="1:44" ht="110.25" customHeight="1" x14ac:dyDescent="0.3">
      <c r="A145" s="314">
        <v>638</v>
      </c>
      <c r="B145" s="855" t="s">
        <v>723</v>
      </c>
      <c r="C145" s="854" t="s">
        <v>727</v>
      </c>
      <c r="D145" s="344" t="s">
        <v>1562</v>
      </c>
      <c r="E145" s="699" t="e">
        <f>HLOOKUP($D$2,'2020 Data(H)'!$C$1:$CZ$428,297,FALSE)</f>
        <v>#N/A</v>
      </c>
      <c r="F145" s="301">
        <v>0</v>
      </c>
      <c r="G145" s="777">
        <f>IF(F145&gt;F140,"Please review account numbers 638&gt;633",)</f>
        <v>0</v>
      </c>
      <c r="H145" s="764"/>
      <c r="I145" s="764"/>
      <c r="Z145" s="314"/>
      <c r="AA145" s="314"/>
      <c r="AB145" s="314"/>
      <c r="AC145" s="314"/>
      <c r="AD145" s="314"/>
      <c r="AE145" s="314"/>
      <c r="AF145" s="314"/>
      <c r="AG145" s="314"/>
      <c r="AH145" s="314"/>
      <c r="AI145" s="314"/>
      <c r="AJ145" s="314"/>
      <c r="AK145" s="314"/>
      <c r="AL145" s="314"/>
      <c r="AM145" s="314"/>
      <c r="AN145" s="314"/>
      <c r="AO145" s="314"/>
      <c r="AP145" s="314"/>
      <c r="AQ145" s="314"/>
      <c r="AR145" s="314"/>
    </row>
    <row r="146" spans="1:44" ht="93.75" customHeight="1" x14ac:dyDescent="0.3">
      <c r="A146" s="105">
        <v>383</v>
      </c>
      <c r="B146" s="4" t="s">
        <v>62</v>
      </c>
      <c r="C146" s="4" t="s">
        <v>1474</v>
      </c>
      <c r="D146" s="29" t="s">
        <v>1561</v>
      </c>
      <c r="E146" s="699" t="e">
        <f>HLOOKUP($D$2,'2020 Data(H)'!$C$1:$CZ$428,142,FALSE)</f>
        <v>#N/A</v>
      </c>
      <c r="F146" s="301">
        <v>0</v>
      </c>
      <c r="G146" s="778">
        <f>IF(F146&gt;F140,"Error: Please review components of current liabilities above. Account number 383&gt;633",)</f>
        <v>0</v>
      </c>
      <c r="H146" s="779"/>
      <c r="I146" s="77"/>
      <c r="Z146" s="105"/>
      <c r="AA146" s="105"/>
      <c r="AB146" s="105"/>
      <c r="AC146" s="105"/>
      <c r="AD146" s="105"/>
      <c r="AE146" s="105"/>
      <c r="AF146" s="105"/>
      <c r="AG146" s="105"/>
      <c r="AH146" s="105"/>
      <c r="AI146" s="105"/>
      <c r="AJ146" s="105"/>
      <c r="AK146" s="105"/>
      <c r="AL146" s="105"/>
      <c r="AM146" s="105"/>
      <c r="AN146" s="105"/>
      <c r="AO146" s="105"/>
      <c r="AP146" s="105"/>
      <c r="AQ146" s="105"/>
      <c r="AR146" s="105"/>
    </row>
    <row r="147" spans="1:44" ht="61.5" customHeight="1" x14ac:dyDescent="0.3">
      <c r="A147" s="105">
        <v>349</v>
      </c>
      <c r="B147" s="4" t="s">
        <v>62</v>
      </c>
      <c r="C147" s="4" t="s">
        <v>1474</v>
      </c>
      <c r="D147" s="104" t="s">
        <v>153</v>
      </c>
      <c r="E147" s="699" t="e">
        <f>HLOOKUP($D$2,'2020 Data(H)'!$C$1:$CZ$428,113,FALSE)</f>
        <v>#N/A</v>
      </c>
      <c r="F147" s="301">
        <v>0</v>
      </c>
      <c r="G147" s="759" t="str">
        <f>IF(F140&gt;F147,"Error: Please review accts 633&gt;349","")</f>
        <v/>
      </c>
      <c r="H147" s="17"/>
      <c r="I147" s="77"/>
      <c r="Z147" s="105"/>
      <c r="AA147" s="105"/>
      <c r="AB147" s="105"/>
      <c r="AC147" s="105"/>
      <c r="AD147" s="105"/>
      <c r="AE147" s="105"/>
      <c r="AF147" s="105"/>
      <c r="AG147" s="105"/>
      <c r="AH147" s="105"/>
      <c r="AI147" s="105"/>
      <c r="AJ147" s="105"/>
      <c r="AK147" s="105"/>
      <c r="AL147" s="105"/>
      <c r="AM147" s="105"/>
      <c r="AN147" s="105"/>
      <c r="AO147" s="105"/>
      <c r="AP147" s="105"/>
      <c r="AQ147" s="105"/>
      <c r="AR147" s="105"/>
    </row>
    <row r="148" spans="1:44" ht="105" customHeight="1" x14ac:dyDescent="0.3">
      <c r="A148" s="105">
        <v>375</v>
      </c>
      <c r="B148" s="4" t="s">
        <v>62</v>
      </c>
      <c r="C148" s="4" t="s">
        <v>1474</v>
      </c>
      <c r="D148" s="737" t="s">
        <v>1480</v>
      </c>
      <c r="E148" s="699" t="e">
        <f>HLOOKUP($D$2,'2020 Data(H)'!$C$1:$CZ$428,134,FALSE)</f>
        <v>#N/A</v>
      </c>
      <c r="F148" s="301">
        <v>0</v>
      </c>
      <c r="G148" s="769"/>
      <c r="H148" s="17"/>
      <c r="I148" s="77"/>
      <c r="Z148" s="105"/>
      <c r="AA148" s="105"/>
      <c r="AB148" s="105"/>
      <c r="AC148" s="105"/>
      <c r="AD148" s="105"/>
      <c r="AE148" s="105"/>
      <c r="AF148" s="105"/>
      <c r="AG148" s="105"/>
      <c r="AH148" s="105"/>
      <c r="AI148" s="105"/>
      <c r="AJ148" s="105"/>
      <c r="AK148" s="105"/>
      <c r="AL148" s="105"/>
      <c r="AM148" s="105"/>
      <c r="AN148" s="105"/>
      <c r="AO148" s="105"/>
      <c r="AP148" s="105"/>
      <c r="AQ148" s="105"/>
      <c r="AR148" s="105"/>
    </row>
    <row r="149" spans="1:44" ht="67.5" customHeight="1" x14ac:dyDescent="0.3">
      <c r="A149" s="105">
        <v>83</v>
      </c>
      <c r="B149" s="4" t="s">
        <v>61</v>
      </c>
      <c r="C149" s="4" t="s">
        <v>1474</v>
      </c>
      <c r="D149" s="104" t="s">
        <v>154</v>
      </c>
      <c r="E149" s="699" t="e">
        <f>HLOOKUP($D$2,'2020 Data(H)'!$C$1:$CZ$428,47,FALSE)</f>
        <v>#N/A</v>
      </c>
      <c r="F149" s="301">
        <v>0</v>
      </c>
      <c r="G149" s="759">
        <f>IF(F138-F147-F149=0,,"Error: Total assets less total liabilities do not equal total net assets.  Account numbers 381-349-83=0  The amount of the formula is in the cell to the right")</f>
        <v>0</v>
      </c>
      <c r="H149" s="762">
        <f>F138-F147-F149</f>
        <v>0</v>
      </c>
      <c r="I149" s="77"/>
      <c r="Z149" s="105"/>
      <c r="AA149" s="105"/>
      <c r="AB149" s="105"/>
      <c r="AC149" s="105"/>
      <c r="AD149" s="105"/>
      <c r="AE149" s="105"/>
      <c r="AF149" s="105"/>
      <c r="AG149" s="105"/>
      <c r="AH149" s="105"/>
      <c r="AI149" s="105"/>
      <c r="AJ149" s="105"/>
      <c r="AK149" s="105"/>
      <c r="AL149" s="105"/>
      <c r="AM149" s="105"/>
      <c r="AN149" s="105"/>
      <c r="AO149" s="105"/>
      <c r="AP149" s="105"/>
      <c r="AQ149" s="105"/>
      <c r="AR149" s="105"/>
    </row>
    <row r="150" spans="1:44" ht="40.5" customHeight="1" x14ac:dyDescent="0.3">
      <c r="A150" s="105"/>
      <c r="B150" s="894" t="s">
        <v>155</v>
      </c>
      <c r="C150" s="895"/>
      <c r="D150" s="870"/>
      <c r="E150" s="870"/>
      <c r="F150" s="890"/>
      <c r="G150" s="891"/>
      <c r="H150" s="773"/>
      <c r="I150" s="77"/>
      <c r="Z150" s="105"/>
      <c r="AA150" s="105"/>
      <c r="AB150" s="105"/>
      <c r="AC150" s="105"/>
      <c r="AD150" s="105"/>
      <c r="AE150" s="105"/>
      <c r="AF150" s="105"/>
      <c r="AG150" s="105"/>
      <c r="AH150" s="105"/>
      <c r="AI150" s="105"/>
      <c r="AJ150" s="105"/>
      <c r="AK150" s="105"/>
      <c r="AL150" s="105"/>
      <c r="AM150" s="105"/>
      <c r="AN150" s="105"/>
      <c r="AO150" s="105"/>
      <c r="AP150" s="105"/>
      <c r="AQ150" s="105"/>
      <c r="AR150" s="105"/>
    </row>
    <row r="151" spans="1:44" ht="59.25" customHeight="1" x14ac:dyDescent="0.3">
      <c r="A151" s="105">
        <v>90</v>
      </c>
      <c r="B151" s="4" t="s">
        <v>63</v>
      </c>
      <c r="C151" s="4" t="s">
        <v>1481</v>
      </c>
      <c r="D151" s="24" t="s">
        <v>1482</v>
      </c>
      <c r="E151" s="699" t="e">
        <f>HLOOKUP($D$2,'2020 Data(H)'!$C$1:$CZ$428,52,FALSE)</f>
        <v>#N/A</v>
      </c>
      <c r="F151" s="301">
        <v>0</v>
      </c>
      <c r="G151" s="759">
        <f>IF(F151&lt;0,"Note: Number is normally positive.",)</f>
        <v>0</v>
      </c>
      <c r="H151" s="780"/>
      <c r="I151" s="77"/>
      <c r="Z151" s="105"/>
      <c r="AA151" s="105"/>
      <c r="AB151" s="105"/>
      <c r="AC151" s="105"/>
      <c r="AD151" s="105"/>
      <c r="AE151" s="105"/>
      <c r="AF151" s="105"/>
      <c r="AG151" s="105"/>
      <c r="AH151" s="105"/>
      <c r="AI151" s="105"/>
      <c r="AJ151" s="105"/>
      <c r="AK151" s="105"/>
      <c r="AL151" s="105"/>
      <c r="AM151" s="105"/>
      <c r="AN151" s="105"/>
      <c r="AO151" s="105"/>
      <c r="AP151" s="105"/>
      <c r="AQ151" s="105"/>
      <c r="AR151" s="105"/>
    </row>
    <row r="152" spans="1:44" ht="75" customHeight="1" x14ac:dyDescent="0.3">
      <c r="A152" s="105">
        <v>91</v>
      </c>
      <c r="B152" s="4" t="s">
        <v>58</v>
      </c>
      <c r="C152" s="4" t="s">
        <v>1481</v>
      </c>
      <c r="D152" s="24" t="s">
        <v>1483</v>
      </c>
      <c r="E152" s="699" t="e">
        <f>HLOOKUP($D$2,'2020 Data(H)'!$C$1:$CZ$428,53,FALSE)</f>
        <v>#N/A</v>
      </c>
      <c r="F152" s="301">
        <v>0</v>
      </c>
      <c r="G152" s="759">
        <f>IF(F152&lt;0,"Note: Number is normally positive.",)</f>
        <v>0</v>
      </c>
      <c r="H152" s="17"/>
      <c r="I152" s="77"/>
      <c r="Z152" s="105"/>
      <c r="AA152" s="105"/>
      <c r="AB152" s="105"/>
      <c r="AC152" s="105"/>
      <c r="AD152" s="105"/>
      <c r="AE152" s="105"/>
      <c r="AF152" s="105"/>
      <c r="AG152" s="105"/>
      <c r="AH152" s="105"/>
      <c r="AI152" s="105"/>
      <c r="AJ152" s="105"/>
      <c r="AK152" s="105"/>
      <c r="AL152" s="105"/>
      <c r="AM152" s="105"/>
      <c r="AN152" s="105"/>
      <c r="AO152" s="105"/>
      <c r="AP152" s="105"/>
      <c r="AQ152" s="105"/>
      <c r="AR152" s="105"/>
    </row>
    <row r="153" spans="1:44" ht="66.75" customHeight="1" x14ac:dyDescent="0.3">
      <c r="A153" s="105">
        <v>581</v>
      </c>
      <c r="B153" s="701" t="s">
        <v>560</v>
      </c>
      <c r="C153" s="701" t="s">
        <v>1481</v>
      </c>
      <c r="D153" s="853" t="s">
        <v>1484</v>
      </c>
      <c r="E153" s="699" t="e">
        <f>HLOOKUP($D$2,'2020 Data(H)'!$C$1:$CZ$428,231,FALSE)</f>
        <v>#N/A</v>
      </c>
      <c r="F153" s="301">
        <v>0</v>
      </c>
      <c r="G153" s="759"/>
      <c r="H153" s="17"/>
      <c r="I153" s="77"/>
      <c r="Z153" s="105"/>
      <c r="AA153" s="105"/>
      <c r="AB153" s="105"/>
      <c r="AC153" s="105"/>
      <c r="AD153" s="105"/>
      <c r="AE153" s="105"/>
      <c r="AF153" s="105"/>
      <c r="AG153" s="105"/>
      <c r="AH153" s="105"/>
      <c r="AI153" s="105"/>
      <c r="AJ153" s="105"/>
      <c r="AK153" s="105"/>
      <c r="AL153" s="105"/>
      <c r="AM153" s="105"/>
      <c r="AN153" s="105"/>
      <c r="AO153" s="105"/>
      <c r="AP153" s="105"/>
      <c r="AQ153" s="105"/>
      <c r="AR153" s="105"/>
    </row>
    <row r="154" spans="1:44" ht="67.5" customHeight="1" x14ac:dyDescent="0.3">
      <c r="A154" s="105">
        <v>511</v>
      </c>
      <c r="B154" s="4" t="s">
        <v>58</v>
      </c>
      <c r="C154" s="4" t="s">
        <v>1481</v>
      </c>
      <c r="D154" s="25" t="s">
        <v>156</v>
      </c>
      <c r="E154" s="699" t="e">
        <f>HLOOKUP($D$2,'2020 Data(H)'!$C$1:$CZ$428,161,FALSE)</f>
        <v>#N/A</v>
      </c>
      <c r="F154" s="301">
        <v>0</v>
      </c>
      <c r="G154" s="759">
        <f>IF(F154&lt;0,"Note: Number is normally positive.",)</f>
        <v>0</v>
      </c>
      <c r="H154" s="17"/>
      <c r="I154" s="77"/>
      <c r="Z154" s="105"/>
      <c r="AA154" s="105"/>
      <c r="AB154" s="105"/>
      <c r="AC154" s="105"/>
      <c r="AD154" s="105"/>
      <c r="AE154" s="105"/>
      <c r="AF154" s="105"/>
      <c r="AG154" s="105"/>
      <c r="AH154" s="105"/>
      <c r="AI154" s="105"/>
      <c r="AJ154" s="105"/>
      <c r="AK154" s="105"/>
      <c r="AL154" s="105"/>
      <c r="AM154" s="105"/>
      <c r="AN154" s="105"/>
      <c r="AO154" s="105"/>
      <c r="AP154" s="105"/>
      <c r="AQ154" s="105"/>
      <c r="AR154" s="105"/>
    </row>
    <row r="155" spans="1:44" ht="72" customHeight="1" x14ac:dyDescent="0.3">
      <c r="A155" s="314">
        <v>657</v>
      </c>
      <c r="B155" s="854" t="s">
        <v>58</v>
      </c>
      <c r="C155" s="854" t="s">
        <v>1481</v>
      </c>
      <c r="D155" s="344" t="s">
        <v>1485</v>
      </c>
      <c r="E155" s="699" t="e">
        <f>HLOOKUP($D$2,'2020 Data(H)'!$C$1:$CZ$428,310,FALSE)</f>
        <v>#N/A</v>
      </c>
      <c r="F155" s="301">
        <v>0</v>
      </c>
      <c r="G155" s="781">
        <f>IF((F151+F152+F154)&gt;F155,"Error: Please review components of current assets above.  Account numbers (90+91+511)&gt;657",)</f>
        <v>0</v>
      </c>
      <c r="H155" s="17"/>
      <c r="I155" s="77"/>
      <c r="Z155" s="314"/>
      <c r="AA155" s="314"/>
      <c r="AB155" s="314"/>
      <c r="AC155" s="314"/>
      <c r="AD155" s="314"/>
      <c r="AE155" s="314"/>
      <c r="AF155" s="314"/>
      <c r="AG155" s="314"/>
      <c r="AH155" s="314"/>
      <c r="AI155" s="314"/>
      <c r="AJ155" s="314"/>
      <c r="AK155" s="314"/>
      <c r="AL155" s="314"/>
      <c r="AM155" s="314"/>
      <c r="AN155" s="314"/>
      <c r="AO155" s="314"/>
      <c r="AP155" s="314"/>
      <c r="AQ155" s="314"/>
      <c r="AR155" s="314"/>
    </row>
    <row r="156" spans="1:44" ht="70.5" customHeight="1" x14ac:dyDescent="0.3">
      <c r="A156" s="314">
        <v>658</v>
      </c>
      <c r="B156" s="854" t="s">
        <v>58</v>
      </c>
      <c r="C156" s="854" t="s">
        <v>1481</v>
      </c>
      <c r="D156" s="316" t="s">
        <v>863</v>
      </c>
      <c r="E156" s="699" t="e">
        <f>HLOOKUP($D$2,'2020 Data(H)'!$C$1:$CZ$428,311,FALSE)</f>
        <v>#N/A</v>
      </c>
      <c r="F156" s="301">
        <v>0</v>
      </c>
      <c r="G156" s="759"/>
      <c r="H156" s="17"/>
      <c r="I156" s="77"/>
      <c r="Z156" s="314"/>
      <c r="AA156" s="314"/>
      <c r="AB156" s="314"/>
      <c r="AC156" s="314"/>
      <c r="AD156" s="314"/>
      <c r="AE156" s="314"/>
      <c r="AF156" s="314"/>
      <c r="AG156" s="314"/>
      <c r="AH156" s="314"/>
      <c r="AI156" s="314"/>
      <c r="AJ156" s="314"/>
      <c r="AK156" s="314"/>
      <c r="AL156" s="314"/>
      <c r="AM156" s="314"/>
      <c r="AN156" s="314"/>
      <c r="AO156" s="314"/>
      <c r="AP156" s="314"/>
      <c r="AQ156" s="314"/>
      <c r="AR156" s="314"/>
    </row>
    <row r="157" spans="1:44" ht="50.25" customHeight="1" x14ac:dyDescent="0.3">
      <c r="A157" s="105">
        <v>382</v>
      </c>
      <c r="B157" s="4" t="s">
        <v>60</v>
      </c>
      <c r="C157" s="4" t="s">
        <v>1481</v>
      </c>
      <c r="D157" s="103" t="s">
        <v>130</v>
      </c>
      <c r="E157" s="699" t="e">
        <f>HLOOKUP($D$2,'2020 Data(H)'!$C$1:$CZ$428,141,FALSE)</f>
        <v>#N/A</v>
      </c>
      <c r="F157" s="301">
        <v>0</v>
      </c>
      <c r="G157" s="781">
        <f>IF(F155&gt;F157,"Error: Please review components of current assets above. Account numbers 657&gt;382",)</f>
        <v>0</v>
      </c>
      <c r="H157" s="17"/>
      <c r="I157" s="77"/>
      <c r="Z157" s="105"/>
      <c r="AA157" s="105"/>
      <c r="AB157" s="105"/>
      <c r="AC157" s="105"/>
      <c r="AD157" s="105"/>
      <c r="AE157" s="105"/>
      <c r="AF157" s="105"/>
      <c r="AG157" s="105"/>
      <c r="AH157" s="105"/>
      <c r="AI157" s="105"/>
      <c r="AJ157" s="105"/>
      <c r="AK157" s="105"/>
      <c r="AL157" s="105"/>
      <c r="AM157" s="105"/>
      <c r="AN157" s="105"/>
      <c r="AO157" s="105"/>
      <c r="AP157" s="105"/>
      <c r="AQ157" s="105"/>
      <c r="AR157" s="105"/>
    </row>
    <row r="158" spans="1:44" ht="57.75" customHeight="1" x14ac:dyDescent="0.3">
      <c r="A158" s="105">
        <v>360</v>
      </c>
      <c r="B158" s="4" t="s">
        <v>56</v>
      </c>
      <c r="C158" s="4" t="s">
        <v>1481</v>
      </c>
      <c r="D158" s="104" t="s">
        <v>157</v>
      </c>
      <c r="E158" s="699" t="e">
        <f>HLOOKUP($D$2,'2020 Data(H)'!$C$1:$CZ$428,121,FALSE)</f>
        <v>#N/A</v>
      </c>
      <c r="F158" s="301">
        <v>0</v>
      </c>
      <c r="G158" s="759"/>
      <c r="H158" s="17"/>
      <c r="I158" s="77"/>
      <c r="Z158" s="105"/>
      <c r="AA158" s="105"/>
      <c r="AB158" s="105"/>
      <c r="AC158" s="105"/>
      <c r="AD158" s="105"/>
      <c r="AE158" s="105"/>
      <c r="AF158" s="105"/>
      <c r="AG158" s="105"/>
      <c r="AH158" s="105"/>
      <c r="AI158" s="105"/>
      <c r="AJ158" s="105"/>
      <c r="AK158" s="105"/>
      <c r="AL158" s="105"/>
      <c r="AM158" s="105"/>
      <c r="AN158" s="105"/>
      <c r="AO158" s="105"/>
      <c r="AP158" s="105"/>
      <c r="AQ158" s="105"/>
      <c r="AR158" s="105"/>
    </row>
    <row r="159" spans="1:44" ht="62.25" customHeight="1" x14ac:dyDescent="0.3">
      <c r="A159" s="105">
        <v>580</v>
      </c>
      <c r="B159" s="701" t="s">
        <v>560</v>
      </c>
      <c r="C159" s="701" t="s">
        <v>1481</v>
      </c>
      <c r="D159" s="853" t="s">
        <v>1486</v>
      </c>
      <c r="E159" s="699" t="e">
        <f>HLOOKUP($D$2,'2020 Data(H)'!$C$1:$CZ$428,230,FALSE)</f>
        <v>#N/A</v>
      </c>
      <c r="F159" s="301">
        <v>0</v>
      </c>
      <c r="G159" s="759"/>
      <c r="H159" s="17"/>
      <c r="I159" s="77"/>
      <c r="Z159" s="105"/>
      <c r="AA159" s="105"/>
      <c r="AB159" s="105"/>
      <c r="AC159" s="105"/>
      <c r="AD159" s="105"/>
      <c r="AE159" s="105"/>
      <c r="AF159" s="105"/>
      <c r="AG159" s="105"/>
      <c r="AH159" s="105"/>
      <c r="AI159" s="105"/>
      <c r="AJ159" s="105"/>
      <c r="AK159" s="105"/>
      <c r="AL159" s="105"/>
      <c r="AM159" s="105"/>
      <c r="AN159" s="105"/>
      <c r="AO159" s="105"/>
      <c r="AP159" s="105"/>
      <c r="AQ159" s="105"/>
      <c r="AR159" s="105"/>
    </row>
    <row r="160" spans="1:44" ht="114" customHeight="1" x14ac:dyDescent="0.3">
      <c r="A160" s="315">
        <v>639</v>
      </c>
      <c r="B160" s="854" t="s">
        <v>861</v>
      </c>
      <c r="C160" s="854" t="s">
        <v>1481</v>
      </c>
      <c r="D160" s="344" t="s">
        <v>1565</v>
      </c>
      <c r="E160" s="699" t="e">
        <f>HLOOKUP($D$2,'2020 Data(H)'!$C$1:$CZ$428,298,FALSE)</f>
        <v>#N/A</v>
      </c>
      <c r="F160" s="301">
        <v>0</v>
      </c>
      <c r="G160" s="776" t="str">
        <f>IF(F160&gt;=(F161+F162+F163+F164+F165+F166),"","Account 639 is less than the total sum of accounts 640 through 644 + 384")</f>
        <v/>
      </c>
      <c r="H160" s="782">
        <f>F160-(F161+F162+F163+F164+F165+F166)</f>
        <v>0</v>
      </c>
      <c r="I160" s="764"/>
      <c r="Z160" s="315"/>
      <c r="AA160" s="315"/>
      <c r="AB160" s="315"/>
      <c r="AC160" s="315"/>
      <c r="AD160" s="315"/>
      <c r="AE160" s="315"/>
      <c r="AF160" s="315"/>
      <c r="AG160" s="315"/>
      <c r="AH160" s="315"/>
      <c r="AI160" s="315"/>
      <c r="AJ160" s="315"/>
      <c r="AK160" s="315"/>
      <c r="AL160" s="315"/>
      <c r="AM160" s="315"/>
      <c r="AN160" s="315"/>
      <c r="AO160" s="315"/>
      <c r="AP160" s="315"/>
      <c r="AQ160" s="315"/>
      <c r="AR160" s="315"/>
    </row>
    <row r="161" spans="1:44" ht="124.5" customHeight="1" x14ac:dyDescent="0.3">
      <c r="A161" s="314">
        <v>640</v>
      </c>
      <c r="B161" s="855" t="s">
        <v>723</v>
      </c>
      <c r="C161" s="854" t="s">
        <v>1481</v>
      </c>
      <c r="D161" s="344" t="s">
        <v>1566</v>
      </c>
      <c r="E161" s="699" t="e">
        <f>HLOOKUP($D$2,'2020 Data(H)'!$C$1:$CZ$428,299,FALSE)</f>
        <v>#N/A</v>
      </c>
      <c r="F161" s="301">
        <v>0</v>
      </c>
      <c r="G161" s="781">
        <f>IF(F161&gt;F160,"Error: Please review components of current liabilities above. Account numbers 640&gt;639",)</f>
        <v>0</v>
      </c>
      <c r="H161" s="764"/>
      <c r="I161" s="782"/>
      <c r="Z161" s="314"/>
      <c r="AA161" s="314"/>
      <c r="AB161" s="314"/>
      <c r="AC161" s="314"/>
      <c r="AD161" s="314"/>
      <c r="AE161" s="314"/>
      <c r="AF161" s="314"/>
      <c r="AG161" s="314"/>
      <c r="AH161" s="314"/>
      <c r="AI161" s="314"/>
      <c r="AJ161" s="314"/>
      <c r="AK161" s="314"/>
      <c r="AL161" s="314"/>
      <c r="AM161" s="314"/>
      <c r="AN161" s="314"/>
      <c r="AO161" s="314"/>
      <c r="AP161" s="314"/>
      <c r="AQ161" s="314"/>
      <c r="AR161" s="314"/>
    </row>
    <row r="162" spans="1:44" ht="133.5" customHeight="1" x14ac:dyDescent="0.3">
      <c r="A162" s="314">
        <v>641</v>
      </c>
      <c r="B162" s="855" t="s">
        <v>723</v>
      </c>
      <c r="C162" s="854" t="s">
        <v>1481</v>
      </c>
      <c r="D162" s="344" t="s">
        <v>1567</v>
      </c>
      <c r="E162" s="699" t="e">
        <f>HLOOKUP($D$2,'2020 Data(H)'!$C$1:$CZ$428,300,FALSE)</f>
        <v>#N/A</v>
      </c>
      <c r="F162" s="301">
        <v>0</v>
      </c>
      <c r="G162" s="781">
        <f>IF(F162&gt;F160,"Error: Please review components of current liabilities above. Account numbers 641&gt;639",)</f>
        <v>0</v>
      </c>
      <c r="H162" s="764"/>
      <c r="I162" s="764"/>
      <c r="Z162" s="314"/>
      <c r="AA162" s="314"/>
      <c r="AB162" s="314"/>
      <c r="AC162" s="314"/>
      <c r="AD162" s="314"/>
      <c r="AE162" s="314"/>
      <c r="AF162" s="314"/>
      <c r="AG162" s="314"/>
      <c r="AH162" s="314"/>
      <c r="AI162" s="314"/>
      <c r="AJ162" s="314"/>
      <c r="AK162" s="314"/>
      <c r="AL162" s="314"/>
      <c r="AM162" s="314"/>
      <c r="AN162" s="314"/>
      <c r="AO162" s="314"/>
      <c r="AP162" s="314"/>
      <c r="AQ162" s="314"/>
      <c r="AR162" s="314"/>
    </row>
    <row r="163" spans="1:44" ht="118.5" customHeight="1" x14ac:dyDescent="0.3">
      <c r="A163" s="314">
        <v>642</v>
      </c>
      <c r="B163" s="855" t="s">
        <v>723</v>
      </c>
      <c r="C163" s="854" t="s">
        <v>1481</v>
      </c>
      <c r="D163" s="344" t="s">
        <v>1568</v>
      </c>
      <c r="E163" s="699" t="e">
        <f>HLOOKUP($D$2,'2020 Data(H)'!$C$1:$CZ$428,301,FALSE)</f>
        <v>#N/A</v>
      </c>
      <c r="F163" s="301">
        <v>0</v>
      </c>
      <c r="G163" s="781">
        <f>IF(F163&gt;F160,"Error: Please review components of current liabilities above. Account numbers  642&gt;639",)</f>
        <v>0</v>
      </c>
      <c r="H163" s="764"/>
      <c r="I163" s="764"/>
      <c r="Z163" s="314"/>
      <c r="AA163" s="314"/>
      <c r="AB163" s="314"/>
      <c r="AC163" s="314"/>
      <c r="AD163" s="314"/>
      <c r="AE163" s="314"/>
      <c r="AF163" s="314"/>
      <c r="AG163" s="314"/>
      <c r="AH163" s="314"/>
      <c r="AI163" s="314"/>
      <c r="AJ163" s="314"/>
      <c r="AK163" s="314"/>
      <c r="AL163" s="314"/>
      <c r="AM163" s="314"/>
      <c r="AN163" s="314"/>
      <c r="AO163" s="314"/>
      <c r="AP163" s="314"/>
      <c r="AQ163" s="314"/>
      <c r="AR163" s="314"/>
    </row>
    <row r="164" spans="1:44" ht="81.75" customHeight="1" x14ac:dyDescent="0.3">
      <c r="A164" s="314">
        <v>643</v>
      </c>
      <c r="B164" s="855" t="s">
        <v>723</v>
      </c>
      <c r="C164" s="854" t="s">
        <v>1481</v>
      </c>
      <c r="D164" s="344" t="s">
        <v>1569</v>
      </c>
      <c r="E164" s="699" t="e">
        <f>HLOOKUP($D$2,'2020 Data(H)'!$C$1:$CZ$428,302,FALSE)</f>
        <v>#N/A</v>
      </c>
      <c r="F164" s="301">
        <v>0</v>
      </c>
      <c r="G164" s="781">
        <f>IF(F164&gt;F160,"Error: Please review components of current liabilities above. Account numbers 643&gt;639",)</f>
        <v>0</v>
      </c>
      <c r="H164" s="764"/>
      <c r="I164" s="764"/>
      <c r="Z164" s="314"/>
      <c r="AA164" s="314"/>
      <c r="AB164" s="314"/>
      <c r="AC164" s="314"/>
      <c r="AD164" s="314"/>
      <c r="AE164" s="314"/>
      <c r="AF164" s="314"/>
      <c r="AG164" s="314"/>
      <c r="AH164" s="314"/>
      <c r="AI164" s="314"/>
      <c r="AJ164" s="314"/>
      <c r="AK164" s="314"/>
      <c r="AL164" s="314"/>
      <c r="AM164" s="314"/>
      <c r="AN164" s="314"/>
      <c r="AO164" s="314"/>
      <c r="AP164" s="314"/>
      <c r="AQ164" s="314"/>
      <c r="AR164" s="314"/>
    </row>
    <row r="165" spans="1:44" ht="108" customHeight="1" x14ac:dyDescent="0.3">
      <c r="A165" s="314">
        <v>644</v>
      </c>
      <c r="B165" s="855" t="s">
        <v>723</v>
      </c>
      <c r="C165" s="854" t="s">
        <v>1481</v>
      </c>
      <c r="D165" s="344" t="s">
        <v>1570</v>
      </c>
      <c r="E165" s="699" t="e">
        <f>HLOOKUP($D$2,'2020 Data(H)'!$C$1:$CZ$428,303,FALSE)</f>
        <v>#N/A</v>
      </c>
      <c r="F165" s="301">
        <v>0</v>
      </c>
      <c r="G165" s="781">
        <f>IF(F165&gt;F160,"Error: Please review components of current liabilities above. Account number 644&gt;639",)</f>
        <v>0</v>
      </c>
      <c r="H165" s="764"/>
      <c r="I165" s="764"/>
      <c r="Z165" s="314"/>
      <c r="AA165" s="314"/>
      <c r="AB165" s="314"/>
      <c r="AC165" s="314"/>
      <c r="AD165" s="314"/>
      <c r="AE165" s="314"/>
      <c r="AF165" s="314"/>
      <c r="AG165" s="314"/>
      <c r="AH165" s="314"/>
      <c r="AI165" s="314"/>
      <c r="AJ165" s="314"/>
      <c r="AK165" s="314"/>
      <c r="AL165" s="314"/>
      <c r="AM165" s="314"/>
      <c r="AN165" s="314"/>
      <c r="AO165" s="314"/>
      <c r="AP165" s="314"/>
      <c r="AQ165" s="314"/>
      <c r="AR165" s="314"/>
    </row>
    <row r="166" spans="1:44" ht="99.75" customHeight="1" x14ac:dyDescent="0.3">
      <c r="A166" s="105">
        <v>384</v>
      </c>
      <c r="B166" s="4" t="s">
        <v>63</v>
      </c>
      <c r="C166" s="4" t="s">
        <v>1481</v>
      </c>
      <c r="D166" s="29" t="s">
        <v>1571</v>
      </c>
      <c r="E166" s="699" t="e">
        <f>HLOOKUP($D$2,'2020 Data(H)'!$C$1:$CZ$428,143,FALSE)</f>
        <v>#N/A</v>
      </c>
      <c r="F166" s="767">
        <v>0</v>
      </c>
      <c r="G166" s="778">
        <f>IF(F166&gt;F160,"Error: Please review components of current liabilities above. Account number 384&gt;639",)</f>
        <v>0</v>
      </c>
      <c r="I166" s="77"/>
      <c r="Z166" s="105"/>
      <c r="AA166" s="105"/>
      <c r="AB166" s="105"/>
      <c r="AC166" s="105"/>
      <c r="AD166" s="105"/>
      <c r="AE166" s="105"/>
      <c r="AF166" s="105"/>
      <c r="AG166" s="105"/>
      <c r="AH166" s="105"/>
      <c r="AI166" s="105"/>
      <c r="AJ166" s="105"/>
      <c r="AK166" s="105"/>
      <c r="AL166" s="105"/>
      <c r="AM166" s="105"/>
      <c r="AN166" s="105"/>
      <c r="AO166" s="105"/>
      <c r="AP166" s="105"/>
      <c r="AQ166" s="105"/>
      <c r="AR166" s="105"/>
    </row>
    <row r="167" spans="1:44" ht="104.25" customHeight="1" x14ac:dyDescent="0.3">
      <c r="A167" s="105">
        <v>361</v>
      </c>
      <c r="B167" s="4" t="s">
        <v>56</v>
      </c>
      <c r="C167" s="4" t="s">
        <v>1481</v>
      </c>
      <c r="D167" s="737" t="s">
        <v>1487</v>
      </c>
      <c r="E167" s="699" t="e">
        <f>HLOOKUP($D$2,'2020 Data(H)'!$C$1:$CZ$428,122,FALSE)</f>
        <v>#N/A</v>
      </c>
      <c r="F167" s="301">
        <v>0</v>
      </c>
      <c r="G167" s="769"/>
      <c r="H167" s="17"/>
      <c r="I167" s="77"/>
      <c r="Z167" s="105"/>
      <c r="AA167" s="105"/>
      <c r="AB167" s="105"/>
      <c r="AC167" s="105"/>
      <c r="AD167" s="105"/>
      <c r="AE167" s="105"/>
      <c r="AF167" s="105"/>
      <c r="AG167" s="105"/>
      <c r="AH167" s="105"/>
      <c r="AI167" s="105"/>
      <c r="AJ167" s="105"/>
      <c r="AK167" s="105"/>
      <c r="AL167" s="105"/>
      <c r="AM167" s="105"/>
      <c r="AN167" s="105"/>
      <c r="AO167" s="105"/>
      <c r="AP167" s="105"/>
      <c r="AQ167" s="105"/>
      <c r="AR167" s="105"/>
    </row>
    <row r="168" spans="1:44" ht="54" customHeight="1" x14ac:dyDescent="0.3">
      <c r="A168" s="105">
        <v>362</v>
      </c>
      <c r="B168" s="4" t="s">
        <v>56</v>
      </c>
      <c r="C168" s="4" t="s">
        <v>1481</v>
      </c>
      <c r="D168" s="104" t="s">
        <v>158</v>
      </c>
      <c r="E168" s="699" t="e">
        <f>HLOOKUP($D$2,'2020 Data(H)'!$C$1:$CZ$428,123,FALSE)</f>
        <v>#N/A</v>
      </c>
      <c r="F168" s="301">
        <v>0</v>
      </c>
      <c r="G168" s="759">
        <f>IF(H168=0,,"Error: Total assets less total liabilities do not equal total net position. Account numbers 382-360-362=0  The amount of the formula is in the cell to the right")</f>
        <v>0</v>
      </c>
      <c r="H168" s="762">
        <f>F157-F158-F168</f>
        <v>0</v>
      </c>
      <c r="I168" s="77"/>
      <c r="Z168" s="105"/>
      <c r="AA168" s="105"/>
      <c r="AB168" s="105"/>
      <c r="AC168" s="105"/>
      <c r="AD168" s="105"/>
      <c r="AE168" s="105"/>
      <c r="AF168" s="105"/>
      <c r="AG168" s="105"/>
      <c r="AH168" s="105"/>
      <c r="AI168" s="105"/>
      <c r="AJ168" s="105"/>
      <c r="AK168" s="105"/>
      <c r="AL168" s="105"/>
      <c r="AM168" s="105"/>
      <c r="AN168" s="105"/>
      <c r="AO168" s="105"/>
      <c r="AP168" s="105"/>
      <c r="AQ168" s="105"/>
      <c r="AR168" s="105"/>
    </row>
    <row r="169" spans="1:44" ht="26.25" customHeight="1" x14ac:dyDescent="0.3">
      <c r="A169" s="105"/>
      <c r="B169" s="883" t="s">
        <v>182</v>
      </c>
      <c r="C169" s="884"/>
      <c r="D169" s="896"/>
      <c r="E169" s="877"/>
      <c r="F169" s="882"/>
      <c r="G169" s="882"/>
      <c r="H169" s="17"/>
      <c r="I169" s="77"/>
      <c r="Z169" s="105"/>
      <c r="AA169" s="105"/>
      <c r="AB169" s="105"/>
      <c r="AC169" s="105"/>
      <c r="AD169" s="105"/>
      <c r="AE169" s="105"/>
      <c r="AF169" s="105"/>
      <c r="AG169" s="105"/>
      <c r="AH169" s="105"/>
      <c r="AI169" s="105"/>
      <c r="AJ169" s="105"/>
      <c r="AK169" s="105"/>
      <c r="AL169" s="105"/>
      <c r="AM169" s="105"/>
      <c r="AN169" s="105"/>
      <c r="AO169" s="105"/>
      <c r="AP169" s="105"/>
      <c r="AQ169" s="105"/>
      <c r="AR169" s="105"/>
    </row>
    <row r="170" spans="1:44" s="18" customFormat="1" ht="99.75" customHeight="1" x14ac:dyDescent="0.3">
      <c r="A170" s="105"/>
      <c r="B170" s="1277" t="s">
        <v>1591</v>
      </c>
      <c r="C170" s="1277"/>
      <c r="D170" s="1277"/>
      <c r="E170" s="870"/>
      <c r="F170" s="891"/>
      <c r="G170" s="891"/>
      <c r="H170" s="17"/>
      <c r="I170" s="77"/>
      <c r="N170" s="302"/>
      <c r="Z170" s="105"/>
      <c r="AA170" s="105"/>
      <c r="AB170" s="105"/>
      <c r="AC170" s="105"/>
      <c r="AD170" s="105"/>
      <c r="AE170" s="105"/>
      <c r="AF170" s="105"/>
      <c r="AG170" s="105"/>
      <c r="AH170" s="105"/>
      <c r="AI170" s="105"/>
      <c r="AJ170" s="105"/>
      <c r="AK170" s="105"/>
      <c r="AL170" s="105"/>
      <c r="AM170" s="105"/>
      <c r="AN170" s="105"/>
      <c r="AO170" s="105"/>
      <c r="AP170" s="105"/>
      <c r="AQ170" s="105"/>
      <c r="AR170" s="105"/>
    </row>
    <row r="171" spans="1:44" ht="87" customHeight="1" x14ac:dyDescent="0.3">
      <c r="A171" s="105">
        <v>88</v>
      </c>
      <c r="B171" s="4" t="s">
        <v>61</v>
      </c>
      <c r="C171" s="4" t="s">
        <v>1488</v>
      </c>
      <c r="D171" s="24" t="s">
        <v>1489</v>
      </c>
      <c r="E171" s="699" t="e">
        <f>HLOOKUP($D$2,'2020 Data(H)'!$C$1:$CZ$428,50,FALSE)</f>
        <v>#N/A</v>
      </c>
      <c r="F171" s="301">
        <v>0</v>
      </c>
      <c r="G171" s="769"/>
      <c r="H171" s="17"/>
      <c r="I171" s="77"/>
      <c r="Z171" s="105"/>
      <c r="AA171" s="105"/>
      <c r="AB171" s="105"/>
      <c r="AC171" s="105"/>
      <c r="AD171" s="105"/>
      <c r="AE171" s="105"/>
      <c r="AF171" s="105"/>
      <c r="AG171" s="105"/>
      <c r="AH171" s="105"/>
      <c r="AI171" s="105"/>
      <c r="AJ171" s="105"/>
      <c r="AK171" s="105"/>
      <c r="AL171" s="105"/>
      <c r="AM171" s="105"/>
      <c r="AN171" s="105"/>
      <c r="AO171" s="105"/>
      <c r="AP171" s="105"/>
      <c r="AQ171" s="105"/>
      <c r="AR171" s="105"/>
    </row>
    <row r="172" spans="1:44" ht="94.5" customHeight="1" x14ac:dyDescent="0.3">
      <c r="A172" s="105">
        <v>84</v>
      </c>
      <c r="B172" s="4" t="s">
        <v>61</v>
      </c>
      <c r="C172" s="4" t="s">
        <v>1488</v>
      </c>
      <c r="D172" s="29" t="s">
        <v>159</v>
      </c>
      <c r="E172" s="699" t="e">
        <f>HLOOKUP($D$2,'2020 Data(H)'!$C$1:$CZ$428,48,FALSE)</f>
        <v>#N/A</v>
      </c>
      <c r="F172" s="301">
        <v>0</v>
      </c>
      <c r="G172" s="759">
        <f>IF(F172&gt;=F171,,"Error: Charges for services exceed total operating revenues. Account numbers 84&gt;=88")</f>
        <v>0</v>
      </c>
      <c r="H172" s="17"/>
      <c r="I172" s="77"/>
      <c r="Z172" s="105"/>
      <c r="AA172" s="105"/>
      <c r="AB172" s="105"/>
      <c r="AC172" s="105"/>
      <c r="AD172" s="105"/>
      <c r="AE172" s="105"/>
      <c r="AF172" s="105"/>
      <c r="AG172" s="105"/>
      <c r="AH172" s="105"/>
      <c r="AI172" s="105"/>
      <c r="AJ172" s="105"/>
      <c r="AK172" s="105"/>
      <c r="AL172" s="105"/>
      <c r="AM172" s="105"/>
      <c r="AN172" s="105"/>
      <c r="AO172" s="105"/>
      <c r="AP172" s="105"/>
      <c r="AQ172" s="105"/>
      <c r="AR172" s="105"/>
    </row>
    <row r="173" spans="1:44" ht="90" customHeight="1" x14ac:dyDescent="0.3">
      <c r="A173" s="105">
        <v>49</v>
      </c>
      <c r="B173" s="4" t="s">
        <v>57</v>
      </c>
      <c r="C173" s="4" t="s">
        <v>1488</v>
      </c>
      <c r="D173" s="29" t="s">
        <v>160</v>
      </c>
      <c r="E173" s="699" t="e">
        <f>HLOOKUP($D$2,'2020 Data(H)'!$C$1:$CZ$428,36,FALSE)</f>
        <v>#N/A</v>
      </c>
      <c r="F173" s="301">
        <v>0</v>
      </c>
      <c r="G173" s="759">
        <f>IF(F173&lt;0,"Error: Enter as positive.",)</f>
        <v>0</v>
      </c>
      <c r="H173" s="17"/>
      <c r="I173" s="77"/>
      <c r="Z173" s="105"/>
      <c r="AA173" s="105"/>
      <c r="AB173" s="105"/>
      <c r="AC173" s="105"/>
      <c r="AD173" s="105"/>
      <c r="AE173" s="105"/>
      <c r="AF173" s="105"/>
      <c r="AG173" s="105"/>
      <c r="AH173" s="105"/>
      <c r="AI173" s="105"/>
      <c r="AJ173" s="105"/>
      <c r="AK173" s="105"/>
      <c r="AL173" s="105"/>
      <c r="AM173" s="105"/>
      <c r="AN173" s="105"/>
      <c r="AO173" s="105"/>
      <c r="AP173" s="105"/>
      <c r="AQ173" s="105"/>
      <c r="AR173" s="105"/>
    </row>
    <row r="174" spans="1:44" ht="106.5" customHeight="1" x14ac:dyDescent="0.3">
      <c r="A174" s="105">
        <v>85</v>
      </c>
      <c r="B174" s="4" t="s">
        <v>68</v>
      </c>
      <c r="C174" s="4" t="s">
        <v>1488</v>
      </c>
      <c r="D174" s="29" t="s">
        <v>161</v>
      </c>
      <c r="E174" s="699" t="e">
        <f>HLOOKUP($D$2,'2020 Data(H)'!$C$1:$CZ$428,49,FALSE)</f>
        <v>#N/A</v>
      </c>
      <c r="F174" s="301">
        <v>0</v>
      </c>
      <c r="G174" s="759">
        <f>IF(F174&lt;0,"Error: Enter as positive.",)</f>
        <v>0</v>
      </c>
      <c r="H174" s="17"/>
      <c r="I174" s="77"/>
      <c r="Z174" s="105"/>
      <c r="AA174" s="105"/>
      <c r="AB174" s="105"/>
      <c r="AC174" s="105"/>
      <c r="AD174" s="105"/>
      <c r="AE174" s="105"/>
      <c r="AF174" s="105"/>
      <c r="AG174" s="105"/>
      <c r="AH174" s="105"/>
      <c r="AI174" s="105"/>
      <c r="AJ174" s="105"/>
      <c r="AK174" s="105"/>
      <c r="AL174" s="105"/>
      <c r="AM174" s="105"/>
      <c r="AN174" s="105"/>
      <c r="AO174" s="105"/>
      <c r="AP174" s="105"/>
      <c r="AQ174" s="105"/>
      <c r="AR174" s="105"/>
    </row>
    <row r="175" spans="1:44" ht="88.5" customHeight="1" x14ac:dyDescent="0.3">
      <c r="A175" s="105">
        <v>89</v>
      </c>
      <c r="B175" s="4" t="s">
        <v>56</v>
      </c>
      <c r="C175" s="4" t="s">
        <v>1488</v>
      </c>
      <c r="D175" s="29" t="s">
        <v>162</v>
      </c>
      <c r="E175" s="699" t="e">
        <f>HLOOKUP($D$2,'2020 Data(H)'!$C$1:$CZ$428,51,FALSE)</f>
        <v>#N/A</v>
      </c>
      <c r="F175" s="301">
        <v>0</v>
      </c>
      <c r="G175" s="759">
        <f>IF(F175&lt;0,"Error: Enter as positive.",)</f>
        <v>0</v>
      </c>
      <c r="H175" s="17"/>
      <c r="I175" s="77"/>
      <c r="Z175" s="105"/>
      <c r="AA175" s="105"/>
      <c r="AB175" s="105"/>
      <c r="AC175" s="105"/>
      <c r="AD175" s="105"/>
      <c r="AE175" s="105"/>
      <c r="AF175" s="105"/>
      <c r="AG175" s="105"/>
      <c r="AH175" s="105"/>
      <c r="AI175" s="105"/>
      <c r="AJ175" s="105"/>
      <c r="AK175" s="105"/>
      <c r="AL175" s="105"/>
      <c r="AM175" s="105"/>
      <c r="AN175" s="105"/>
      <c r="AO175" s="105"/>
      <c r="AP175" s="105"/>
      <c r="AQ175" s="105"/>
      <c r="AR175" s="105"/>
    </row>
    <row r="176" spans="1:44" ht="100.5" customHeight="1" x14ac:dyDescent="0.3">
      <c r="A176" s="105">
        <v>350</v>
      </c>
      <c r="B176" s="4" t="s">
        <v>56</v>
      </c>
      <c r="C176" s="4" t="s">
        <v>1488</v>
      </c>
      <c r="D176" s="24" t="s">
        <v>1490</v>
      </c>
      <c r="E176" s="699" t="e">
        <f>HLOOKUP($D$2,'2020 Data(H)'!$C$1:$CZ$428,114,FALSE)</f>
        <v>#N/A</v>
      </c>
      <c r="F176" s="301">
        <v>0</v>
      </c>
      <c r="G176" s="769"/>
      <c r="H176" s="17"/>
      <c r="I176" s="77"/>
      <c r="Z176" s="105"/>
      <c r="AA176" s="105"/>
      <c r="AB176" s="105"/>
      <c r="AC176" s="105"/>
      <c r="AD176" s="105"/>
      <c r="AE176" s="105"/>
      <c r="AF176" s="105"/>
      <c r="AG176" s="105"/>
      <c r="AH176" s="105"/>
      <c r="AI176" s="105"/>
      <c r="AJ176" s="105"/>
      <c r="AK176" s="105"/>
      <c r="AL176" s="105"/>
      <c r="AM176" s="105"/>
      <c r="AN176" s="105"/>
      <c r="AO176" s="105"/>
      <c r="AP176" s="105"/>
      <c r="AQ176" s="105"/>
      <c r="AR176" s="105"/>
    </row>
    <row r="177" spans="1:44" ht="66" customHeight="1" x14ac:dyDescent="0.3">
      <c r="A177" s="105">
        <v>351</v>
      </c>
      <c r="B177" s="4" t="s">
        <v>56</v>
      </c>
      <c r="C177" s="4" t="s">
        <v>1488</v>
      </c>
      <c r="D177" s="24" t="s">
        <v>1491</v>
      </c>
      <c r="E177" s="699" t="e">
        <f>HLOOKUP($D$2,'2020 Data(H)'!$C$1:$CZ$428,115,FALSE)</f>
        <v>#N/A</v>
      </c>
      <c r="F177" s="301">
        <v>0</v>
      </c>
      <c r="G177" s="759">
        <f>IF(F177&lt;0,"Error: Enter as positive.",)</f>
        <v>0</v>
      </c>
      <c r="H177" s="17"/>
      <c r="I177" s="77"/>
      <c r="Z177" s="105"/>
      <c r="AA177" s="105"/>
      <c r="AB177" s="105"/>
      <c r="AC177" s="105"/>
      <c r="AD177" s="105"/>
      <c r="AE177" s="105"/>
      <c r="AF177" s="105"/>
      <c r="AG177" s="105"/>
      <c r="AH177" s="105"/>
      <c r="AI177" s="105"/>
      <c r="AJ177" s="105"/>
      <c r="AK177" s="105"/>
      <c r="AL177" s="105"/>
      <c r="AM177" s="105"/>
      <c r="AN177" s="105"/>
      <c r="AO177" s="105"/>
      <c r="AP177" s="105"/>
      <c r="AQ177" s="105"/>
      <c r="AR177" s="105"/>
    </row>
    <row r="178" spans="1:44" ht="93.75" customHeight="1" x14ac:dyDescent="0.3">
      <c r="A178" s="105">
        <v>191</v>
      </c>
      <c r="B178" s="4" t="s">
        <v>57</v>
      </c>
      <c r="C178" s="4" t="s">
        <v>1488</v>
      </c>
      <c r="D178" s="24" t="s">
        <v>1492</v>
      </c>
      <c r="E178" s="699" t="e">
        <f>HLOOKUP($D$2,'2020 Data(H)'!$C$1:$CZ$428,72,FALSE)</f>
        <v>#N/A</v>
      </c>
      <c r="F178" s="301">
        <v>0</v>
      </c>
      <c r="G178" s="759">
        <f>IF(F178&lt;0,"Error: Enter as positive.",)</f>
        <v>0</v>
      </c>
      <c r="H178" s="17"/>
      <c r="I178" s="77"/>
      <c r="Z178" s="105"/>
      <c r="AA178" s="105"/>
      <c r="AB178" s="105"/>
      <c r="AC178" s="105"/>
      <c r="AD178" s="105"/>
      <c r="AE178" s="105"/>
      <c r="AF178" s="105"/>
      <c r="AG178" s="105"/>
      <c r="AH178" s="105"/>
      <c r="AI178" s="105"/>
      <c r="AJ178" s="105"/>
      <c r="AK178" s="105"/>
      <c r="AL178" s="105"/>
      <c r="AM178" s="105"/>
      <c r="AN178" s="105"/>
      <c r="AO178" s="105"/>
      <c r="AP178" s="105"/>
      <c r="AQ178" s="105"/>
      <c r="AR178" s="105"/>
    </row>
    <row r="179" spans="1:44" ht="98.25" customHeight="1" x14ac:dyDescent="0.3">
      <c r="A179" s="105">
        <v>352</v>
      </c>
      <c r="B179" s="4" t="s">
        <v>68</v>
      </c>
      <c r="C179" s="4" t="s">
        <v>1488</v>
      </c>
      <c r="D179" s="29" t="s">
        <v>1322</v>
      </c>
      <c r="E179" s="699" t="e">
        <f>HLOOKUP($D$2,'2020 Data(H)'!$C$1:$CZ$428,116,FALSE)</f>
        <v>#N/A</v>
      </c>
      <c r="F179" s="301">
        <v>0</v>
      </c>
      <c r="G179" s="759">
        <f>IF(F179&lt;0,"Error: Enter as positive.",)</f>
        <v>0</v>
      </c>
      <c r="H179" s="738"/>
      <c r="I179" s="17"/>
      <c r="Z179" s="105"/>
      <c r="AA179" s="105"/>
      <c r="AB179" s="105"/>
      <c r="AC179" s="105"/>
      <c r="AD179" s="105"/>
      <c r="AE179" s="105"/>
      <c r="AF179" s="105"/>
      <c r="AG179" s="105"/>
      <c r="AH179" s="105"/>
      <c r="AI179" s="105"/>
      <c r="AJ179" s="105"/>
      <c r="AK179" s="105"/>
      <c r="AL179" s="105"/>
      <c r="AM179" s="105"/>
      <c r="AN179" s="105"/>
      <c r="AO179" s="105"/>
      <c r="AP179" s="105"/>
      <c r="AQ179" s="105"/>
      <c r="AR179" s="105"/>
    </row>
    <row r="180" spans="1:44" ht="91.5" customHeight="1" x14ac:dyDescent="0.3">
      <c r="A180" s="105">
        <v>986</v>
      </c>
      <c r="B180" s="858" t="s">
        <v>1046</v>
      </c>
      <c r="C180" s="858" t="s">
        <v>1488</v>
      </c>
      <c r="D180" s="318" t="s">
        <v>1080</v>
      </c>
      <c r="E180" s="699" t="s">
        <v>1047</v>
      </c>
      <c r="F180" s="301">
        <v>0</v>
      </c>
      <c r="G180" s="759">
        <f>IF(F180&lt;0,"Error: Enter as positive.",)</f>
        <v>0</v>
      </c>
      <c r="H180" s="17"/>
      <c r="I180" s="77"/>
      <c r="Z180" s="105"/>
      <c r="AA180" s="105"/>
      <c r="AB180" s="105"/>
      <c r="AC180" s="105"/>
      <c r="AD180" s="105"/>
      <c r="AE180" s="105"/>
      <c r="AF180" s="105"/>
      <c r="AG180" s="105"/>
      <c r="AH180" s="105"/>
      <c r="AI180" s="105"/>
      <c r="AJ180" s="105"/>
      <c r="AK180" s="105"/>
      <c r="AL180" s="105"/>
      <c r="AM180" s="105"/>
      <c r="AN180" s="105"/>
      <c r="AO180" s="105"/>
      <c r="AP180" s="105"/>
      <c r="AQ180" s="105"/>
      <c r="AR180" s="105"/>
    </row>
    <row r="181" spans="1:44" ht="90" customHeight="1" x14ac:dyDescent="0.3">
      <c r="A181" s="105">
        <v>353</v>
      </c>
      <c r="B181" s="4" t="s">
        <v>68</v>
      </c>
      <c r="C181" s="4" t="s">
        <v>1488</v>
      </c>
      <c r="D181" s="29" t="s">
        <v>143</v>
      </c>
      <c r="E181" s="699" t="e">
        <f>HLOOKUP($D$2,'2020 Data(H)'!$C$1:$CZ$428,117,FALSE)</f>
        <v>#N/A</v>
      </c>
      <c r="F181" s="301">
        <v>0</v>
      </c>
      <c r="G181" s="759">
        <f>IF(F181&lt;0,"Error: Enter as positive.",)</f>
        <v>0</v>
      </c>
      <c r="H181" s="17"/>
      <c r="I181" s="77"/>
      <c r="Z181" s="105"/>
      <c r="AA181" s="105"/>
      <c r="AB181" s="105"/>
      <c r="AC181" s="105"/>
      <c r="AD181" s="105"/>
      <c r="AE181" s="105"/>
      <c r="AF181" s="105"/>
      <c r="AG181" s="105"/>
      <c r="AH181" s="105"/>
      <c r="AI181" s="105"/>
      <c r="AJ181" s="105"/>
      <c r="AK181" s="105"/>
      <c r="AL181" s="105"/>
      <c r="AM181" s="105"/>
      <c r="AN181" s="105"/>
      <c r="AO181" s="105"/>
      <c r="AP181" s="105"/>
      <c r="AQ181" s="105"/>
      <c r="AR181" s="105"/>
    </row>
    <row r="182" spans="1:44" ht="102.75" customHeight="1" x14ac:dyDescent="0.3">
      <c r="A182" s="105">
        <v>50</v>
      </c>
      <c r="B182" s="4" t="s">
        <v>64</v>
      </c>
      <c r="C182" s="4" t="s">
        <v>1488</v>
      </c>
      <c r="D182" s="737" t="s">
        <v>1493</v>
      </c>
      <c r="E182" s="699" t="e">
        <f>HLOOKUP($D$2,'2020 Data(H)'!$C$1:$CZ$428,37,FALSE)</f>
        <v>#N/A</v>
      </c>
      <c r="F182" s="299">
        <v>0</v>
      </c>
      <c r="G182" s="759">
        <f>IF(H182=0,,"Error: Total revenues less total expenses do not equal total change in net position. Account number 84-85+350-351+191+352-353-50=0  The amount of the formula is in the cell to the right")</f>
        <v>0</v>
      </c>
      <c r="H182" s="762">
        <f>F172-F174+F176-F177+F178+F179-F181-F182</f>
        <v>0</v>
      </c>
      <c r="I182" s="77"/>
      <c r="Z182" s="105"/>
      <c r="AA182" s="105"/>
      <c r="AB182" s="105"/>
      <c r="AC182" s="105"/>
      <c r="AD182" s="105"/>
      <c r="AE182" s="105"/>
      <c r="AF182" s="105"/>
      <c r="AG182" s="105"/>
      <c r="AH182" s="105"/>
      <c r="AI182" s="105"/>
      <c r="AJ182" s="105"/>
      <c r="AK182" s="105"/>
      <c r="AL182" s="105"/>
      <c r="AM182" s="105"/>
      <c r="AN182" s="105"/>
      <c r="AO182" s="105"/>
      <c r="AP182" s="105"/>
      <c r="AQ182" s="105"/>
      <c r="AR182" s="105"/>
    </row>
    <row r="183" spans="1:44" ht="121.5" customHeight="1" x14ac:dyDescent="0.3">
      <c r="A183" s="105">
        <v>377</v>
      </c>
      <c r="B183" s="4" t="s">
        <v>68</v>
      </c>
      <c r="C183" s="4" t="s">
        <v>1488</v>
      </c>
      <c r="D183" s="737" t="s">
        <v>1494</v>
      </c>
      <c r="E183" s="699" t="e">
        <f>HLOOKUP($D$2,'2020 Data(H)'!$C$1:$CZ$428,136,FALSE)</f>
        <v>#N/A</v>
      </c>
      <c r="F183" s="299">
        <v>0</v>
      </c>
      <c r="G183" s="759" t="e">
        <f>IF(F149-F182-F183=E149,,"Error: Beginning Balance does not agree with our records.  Acct #s (83-50-377)=prior year 83 The amount of the formula is in the cell to the right")</f>
        <v>#N/A</v>
      </c>
      <c r="H183" s="762" t="e">
        <f>+F149-F182-F183-E149</f>
        <v>#N/A</v>
      </c>
      <c r="I183" s="1266" t="s">
        <v>1830</v>
      </c>
      <c r="Z183" s="105"/>
      <c r="AA183" s="105"/>
      <c r="AB183" s="105"/>
      <c r="AC183" s="105"/>
      <c r="AD183" s="105"/>
      <c r="AE183" s="105"/>
      <c r="AF183" s="105"/>
      <c r="AG183" s="105"/>
      <c r="AH183" s="105"/>
      <c r="AI183" s="105"/>
      <c r="AJ183" s="105"/>
      <c r="AK183" s="105"/>
      <c r="AL183" s="105"/>
      <c r="AM183" s="105"/>
      <c r="AN183" s="105"/>
      <c r="AO183" s="105"/>
      <c r="AP183" s="105"/>
      <c r="AQ183" s="105"/>
      <c r="AR183" s="105"/>
    </row>
    <row r="184" spans="1:44" ht="97.5" customHeight="1" x14ac:dyDescent="0.3">
      <c r="A184" s="105">
        <v>537</v>
      </c>
      <c r="B184" s="701" t="s">
        <v>59</v>
      </c>
      <c r="C184" s="701" t="s">
        <v>1488</v>
      </c>
      <c r="D184" s="698" t="s">
        <v>1495</v>
      </c>
      <c r="E184" s="57" t="e">
        <f>HLOOKUP($D$2,'2020 Data(H)'!$C$1:$CZ$428,250,FALSE)</f>
        <v>#N/A</v>
      </c>
      <c r="F184" s="301"/>
      <c r="G184" s="759"/>
      <c r="H184" s="760"/>
      <c r="I184" s="761"/>
      <c r="Z184" s="105"/>
      <c r="AA184" s="105"/>
      <c r="AB184" s="105"/>
      <c r="AC184" s="105"/>
      <c r="AD184" s="105"/>
      <c r="AE184" s="105"/>
      <c r="AF184" s="105"/>
      <c r="AG184" s="105"/>
      <c r="AH184" s="105"/>
      <c r="AI184" s="105"/>
      <c r="AJ184" s="105"/>
      <c r="AK184" s="105"/>
      <c r="AL184" s="105"/>
      <c r="AM184" s="105"/>
      <c r="AN184" s="105"/>
      <c r="AO184" s="105"/>
      <c r="AP184" s="105"/>
      <c r="AQ184" s="105"/>
      <c r="AR184" s="105"/>
    </row>
    <row r="185" spans="1:44" ht="96.75" customHeight="1" x14ac:dyDescent="0.3">
      <c r="A185" s="105">
        <v>538</v>
      </c>
      <c r="B185" s="701" t="s">
        <v>59</v>
      </c>
      <c r="C185" s="701" t="s">
        <v>1488</v>
      </c>
      <c r="D185" s="698" t="s">
        <v>1496</v>
      </c>
      <c r="E185" s="699" t="e">
        <f>HLOOKUP($D$2,'2020 Data(H)'!$C$1:$CZ$428,251,FALSE)</f>
        <v>#N/A</v>
      </c>
      <c r="F185" s="301"/>
      <c r="G185" s="759"/>
      <c r="H185" s="760"/>
      <c r="I185" s="761"/>
      <c r="Z185" s="105"/>
      <c r="AA185" s="105"/>
      <c r="AB185" s="105"/>
      <c r="AC185" s="105"/>
      <c r="AD185" s="105"/>
      <c r="AE185" s="105"/>
      <c r="AF185" s="105"/>
      <c r="AG185" s="105"/>
      <c r="AH185" s="105"/>
      <c r="AI185" s="105"/>
      <c r="AJ185" s="105"/>
      <c r="AK185" s="105"/>
      <c r="AL185" s="105"/>
      <c r="AM185" s="105"/>
      <c r="AN185" s="105"/>
      <c r="AO185" s="105"/>
      <c r="AP185" s="105"/>
      <c r="AQ185" s="105"/>
      <c r="AR185" s="105"/>
    </row>
    <row r="186" spans="1:44" ht="26.25" customHeight="1" x14ac:dyDescent="0.3">
      <c r="A186" s="105"/>
      <c r="B186" s="894" t="s">
        <v>6</v>
      </c>
      <c r="C186" s="895"/>
      <c r="D186" s="870"/>
      <c r="E186" s="870"/>
      <c r="F186" s="890"/>
      <c r="G186" s="891"/>
      <c r="H186" s="17"/>
      <c r="I186" s="77"/>
      <c r="Z186" s="105"/>
      <c r="AA186" s="105"/>
      <c r="AB186" s="105"/>
      <c r="AC186" s="105"/>
      <c r="AD186" s="105"/>
      <c r="AE186" s="105"/>
      <c r="AF186" s="105"/>
      <c r="AG186" s="105"/>
      <c r="AH186" s="105"/>
      <c r="AI186" s="105"/>
      <c r="AJ186" s="105"/>
      <c r="AK186" s="105"/>
      <c r="AL186" s="105"/>
      <c r="AM186" s="105"/>
      <c r="AN186" s="105"/>
      <c r="AO186" s="105"/>
      <c r="AP186" s="105"/>
      <c r="AQ186" s="105"/>
      <c r="AR186" s="105"/>
    </row>
    <row r="187" spans="1:44" ht="112.5" customHeight="1" x14ac:dyDescent="0.3">
      <c r="A187" s="105">
        <v>97</v>
      </c>
      <c r="B187" s="4" t="s">
        <v>68</v>
      </c>
      <c r="C187" s="4" t="s">
        <v>1497</v>
      </c>
      <c r="D187" s="29" t="s">
        <v>163</v>
      </c>
      <c r="E187" s="699" t="e">
        <f>HLOOKUP($D$2,'2020 Data(H)'!$C$1:$CZ$428,57,FALSE)</f>
        <v>#N/A</v>
      </c>
      <c r="F187" s="299">
        <v>0</v>
      </c>
      <c r="G187" s="769"/>
      <c r="H187" s="17"/>
      <c r="I187" s="77"/>
      <c r="Z187" s="105"/>
      <c r="AA187" s="105"/>
      <c r="AB187" s="105"/>
      <c r="AC187" s="105"/>
      <c r="AD187" s="105"/>
      <c r="AE187" s="105"/>
      <c r="AF187" s="105"/>
      <c r="AG187" s="105"/>
      <c r="AH187" s="105"/>
      <c r="AI187" s="105"/>
      <c r="AJ187" s="105"/>
      <c r="AK187" s="105"/>
      <c r="AL187" s="105"/>
      <c r="AM187" s="105"/>
      <c r="AN187" s="105"/>
      <c r="AO187" s="105"/>
      <c r="AP187" s="105"/>
      <c r="AQ187" s="105"/>
      <c r="AR187" s="105"/>
    </row>
    <row r="188" spans="1:44" ht="87.75" customHeight="1" x14ac:dyDescent="0.3">
      <c r="A188" s="105">
        <v>93</v>
      </c>
      <c r="B188" s="4" t="s">
        <v>66</v>
      </c>
      <c r="C188" s="4" t="s">
        <v>1497</v>
      </c>
      <c r="D188" s="29" t="s">
        <v>159</v>
      </c>
      <c r="E188" s="699" t="e">
        <f>HLOOKUP($D$2,'2020 Data(H)'!$C$1:$CZ$428,55,FALSE)</f>
        <v>#N/A</v>
      </c>
      <c r="F188" s="300">
        <v>0</v>
      </c>
      <c r="G188" s="759">
        <f>IF(F187&gt;F188,"Error: Charges for services exceed total operating revenues. Account number 97&gt;93",)</f>
        <v>0</v>
      </c>
      <c r="H188" s="17"/>
      <c r="I188" s="77"/>
      <c r="Z188" s="105"/>
      <c r="AA188" s="105"/>
      <c r="AB188" s="105"/>
      <c r="AC188" s="105"/>
      <c r="AD188" s="105"/>
      <c r="AE188" s="105"/>
      <c r="AF188" s="105"/>
      <c r="AG188" s="105"/>
      <c r="AH188" s="105"/>
      <c r="AI188" s="105"/>
      <c r="AJ188" s="105"/>
      <c r="AK188" s="105"/>
      <c r="AL188" s="105"/>
      <c r="AM188" s="105"/>
      <c r="AN188" s="105"/>
      <c r="AO188" s="105"/>
      <c r="AP188" s="105"/>
      <c r="AQ188" s="105"/>
      <c r="AR188" s="105"/>
    </row>
    <row r="189" spans="1:44" ht="96" customHeight="1" x14ac:dyDescent="0.3">
      <c r="A189" s="105">
        <v>99</v>
      </c>
      <c r="B189" s="4" t="s">
        <v>58</v>
      </c>
      <c r="C189" s="4" t="s">
        <v>1497</v>
      </c>
      <c r="D189" s="29" t="s">
        <v>164</v>
      </c>
      <c r="E189" s="699" t="e">
        <f>HLOOKUP($D$2,'2020 Data(H)'!$C$1:$CZ$428,59,FALSE)</f>
        <v>#N/A</v>
      </c>
      <c r="F189" s="300">
        <v>0</v>
      </c>
      <c r="G189" s="759">
        <f t="shared" ref="G189:G197" si="2">IF(F189&lt;0,"Error: Enter as positive.",)</f>
        <v>0</v>
      </c>
      <c r="H189" s="17"/>
      <c r="I189" s="77"/>
      <c r="Z189" s="105"/>
      <c r="AA189" s="105"/>
      <c r="AB189" s="105"/>
      <c r="AC189" s="105"/>
      <c r="AD189" s="105"/>
      <c r="AE189" s="105"/>
      <c r="AF189" s="105"/>
      <c r="AG189" s="105"/>
      <c r="AH189" s="105"/>
      <c r="AI189" s="105"/>
      <c r="AJ189" s="105"/>
      <c r="AK189" s="105"/>
      <c r="AL189" s="105"/>
      <c r="AM189" s="105"/>
      <c r="AN189" s="105"/>
      <c r="AO189" s="105"/>
      <c r="AP189" s="105"/>
      <c r="AQ189" s="105"/>
      <c r="AR189" s="105"/>
    </row>
    <row r="190" spans="1:44" ht="79.5" customHeight="1" x14ac:dyDescent="0.3">
      <c r="A190" s="105">
        <v>52</v>
      </c>
      <c r="B190" s="4" t="s">
        <v>58</v>
      </c>
      <c r="C190" s="4" t="s">
        <v>1497</v>
      </c>
      <c r="D190" s="29" t="s">
        <v>160</v>
      </c>
      <c r="E190" s="699" t="e">
        <f>HLOOKUP($D$2,'2020 Data(H)'!$C$1:$CZ$428,39,FALSE)</f>
        <v>#N/A</v>
      </c>
      <c r="F190" s="300">
        <v>0</v>
      </c>
      <c r="G190" s="759">
        <f t="shared" si="2"/>
        <v>0</v>
      </c>
      <c r="H190" s="17"/>
      <c r="I190" s="77"/>
      <c r="Z190" s="105"/>
      <c r="AA190" s="105"/>
      <c r="AB190" s="105"/>
      <c r="AC190" s="105"/>
      <c r="AD190" s="105"/>
      <c r="AE190" s="105"/>
      <c r="AF190" s="105"/>
      <c r="AG190" s="105"/>
      <c r="AH190" s="105"/>
      <c r="AI190" s="105"/>
      <c r="AJ190" s="105"/>
      <c r="AK190" s="105"/>
      <c r="AL190" s="105"/>
      <c r="AM190" s="105"/>
      <c r="AN190" s="105"/>
      <c r="AO190" s="105"/>
      <c r="AP190" s="105"/>
      <c r="AQ190" s="105"/>
      <c r="AR190" s="105"/>
    </row>
    <row r="191" spans="1:44" ht="95.25" customHeight="1" x14ac:dyDescent="0.3">
      <c r="A191" s="105">
        <v>94</v>
      </c>
      <c r="B191" s="4" t="s">
        <v>66</v>
      </c>
      <c r="C191" s="4" t="s">
        <v>1497</v>
      </c>
      <c r="D191" s="29" t="s">
        <v>161</v>
      </c>
      <c r="E191" s="699" t="e">
        <f>HLOOKUP($D$2,'2020 Data(H)'!$C$1:$CZ$428,56,FALSE)</f>
        <v>#N/A</v>
      </c>
      <c r="F191" s="300">
        <v>0</v>
      </c>
      <c r="G191" s="759">
        <f t="shared" si="2"/>
        <v>0</v>
      </c>
      <c r="H191" s="17"/>
      <c r="I191" s="77"/>
      <c r="Z191" s="105"/>
      <c r="AA191" s="105"/>
      <c r="AB191" s="105"/>
      <c r="AC191" s="105"/>
      <c r="AD191" s="105"/>
      <c r="AE191" s="105"/>
      <c r="AF191" s="105"/>
      <c r="AG191" s="105"/>
      <c r="AH191" s="105"/>
      <c r="AI191" s="105"/>
      <c r="AJ191" s="105"/>
      <c r="AK191" s="105"/>
      <c r="AL191" s="105"/>
      <c r="AM191" s="105"/>
      <c r="AN191" s="105"/>
      <c r="AO191" s="105"/>
      <c r="AP191" s="105"/>
      <c r="AQ191" s="105"/>
      <c r="AR191" s="105"/>
    </row>
    <row r="192" spans="1:44" ht="100.5" customHeight="1" x14ac:dyDescent="0.3">
      <c r="A192" s="105">
        <v>98</v>
      </c>
      <c r="B192" s="4" t="s">
        <v>66</v>
      </c>
      <c r="C192" s="4" t="s">
        <v>1497</v>
      </c>
      <c r="D192" s="29" t="s">
        <v>162</v>
      </c>
      <c r="E192" s="699" t="e">
        <f>HLOOKUP($D$2,'2020 Data(H)'!$C$1:$CZ$428,58,FALSE)</f>
        <v>#N/A</v>
      </c>
      <c r="F192" s="300">
        <v>0</v>
      </c>
      <c r="G192" s="759">
        <f t="shared" si="2"/>
        <v>0</v>
      </c>
      <c r="H192" s="17"/>
      <c r="I192" s="77"/>
      <c r="Z192" s="105"/>
      <c r="AA192" s="105"/>
      <c r="AB192" s="105"/>
      <c r="AC192" s="105"/>
      <c r="AD192" s="105"/>
      <c r="AE192" s="105"/>
      <c r="AF192" s="105"/>
      <c r="AG192" s="105"/>
      <c r="AH192" s="105"/>
      <c r="AI192" s="105"/>
      <c r="AJ192" s="105"/>
      <c r="AK192" s="105"/>
      <c r="AL192" s="105"/>
      <c r="AM192" s="105"/>
      <c r="AN192" s="105"/>
      <c r="AO192" s="105"/>
      <c r="AP192" s="105"/>
      <c r="AQ192" s="105"/>
      <c r="AR192" s="105"/>
    </row>
    <row r="193" spans="1:44" ht="95.25" customHeight="1" x14ac:dyDescent="0.3">
      <c r="A193" s="105">
        <v>363</v>
      </c>
      <c r="B193" s="4" t="s">
        <v>56</v>
      </c>
      <c r="C193" s="4" t="s">
        <v>1497</v>
      </c>
      <c r="D193" s="24" t="s">
        <v>1498</v>
      </c>
      <c r="E193" s="699" t="e">
        <f>HLOOKUP($D$2,'2020 Data(H)'!$C$1:$CZ$428,124,FALSE)</f>
        <v>#N/A</v>
      </c>
      <c r="F193" s="300">
        <v>0</v>
      </c>
      <c r="G193" s="759">
        <f t="shared" si="2"/>
        <v>0</v>
      </c>
      <c r="H193" s="17"/>
      <c r="I193" s="77"/>
      <c r="Z193" s="105"/>
      <c r="AA193" s="105"/>
      <c r="AB193" s="105"/>
      <c r="AC193" s="105"/>
      <c r="AD193" s="105"/>
      <c r="AE193" s="105"/>
      <c r="AF193" s="105"/>
      <c r="AG193" s="105"/>
      <c r="AH193" s="105"/>
      <c r="AI193" s="105"/>
      <c r="AJ193" s="105"/>
      <c r="AK193" s="105"/>
      <c r="AL193" s="105"/>
      <c r="AM193" s="105"/>
      <c r="AN193" s="105"/>
      <c r="AO193" s="105"/>
      <c r="AP193" s="105"/>
      <c r="AQ193" s="105"/>
      <c r="AR193" s="105"/>
    </row>
    <row r="194" spans="1:44" ht="83.25" customHeight="1" x14ac:dyDescent="0.3">
      <c r="A194" s="105">
        <v>364</v>
      </c>
      <c r="B194" s="4" t="s">
        <v>56</v>
      </c>
      <c r="C194" s="4" t="s">
        <v>1497</v>
      </c>
      <c r="D194" s="24" t="s">
        <v>1499</v>
      </c>
      <c r="E194" s="699" t="e">
        <f>HLOOKUP($D$2,'2020 Data(H)'!$C$1:$CZ$428,125,FALSE)</f>
        <v>#N/A</v>
      </c>
      <c r="F194" s="300">
        <v>0</v>
      </c>
      <c r="G194" s="759">
        <f t="shared" si="2"/>
        <v>0</v>
      </c>
      <c r="H194" s="17"/>
      <c r="I194" s="77"/>
      <c r="Z194" s="105"/>
      <c r="AA194" s="105"/>
      <c r="AB194" s="105"/>
      <c r="AC194" s="105"/>
      <c r="AD194" s="105"/>
      <c r="AE194" s="105"/>
      <c r="AF194" s="105"/>
      <c r="AG194" s="105"/>
      <c r="AH194" s="105"/>
      <c r="AI194" s="105"/>
      <c r="AJ194" s="105"/>
      <c r="AK194" s="105"/>
      <c r="AL194" s="105"/>
      <c r="AM194" s="105"/>
      <c r="AN194" s="105"/>
      <c r="AO194" s="105"/>
      <c r="AP194" s="105"/>
      <c r="AQ194" s="105"/>
      <c r="AR194" s="105"/>
    </row>
    <row r="195" spans="1:44" ht="93" customHeight="1" x14ac:dyDescent="0.3">
      <c r="A195" s="105">
        <v>192</v>
      </c>
      <c r="B195" s="4" t="s">
        <v>58</v>
      </c>
      <c r="C195" s="4" t="s">
        <v>1497</v>
      </c>
      <c r="D195" s="24" t="s">
        <v>1500</v>
      </c>
      <c r="E195" s="699" t="e">
        <f>HLOOKUP($D$2,'2020 Data(H)'!$C$1:$CZ$428,73,FALSE)</f>
        <v>#N/A</v>
      </c>
      <c r="F195" s="300">
        <v>0</v>
      </c>
      <c r="G195" s="759">
        <f t="shared" si="2"/>
        <v>0</v>
      </c>
      <c r="H195" s="17"/>
      <c r="I195" s="77"/>
      <c r="Z195" s="105"/>
      <c r="AA195" s="105"/>
      <c r="AB195" s="105"/>
      <c r="AC195" s="105"/>
      <c r="AD195" s="105"/>
      <c r="AE195" s="105"/>
      <c r="AF195" s="105"/>
      <c r="AG195" s="105"/>
      <c r="AH195" s="105"/>
      <c r="AI195" s="105"/>
      <c r="AJ195" s="105"/>
      <c r="AK195" s="105"/>
      <c r="AL195" s="105"/>
      <c r="AM195" s="105"/>
      <c r="AN195" s="105"/>
      <c r="AO195" s="105"/>
      <c r="AP195" s="105"/>
      <c r="AQ195" s="105"/>
      <c r="AR195" s="105"/>
    </row>
    <row r="196" spans="1:44" ht="108" customHeight="1" x14ac:dyDescent="0.3">
      <c r="A196" s="105">
        <v>365</v>
      </c>
      <c r="B196" s="4" t="s">
        <v>66</v>
      </c>
      <c r="C196" s="4" t="s">
        <v>1497</v>
      </c>
      <c r="D196" s="24" t="s">
        <v>1501</v>
      </c>
      <c r="E196" s="699" t="e">
        <f>HLOOKUP($D$2,'2020 Data(H)'!$C$1:$CZ$428,126,FALSE)</f>
        <v>#N/A</v>
      </c>
      <c r="F196" s="300">
        <v>0</v>
      </c>
      <c r="G196" s="759">
        <f t="shared" si="2"/>
        <v>0</v>
      </c>
      <c r="H196" s="17"/>
      <c r="I196" s="77"/>
      <c r="Z196" s="105"/>
      <c r="AA196" s="105"/>
      <c r="AB196" s="105"/>
      <c r="AC196" s="105"/>
      <c r="AD196" s="105"/>
      <c r="AE196" s="105"/>
      <c r="AF196" s="105"/>
      <c r="AG196" s="105"/>
      <c r="AH196" s="105"/>
      <c r="AI196" s="105"/>
      <c r="AJ196" s="105"/>
      <c r="AK196" s="105"/>
      <c r="AL196" s="105"/>
      <c r="AM196" s="105"/>
      <c r="AN196" s="105"/>
      <c r="AO196" s="105"/>
      <c r="AP196" s="105"/>
      <c r="AQ196" s="105"/>
      <c r="AR196" s="105"/>
    </row>
    <row r="197" spans="1:44" ht="84.75" customHeight="1" x14ac:dyDescent="0.3">
      <c r="A197" s="105">
        <v>366</v>
      </c>
      <c r="B197" s="4" t="s">
        <v>66</v>
      </c>
      <c r="C197" s="4" t="s">
        <v>1497</v>
      </c>
      <c r="D197" s="24" t="s">
        <v>1502</v>
      </c>
      <c r="E197" s="699" t="e">
        <f>HLOOKUP($D$2,'2020 Data(H)'!$C$1:$CZ$428,127,FALSE)</f>
        <v>#N/A</v>
      </c>
      <c r="F197" s="300">
        <v>0</v>
      </c>
      <c r="G197" s="759">
        <f t="shared" si="2"/>
        <v>0</v>
      </c>
      <c r="H197" s="17"/>
      <c r="I197" s="77"/>
      <c r="Z197" s="105"/>
      <c r="AA197" s="105"/>
      <c r="AB197" s="105"/>
      <c r="AC197" s="105"/>
      <c r="AD197" s="105"/>
      <c r="AE197" s="105"/>
      <c r="AF197" s="105"/>
      <c r="AG197" s="105"/>
      <c r="AH197" s="105"/>
      <c r="AI197" s="105"/>
      <c r="AJ197" s="105"/>
      <c r="AK197" s="105"/>
      <c r="AL197" s="105"/>
      <c r="AM197" s="105"/>
      <c r="AN197" s="105"/>
      <c r="AO197" s="105"/>
      <c r="AP197" s="105"/>
      <c r="AQ197" s="105"/>
      <c r="AR197" s="105"/>
    </row>
    <row r="198" spans="1:44" s="18" customFormat="1" ht="93.75" customHeight="1" x14ac:dyDescent="0.3">
      <c r="A198" s="105">
        <v>53</v>
      </c>
      <c r="B198" s="701" t="s">
        <v>66</v>
      </c>
      <c r="C198" s="701" t="s">
        <v>1497</v>
      </c>
      <c r="D198" s="737" t="s">
        <v>1503</v>
      </c>
      <c r="E198" s="699" t="e">
        <f>HLOOKUP($D$2,'2020 Data(H)'!$C$1:$CZ$428,40,FALSE)</f>
        <v>#N/A</v>
      </c>
      <c r="F198" s="300">
        <v>0</v>
      </c>
      <c r="G198" s="759">
        <f>IF(H198=0,,"Error: Total revenues less total expenses do not equal total change in net position. Account number 93-94+363-364+192+365-366-53=0  The amount of the formula is in the cell to the right")</f>
        <v>0</v>
      </c>
      <c r="H198" s="762">
        <f>+F188-F191+F193-F194+F195+F196-F197-F198</f>
        <v>0</v>
      </c>
      <c r="I198" s="77"/>
      <c r="N198" s="302"/>
      <c r="Z198" s="105"/>
      <c r="AA198" s="105"/>
      <c r="AB198" s="105"/>
      <c r="AC198" s="105"/>
      <c r="AD198" s="105"/>
      <c r="AE198" s="105"/>
      <c r="AF198" s="105"/>
      <c r="AG198" s="105"/>
      <c r="AH198" s="105"/>
      <c r="AI198" s="105"/>
      <c r="AJ198" s="105"/>
      <c r="AK198" s="105"/>
      <c r="AL198" s="105"/>
      <c r="AM198" s="105"/>
      <c r="AN198" s="105"/>
      <c r="AO198" s="105"/>
      <c r="AP198" s="105"/>
      <c r="AQ198" s="105"/>
      <c r="AR198" s="105"/>
    </row>
    <row r="199" spans="1:44" s="18" customFormat="1" ht="135" customHeight="1" x14ac:dyDescent="0.3">
      <c r="A199" s="105">
        <v>378</v>
      </c>
      <c r="B199" s="5" t="s">
        <v>56</v>
      </c>
      <c r="C199" s="4" t="s">
        <v>1497</v>
      </c>
      <c r="D199" s="737" t="s">
        <v>1504</v>
      </c>
      <c r="E199" s="699" t="e">
        <f>HLOOKUP($D$2,'2020 Data(H)'!$C$1:$CZ$428,137,FALSE)</f>
        <v>#N/A</v>
      </c>
      <c r="F199" s="299"/>
      <c r="G199" s="759" t="e">
        <f>IF(F168-F198-F199=E168,,"Error: Beginning Balance does not agree with our records.  Acct #s (362-53-378)=prior year 362  The amount of the formula is in the cell to the right")</f>
        <v>#N/A</v>
      </c>
      <c r="H199" s="762" t="e">
        <f>+F168-F198-F199-E168</f>
        <v>#N/A</v>
      </c>
      <c r="I199" s="1266" t="s">
        <v>1830</v>
      </c>
      <c r="N199" s="302"/>
      <c r="Z199" s="105"/>
      <c r="AA199" s="105"/>
      <c r="AB199" s="105"/>
      <c r="AC199" s="105"/>
      <c r="AD199" s="105"/>
      <c r="AE199" s="105"/>
      <c r="AF199" s="105"/>
      <c r="AG199" s="105"/>
      <c r="AH199" s="105"/>
      <c r="AI199" s="105"/>
      <c r="AJ199" s="105"/>
      <c r="AK199" s="105"/>
      <c r="AL199" s="105"/>
      <c r="AM199" s="105"/>
      <c r="AN199" s="105"/>
      <c r="AO199" s="105"/>
      <c r="AP199" s="105"/>
      <c r="AQ199" s="105"/>
      <c r="AR199" s="105"/>
    </row>
    <row r="200" spans="1:44" ht="30.75" customHeight="1" x14ac:dyDescent="0.3">
      <c r="A200" s="105"/>
      <c r="B200" s="894" t="s">
        <v>824</v>
      </c>
      <c r="C200" s="894"/>
      <c r="D200" s="897"/>
      <c r="E200" s="877"/>
      <c r="F200" s="898"/>
      <c r="G200" s="879"/>
      <c r="H200" s="17"/>
      <c r="I200" s="77"/>
      <c r="Z200" s="105"/>
      <c r="AA200" s="105"/>
      <c r="AB200" s="105"/>
      <c r="AC200" s="105"/>
      <c r="AD200" s="105"/>
      <c r="AE200" s="105"/>
      <c r="AF200" s="105"/>
      <c r="AG200" s="105"/>
      <c r="AH200" s="105"/>
      <c r="AI200" s="105"/>
      <c r="AJ200" s="105"/>
      <c r="AK200" s="105"/>
      <c r="AL200" s="105"/>
      <c r="AM200" s="105"/>
      <c r="AN200" s="105"/>
      <c r="AO200" s="105"/>
      <c r="AP200" s="105"/>
      <c r="AQ200" s="105"/>
      <c r="AR200" s="105"/>
    </row>
    <row r="201" spans="1:44" ht="13.5" customHeight="1" x14ac:dyDescent="0.3">
      <c r="A201" s="105"/>
      <c r="B201" s="899" t="s">
        <v>1505</v>
      </c>
      <c r="C201" s="895"/>
      <c r="D201" s="870"/>
      <c r="E201" s="870"/>
      <c r="F201" s="900"/>
      <c r="G201" s="891"/>
      <c r="H201" s="17"/>
      <c r="I201" s="77"/>
      <c r="Z201" s="105"/>
      <c r="AA201" s="105"/>
      <c r="AB201" s="105"/>
      <c r="AC201" s="105"/>
      <c r="AD201" s="105"/>
      <c r="AE201" s="105"/>
      <c r="AF201" s="105"/>
      <c r="AG201" s="105"/>
      <c r="AH201" s="105"/>
      <c r="AI201" s="105"/>
      <c r="AJ201" s="105"/>
      <c r="AK201" s="105"/>
      <c r="AL201" s="105"/>
      <c r="AM201" s="105"/>
      <c r="AN201" s="105"/>
      <c r="AO201" s="105"/>
      <c r="AP201" s="105"/>
      <c r="AQ201" s="105"/>
      <c r="AR201" s="105"/>
    </row>
    <row r="202" spans="1:44" ht="17.25" customHeight="1" x14ac:dyDescent="0.3">
      <c r="A202" s="105"/>
      <c r="B202" s="895" t="s">
        <v>1506</v>
      </c>
      <c r="C202" s="895"/>
      <c r="D202" s="886"/>
      <c r="E202" s="868"/>
      <c r="F202" s="901"/>
      <c r="G202" s="893"/>
      <c r="H202" s="17"/>
      <c r="I202" s="77"/>
      <c r="Z202" s="105"/>
      <c r="AA202" s="105"/>
      <c r="AB202" s="105"/>
      <c r="AC202" s="105"/>
      <c r="AD202" s="105"/>
      <c r="AE202" s="105"/>
      <c r="AF202" s="105"/>
      <c r="AG202" s="105"/>
      <c r="AH202" s="105"/>
      <c r="AI202" s="105"/>
      <c r="AJ202" s="105"/>
      <c r="AK202" s="105"/>
      <c r="AL202" s="105"/>
      <c r="AM202" s="105"/>
      <c r="AN202" s="105"/>
      <c r="AO202" s="105"/>
      <c r="AP202" s="105"/>
      <c r="AQ202" s="105"/>
      <c r="AR202" s="105"/>
    </row>
    <row r="203" spans="1:44" ht="13.5" customHeight="1" x14ac:dyDescent="0.3">
      <c r="A203" s="105"/>
      <c r="B203" s="895" t="s">
        <v>23</v>
      </c>
      <c r="C203" s="895"/>
      <c r="D203" s="886"/>
      <c r="E203" s="868"/>
      <c r="F203" s="901"/>
      <c r="G203" s="893"/>
      <c r="H203" s="17"/>
      <c r="I203" s="77"/>
      <c r="Z203" s="105"/>
      <c r="AA203" s="105"/>
      <c r="AB203" s="105"/>
      <c r="AC203" s="105"/>
      <c r="AD203" s="105"/>
      <c r="AE203" s="105"/>
      <c r="AF203" s="105"/>
      <c r="AG203" s="105"/>
      <c r="AH203" s="105"/>
      <c r="AI203" s="105"/>
      <c r="AJ203" s="105"/>
      <c r="AK203" s="105"/>
      <c r="AL203" s="105"/>
      <c r="AM203" s="105"/>
      <c r="AN203" s="105"/>
      <c r="AO203" s="105"/>
      <c r="AP203" s="105"/>
      <c r="AQ203" s="105"/>
      <c r="AR203" s="105"/>
    </row>
    <row r="204" spans="1:44" ht="59.25" customHeight="1" x14ac:dyDescent="0.3">
      <c r="A204" s="105">
        <v>51</v>
      </c>
      <c r="B204" s="4" t="s">
        <v>527</v>
      </c>
      <c r="C204" s="859" t="s">
        <v>1507</v>
      </c>
      <c r="D204" s="24" t="s">
        <v>1508</v>
      </c>
      <c r="E204" s="699" t="e">
        <f>HLOOKUP($D$2,'2020 Data(H)'!$C$1:$CZ$428,38,FALSE)</f>
        <v>#N/A</v>
      </c>
      <c r="F204" s="300">
        <v>0</v>
      </c>
      <c r="G204" s="769"/>
      <c r="H204" s="17"/>
      <c r="I204" s="77"/>
      <c r="Z204" s="105"/>
      <c r="AA204" s="105"/>
      <c r="AB204" s="105"/>
      <c r="AC204" s="105"/>
      <c r="AD204" s="105"/>
      <c r="AE204" s="105"/>
      <c r="AF204" s="105"/>
      <c r="AG204" s="105"/>
      <c r="AH204" s="105"/>
      <c r="AI204" s="105"/>
      <c r="AJ204" s="105"/>
      <c r="AK204" s="105"/>
      <c r="AL204" s="105"/>
      <c r="AM204" s="105"/>
      <c r="AN204" s="105"/>
      <c r="AO204" s="105"/>
      <c r="AP204" s="105"/>
      <c r="AQ204" s="105"/>
      <c r="AR204" s="105"/>
    </row>
    <row r="205" spans="1:44" ht="45" customHeight="1" x14ac:dyDescent="0.3">
      <c r="A205" s="105">
        <v>332</v>
      </c>
      <c r="B205" s="4" t="s">
        <v>37</v>
      </c>
      <c r="C205" s="859" t="s">
        <v>1507</v>
      </c>
      <c r="D205" s="24" t="s">
        <v>1509</v>
      </c>
      <c r="E205" s="699" t="e">
        <f>HLOOKUP($D$2,'2020 Data(H)'!$C$1:$CZ$428,98,FALSE)</f>
        <v>#N/A</v>
      </c>
      <c r="F205" s="300">
        <v>0</v>
      </c>
      <c r="G205" s="759">
        <f>IF(F205&lt;0,"Error: Enter as positive.",)</f>
        <v>0</v>
      </c>
      <c r="H205" s="17"/>
      <c r="I205" s="77"/>
      <c r="Z205" s="105"/>
      <c r="AA205" s="105"/>
      <c r="AB205" s="105"/>
      <c r="AC205" s="105"/>
      <c r="AD205" s="105"/>
      <c r="AE205" s="105"/>
      <c r="AF205" s="105"/>
      <c r="AG205" s="105"/>
      <c r="AH205" s="105"/>
      <c r="AI205" s="105"/>
      <c r="AJ205" s="105"/>
      <c r="AK205" s="105"/>
      <c r="AL205" s="105"/>
      <c r="AM205" s="105"/>
      <c r="AN205" s="105"/>
      <c r="AO205" s="105"/>
      <c r="AP205" s="105"/>
      <c r="AQ205" s="105"/>
      <c r="AR205" s="105"/>
    </row>
    <row r="206" spans="1:44" ht="63" customHeight="1" x14ac:dyDescent="0.3">
      <c r="A206" s="105">
        <v>331</v>
      </c>
      <c r="B206" s="4" t="s">
        <v>527</v>
      </c>
      <c r="C206" s="859" t="s">
        <v>1507</v>
      </c>
      <c r="D206" s="24" t="s">
        <v>1510</v>
      </c>
      <c r="E206" s="699" t="e">
        <f>HLOOKUP($D$2,'2020 Data(H)'!$C$1:$CZ$428,97,FALSE)</f>
        <v>#N/A</v>
      </c>
      <c r="F206" s="300">
        <v>0</v>
      </c>
      <c r="G206" s="759">
        <f>IF(F206&lt;0,"Error: Enter as positive.",)</f>
        <v>0</v>
      </c>
      <c r="H206" s="17"/>
      <c r="I206" s="77"/>
      <c r="Z206" s="105"/>
      <c r="AA206" s="105"/>
      <c r="AB206" s="105"/>
      <c r="AC206" s="105"/>
      <c r="AD206" s="105"/>
      <c r="AE206" s="105"/>
      <c r="AF206" s="105"/>
      <c r="AG206" s="105"/>
      <c r="AH206" s="105"/>
      <c r="AI206" s="105"/>
      <c r="AJ206" s="105"/>
      <c r="AK206" s="105"/>
      <c r="AL206" s="105"/>
      <c r="AM206" s="105"/>
      <c r="AN206" s="105"/>
      <c r="AO206" s="105"/>
      <c r="AP206" s="105"/>
      <c r="AQ206" s="105"/>
      <c r="AR206" s="105"/>
    </row>
    <row r="207" spans="1:44" x14ac:dyDescent="0.3">
      <c r="A207" s="105"/>
      <c r="B207" s="894" t="s">
        <v>6</v>
      </c>
      <c r="C207" s="895"/>
      <c r="D207" s="895"/>
      <c r="E207" s="870"/>
      <c r="F207" s="900"/>
      <c r="G207" s="902"/>
      <c r="H207" s="17"/>
      <c r="I207" s="77"/>
      <c r="Z207" s="105"/>
      <c r="AA207" s="105"/>
      <c r="AB207" s="105"/>
      <c r="AC207" s="105"/>
      <c r="AD207" s="105"/>
      <c r="AE207" s="105"/>
      <c r="AF207" s="105"/>
      <c r="AG207" s="105"/>
      <c r="AH207" s="105"/>
      <c r="AI207" s="105"/>
      <c r="AJ207" s="105"/>
      <c r="AK207" s="105"/>
      <c r="AL207" s="105"/>
      <c r="AM207" s="105"/>
      <c r="AN207" s="105"/>
      <c r="AO207" s="105"/>
      <c r="AP207" s="105"/>
      <c r="AQ207" s="105"/>
      <c r="AR207" s="105"/>
    </row>
    <row r="208" spans="1:44" ht="48" customHeight="1" x14ac:dyDescent="0.3">
      <c r="A208" s="105">
        <v>55</v>
      </c>
      <c r="B208" s="4" t="s">
        <v>59</v>
      </c>
      <c r="C208" s="859" t="s">
        <v>1511</v>
      </c>
      <c r="D208" s="24" t="s">
        <v>1512</v>
      </c>
      <c r="E208" s="699" t="e">
        <f>HLOOKUP($D$2,'2020 Data(H)'!$C$1:$CZ$428,42,FALSE)</f>
        <v>#N/A</v>
      </c>
      <c r="F208" s="300">
        <v>0</v>
      </c>
      <c r="G208" s="769"/>
      <c r="H208" s="17"/>
      <c r="I208" s="77"/>
      <c r="Z208" s="105"/>
      <c r="AA208" s="105"/>
      <c r="AB208" s="105"/>
      <c r="AC208" s="105"/>
      <c r="AD208" s="105"/>
      <c r="AE208" s="105"/>
      <c r="AF208" s="105"/>
      <c r="AG208" s="105"/>
      <c r="AH208" s="105"/>
      <c r="AI208" s="105"/>
      <c r="AJ208" s="105"/>
      <c r="AK208" s="105"/>
      <c r="AL208" s="105"/>
      <c r="AM208" s="105"/>
      <c r="AN208" s="105"/>
      <c r="AO208" s="105"/>
      <c r="AP208" s="105"/>
      <c r="AQ208" s="105"/>
      <c r="AR208" s="105"/>
    </row>
    <row r="209" spans="1:44" ht="60" customHeight="1" x14ac:dyDescent="0.3">
      <c r="A209" s="105">
        <v>101</v>
      </c>
      <c r="B209" s="4" t="s">
        <v>65</v>
      </c>
      <c r="C209" s="859" t="s">
        <v>1511</v>
      </c>
      <c r="D209" s="24" t="s">
        <v>1513</v>
      </c>
      <c r="E209" s="699" t="e">
        <f>HLOOKUP($D$2,'2020 Data(H)'!$C$1:$CZ$428,61,FALSE)</f>
        <v>#N/A</v>
      </c>
      <c r="F209" s="300">
        <v>0</v>
      </c>
      <c r="G209" s="759">
        <f>IF(F209&lt;0,"Error: Enter as positive.",)</f>
        <v>0</v>
      </c>
      <c r="H209" s="17"/>
      <c r="I209" s="77"/>
      <c r="Z209" s="105"/>
      <c r="AA209" s="105"/>
      <c r="AB209" s="105"/>
      <c r="AC209" s="105"/>
      <c r="AD209" s="105"/>
      <c r="AE209" s="105"/>
      <c r="AF209" s="105"/>
      <c r="AG209" s="105"/>
      <c r="AH209" s="105"/>
      <c r="AI209" s="105"/>
      <c r="AJ209" s="105"/>
      <c r="AK209" s="105"/>
      <c r="AL209" s="105"/>
      <c r="AM209" s="105"/>
      <c r="AN209" s="105"/>
      <c r="AO209" s="105"/>
      <c r="AP209" s="105"/>
      <c r="AQ209" s="105"/>
      <c r="AR209" s="105"/>
    </row>
    <row r="210" spans="1:44" ht="71.25" customHeight="1" x14ac:dyDescent="0.3">
      <c r="A210" s="105">
        <v>100</v>
      </c>
      <c r="B210" s="4" t="s">
        <v>66</v>
      </c>
      <c r="C210" s="859" t="s">
        <v>1511</v>
      </c>
      <c r="D210" s="24" t="s">
        <v>1510</v>
      </c>
      <c r="E210" s="699" t="e">
        <f>HLOOKUP($D$2,'2020 Data(H)'!$C$1:$CZ$428,60,FALSE)</f>
        <v>#N/A</v>
      </c>
      <c r="F210" s="300">
        <v>0</v>
      </c>
      <c r="G210" s="759">
        <f>IF(F210&lt;0,"Error: Enter as positive.",)</f>
        <v>0</v>
      </c>
      <c r="H210" s="17"/>
      <c r="I210" s="77"/>
      <c r="Z210" s="105"/>
      <c r="AA210" s="105"/>
      <c r="AB210" s="105"/>
      <c r="AC210" s="105"/>
      <c r="AD210" s="105"/>
      <c r="AE210" s="105"/>
      <c r="AF210" s="105"/>
      <c r="AG210" s="105"/>
      <c r="AH210" s="105"/>
      <c r="AI210" s="105"/>
      <c r="AJ210" s="105"/>
      <c r="AK210" s="105"/>
      <c r="AL210" s="105"/>
      <c r="AM210" s="105"/>
      <c r="AN210" s="105"/>
      <c r="AO210" s="105"/>
      <c r="AP210" s="105"/>
      <c r="AQ210" s="105"/>
      <c r="AR210" s="105"/>
    </row>
    <row r="211" spans="1:44" x14ac:dyDescent="0.3">
      <c r="A211" s="105"/>
      <c r="B211" s="870" t="s">
        <v>71</v>
      </c>
      <c r="C211" s="886"/>
      <c r="D211" s="870"/>
      <c r="E211" s="870"/>
      <c r="F211" s="903"/>
      <c r="G211" s="889"/>
      <c r="H211" s="17"/>
      <c r="I211" s="77"/>
      <c r="J211" s="605"/>
      <c r="Z211" s="105"/>
      <c r="AA211" s="105"/>
      <c r="AB211" s="105"/>
      <c r="AC211" s="105"/>
      <c r="AD211" s="105"/>
      <c r="AE211" s="105"/>
      <c r="AF211" s="105"/>
      <c r="AG211" s="105"/>
      <c r="AH211" s="105"/>
      <c r="AI211" s="105"/>
      <c r="AJ211" s="105"/>
      <c r="AK211" s="105"/>
      <c r="AL211" s="105"/>
      <c r="AM211" s="105"/>
      <c r="AN211" s="105"/>
      <c r="AO211" s="105"/>
      <c r="AP211" s="105"/>
      <c r="AQ211" s="105"/>
      <c r="AR211" s="105"/>
    </row>
    <row r="212" spans="1:44" ht="106.5" customHeight="1" x14ac:dyDescent="0.3">
      <c r="A212" s="105">
        <v>512</v>
      </c>
      <c r="B212" s="589"/>
      <c r="C212" s="859" t="s">
        <v>165</v>
      </c>
      <c r="D212" s="24" t="s">
        <v>1514</v>
      </c>
      <c r="E212" s="699" t="e">
        <f>HLOOKUP($D$2,'2020 Data(H)'!$C$1:$CZ$428,162,FALSE)</f>
        <v>#N/A</v>
      </c>
      <c r="F212" s="300">
        <v>0</v>
      </c>
      <c r="G212" s="759">
        <f>IF(F212&lt;0,"Error: Enter as positive.",)</f>
        <v>0</v>
      </c>
      <c r="H212" s="17"/>
      <c r="I212" s="77"/>
      <c r="J212" s="605"/>
      <c r="Z212" s="105"/>
      <c r="AA212" s="105"/>
      <c r="AB212" s="105"/>
      <c r="AC212" s="105"/>
      <c r="AD212" s="105"/>
      <c r="AE212" s="105"/>
      <c r="AF212" s="105"/>
      <c r="AG212" s="105"/>
      <c r="AH212" s="105"/>
      <c r="AI212" s="105"/>
      <c r="AJ212" s="105"/>
      <c r="AK212" s="105"/>
      <c r="AL212" s="105"/>
      <c r="AM212" s="105"/>
      <c r="AN212" s="105"/>
      <c r="AO212" s="105"/>
      <c r="AP212" s="105"/>
      <c r="AQ212" s="105"/>
      <c r="AR212" s="105"/>
    </row>
    <row r="213" spans="1:44" x14ac:dyDescent="0.3">
      <c r="A213" s="105"/>
      <c r="B213" s="894" t="s">
        <v>812</v>
      </c>
      <c r="C213" s="895"/>
      <c r="D213" s="897"/>
      <c r="E213" s="904"/>
      <c r="F213" s="903"/>
      <c r="G213" s="889"/>
      <c r="H213" s="760"/>
      <c r="I213" s="761"/>
      <c r="Z213" s="105"/>
      <c r="AA213" s="105"/>
      <c r="AB213" s="105"/>
      <c r="AC213" s="105"/>
      <c r="AD213" s="105"/>
      <c r="AE213" s="105"/>
      <c r="AF213" s="105"/>
      <c r="AG213" s="105"/>
      <c r="AH213" s="105"/>
      <c r="AI213" s="105"/>
      <c r="AJ213" s="105"/>
      <c r="AK213" s="105"/>
      <c r="AL213" s="105"/>
      <c r="AM213" s="105"/>
      <c r="AN213" s="105"/>
      <c r="AO213" s="105"/>
      <c r="AP213" s="105"/>
      <c r="AQ213" s="105"/>
      <c r="AR213" s="105"/>
    </row>
    <row r="214" spans="1:44" ht="59.25" customHeight="1" x14ac:dyDescent="0.3">
      <c r="A214" s="314">
        <v>656</v>
      </c>
      <c r="B214" s="314"/>
      <c r="C214" s="314"/>
      <c r="D214" s="784" t="s">
        <v>813</v>
      </c>
      <c r="E214" s="699" t="e">
        <f>HLOOKUP($D$2,'2020 Data(H)'!$C$1:$CZ$428,309,FALSE)</f>
        <v>#N/A</v>
      </c>
      <c r="F214" s="300">
        <v>0</v>
      </c>
      <c r="G214" s="759"/>
      <c r="H214" s="17"/>
      <c r="I214" s="77"/>
      <c r="J214" s="605"/>
      <c r="Z214" s="314"/>
      <c r="AA214" s="314"/>
      <c r="AB214" s="314"/>
      <c r="AC214" s="314"/>
      <c r="AD214" s="314"/>
      <c r="AE214" s="314"/>
      <c r="AF214" s="314"/>
      <c r="AG214" s="314"/>
      <c r="AH214" s="314"/>
      <c r="AI214" s="314"/>
      <c r="AJ214" s="314"/>
      <c r="AK214" s="314"/>
      <c r="AL214" s="314"/>
      <c r="AM214" s="314"/>
      <c r="AN214" s="314"/>
      <c r="AO214" s="314"/>
      <c r="AP214" s="314"/>
      <c r="AQ214" s="314"/>
      <c r="AR214" s="314"/>
    </row>
    <row r="215" spans="1:44" x14ac:dyDescent="0.3">
      <c r="A215" s="105"/>
      <c r="B215" s="894" t="s">
        <v>530</v>
      </c>
      <c r="C215" s="895"/>
      <c r="D215" s="897"/>
      <c r="E215" s="904"/>
      <c r="F215" s="903"/>
      <c r="G215" s="889"/>
      <c r="H215" s="760"/>
      <c r="I215" s="761"/>
      <c r="Z215" s="105"/>
      <c r="AA215" s="105"/>
      <c r="AB215" s="105"/>
      <c r="AC215" s="105"/>
      <c r="AD215" s="105"/>
      <c r="AE215" s="105"/>
      <c r="AF215" s="105"/>
      <c r="AG215" s="105"/>
      <c r="AH215" s="105"/>
      <c r="AI215" s="105"/>
      <c r="AJ215" s="105"/>
      <c r="AK215" s="105"/>
      <c r="AL215" s="105"/>
      <c r="AM215" s="105"/>
      <c r="AN215" s="105"/>
      <c r="AO215" s="105"/>
      <c r="AP215" s="105"/>
      <c r="AQ215" s="105"/>
      <c r="AR215" s="105"/>
    </row>
    <row r="216" spans="1:44" ht="121.5" customHeight="1" x14ac:dyDescent="0.3">
      <c r="A216" s="105">
        <v>535</v>
      </c>
      <c r="B216" s="701" t="s">
        <v>55</v>
      </c>
      <c r="C216" s="701" t="s">
        <v>166</v>
      </c>
      <c r="D216" s="24" t="s">
        <v>1515</v>
      </c>
      <c r="E216" s="699" t="e">
        <f>HLOOKUP($D$2,'2020 Data(H)'!$C$1:$CZ$428,185,FALSE)</f>
        <v>#N/A</v>
      </c>
      <c r="F216" s="300">
        <v>0</v>
      </c>
      <c r="G216" s="759" t="str">
        <f>IF(F216&lt;1,"Reminder: Please make sure you have entered all cash and investments from bond/Debt proceeds, if applicable.",)</f>
        <v>Reminder: Please make sure you have entered all cash and investments from bond/Debt proceeds, if applicable.</v>
      </c>
      <c r="H216" s="760"/>
      <c r="I216" s="761"/>
      <c r="Z216" s="105"/>
      <c r="AA216" s="105"/>
      <c r="AB216" s="105"/>
      <c r="AC216" s="105"/>
      <c r="AD216" s="105"/>
      <c r="AE216" s="105"/>
      <c r="AF216" s="105"/>
      <c r="AG216" s="105"/>
      <c r="AH216" s="105"/>
      <c r="AI216" s="105"/>
      <c r="AJ216" s="105"/>
      <c r="AK216" s="105"/>
      <c r="AL216" s="105"/>
      <c r="AM216" s="105"/>
      <c r="AN216" s="105"/>
      <c r="AO216" s="105"/>
      <c r="AP216" s="105"/>
      <c r="AQ216" s="105"/>
      <c r="AR216" s="105"/>
    </row>
    <row r="217" spans="1:44" x14ac:dyDescent="0.3">
      <c r="A217" s="105"/>
      <c r="B217" s="894" t="s">
        <v>29</v>
      </c>
      <c r="C217" s="895"/>
      <c r="D217" s="871"/>
      <c r="E217" s="871"/>
      <c r="F217" s="900"/>
      <c r="G217" s="891"/>
      <c r="H217" s="17"/>
      <c r="I217" s="77"/>
      <c r="Z217" s="105"/>
      <c r="AA217" s="105"/>
      <c r="AB217" s="105"/>
      <c r="AC217" s="105"/>
      <c r="AD217" s="105"/>
      <c r="AE217" s="105"/>
      <c r="AF217" s="105"/>
      <c r="AG217" s="105"/>
      <c r="AH217" s="105"/>
      <c r="AI217" s="105"/>
      <c r="AJ217" s="105"/>
      <c r="AK217" s="105"/>
      <c r="AL217" s="105"/>
      <c r="AM217" s="105"/>
      <c r="AN217" s="105"/>
      <c r="AO217" s="105"/>
      <c r="AP217" s="105"/>
      <c r="AQ217" s="105"/>
      <c r="AR217" s="105"/>
    </row>
    <row r="218" spans="1:44" x14ac:dyDescent="0.3">
      <c r="A218" s="105"/>
      <c r="B218" s="589"/>
      <c r="C218" s="589"/>
      <c r="D218" s="785" t="s">
        <v>2</v>
      </c>
      <c r="E218" s="1"/>
      <c r="F218" s="161"/>
      <c r="G218" s="769"/>
      <c r="H218" s="17"/>
      <c r="I218" s="77"/>
      <c r="Z218" s="105"/>
      <c r="AA218" s="105"/>
      <c r="AB218" s="105"/>
      <c r="AC218" s="105"/>
      <c r="AD218" s="105"/>
      <c r="AE218" s="105"/>
      <c r="AF218" s="105"/>
      <c r="AG218" s="105"/>
      <c r="AH218" s="105"/>
      <c r="AI218" s="105"/>
      <c r="AJ218" s="105"/>
      <c r="AK218" s="105"/>
      <c r="AL218" s="105"/>
      <c r="AM218" s="105"/>
      <c r="AN218" s="105"/>
      <c r="AO218" s="105"/>
      <c r="AP218" s="105"/>
      <c r="AQ218" s="105"/>
      <c r="AR218" s="105"/>
    </row>
    <row r="219" spans="1:44" ht="36" customHeight="1" x14ac:dyDescent="0.3">
      <c r="A219" s="105"/>
      <c r="B219" s="589"/>
      <c r="C219" s="589"/>
      <c r="D219" s="700" t="s">
        <v>1516</v>
      </c>
      <c r="E219" s="1"/>
      <c r="F219" s="161"/>
      <c r="G219" s="769"/>
      <c r="H219" s="17"/>
      <c r="I219" s="77"/>
      <c r="Z219" s="105"/>
      <c r="AA219" s="105"/>
      <c r="AB219" s="105"/>
      <c r="AC219" s="105"/>
      <c r="AD219" s="105"/>
      <c r="AE219" s="105"/>
      <c r="AF219" s="105"/>
      <c r="AG219" s="105"/>
      <c r="AH219" s="105"/>
      <c r="AI219" s="105"/>
      <c r="AJ219" s="105"/>
      <c r="AK219" s="105"/>
      <c r="AL219" s="105"/>
      <c r="AM219" s="105"/>
      <c r="AN219" s="105"/>
      <c r="AO219" s="105"/>
      <c r="AP219" s="105"/>
      <c r="AQ219" s="105"/>
      <c r="AR219" s="105"/>
    </row>
    <row r="220" spans="1:44" ht="45.6" customHeight="1" x14ac:dyDescent="0.3">
      <c r="A220" s="105">
        <v>334</v>
      </c>
      <c r="B220" s="4" t="s">
        <v>56</v>
      </c>
      <c r="C220" s="4" t="s">
        <v>173</v>
      </c>
      <c r="D220" s="24" t="s">
        <v>1517</v>
      </c>
      <c r="E220" s="699" t="e">
        <f>HLOOKUP($D$2,'2020 Data(H)'!$C$1:$CZ$428,100,FALSE)</f>
        <v>#N/A</v>
      </c>
      <c r="F220" s="300">
        <v>0</v>
      </c>
      <c r="G220" s="769"/>
      <c r="H220" s="17"/>
      <c r="I220" s="77"/>
      <c r="Z220" s="105"/>
      <c r="AA220" s="105"/>
      <c r="AB220" s="105"/>
      <c r="AC220" s="105"/>
      <c r="AD220" s="105"/>
      <c r="AE220" s="105"/>
      <c r="AF220" s="105"/>
      <c r="AG220" s="105"/>
      <c r="AH220" s="105"/>
      <c r="AI220" s="105"/>
      <c r="AJ220" s="105"/>
      <c r="AK220" s="105"/>
      <c r="AL220" s="105"/>
      <c r="AM220" s="105"/>
      <c r="AN220" s="105"/>
      <c r="AO220" s="105"/>
      <c r="AP220" s="105"/>
      <c r="AQ220" s="105"/>
      <c r="AR220" s="105"/>
    </row>
    <row r="221" spans="1:44" ht="45.6" customHeight="1" x14ac:dyDescent="0.3">
      <c r="A221" s="105">
        <v>373</v>
      </c>
      <c r="B221" s="4" t="s">
        <v>56</v>
      </c>
      <c r="C221" s="4" t="s">
        <v>173</v>
      </c>
      <c r="D221" s="29" t="s">
        <v>172</v>
      </c>
      <c r="E221" s="699" t="e">
        <f>HLOOKUP($D$2,'2020 Data(H)'!$C$1:$CZ$428,133,FALSE)</f>
        <v>#N/A</v>
      </c>
      <c r="F221" s="300">
        <v>0</v>
      </c>
      <c r="G221" s="759">
        <f>IF(F221&lt;0,"Error: Enter as positive.",)</f>
        <v>0</v>
      </c>
      <c r="H221" s="17"/>
      <c r="I221" s="77"/>
      <c r="Z221" s="105"/>
      <c r="AA221" s="105"/>
      <c r="AB221" s="105"/>
      <c r="AC221" s="105"/>
      <c r="AD221" s="105"/>
      <c r="AE221" s="105"/>
      <c r="AF221" s="105"/>
      <c r="AG221" s="105"/>
      <c r="AH221" s="105"/>
      <c r="AI221" s="105"/>
      <c r="AJ221" s="105"/>
      <c r="AK221" s="105"/>
      <c r="AL221" s="105"/>
      <c r="AM221" s="105"/>
      <c r="AN221" s="105"/>
      <c r="AO221" s="105"/>
      <c r="AP221" s="105"/>
      <c r="AQ221" s="105"/>
      <c r="AR221" s="105"/>
    </row>
    <row r="222" spans="1:44" ht="92.25" customHeight="1" x14ac:dyDescent="0.3">
      <c r="A222" s="105">
        <v>987</v>
      </c>
      <c r="B222" s="858" t="s">
        <v>1046</v>
      </c>
      <c r="C222" s="858"/>
      <c r="D222" s="786" t="s">
        <v>1307</v>
      </c>
      <c r="E222" s="699" t="s">
        <v>1047</v>
      </c>
      <c r="F222" s="300">
        <v>0</v>
      </c>
      <c r="G222" s="787" t="str">
        <f>IF(F222="","If this question is not applicable please place a zero in the cell to the left","")</f>
        <v/>
      </c>
      <c r="H222" s="738"/>
      <c r="I222" s="77"/>
      <c r="Z222" s="105"/>
      <c r="AA222" s="105"/>
      <c r="AB222" s="105"/>
      <c r="AC222" s="105"/>
      <c r="AD222" s="105"/>
      <c r="AE222" s="105"/>
      <c r="AF222" s="105"/>
      <c r="AG222" s="105"/>
      <c r="AH222" s="105"/>
      <c r="AI222" s="105"/>
      <c r="AJ222" s="105"/>
      <c r="AK222" s="105"/>
      <c r="AL222" s="105"/>
      <c r="AM222" s="105"/>
      <c r="AN222" s="105"/>
      <c r="AO222" s="105"/>
      <c r="AP222" s="105"/>
      <c r="AQ222" s="105"/>
      <c r="AR222" s="105"/>
    </row>
    <row r="223" spans="1:44" ht="66.75" customHeight="1" x14ac:dyDescent="0.3">
      <c r="A223" s="105">
        <v>988</v>
      </c>
      <c r="B223" s="858" t="s">
        <v>1046</v>
      </c>
      <c r="C223" s="858"/>
      <c r="D223" s="786" t="s">
        <v>1304</v>
      </c>
      <c r="E223" s="699" t="s">
        <v>1047</v>
      </c>
      <c r="F223" s="300"/>
      <c r="G223" s="759"/>
      <c r="H223" s="17"/>
      <c r="I223" s="77"/>
      <c r="Z223" s="105"/>
      <c r="AA223" s="105"/>
      <c r="AB223" s="105"/>
      <c r="AC223" s="105"/>
      <c r="AD223" s="105"/>
      <c r="AE223" s="105"/>
      <c r="AF223" s="105"/>
      <c r="AG223" s="105"/>
      <c r="AH223" s="105"/>
      <c r="AI223" s="105"/>
      <c r="AJ223" s="105"/>
      <c r="AK223" s="105"/>
      <c r="AL223" s="105"/>
      <c r="AM223" s="105"/>
      <c r="AN223" s="105"/>
      <c r="AO223" s="105"/>
      <c r="AP223" s="105"/>
      <c r="AQ223" s="105"/>
      <c r="AR223" s="105"/>
    </row>
    <row r="224" spans="1:44" ht="90" customHeight="1" x14ac:dyDescent="0.3">
      <c r="A224" s="105">
        <v>989</v>
      </c>
      <c r="B224" s="858" t="s">
        <v>1046</v>
      </c>
      <c r="C224" s="858"/>
      <c r="D224" s="786" t="s">
        <v>1572</v>
      </c>
      <c r="E224" s="699" t="s">
        <v>1081</v>
      </c>
      <c r="F224" s="300"/>
      <c r="G224" s="759"/>
      <c r="H224" s="17"/>
      <c r="I224" s="77"/>
      <c r="Z224" s="105"/>
      <c r="AA224" s="105"/>
      <c r="AB224" s="105"/>
      <c r="AC224" s="105"/>
      <c r="AD224" s="105"/>
      <c r="AE224" s="105"/>
      <c r="AF224" s="105"/>
      <c r="AG224" s="105"/>
      <c r="AH224" s="105"/>
      <c r="AI224" s="105"/>
      <c r="AJ224" s="105"/>
      <c r="AK224" s="105"/>
      <c r="AL224" s="105"/>
      <c r="AM224" s="105"/>
      <c r="AN224" s="105"/>
      <c r="AO224" s="105"/>
      <c r="AP224" s="105"/>
      <c r="AQ224" s="105"/>
      <c r="AR224" s="105"/>
    </row>
    <row r="225" spans="1:44" x14ac:dyDescent="0.3">
      <c r="A225" s="105"/>
      <c r="B225" s="905"/>
      <c r="C225" s="905"/>
      <c r="D225" s="906"/>
      <c r="E225" s="907"/>
      <c r="F225" s="908"/>
      <c r="G225" s="909"/>
      <c r="H225" s="17"/>
      <c r="I225" s="77"/>
      <c r="Z225" s="105"/>
      <c r="AA225" s="105"/>
      <c r="AB225" s="105"/>
      <c r="AC225" s="105"/>
      <c r="AD225" s="105"/>
      <c r="AE225" s="105"/>
      <c r="AF225" s="105"/>
      <c r="AG225" s="105"/>
      <c r="AH225" s="105"/>
      <c r="AI225" s="105"/>
      <c r="AJ225" s="105"/>
      <c r="AK225" s="105"/>
      <c r="AL225" s="105"/>
      <c r="AM225" s="105"/>
      <c r="AN225" s="105"/>
      <c r="AO225" s="105"/>
      <c r="AP225" s="105"/>
      <c r="AQ225" s="105"/>
      <c r="AR225" s="105"/>
    </row>
    <row r="226" spans="1:44" ht="108" customHeight="1" x14ac:dyDescent="0.3">
      <c r="A226" s="105"/>
      <c r="B226" s="589"/>
      <c r="C226" s="589"/>
      <c r="D226" s="788" t="s">
        <v>1518</v>
      </c>
      <c r="E226" s="1"/>
      <c r="F226" s="381"/>
      <c r="G226" s="769"/>
      <c r="H226" s="17"/>
      <c r="I226" s="77"/>
      <c r="Z226" s="105"/>
      <c r="AA226" s="105"/>
      <c r="AB226" s="105"/>
      <c r="AC226" s="105"/>
      <c r="AD226" s="105"/>
      <c r="AE226" s="105"/>
      <c r="AF226" s="105"/>
      <c r="AG226" s="105"/>
      <c r="AH226" s="105"/>
      <c r="AI226" s="105"/>
      <c r="AJ226" s="105"/>
      <c r="AK226" s="105"/>
      <c r="AL226" s="105"/>
      <c r="AM226" s="105"/>
      <c r="AN226" s="105"/>
      <c r="AO226" s="105"/>
      <c r="AP226" s="105"/>
      <c r="AQ226" s="105"/>
      <c r="AR226" s="105"/>
    </row>
    <row r="227" spans="1:44" ht="48.75" customHeight="1" x14ac:dyDescent="0.3">
      <c r="A227" s="105"/>
      <c r="B227" s="589"/>
      <c r="C227" s="589"/>
      <c r="D227" s="24" t="s">
        <v>1519</v>
      </c>
      <c r="E227" s="1"/>
      <c r="F227" s="381"/>
      <c r="G227" s="769"/>
      <c r="H227" s="17"/>
      <c r="I227" s="77"/>
      <c r="Z227" s="105"/>
      <c r="AA227" s="105"/>
      <c r="AB227" s="105"/>
      <c r="AC227" s="105"/>
      <c r="AD227" s="105"/>
      <c r="AE227" s="105"/>
      <c r="AF227" s="105"/>
      <c r="AG227" s="105"/>
      <c r="AH227" s="105"/>
      <c r="AI227" s="105"/>
      <c r="AJ227" s="105"/>
      <c r="AK227" s="105"/>
      <c r="AL227" s="105"/>
      <c r="AM227" s="105"/>
      <c r="AN227" s="105"/>
      <c r="AO227" s="105"/>
      <c r="AP227" s="105"/>
      <c r="AQ227" s="105"/>
      <c r="AR227" s="105"/>
    </row>
    <row r="228" spans="1:44" ht="51.75" customHeight="1" x14ac:dyDescent="0.3">
      <c r="A228" s="105">
        <v>327</v>
      </c>
      <c r="B228" s="701" t="s">
        <v>37</v>
      </c>
      <c r="C228" s="701" t="s">
        <v>174</v>
      </c>
      <c r="D228" s="789" t="s">
        <v>1520</v>
      </c>
      <c r="E228" s="699" t="e">
        <f>HLOOKUP($D$2,'2020 Data(H)'!$C$1:$CZ$428,94,FALSE)</f>
        <v>#N/A</v>
      </c>
      <c r="F228" s="271">
        <v>0</v>
      </c>
      <c r="G228" s="769"/>
      <c r="H228" s="17"/>
      <c r="I228" s="761"/>
      <c r="Z228" s="105"/>
      <c r="AA228" s="105"/>
      <c r="AB228" s="105"/>
      <c r="AC228" s="105"/>
      <c r="AD228" s="105"/>
      <c r="AE228" s="105"/>
      <c r="AF228" s="105"/>
      <c r="AG228" s="105"/>
      <c r="AH228" s="105"/>
      <c r="AI228" s="105"/>
      <c r="AJ228" s="105"/>
      <c r="AK228" s="105"/>
      <c r="AL228" s="105"/>
      <c r="AM228" s="105"/>
      <c r="AN228" s="105"/>
      <c r="AO228" s="105"/>
      <c r="AP228" s="105"/>
      <c r="AQ228" s="105"/>
      <c r="AR228" s="105"/>
    </row>
    <row r="229" spans="1:44" ht="51.75" customHeight="1" x14ac:dyDescent="0.3">
      <c r="A229" s="105">
        <v>328</v>
      </c>
      <c r="B229" s="701" t="s">
        <v>37</v>
      </c>
      <c r="C229" s="701" t="s">
        <v>174</v>
      </c>
      <c r="D229" s="30" t="s">
        <v>7</v>
      </c>
      <c r="E229" s="699" t="e">
        <f>HLOOKUP($D$2,'2020 Data(H)'!$C$1:$CZ$428,95,FALSE)</f>
        <v>#N/A</v>
      </c>
      <c r="F229" s="271">
        <v>0</v>
      </c>
      <c r="G229" s="769"/>
      <c r="H229" s="17"/>
      <c r="I229" s="761"/>
      <c r="Z229" s="105"/>
      <c r="AA229" s="105"/>
      <c r="AB229" s="105"/>
      <c r="AC229" s="105"/>
      <c r="AD229" s="105"/>
      <c r="AE229" s="105"/>
      <c r="AF229" s="105"/>
      <c r="AG229" s="105"/>
      <c r="AH229" s="105"/>
      <c r="AI229" s="105"/>
      <c r="AJ229" s="105"/>
      <c r="AK229" s="105"/>
      <c r="AL229" s="105"/>
      <c r="AM229" s="105"/>
      <c r="AN229" s="105"/>
      <c r="AO229" s="105"/>
      <c r="AP229" s="105"/>
      <c r="AQ229" s="105"/>
      <c r="AR229" s="105"/>
    </row>
    <row r="230" spans="1:44" ht="42" customHeight="1" x14ac:dyDescent="0.3">
      <c r="A230" s="105"/>
      <c r="B230" s="589"/>
      <c r="C230" s="589"/>
      <c r="D230" s="31" t="s">
        <v>1521</v>
      </c>
      <c r="E230" s="98" t="e">
        <f>SUM(E228:E229)</f>
        <v>#N/A</v>
      </c>
      <c r="F230" s="98">
        <f>SUM(F228:F229)</f>
        <v>0</v>
      </c>
      <c r="G230" s="769"/>
      <c r="H230" s="17"/>
      <c r="I230" s="77"/>
      <c r="Z230" s="105"/>
      <c r="AA230" s="105"/>
      <c r="AB230" s="105"/>
      <c r="AC230" s="105"/>
      <c r="AD230" s="105"/>
      <c r="AE230" s="105"/>
      <c r="AF230" s="105"/>
      <c r="AG230" s="105"/>
      <c r="AH230" s="105"/>
      <c r="AI230" s="105"/>
      <c r="AJ230" s="105"/>
      <c r="AK230" s="105"/>
      <c r="AL230" s="105"/>
      <c r="AM230" s="105"/>
      <c r="AN230" s="105"/>
      <c r="AO230" s="105"/>
      <c r="AP230" s="105"/>
      <c r="AQ230" s="105"/>
      <c r="AR230" s="105"/>
    </row>
    <row r="231" spans="1:44" ht="28.8" x14ac:dyDescent="0.3">
      <c r="A231" s="105"/>
      <c r="B231" s="589"/>
      <c r="C231" s="589"/>
      <c r="D231" s="24" t="s">
        <v>1522</v>
      </c>
      <c r="E231" s="1"/>
      <c r="F231" s="381"/>
      <c r="G231" s="769"/>
      <c r="H231" s="17"/>
      <c r="I231" s="77"/>
      <c r="Z231" s="105"/>
      <c r="AA231" s="105"/>
      <c r="AB231" s="105"/>
      <c r="AC231" s="105"/>
      <c r="AD231" s="105"/>
      <c r="AE231" s="105"/>
      <c r="AF231" s="105"/>
      <c r="AG231" s="105"/>
      <c r="AH231" s="105"/>
      <c r="AI231" s="105"/>
      <c r="AJ231" s="105"/>
      <c r="AK231" s="105"/>
      <c r="AL231" s="105"/>
      <c r="AM231" s="105"/>
      <c r="AN231" s="105"/>
      <c r="AO231" s="105"/>
      <c r="AP231" s="105"/>
      <c r="AQ231" s="105"/>
      <c r="AR231" s="105"/>
    </row>
    <row r="232" spans="1:44" ht="24" customHeight="1" x14ac:dyDescent="0.3">
      <c r="A232" s="105"/>
      <c r="B232" s="589"/>
      <c r="C232" s="589"/>
      <c r="D232" s="28" t="s">
        <v>9</v>
      </c>
      <c r="F232" s="790"/>
      <c r="G232" s="769"/>
      <c r="H232" s="17"/>
      <c r="I232" s="77"/>
      <c r="Z232" s="105"/>
      <c r="AA232" s="105"/>
      <c r="AB232" s="105"/>
      <c r="AC232" s="105"/>
      <c r="AD232" s="105"/>
      <c r="AE232" s="105"/>
      <c r="AF232" s="105"/>
      <c r="AG232" s="105"/>
      <c r="AH232" s="105"/>
      <c r="AI232" s="105"/>
      <c r="AJ232" s="105"/>
      <c r="AK232" s="105"/>
      <c r="AL232" s="105"/>
      <c r="AM232" s="105"/>
      <c r="AN232" s="105"/>
      <c r="AO232" s="105"/>
      <c r="AP232" s="105"/>
      <c r="AQ232" s="105"/>
      <c r="AR232" s="105"/>
    </row>
    <row r="233" spans="1:44" ht="52.5" customHeight="1" x14ac:dyDescent="0.3">
      <c r="A233" s="105">
        <v>515</v>
      </c>
      <c r="B233" s="701" t="s">
        <v>526</v>
      </c>
      <c r="C233" s="701" t="s">
        <v>175</v>
      </c>
      <c r="D233" s="32" t="s">
        <v>3</v>
      </c>
      <c r="E233" s="699" t="e">
        <f>HLOOKUP($D$2,'2020 Data(H)'!$C$1:$CZ$428,165,FALSE)</f>
        <v>#N/A</v>
      </c>
      <c r="F233" s="300">
        <v>0</v>
      </c>
      <c r="G233" s="759"/>
      <c r="H233" s="17"/>
      <c r="I233" s="77"/>
      <c r="Z233" s="105"/>
      <c r="AA233" s="105"/>
      <c r="AB233" s="105"/>
      <c r="AC233" s="105"/>
      <c r="AD233" s="105"/>
      <c r="AE233" s="105"/>
      <c r="AF233" s="105"/>
      <c r="AG233" s="105"/>
      <c r="AH233" s="105"/>
      <c r="AI233" s="105"/>
      <c r="AJ233" s="105"/>
      <c r="AK233" s="105"/>
      <c r="AL233" s="105"/>
      <c r="AM233" s="105"/>
      <c r="AN233" s="105"/>
      <c r="AO233" s="105"/>
      <c r="AP233" s="105"/>
      <c r="AQ233" s="105"/>
      <c r="AR233" s="105"/>
    </row>
    <row r="234" spans="1:44" ht="57" customHeight="1" x14ac:dyDescent="0.3">
      <c r="A234" s="105">
        <v>516</v>
      </c>
      <c r="B234" s="701" t="s">
        <v>526</v>
      </c>
      <c r="C234" s="701" t="s">
        <v>175</v>
      </c>
      <c r="D234" s="32" t="s">
        <v>4</v>
      </c>
      <c r="E234" s="699" t="e">
        <f>HLOOKUP($D$2,'2020 Data(H)'!$C$1:$CZ$428,166,FALSE)</f>
        <v>#N/A</v>
      </c>
      <c r="F234" s="300">
        <v>0</v>
      </c>
      <c r="G234" s="759"/>
      <c r="H234" s="17"/>
      <c r="I234" s="77"/>
      <c r="Z234" s="105"/>
      <c r="AA234" s="105"/>
      <c r="AB234" s="105"/>
      <c r="AC234" s="105"/>
      <c r="AD234" s="105"/>
      <c r="AE234" s="105"/>
      <c r="AF234" s="105"/>
      <c r="AG234" s="105"/>
      <c r="AH234" s="105"/>
      <c r="AI234" s="105"/>
      <c r="AJ234" s="105"/>
      <c r="AK234" s="105"/>
      <c r="AL234" s="105"/>
      <c r="AM234" s="105"/>
      <c r="AN234" s="105"/>
      <c r="AO234" s="105"/>
      <c r="AP234" s="105"/>
      <c r="AQ234" s="105"/>
      <c r="AR234" s="105"/>
    </row>
    <row r="235" spans="1:44" ht="60.75" customHeight="1" x14ac:dyDescent="0.3">
      <c r="A235" s="105">
        <v>517</v>
      </c>
      <c r="B235" s="701" t="s">
        <v>526</v>
      </c>
      <c r="C235" s="701" t="s">
        <v>175</v>
      </c>
      <c r="D235" s="32" t="s">
        <v>5</v>
      </c>
      <c r="E235" s="699" t="e">
        <f>HLOOKUP($D$2,'2020 Data(H)'!$C$1:$CZ$428,167,FALSE)</f>
        <v>#N/A</v>
      </c>
      <c r="F235" s="300">
        <v>0</v>
      </c>
      <c r="G235" s="759"/>
      <c r="H235" s="17"/>
      <c r="I235" s="77"/>
      <c r="Z235" s="105"/>
      <c r="AA235" s="105"/>
      <c r="AB235" s="105"/>
      <c r="AC235" s="105"/>
      <c r="AD235" s="105"/>
      <c r="AE235" s="105"/>
      <c r="AF235" s="105"/>
      <c r="AG235" s="105"/>
      <c r="AH235" s="105"/>
      <c r="AI235" s="105"/>
      <c r="AJ235" s="105"/>
      <c r="AK235" s="105"/>
      <c r="AL235" s="105"/>
      <c r="AM235" s="105"/>
      <c r="AN235" s="105"/>
      <c r="AO235" s="105"/>
      <c r="AP235" s="105"/>
      <c r="AQ235" s="105"/>
      <c r="AR235" s="105"/>
    </row>
    <row r="236" spans="1:44" ht="66" customHeight="1" x14ac:dyDescent="0.3">
      <c r="A236" s="105">
        <v>518</v>
      </c>
      <c r="B236" s="701" t="s">
        <v>526</v>
      </c>
      <c r="C236" s="701" t="s">
        <v>175</v>
      </c>
      <c r="D236" s="32" t="s">
        <v>39</v>
      </c>
      <c r="E236" s="699" t="e">
        <f>HLOOKUP($D$2,'2020 Data(H)'!$C$1:$CZ$428,168,FALSE)</f>
        <v>#N/A</v>
      </c>
      <c r="F236" s="300">
        <v>0</v>
      </c>
      <c r="G236" s="759"/>
      <c r="H236" s="17"/>
      <c r="I236" s="77"/>
      <c r="Z236" s="105"/>
      <c r="AA236" s="105"/>
      <c r="AB236" s="105"/>
      <c r="AC236" s="105"/>
      <c r="AD236" s="105"/>
      <c r="AE236" s="105"/>
      <c r="AF236" s="105"/>
      <c r="AG236" s="105"/>
      <c r="AH236" s="105"/>
      <c r="AI236" s="105"/>
      <c r="AJ236" s="105"/>
      <c r="AK236" s="105"/>
      <c r="AL236" s="105"/>
      <c r="AM236" s="105"/>
      <c r="AN236" s="105"/>
      <c r="AO236" s="105"/>
      <c r="AP236" s="105"/>
      <c r="AQ236" s="105"/>
      <c r="AR236" s="105"/>
    </row>
    <row r="237" spans="1:44" ht="51" customHeight="1" x14ac:dyDescent="0.3">
      <c r="A237" s="304"/>
      <c r="B237" s="589"/>
      <c r="C237" s="589"/>
      <c r="D237" s="791" t="s">
        <v>1523</v>
      </c>
      <c r="E237" s="98" t="e">
        <f>SUM(E233:E236)</f>
        <v>#N/A</v>
      </c>
      <c r="F237" s="98">
        <f>SUM(F233:F236)</f>
        <v>0</v>
      </c>
      <c r="G237" s="769"/>
      <c r="H237" s="17"/>
      <c r="I237" s="77"/>
      <c r="Z237" s="304"/>
      <c r="AA237" s="304"/>
      <c r="AB237" s="304"/>
      <c r="AC237" s="304"/>
      <c r="AD237" s="304"/>
      <c r="AE237" s="304"/>
      <c r="AF237" s="304"/>
      <c r="AG237" s="304"/>
      <c r="AH237" s="304"/>
      <c r="AI237" s="304"/>
      <c r="AJ237" s="304"/>
      <c r="AK237" s="304"/>
      <c r="AL237" s="304"/>
      <c r="AM237" s="304"/>
      <c r="AN237" s="304"/>
      <c r="AO237" s="304"/>
      <c r="AP237" s="304"/>
      <c r="AQ237" s="304"/>
      <c r="AR237" s="304"/>
    </row>
    <row r="238" spans="1:44" ht="30.75" customHeight="1" x14ac:dyDescent="0.3">
      <c r="A238" s="105"/>
      <c r="B238" s="589"/>
      <c r="C238" s="589"/>
      <c r="D238" s="28" t="s">
        <v>48</v>
      </c>
      <c r="E238" s="1"/>
      <c r="F238" s="381"/>
      <c r="G238" s="769"/>
      <c r="H238" s="17"/>
      <c r="I238" s="77"/>
      <c r="Z238" s="105"/>
      <c r="AA238" s="105"/>
      <c r="AB238" s="105"/>
      <c r="AC238" s="105"/>
      <c r="AD238" s="105"/>
      <c r="AE238" s="105"/>
      <c r="AF238" s="105"/>
      <c r="AG238" s="105"/>
      <c r="AH238" s="105"/>
      <c r="AI238" s="105"/>
      <c r="AJ238" s="105"/>
      <c r="AK238" s="105"/>
      <c r="AL238" s="105"/>
      <c r="AM238" s="105"/>
      <c r="AN238" s="105"/>
      <c r="AO238" s="105"/>
      <c r="AP238" s="105"/>
      <c r="AQ238" s="105"/>
      <c r="AR238" s="105"/>
    </row>
    <row r="239" spans="1:44" ht="63" customHeight="1" x14ac:dyDescent="0.3">
      <c r="A239" s="105">
        <v>519</v>
      </c>
      <c r="B239" s="701" t="s">
        <v>37</v>
      </c>
      <c r="C239" s="701" t="s">
        <v>176</v>
      </c>
      <c r="D239" s="32" t="s">
        <v>14</v>
      </c>
      <c r="E239" s="699" t="e">
        <f>HLOOKUP($D$2,'2020 Data(H)'!$C$1:$CZ$428,169,FALSE)</f>
        <v>#N/A</v>
      </c>
      <c r="F239" s="300">
        <v>0</v>
      </c>
      <c r="G239" s="759">
        <f>IF(F239&lt;0,"Error: Enter as positive.",)</f>
        <v>0</v>
      </c>
      <c r="H239" s="17"/>
      <c r="I239" s="77"/>
      <c r="Z239" s="105"/>
      <c r="AA239" s="105"/>
      <c r="AB239" s="105"/>
      <c r="AC239" s="105"/>
      <c r="AD239" s="105"/>
      <c r="AE239" s="105"/>
      <c r="AF239" s="105"/>
      <c r="AG239" s="105"/>
      <c r="AH239" s="105"/>
      <c r="AI239" s="105"/>
      <c r="AJ239" s="105"/>
      <c r="AK239" s="105"/>
      <c r="AL239" s="105"/>
      <c r="AM239" s="105"/>
      <c r="AN239" s="105"/>
      <c r="AO239" s="105"/>
      <c r="AP239" s="105"/>
      <c r="AQ239" s="105"/>
      <c r="AR239" s="105"/>
    </row>
    <row r="240" spans="1:44" ht="69.75" customHeight="1" x14ac:dyDescent="0.3">
      <c r="A240" s="105">
        <v>520</v>
      </c>
      <c r="B240" s="701" t="s">
        <v>37</v>
      </c>
      <c r="C240" s="701" t="s">
        <v>176</v>
      </c>
      <c r="D240" s="32" t="s">
        <v>16</v>
      </c>
      <c r="E240" s="699" t="e">
        <f>HLOOKUP($D$2,'2020 Data(H)'!$C$1:$CZ$428,170,FALSE)</f>
        <v>#N/A</v>
      </c>
      <c r="F240" s="300">
        <v>0</v>
      </c>
      <c r="G240" s="759">
        <f>IF(F240&lt;0,"Error: Enter as positive.",)</f>
        <v>0</v>
      </c>
      <c r="H240" s="17"/>
      <c r="I240" s="77"/>
      <c r="Z240" s="105"/>
      <c r="AA240" s="105"/>
      <c r="AB240" s="105"/>
      <c r="AC240" s="105"/>
      <c r="AD240" s="105"/>
      <c r="AE240" s="105"/>
      <c r="AF240" s="105"/>
      <c r="AG240" s="105"/>
      <c r="AH240" s="105"/>
      <c r="AI240" s="105"/>
      <c r="AJ240" s="105"/>
      <c r="AK240" s="105"/>
      <c r="AL240" s="105"/>
      <c r="AM240" s="105"/>
      <c r="AN240" s="105"/>
      <c r="AO240" s="105"/>
      <c r="AP240" s="105"/>
      <c r="AQ240" s="105"/>
      <c r="AR240" s="105"/>
    </row>
    <row r="241" spans="1:44" ht="72" customHeight="1" x14ac:dyDescent="0.3">
      <c r="A241" s="105">
        <v>521</v>
      </c>
      <c r="B241" s="701" t="s">
        <v>37</v>
      </c>
      <c r="C241" s="701" t="s">
        <v>176</v>
      </c>
      <c r="D241" s="32" t="s">
        <v>18</v>
      </c>
      <c r="E241" s="699" t="e">
        <f>HLOOKUP($D$2,'2020 Data(H)'!$C$1:$CZ$428,171,FALSE)</f>
        <v>#N/A</v>
      </c>
      <c r="F241" s="300">
        <v>0</v>
      </c>
      <c r="G241" s="759">
        <f>IF(F241&lt;0,"Error: Enter as positive.",)</f>
        <v>0</v>
      </c>
      <c r="H241" s="17"/>
      <c r="I241" s="77"/>
      <c r="Z241" s="105"/>
      <c r="AA241" s="105"/>
      <c r="AB241" s="105"/>
      <c r="AC241" s="105"/>
      <c r="AD241" s="105"/>
      <c r="AE241" s="105"/>
      <c r="AF241" s="105"/>
      <c r="AG241" s="105"/>
      <c r="AH241" s="105"/>
      <c r="AI241" s="105"/>
      <c r="AJ241" s="105"/>
      <c r="AK241" s="105"/>
      <c r="AL241" s="105"/>
      <c r="AM241" s="105"/>
      <c r="AN241" s="105"/>
      <c r="AO241" s="105"/>
      <c r="AP241" s="105"/>
      <c r="AQ241" s="105"/>
      <c r="AR241" s="105"/>
    </row>
    <row r="242" spans="1:44" ht="74.25" customHeight="1" x14ac:dyDescent="0.3">
      <c r="A242" s="105">
        <v>522</v>
      </c>
      <c r="B242" s="701" t="s">
        <v>37</v>
      </c>
      <c r="C242" s="701" t="s">
        <v>176</v>
      </c>
      <c r="D242" s="32" t="s">
        <v>40</v>
      </c>
      <c r="E242" s="699" t="e">
        <f>HLOOKUP($D$2,'2020 Data(H)'!$C$1:$CZ$428,172,FALSE)</f>
        <v>#N/A</v>
      </c>
      <c r="F242" s="300">
        <v>0</v>
      </c>
      <c r="G242" s="759">
        <f>IF(F242&lt;0,"Error: Enter as positive.",)</f>
        <v>0</v>
      </c>
      <c r="H242" s="17"/>
      <c r="I242" s="77"/>
      <c r="Z242" s="105"/>
      <c r="AA242" s="105"/>
      <c r="AB242" s="105"/>
      <c r="AC242" s="105"/>
      <c r="AD242" s="105"/>
      <c r="AE242" s="105"/>
      <c r="AF242" s="105"/>
      <c r="AG242" s="105"/>
      <c r="AH242" s="105"/>
      <c r="AI242" s="105"/>
      <c r="AJ242" s="105"/>
      <c r="AK242" s="105"/>
      <c r="AL242" s="105"/>
      <c r="AM242" s="105"/>
      <c r="AN242" s="105"/>
      <c r="AO242" s="105"/>
      <c r="AP242" s="105"/>
      <c r="AQ242" s="105"/>
      <c r="AR242" s="105"/>
    </row>
    <row r="243" spans="1:44" ht="31.5" customHeight="1" x14ac:dyDescent="0.3">
      <c r="A243" s="6"/>
      <c r="B243" s="589"/>
      <c r="C243" s="589"/>
      <c r="D243" s="792" t="s">
        <v>34</v>
      </c>
      <c r="E243" s="98" t="e">
        <f>SUM(E239:E242)</f>
        <v>#N/A</v>
      </c>
      <c r="F243" s="98">
        <f>SUM(F239:F242)</f>
        <v>0</v>
      </c>
      <c r="G243" s="128"/>
      <c r="H243" s="17"/>
      <c r="I243" s="77"/>
      <c r="Z243" s="6"/>
      <c r="AA243" s="6"/>
      <c r="AB243" s="6"/>
      <c r="AC243" s="6"/>
      <c r="AD243" s="6"/>
      <c r="AE243" s="6"/>
      <c r="AF243" s="6"/>
      <c r="AG243" s="6"/>
      <c r="AH243" s="6"/>
      <c r="AI243" s="6"/>
      <c r="AJ243" s="6"/>
      <c r="AK243" s="6"/>
      <c r="AL243" s="6"/>
      <c r="AM243" s="6"/>
      <c r="AN243" s="6"/>
      <c r="AO243" s="6"/>
      <c r="AP243" s="6"/>
      <c r="AQ243" s="6"/>
      <c r="AR243" s="6"/>
    </row>
    <row r="244" spans="1:44" ht="26.25" customHeight="1" x14ac:dyDescent="0.3">
      <c r="A244" s="6"/>
      <c r="B244" s="589"/>
      <c r="C244" s="589"/>
      <c r="D244" s="28" t="s">
        <v>32</v>
      </c>
      <c r="E244" s="6"/>
      <c r="F244" s="793"/>
      <c r="G244" s="128"/>
      <c r="H244" s="17"/>
      <c r="I244" s="77"/>
      <c r="Z244" s="6"/>
      <c r="AA244" s="6"/>
      <c r="AB244" s="6"/>
      <c r="AC244" s="6"/>
      <c r="AD244" s="6"/>
      <c r="AE244" s="6"/>
      <c r="AF244" s="6"/>
      <c r="AG244" s="6"/>
      <c r="AH244" s="6"/>
      <c r="AI244" s="6"/>
      <c r="AJ244" s="6"/>
      <c r="AK244" s="6"/>
      <c r="AL244" s="6"/>
      <c r="AM244" s="6"/>
      <c r="AN244" s="6"/>
      <c r="AO244" s="6"/>
      <c r="AP244" s="6"/>
      <c r="AQ244" s="6"/>
      <c r="AR244" s="6"/>
    </row>
    <row r="245" spans="1:44" ht="89.25" customHeight="1" x14ac:dyDescent="0.3">
      <c r="A245" s="105">
        <v>523</v>
      </c>
      <c r="B245" s="701" t="s">
        <v>526</v>
      </c>
      <c r="C245" s="701" t="s">
        <v>177</v>
      </c>
      <c r="D245" s="32" t="s">
        <v>15</v>
      </c>
      <c r="E245" s="699" t="e">
        <f>HLOOKUP($D$2,'2020 Data(H)'!$C$1:$CZ$428,173,FALSE)</f>
        <v>#N/A</v>
      </c>
      <c r="F245" s="300">
        <v>0</v>
      </c>
      <c r="G245" s="759">
        <f>IF(F245&lt;0,"Error: Enter as positive.",)</f>
        <v>0</v>
      </c>
      <c r="H245" s="17"/>
      <c r="I245" s="77"/>
      <c r="Z245" s="105"/>
      <c r="AA245" s="105"/>
      <c r="AB245" s="105"/>
      <c r="AC245" s="105"/>
      <c r="AD245" s="105"/>
      <c r="AE245" s="105"/>
      <c r="AF245" s="105"/>
      <c r="AG245" s="105"/>
      <c r="AH245" s="105"/>
      <c r="AI245" s="105"/>
      <c r="AJ245" s="105"/>
      <c r="AK245" s="105"/>
      <c r="AL245" s="105"/>
      <c r="AM245" s="105"/>
      <c r="AN245" s="105"/>
      <c r="AO245" s="105"/>
      <c r="AP245" s="105"/>
      <c r="AQ245" s="105"/>
      <c r="AR245" s="105"/>
    </row>
    <row r="246" spans="1:44" ht="75" customHeight="1" x14ac:dyDescent="0.3">
      <c r="A246" s="105">
        <v>524</v>
      </c>
      <c r="B246" s="701" t="s">
        <v>526</v>
      </c>
      <c r="C246" s="701" t="s">
        <v>177</v>
      </c>
      <c r="D246" s="32" t="s">
        <v>17</v>
      </c>
      <c r="E246" s="699" t="e">
        <f>HLOOKUP($D$2,'2020 Data(H)'!$C$1:$CZ$428,174,FALSE)</f>
        <v>#N/A</v>
      </c>
      <c r="F246" s="300">
        <v>0</v>
      </c>
      <c r="G246" s="759">
        <f>IF(F246&lt;0,"Error: Enter as positive.",)</f>
        <v>0</v>
      </c>
      <c r="H246" s="17"/>
      <c r="I246" s="77"/>
      <c r="Z246" s="105"/>
      <c r="AA246" s="105"/>
      <c r="AB246" s="105"/>
      <c r="AC246" s="105"/>
      <c r="AD246" s="105"/>
      <c r="AE246" s="105"/>
      <c r="AF246" s="105"/>
      <c r="AG246" s="105"/>
      <c r="AH246" s="105"/>
      <c r="AI246" s="105"/>
      <c r="AJ246" s="105"/>
      <c r="AK246" s="105"/>
      <c r="AL246" s="105"/>
      <c r="AM246" s="105"/>
      <c r="AN246" s="105"/>
      <c r="AO246" s="105"/>
      <c r="AP246" s="105"/>
      <c r="AQ246" s="105"/>
      <c r="AR246" s="105"/>
    </row>
    <row r="247" spans="1:44" ht="75" customHeight="1" x14ac:dyDescent="0.3">
      <c r="A247" s="105">
        <v>525</v>
      </c>
      <c r="B247" s="701" t="s">
        <v>526</v>
      </c>
      <c r="C247" s="701" t="s">
        <v>177</v>
      </c>
      <c r="D247" s="32" t="s">
        <v>19</v>
      </c>
      <c r="E247" s="699" t="e">
        <f>HLOOKUP($D$2,'2020 Data(H)'!$C$1:$CZ$428,175,FALSE)</f>
        <v>#N/A</v>
      </c>
      <c r="F247" s="300">
        <v>0</v>
      </c>
      <c r="G247" s="759">
        <f>IF(F247&lt;0,"Error: Enter as positive.",)</f>
        <v>0</v>
      </c>
      <c r="H247" s="17"/>
      <c r="I247" s="77"/>
      <c r="Z247" s="105"/>
      <c r="AA247" s="105"/>
      <c r="AB247" s="105"/>
      <c r="AC247" s="105"/>
      <c r="AD247" s="105"/>
      <c r="AE247" s="105"/>
      <c r="AF247" s="105"/>
      <c r="AG247" s="105"/>
      <c r="AH247" s="105"/>
      <c r="AI247" s="105"/>
      <c r="AJ247" s="105"/>
      <c r="AK247" s="105"/>
      <c r="AL247" s="105"/>
      <c r="AM247" s="105"/>
      <c r="AN247" s="105"/>
      <c r="AO247" s="105"/>
      <c r="AP247" s="105"/>
      <c r="AQ247" s="105"/>
      <c r="AR247" s="105"/>
    </row>
    <row r="248" spans="1:44" ht="76.5" customHeight="1" x14ac:dyDescent="0.3">
      <c r="A248" s="105">
        <v>526</v>
      </c>
      <c r="B248" s="701" t="s">
        <v>526</v>
      </c>
      <c r="C248" s="701" t="s">
        <v>177</v>
      </c>
      <c r="D248" s="32" t="s">
        <v>41</v>
      </c>
      <c r="E248" s="699" t="e">
        <f>HLOOKUP($D$2,'2020 Data(H)'!$C$1:$CZ$428,176,FALSE)</f>
        <v>#N/A</v>
      </c>
      <c r="F248" s="300">
        <v>0</v>
      </c>
      <c r="G248" s="759">
        <f>IF(F248&lt;0,"Error: Enter as positive.",)</f>
        <v>0</v>
      </c>
      <c r="H248" s="17"/>
      <c r="I248" s="77"/>
      <c r="Z248" s="105"/>
      <c r="AA248" s="105"/>
      <c r="AB248" s="105"/>
      <c r="AC248" s="105"/>
      <c r="AD248" s="105"/>
      <c r="AE248" s="105"/>
      <c r="AF248" s="105"/>
      <c r="AG248" s="105"/>
      <c r="AH248" s="105"/>
      <c r="AI248" s="105"/>
      <c r="AJ248" s="105"/>
      <c r="AK248" s="105"/>
      <c r="AL248" s="105"/>
      <c r="AM248" s="105"/>
      <c r="AN248" s="105"/>
      <c r="AO248" s="105"/>
      <c r="AP248" s="105"/>
      <c r="AQ248" s="105"/>
      <c r="AR248" s="105"/>
    </row>
    <row r="249" spans="1:44" ht="24.75" customHeight="1" x14ac:dyDescent="0.3">
      <c r="A249" s="105"/>
      <c r="B249" s="860"/>
      <c r="C249" s="860"/>
      <c r="D249" s="792" t="s">
        <v>33</v>
      </c>
      <c r="E249" s="98" t="e">
        <f>SUM(E245:E248)</f>
        <v>#N/A</v>
      </c>
      <c r="F249" s="98">
        <f>SUM(F245:F248)</f>
        <v>0</v>
      </c>
      <c r="G249" s="769"/>
      <c r="H249" s="17"/>
      <c r="I249" s="77"/>
      <c r="Z249" s="105"/>
      <c r="AA249" s="105"/>
      <c r="AB249" s="105"/>
      <c r="AC249" s="105"/>
      <c r="AD249" s="105"/>
      <c r="AE249" s="105"/>
      <c r="AF249" s="105"/>
      <c r="AG249" s="105"/>
      <c r="AH249" s="105"/>
      <c r="AI249" s="105"/>
      <c r="AJ249" s="105"/>
      <c r="AK249" s="105"/>
      <c r="AL249" s="105"/>
      <c r="AM249" s="105"/>
      <c r="AN249" s="105"/>
      <c r="AO249" s="105"/>
      <c r="AP249" s="105"/>
      <c r="AQ249" s="105"/>
      <c r="AR249" s="105"/>
    </row>
    <row r="250" spans="1:44" ht="61.5" customHeight="1" x14ac:dyDescent="0.3">
      <c r="A250" s="105"/>
      <c r="B250" s="860"/>
      <c r="C250" s="860"/>
      <c r="D250" s="794" t="s">
        <v>35</v>
      </c>
      <c r="E250" s="98" t="e">
        <f>E230+E237-E249</f>
        <v>#N/A</v>
      </c>
      <c r="F250" s="98">
        <f>F230+F237-F249</f>
        <v>0</v>
      </c>
      <c r="G250" s="769"/>
      <c r="H250" s="17"/>
      <c r="I250" s="77"/>
      <c r="J250" s="605"/>
      <c r="Z250" s="105"/>
      <c r="AA250" s="105"/>
      <c r="AB250" s="105"/>
      <c r="AC250" s="105"/>
      <c r="AD250" s="105"/>
      <c r="AE250" s="105"/>
      <c r="AF250" s="105"/>
      <c r="AG250" s="105"/>
      <c r="AH250" s="105"/>
      <c r="AI250" s="105"/>
      <c r="AJ250" s="105"/>
      <c r="AK250" s="105"/>
      <c r="AL250" s="105"/>
      <c r="AM250" s="105"/>
      <c r="AN250" s="105"/>
      <c r="AO250" s="105"/>
      <c r="AP250" s="105"/>
      <c r="AQ250" s="105"/>
      <c r="AR250" s="105"/>
    </row>
    <row r="251" spans="1:44" ht="21.6" customHeight="1" x14ac:dyDescent="0.3">
      <c r="A251" s="105"/>
      <c r="B251" s="589"/>
      <c r="C251" s="589"/>
      <c r="D251" s="785"/>
      <c r="E251" s="1"/>
      <c r="F251" s="381"/>
      <c r="G251" s="769"/>
      <c r="H251" s="17"/>
      <c r="I251" s="77"/>
      <c r="J251" s="605"/>
      <c r="Z251" s="105"/>
      <c r="AA251" s="105"/>
      <c r="AB251" s="105"/>
      <c r="AC251" s="105"/>
      <c r="AD251" s="105"/>
      <c r="AE251" s="105"/>
      <c r="AF251" s="105"/>
      <c r="AG251" s="105"/>
      <c r="AH251" s="105"/>
      <c r="AI251" s="105"/>
      <c r="AJ251" s="105"/>
      <c r="AK251" s="105"/>
      <c r="AL251" s="105"/>
      <c r="AM251" s="105"/>
      <c r="AN251" s="105"/>
      <c r="AO251" s="105"/>
      <c r="AP251" s="105"/>
      <c r="AQ251" s="105"/>
      <c r="AR251" s="105"/>
    </row>
    <row r="252" spans="1:44" ht="34.5" customHeight="1" x14ac:dyDescent="0.3">
      <c r="A252" s="105"/>
      <c r="B252" s="905"/>
      <c r="C252" s="905"/>
      <c r="D252" s="896" t="s">
        <v>8</v>
      </c>
      <c r="E252" s="907"/>
      <c r="F252" s="908"/>
      <c r="G252" s="909"/>
      <c r="H252" s="17"/>
      <c r="I252" s="77"/>
      <c r="Z252" s="105"/>
      <c r="AA252" s="105"/>
      <c r="AB252" s="105"/>
      <c r="AC252" s="105"/>
      <c r="AD252" s="105"/>
      <c r="AE252" s="105"/>
      <c r="AF252" s="105"/>
      <c r="AG252" s="105"/>
      <c r="AH252" s="105"/>
      <c r="AI252" s="105"/>
      <c r="AJ252" s="105"/>
      <c r="AK252" s="105"/>
      <c r="AL252" s="105"/>
      <c r="AM252" s="105"/>
      <c r="AN252" s="105"/>
      <c r="AO252" s="105"/>
      <c r="AP252" s="105"/>
      <c r="AQ252" s="105"/>
      <c r="AR252" s="105"/>
    </row>
    <row r="253" spans="1:44" ht="55.5" customHeight="1" x14ac:dyDescent="0.3">
      <c r="A253" s="105">
        <v>527</v>
      </c>
      <c r="B253" s="701" t="s">
        <v>58</v>
      </c>
      <c r="C253" s="701" t="s">
        <v>178</v>
      </c>
      <c r="D253" s="29" t="s">
        <v>1524</v>
      </c>
      <c r="E253" s="699" t="e">
        <f>HLOOKUP($D$2,'2020 Data(H)'!$C$1:$CZ$428,177,FALSE)</f>
        <v>#N/A</v>
      </c>
      <c r="F253" s="300">
        <v>0</v>
      </c>
      <c r="G253" s="769"/>
      <c r="H253" s="17"/>
      <c r="I253" s="761"/>
      <c r="Z253" s="105"/>
      <c r="AA253" s="105"/>
      <c r="AB253" s="105"/>
      <c r="AC253" s="105"/>
      <c r="AD253" s="105"/>
      <c r="AE253" s="105"/>
      <c r="AF253" s="105"/>
      <c r="AG253" s="105"/>
      <c r="AH253" s="105"/>
      <c r="AI253" s="105"/>
      <c r="AJ253" s="105"/>
      <c r="AK253" s="105"/>
      <c r="AL253" s="105"/>
      <c r="AM253" s="105"/>
      <c r="AN253" s="105"/>
      <c r="AO253" s="105"/>
      <c r="AP253" s="105"/>
      <c r="AQ253" s="105"/>
      <c r="AR253" s="105"/>
    </row>
    <row r="254" spans="1:44" ht="55.5" customHeight="1" x14ac:dyDescent="0.3">
      <c r="A254" s="105">
        <v>356</v>
      </c>
      <c r="B254" s="701" t="s">
        <v>66</v>
      </c>
      <c r="C254" s="701" t="s">
        <v>178</v>
      </c>
      <c r="D254" s="104" t="s">
        <v>20</v>
      </c>
      <c r="E254" s="699" t="e">
        <f>HLOOKUP($D$2,'2020 Data(H)'!$C$1:$CZ$428,118,FALSE)</f>
        <v>#N/A</v>
      </c>
      <c r="F254" s="300">
        <v>0</v>
      </c>
      <c r="G254" s="769"/>
      <c r="H254" s="17"/>
      <c r="I254" s="761"/>
      <c r="Z254" s="105"/>
      <c r="AA254" s="105"/>
      <c r="AB254" s="105"/>
      <c r="AC254" s="105"/>
      <c r="AD254" s="105"/>
      <c r="AE254" s="105"/>
      <c r="AF254" s="105"/>
      <c r="AG254" s="105"/>
      <c r="AH254" s="105"/>
      <c r="AI254" s="105"/>
      <c r="AJ254" s="105"/>
      <c r="AK254" s="105"/>
      <c r="AL254" s="105"/>
      <c r="AM254" s="105"/>
      <c r="AN254" s="105"/>
      <c r="AO254" s="105"/>
      <c r="AP254" s="105"/>
      <c r="AQ254" s="105"/>
      <c r="AR254" s="105"/>
    </row>
    <row r="255" spans="1:44" ht="55.5" customHeight="1" x14ac:dyDescent="0.3">
      <c r="A255" s="105">
        <v>357</v>
      </c>
      <c r="B255" s="701" t="s">
        <v>56</v>
      </c>
      <c r="C255" s="701" t="s">
        <v>179</v>
      </c>
      <c r="D255" s="104" t="s">
        <v>21</v>
      </c>
      <c r="E255" s="699" t="e">
        <f>HLOOKUP($D$2,'2020 Data(H)'!$C$1:$CZ$428,119,FALSE)</f>
        <v>#N/A</v>
      </c>
      <c r="F255" s="300">
        <v>0</v>
      </c>
      <c r="G255" s="759">
        <f>IF(F255&lt;0,"Error: Enter as positive.",)</f>
        <v>0</v>
      </c>
      <c r="H255" s="17"/>
      <c r="I255" s="761"/>
      <c r="Z255" s="105"/>
      <c r="AA255" s="105"/>
      <c r="AB255" s="105"/>
      <c r="AC255" s="105"/>
      <c r="AD255" s="105"/>
      <c r="AE255" s="105"/>
      <c r="AF255" s="105"/>
      <c r="AG255" s="105"/>
      <c r="AH255" s="105"/>
      <c r="AI255" s="105"/>
      <c r="AJ255" s="105"/>
      <c r="AK255" s="105"/>
      <c r="AL255" s="105"/>
      <c r="AM255" s="105"/>
      <c r="AN255" s="105"/>
      <c r="AO255" s="105"/>
      <c r="AP255" s="105"/>
      <c r="AQ255" s="105"/>
      <c r="AR255" s="105"/>
    </row>
    <row r="256" spans="1:44" s="18" customFormat="1" ht="35.25" customHeight="1" x14ac:dyDescent="0.3">
      <c r="A256" s="105"/>
      <c r="B256" s="894" t="s">
        <v>10</v>
      </c>
      <c r="C256" s="895"/>
      <c r="D256" s="870"/>
      <c r="E256" s="871"/>
      <c r="F256" s="910"/>
      <c r="G256" s="891"/>
      <c r="H256" s="17"/>
      <c r="I256" s="77"/>
      <c r="N256" s="302"/>
      <c r="Z256" s="105"/>
      <c r="AA256" s="105"/>
      <c r="AB256" s="105"/>
      <c r="AC256" s="105"/>
      <c r="AD256" s="105"/>
      <c r="AE256" s="105"/>
      <c r="AF256" s="105"/>
      <c r="AG256" s="105"/>
      <c r="AH256" s="105"/>
      <c r="AI256" s="105"/>
      <c r="AJ256" s="105"/>
      <c r="AK256" s="105"/>
      <c r="AL256" s="105"/>
      <c r="AM256" s="105"/>
      <c r="AN256" s="105"/>
      <c r="AO256" s="105"/>
      <c r="AP256" s="105"/>
      <c r="AQ256" s="105"/>
      <c r="AR256" s="105"/>
    </row>
    <row r="257" spans="1:1881" s="18" customFormat="1" ht="273.75" customHeight="1" x14ac:dyDescent="0.3">
      <c r="A257" s="105">
        <v>337</v>
      </c>
      <c r="B257" s="4" t="s">
        <v>56</v>
      </c>
      <c r="C257" s="4" t="s">
        <v>1525</v>
      </c>
      <c r="D257" s="24" t="s">
        <v>1309</v>
      </c>
      <c r="E257" s="699" t="e">
        <f>HLOOKUP($D$2,'2020 Data(H)'!$C$1:$CZ$428,103,FALSE)</f>
        <v>#N/A</v>
      </c>
      <c r="F257" s="300">
        <v>0</v>
      </c>
      <c r="G257" s="759">
        <f>IF(F257&lt;0,"Error: Enter as positive.",)</f>
        <v>0</v>
      </c>
      <c r="H257" s="17"/>
      <c r="I257" s="77"/>
      <c r="N257" s="302"/>
      <c r="Z257" s="105"/>
      <c r="AA257" s="105"/>
      <c r="AB257" s="105"/>
      <c r="AC257" s="105"/>
      <c r="AD257" s="105"/>
      <c r="AE257" s="105"/>
      <c r="AF257" s="105"/>
      <c r="AG257" s="105"/>
      <c r="AH257" s="105"/>
      <c r="AI257" s="105"/>
      <c r="AJ257" s="105"/>
      <c r="AK257" s="105"/>
      <c r="AL257" s="105"/>
      <c r="AM257" s="105"/>
      <c r="AN257" s="105"/>
      <c r="AO257" s="105"/>
      <c r="AP257" s="105"/>
      <c r="AQ257" s="105"/>
      <c r="AR257" s="105"/>
    </row>
    <row r="258" spans="1:1881" s="18" customFormat="1" ht="81.75" customHeight="1" x14ac:dyDescent="0.3">
      <c r="A258" s="105">
        <v>343</v>
      </c>
      <c r="B258" s="4" t="s">
        <v>56</v>
      </c>
      <c r="C258" s="4" t="s">
        <v>677</v>
      </c>
      <c r="D258" s="29" t="s">
        <v>1526</v>
      </c>
      <c r="E258" s="699" t="e">
        <f>HLOOKUP($D$2,'2020 Data(H)'!$C$1:$CZ$428,109,FALSE)</f>
        <v>#N/A</v>
      </c>
      <c r="F258" s="300">
        <v>0</v>
      </c>
      <c r="G258" s="759">
        <f>IF(F258&lt;0,"Error: Enter as positive.",)</f>
        <v>0</v>
      </c>
      <c r="H258" s="17"/>
      <c r="I258" s="77"/>
      <c r="M258" s="96"/>
      <c r="N258" s="302"/>
      <c r="Z258" s="105"/>
      <c r="AA258" s="105"/>
      <c r="AB258" s="105"/>
      <c r="AC258" s="105"/>
      <c r="AD258" s="105"/>
      <c r="AE258" s="105"/>
      <c r="AF258" s="105"/>
      <c r="AG258" s="105"/>
      <c r="AH258" s="105"/>
      <c r="AI258" s="105"/>
      <c r="AJ258" s="105"/>
      <c r="AK258" s="105"/>
      <c r="AL258" s="105"/>
      <c r="AM258" s="105"/>
      <c r="AN258" s="105"/>
      <c r="AO258" s="105"/>
      <c r="AP258" s="105"/>
      <c r="AQ258" s="105"/>
      <c r="AR258" s="105"/>
    </row>
    <row r="259" spans="1:1881" ht="274.5" customHeight="1" x14ac:dyDescent="0.3">
      <c r="A259" s="105">
        <v>82</v>
      </c>
      <c r="B259" s="4" t="s">
        <v>61</v>
      </c>
      <c r="C259" s="4" t="s">
        <v>1527</v>
      </c>
      <c r="D259" s="24" t="s">
        <v>871</v>
      </c>
      <c r="E259" s="699" t="e">
        <f>HLOOKUP($D$2,'2020 Data(H)'!$C$1:$CZ$428,46,FALSE)</f>
        <v>#N/A</v>
      </c>
      <c r="F259" s="300">
        <v>0</v>
      </c>
      <c r="G259" s="759">
        <f>IF(F259&lt;0,"Error: Enter as positive.",)</f>
        <v>0</v>
      </c>
      <c r="H259" s="17"/>
      <c r="I259" s="795"/>
      <c r="Z259" s="105"/>
      <c r="AA259" s="105"/>
      <c r="AB259" s="105"/>
      <c r="AC259" s="105"/>
      <c r="AD259" s="105"/>
      <c r="AE259" s="105"/>
      <c r="AF259" s="105"/>
      <c r="AG259" s="105"/>
      <c r="AH259" s="105"/>
      <c r="AI259" s="105"/>
      <c r="AJ259" s="105"/>
      <c r="AK259" s="105"/>
      <c r="AL259" s="105"/>
      <c r="AM259" s="105"/>
      <c r="AN259" s="105"/>
      <c r="AO259" s="105"/>
      <c r="AP259" s="105"/>
      <c r="AQ259" s="105"/>
      <c r="AR259" s="105"/>
    </row>
    <row r="260" spans="1:1881" ht="270.75" customHeight="1" x14ac:dyDescent="0.3">
      <c r="A260" s="105">
        <v>359</v>
      </c>
      <c r="B260" s="4" t="s">
        <v>56</v>
      </c>
      <c r="C260" s="4" t="s">
        <v>1528</v>
      </c>
      <c r="D260" s="24" t="s">
        <v>871</v>
      </c>
      <c r="E260" s="699" t="e">
        <f>HLOOKUP($D$2,'2020 Data(H)'!$C$1:$CZ$428,120,FALSE)</f>
        <v>#N/A</v>
      </c>
      <c r="F260" s="300">
        <v>0</v>
      </c>
      <c r="G260" s="759">
        <f>IF(F260&lt;0,"Error: Enter as positive.",)</f>
        <v>0</v>
      </c>
      <c r="H260" s="17"/>
      <c r="I260" s="795"/>
      <c r="J260" s="605"/>
      <c r="L260" s="796" t="str">
        <f>IF(ISBLANK(K258),"",IF(ISBLANK(K259),"",IF(K260=M260,"","Please review percentage")))</f>
        <v/>
      </c>
      <c r="Z260" s="105"/>
      <c r="AA260" s="105"/>
      <c r="AB260" s="105"/>
      <c r="AC260" s="105"/>
      <c r="AD260" s="105"/>
      <c r="AE260" s="105"/>
      <c r="AF260" s="105"/>
      <c r="AG260" s="105"/>
      <c r="AH260" s="105"/>
      <c r="AI260" s="105"/>
      <c r="AJ260" s="105"/>
      <c r="AK260" s="105"/>
      <c r="AL260" s="105"/>
      <c r="AM260" s="105"/>
      <c r="AN260" s="105"/>
      <c r="AO260" s="105"/>
      <c r="AP260" s="105"/>
      <c r="AQ260" s="105"/>
      <c r="AR260" s="105"/>
    </row>
    <row r="261" spans="1:1881" s="798" customFormat="1" ht="33" customHeight="1" x14ac:dyDescent="0.3">
      <c r="A261" s="105"/>
      <c r="B261" s="856" t="s">
        <v>716</v>
      </c>
      <c r="C261" s="857"/>
      <c r="D261" s="94"/>
      <c r="E261" s="797"/>
      <c r="F261" s="783"/>
      <c r="G261" s="758"/>
      <c r="H261" s="17"/>
      <c r="I261" s="795"/>
      <c r="J261" s="18"/>
      <c r="K261" s="18"/>
      <c r="L261" s="18"/>
      <c r="M261" s="18"/>
      <c r="N261" s="302"/>
      <c r="O261" s="18"/>
      <c r="P261" s="18"/>
      <c r="Q261" s="18"/>
      <c r="R261" s="18"/>
      <c r="S261" s="18"/>
      <c r="T261" s="18"/>
      <c r="U261" s="18"/>
      <c r="V261" s="18"/>
      <c r="W261" s="18"/>
      <c r="X261" s="18"/>
      <c r="Y261" s="18"/>
      <c r="Z261" s="105"/>
      <c r="AA261" s="105"/>
      <c r="AB261" s="105"/>
      <c r="AC261" s="105"/>
      <c r="AD261" s="105"/>
      <c r="AE261" s="105"/>
      <c r="AF261" s="105"/>
      <c r="AG261" s="105"/>
      <c r="AH261" s="105"/>
      <c r="AI261" s="105"/>
      <c r="AJ261" s="105"/>
      <c r="AK261" s="105"/>
      <c r="AL261" s="105"/>
      <c r="AM261" s="105"/>
      <c r="AN261" s="105"/>
      <c r="AO261" s="105"/>
      <c r="AP261" s="105"/>
      <c r="AQ261" s="105"/>
      <c r="AR261" s="105"/>
      <c r="AS261" s="18"/>
      <c r="AT261" s="18"/>
      <c r="AU261" s="18"/>
      <c r="AV261" s="18"/>
      <c r="AW261" s="18"/>
      <c r="AX261" s="18"/>
      <c r="AY261" s="18"/>
      <c r="AZ261" s="18"/>
      <c r="BA261" s="18"/>
      <c r="BB261" s="18"/>
      <c r="BC261" s="18"/>
      <c r="BD261" s="18"/>
      <c r="BE261" s="18"/>
      <c r="BF261" s="18"/>
      <c r="BG261" s="18"/>
      <c r="BH261" s="18"/>
      <c r="BI261" s="18"/>
      <c r="BJ261" s="18"/>
      <c r="BK261" s="18"/>
      <c r="BL261" s="18"/>
      <c r="BM261" s="18"/>
      <c r="BN261" s="18"/>
      <c r="BO261" s="18"/>
      <c r="BP261" s="18"/>
      <c r="BQ261" s="18"/>
      <c r="BR261" s="18"/>
      <c r="BS261" s="18"/>
      <c r="BT261" s="18"/>
      <c r="BU261" s="18"/>
      <c r="BV261" s="18"/>
      <c r="BW261" s="18"/>
      <c r="BX261" s="18"/>
      <c r="BY261" s="18"/>
      <c r="BZ261" s="18"/>
      <c r="CA261" s="18"/>
      <c r="CB261" s="18"/>
      <c r="CC261" s="18"/>
      <c r="CD261" s="18"/>
      <c r="CE261" s="18"/>
      <c r="CF261" s="18"/>
      <c r="CG261" s="18"/>
      <c r="CH261" s="18"/>
      <c r="CI261" s="18"/>
      <c r="CJ261" s="18"/>
      <c r="CK261" s="18"/>
      <c r="CL261" s="18"/>
      <c r="CM261" s="18"/>
      <c r="CN261" s="18"/>
      <c r="CO261" s="18"/>
      <c r="CP261" s="18"/>
      <c r="CQ261" s="18"/>
      <c r="CR261" s="18"/>
      <c r="CS261" s="18"/>
      <c r="CT261" s="18"/>
      <c r="CU261" s="18"/>
      <c r="CV261" s="18"/>
      <c r="CW261" s="18"/>
      <c r="CX261" s="18"/>
      <c r="CY261" s="18"/>
      <c r="CZ261" s="18"/>
      <c r="DA261" s="18"/>
      <c r="DB261" s="18"/>
      <c r="DC261" s="18"/>
      <c r="DD261" s="18"/>
      <c r="DE261" s="18"/>
      <c r="DF261" s="18"/>
      <c r="DG261" s="18"/>
      <c r="DH261" s="18"/>
      <c r="DI261" s="18"/>
      <c r="DJ261" s="18"/>
      <c r="DK261" s="18"/>
      <c r="DL261" s="18"/>
      <c r="DM261" s="18"/>
      <c r="DN261" s="18"/>
      <c r="DO261" s="18"/>
      <c r="DP261" s="18"/>
      <c r="DQ261" s="18"/>
      <c r="DR261" s="18"/>
      <c r="DS261" s="18"/>
      <c r="DT261" s="18"/>
      <c r="DU261" s="18"/>
      <c r="DV261" s="18"/>
      <c r="DW261" s="18"/>
      <c r="DX261" s="18"/>
      <c r="DY261" s="18"/>
      <c r="DZ261" s="18"/>
      <c r="EA261" s="18"/>
      <c r="EB261" s="18"/>
      <c r="EC261" s="18"/>
      <c r="ED261" s="18"/>
      <c r="EE261" s="18"/>
      <c r="EF261" s="18"/>
      <c r="EG261" s="18"/>
      <c r="EH261" s="18"/>
      <c r="EI261" s="18"/>
      <c r="EJ261" s="18"/>
      <c r="EK261" s="18"/>
      <c r="EL261" s="18"/>
      <c r="EM261" s="18"/>
      <c r="EN261" s="18"/>
      <c r="EO261" s="18"/>
      <c r="EP261" s="18"/>
      <c r="EQ261" s="18"/>
      <c r="ER261" s="18"/>
      <c r="ES261" s="18"/>
      <c r="ET261" s="18"/>
      <c r="EU261" s="18"/>
      <c r="EV261" s="18"/>
      <c r="EW261" s="18"/>
      <c r="EX261" s="18"/>
      <c r="EY261" s="18"/>
      <c r="EZ261" s="18"/>
      <c r="FA261" s="18"/>
      <c r="FB261" s="18"/>
      <c r="FC261" s="18"/>
      <c r="FD261" s="18"/>
      <c r="FE261" s="18"/>
      <c r="FF261" s="18"/>
      <c r="FG261" s="18"/>
      <c r="FH261" s="18"/>
      <c r="FI261" s="18"/>
      <c r="FJ261" s="18"/>
      <c r="FK261" s="18"/>
      <c r="FL261" s="18"/>
      <c r="FM261" s="18"/>
      <c r="FN261" s="18"/>
      <c r="FO261" s="18"/>
      <c r="FP261" s="18"/>
      <c r="FQ261" s="18"/>
      <c r="FR261" s="18"/>
      <c r="FS261" s="18"/>
      <c r="FT261" s="18"/>
      <c r="FU261" s="18"/>
      <c r="FV261" s="18"/>
      <c r="FW261" s="18"/>
      <c r="FX261" s="18"/>
      <c r="FY261" s="18"/>
      <c r="FZ261" s="18"/>
      <c r="GA261" s="18"/>
      <c r="GB261" s="18"/>
      <c r="GC261" s="18"/>
      <c r="GD261" s="18"/>
      <c r="GE261" s="18"/>
      <c r="GF261" s="18"/>
      <c r="GG261" s="18"/>
      <c r="GH261" s="18"/>
      <c r="GI261" s="18"/>
      <c r="GJ261" s="18"/>
      <c r="GK261" s="18"/>
      <c r="GL261" s="18"/>
      <c r="GM261" s="18"/>
      <c r="GN261" s="18"/>
      <c r="GO261" s="18"/>
      <c r="GP261" s="18"/>
      <c r="GQ261" s="18"/>
      <c r="GR261" s="18"/>
      <c r="GS261" s="18"/>
      <c r="GT261" s="18"/>
      <c r="GU261" s="18"/>
      <c r="GV261" s="18"/>
      <c r="GW261" s="18"/>
      <c r="GX261" s="18"/>
      <c r="GY261" s="18"/>
      <c r="GZ261" s="18"/>
      <c r="HA261" s="18"/>
      <c r="HB261" s="18"/>
      <c r="HC261" s="18"/>
      <c r="HD261" s="18"/>
      <c r="HE261" s="18"/>
      <c r="HF261" s="18"/>
      <c r="HG261" s="18"/>
      <c r="HH261" s="18"/>
      <c r="HI261" s="18"/>
      <c r="HJ261" s="18"/>
      <c r="HK261" s="18"/>
      <c r="HL261" s="18"/>
      <c r="HM261" s="18"/>
      <c r="HN261" s="18"/>
      <c r="HO261" s="18"/>
      <c r="HP261" s="18"/>
      <c r="HQ261" s="18"/>
      <c r="HR261" s="18"/>
      <c r="HS261" s="18"/>
      <c r="HT261" s="18"/>
      <c r="HU261" s="18"/>
      <c r="HV261" s="18"/>
      <c r="HW261" s="18"/>
      <c r="HX261" s="18"/>
      <c r="HY261" s="18"/>
      <c r="HZ261" s="18"/>
      <c r="IA261" s="18"/>
      <c r="IB261" s="18"/>
      <c r="IC261" s="18"/>
      <c r="ID261" s="18"/>
      <c r="IE261" s="18"/>
      <c r="IF261" s="18"/>
      <c r="IG261" s="18"/>
      <c r="IH261" s="18"/>
      <c r="II261" s="18"/>
      <c r="IJ261" s="18"/>
      <c r="IK261" s="18"/>
      <c r="IL261" s="18"/>
      <c r="IM261" s="18"/>
      <c r="IN261" s="18"/>
      <c r="IO261" s="18"/>
      <c r="IP261" s="18"/>
      <c r="IQ261" s="18"/>
      <c r="IR261" s="18"/>
      <c r="IS261" s="18"/>
      <c r="IT261" s="18"/>
      <c r="IU261" s="18"/>
      <c r="IV261" s="18"/>
      <c r="IW261" s="18"/>
      <c r="IX261" s="18"/>
      <c r="IY261" s="18"/>
      <c r="IZ261" s="18"/>
      <c r="JA261" s="18"/>
      <c r="JB261" s="18"/>
      <c r="JC261" s="18"/>
      <c r="JD261" s="18"/>
      <c r="JE261" s="18"/>
      <c r="JF261" s="18"/>
      <c r="JG261" s="18"/>
      <c r="JH261" s="18"/>
      <c r="JI261" s="18"/>
      <c r="JJ261" s="18"/>
      <c r="JK261" s="18"/>
      <c r="JL261" s="18"/>
      <c r="JM261" s="18"/>
      <c r="JN261" s="18"/>
      <c r="JO261" s="18"/>
      <c r="JP261" s="18"/>
      <c r="JQ261" s="18"/>
      <c r="JR261" s="18"/>
      <c r="JS261" s="18"/>
      <c r="JT261" s="18"/>
      <c r="JU261" s="18"/>
      <c r="JV261" s="18"/>
      <c r="JW261" s="18"/>
      <c r="JX261" s="18"/>
      <c r="JY261" s="18"/>
      <c r="JZ261" s="18"/>
      <c r="KA261" s="18"/>
      <c r="KB261" s="18"/>
      <c r="KC261" s="18"/>
      <c r="KD261" s="18"/>
      <c r="KE261" s="18"/>
      <c r="KF261" s="18"/>
      <c r="KG261" s="18"/>
      <c r="KH261" s="18"/>
      <c r="KI261" s="18"/>
      <c r="KJ261" s="18"/>
      <c r="KK261" s="18"/>
      <c r="KL261" s="18"/>
      <c r="KM261" s="18"/>
      <c r="KN261" s="18"/>
      <c r="KO261" s="18"/>
      <c r="KP261" s="18"/>
      <c r="KQ261" s="18"/>
      <c r="KR261" s="18"/>
      <c r="KS261" s="18"/>
      <c r="KT261" s="18"/>
      <c r="KU261" s="18"/>
      <c r="KV261" s="18"/>
      <c r="KW261" s="18"/>
      <c r="KX261" s="18"/>
      <c r="KY261" s="18"/>
      <c r="KZ261" s="18"/>
      <c r="LA261" s="18"/>
      <c r="LB261" s="18"/>
      <c r="LC261" s="18"/>
      <c r="LD261" s="18"/>
      <c r="LE261" s="18"/>
      <c r="LF261" s="18"/>
      <c r="LG261" s="18"/>
      <c r="LH261" s="18"/>
      <c r="LI261" s="18"/>
      <c r="LJ261" s="18"/>
      <c r="LK261" s="18"/>
      <c r="LL261" s="18"/>
      <c r="LM261" s="18"/>
      <c r="LN261" s="18"/>
      <c r="LO261" s="18"/>
      <c r="LP261" s="18"/>
      <c r="LQ261" s="18"/>
      <c r="LR261" s="18"/>
      <c r="LS261" s="18"/>
      <c r="LT261" s="18"/>
      <c r="LU261" s="18"/>
      <c r="LV261" s="18"/>
      <c r="LW261" s="18"/>
      <c r="LX261" s="18"/>
      <c r="LY261" s="18"/>
      <c r="LZ261" s="18"/>
      <c r="MA261" s="18"/>
      <c r="MB261" s="18"/>
      <c r="MC261" s="18"/>
      <c r="MD261" s="18"/>
      <c r="ME261" s="18"/>
      <c r="MF261" s="18"/>
      <c r="MG261" s="18"/>
      <c r="MH261" s="18"/>
      <c r="MI261" s="18"/>
      <c r="MJ261" s="18"/>
      <c r="MK261" s="18"/>
      <c r="ML261" s="18"/>
      <c r="MM261" s="18"/>
      <c r="MN261" s="18"/>
      <c r="MO261" s="18"/>
      <c r="MP261" s="18"/>
      <c r="MQ261" s="18"/>
      <c r="MR261" s="18"/>
      <c r="MS261" s="18"/>
      <c r="MT261" s="18"/>
      <c r="MU261" s="18"/>
      <c r="MV261" s="18"/>
      <c r="MW261" s="18"/>
      <c r="MX261" s="18"/>
      <c r="MY261" s="18"/>
      <c r="MZ261" s="18"/>
      <c r="NA261" s="18"/>
      <c r="NB261" s="18"/>
      <c r="NC261" s="18"/>
      <c r="ND261" s="18"/>
      <c r="NE261" s="18"/>
      <c r="NF261" s="18"/>
      <c r="NG261" s="18"/>
      <c r="NH261" s="18"/>
      <c r="NI261" s="18"/>
      <c r="NJ261" s="18"/>
      <c r="NK261" s="18"/>
      <c r="NL261" s="18"/>
      <c r="NM261" s="18"/>
      <c r="NN261" s="18"/>
      <c r="NO261" s="18"/>
      <c r="NP261" s="18"/>
      <c r="NQ261" s="18"/>
      <c r="NR261" s="18"/>
      <c r="NS261" s="18"/>
      <c r="NT261" s="18"/>
      <c r="NU261" s="18"/>
      <c r="NV261" s="18"/>
      <c r="NW261" s="18"/>
      <c r="NX261" s="18"/>
      <c r="NY261" s="18"/>
      <c r="NZ261" s="18"/>
      <c r="OA261" s="18"/>
      <c r="OB261" s="18"/>
      <c r="OC261" s="18"/>
      <c r="OD261" s="18"/>
      <c r="OE261" s="18"/>
      <c r="OF261" s="18"/>
      <c r="OG261" s="18"/>
      <c r="OH261" s="18"/>
      <c r="OI261" s="18"/>
      <c r="OJ261" s="18"/>
      <c r="OK261" s="18"/>
      <c r="OL261" s="18"/>
      <c r="OM261" s="18"/>
      <c r="ON261" s="18"/>
      <c r="OO261" s="18"/>
      <c r="OP261" s="18"/>
      <c r="OQ261" s="18"/>
      <c r="OR261" s="18"/>
      <c r="OS261" s="18"/>
      <c r="OT261" s="18"/>
      <c r="OU261" s="18"/>
      <c r="OV261" s="18"/>
      <c r="OW261" s="18"/>
      <c r="OX261" s="18"/>
      <c r="OY261" s="18"/>
      <c r="OZ261" s="18"/>
      <c r="PA261" s="18"/>
      <c r="PB261" s="18"/>
      <c r="PC261" s="18"/>
      <c r="PD261" s="18"/>
      <c r="PE261" s="18"/>
      <c r="PF261" s="18"/>
      <c r="PG261" s="18"/>
      <c r="PH261" s="18"/>
      <c r="PI261" s="18"/>
      <c r="PJ261" s="18"/>
      <c r="PK261" s="18"/>
      <c r="PL261" s="18"/>
      <c r="PM261" s="18"/>
      <c r="PN261" s="18"/>
      <c r="PO261" s="18"/>
      <c r="PP261" s="18"/>
      <c r="PQ261" s="18"/>
      <c r="PR261" s="18"/>
      <c r="PS261" s="18"/>
      <c r="PT261" s="18"/>
      <c r="PU261" s="18"/>
      <c r="PV261" s="18"/>
      <c r="PW261" s="18"/>
      <c r="PX261" s="18"/>
      <c r="PY261" s="18"/>
      <c r="PZ261" s="18"/>
      <c r="QA261" s="18"/>
      <c r="QB261" s="18"/>
      <c r="QC261" s="18"/>
      <c r="QD261" s="18"/>
      <c r="QE261" s="18"/>
      <c r="QF261" s="18"/>
      <c r="QG261" s="18"/>
      <c r="QH261" s="18"/>
      <c r="QI261" s="18"/>
      <c r="QJ261" s="18"/>
      <c r="QK261" s="18"/>
      <c r="QL261" s="18"/>
      <c r="QM261" s="18"/>
      <c r="QN261" s="18"/>
      <c r="QO261" s="18"/>
      <c r="QP261" s="18"/>
      <c r="QQ261" s="18"/>
      <c r="QR261" s="18"/>
      <c r="QS261" s="18"/>
      <c r="QT261" s="18"/>
      <c r="QU261" s="18"/>
      <c r="QV261" s="18"/>
      <c r="QW261" s="18"/>
      <c r="QX261" s="18"/>
      <c r="QY261" s="18"/>
      <c r="QZ261" s="18"/>
      <c r="RA261" s="18"/>
      <c r="RB261" s="18"/>
      <c r="RC261" s="18"/>
      <c r="RD261" s="18"/>
      <c r="RE261" s="18"/>
      <c r="RF261" s="18"/>
      <c r="RG261" s="18"/>
      <c r="RH261" s="18"/>
      <c r="RI261" s="18"/>
      <c r="RJ261" s="18"/>
      <c r="RK261" s="18"/>
      <c r="RL261" s="18"/>
      <c r="RM261" s="18"/>
      <c r="RN261" s="18"/>
      <c r="RO261" s="18"/>
      <c r="RP261" s="18"/>
      <c r="RQ261" s="18"/>
      <c r="RR261" s="18"/>
      <c r="RS261" s="18"/>
      <c r="RT261" s="18"/>
      <c r="RU261" s="18"/>
      <c r="RV261" s="18"/>
      <c r="RW261" s="18"/>
      <c r="RX261" s="18"/>
      <c r="RY261" s="18"/>
      <c r="RZ261" s="18"/>
      <c r="SA261" s="18"/>
      <c r="SB261" s="18"/>
      <c r="SC261" s="18"/>
      <c r="SD261" s="18"/>
      <c r="SE261" s="18"/>
      <c r="SF261" s="18"/>
      <c r="SG261" s="18"/>
      <c r="SH261" s="18"/>
      <c r="SI261" s="18"/>
      <c r="SJ261" s="18"/>
      <c r="SK261" s="18"/>
      <c r="SL261" s="18"/>
      <c r="SM261" s="18"/>
      <c r="SN261" s="18"/>
      <c r="SO261" s="18"/>
      <c r="SP261" s="18"/>
      <c r="SQ261" s="18"/>
      <c r="SR261" s="18"/>
      <c r="SS261" s="18"/>
      <c r="ST261" s="18"/>
      <c r="SU261" s="18"/>
      <c r="SV261" s="18"/>
      <c r="SW261" s="18"/>
      <c r="SX261" s="18"/>
      <c r="SY261" s="18"/>
      <c r="SZ261" s="18"/>
      <c r="TA261" s="18"/>
      <c r="TB261" s="18"/>
      <c r="TC261" s="18"/>
      <c r="TD261" s="18"/>
      <c r="TE261" s="18"/>
      <c r="TF261" s="18"/>
      <c r="TG261" s="18"/>
      <c r="TH261" s="18"/>
      <c r="TI261" s="18"/>
      <c r="TJ261" s="18"/>
      <c r="TK261" s="18"/>
      <c r="TL261" s="18"/>
      <c r="TM261" s="18"/>
      <c r="TN261" s="18"/>
      <c r="TO261" s="18"/>
      <c r="TP261" s="18"/>
      <c r="TQ261" s="18"/>
      <c r="TR261" s="18"/>
      <c r="TS261" s="18"/>
      <c r="TT261" s="18"/>
      <c r="TU261" s="18"/>
      <c r="TV261" s="18"/>
      <c r="TW261" s="18"/>
      <c r="TX261" s="18"/>
      <c r="TY261" s="18"/>
      <c r="TZ261" s="18"/>
      <c r="UA261" s="18"/>
      <c r="UB261" s="18"/>
      <c r="UC261" s="18"/>
      <c r="UD261" s="18"/>
      <c r="UE261" s="18"/>
      <c r="UF261" s="18"/>
      <c r="UG261" s="18"/>
      <c r="UH261" s="18"/>
      <c r="UI261" s="18"/>
      <c r="UJ261" s="18"/>
      <c r="UK261" s="18"/>
      <c r="UL261" s="18"/>
      <c r="UM261" s="18"/>
      <c r="UN261" s="18"/>
      <c r="UO261" s="18"/>
      <c r="UP261" s="18"/>
      <c r="UQ261" s="18"/>
      <c r="UR261" s="18"/>
      <c r="US261" s="18"/>
      <c r="UT261" s="18"/>
      <c r="UU261" s="18"/>
      <c r="UV261" s="18"/>
      <c r="UW261" s="18"/>
      <c r="UX261" s="18"/>
      <c r="UY261" s="18"/>
      <c r="UZ261" s="18"/>
      <c r="VA261" s="18"/>
      <c r="VB261" s="18"/>
      <c r="VC261" s="18"/>
      <c r="VD261" s="18"/>
      <c r="VE261" s="18"/>
      <c r="VF261" s="18"/>
      <c r="VG261" s="18"/>
      <c r="VH261" s="18"/>
      <c r="VI261" s="18"/>
      <c r="VJ261" s="18"/>
      <c r="VK261" s="18"/>
      <c r="VL261" s="18"/>
      <c r="VM261" s="18"/>
      <c r="VN261" s="18"/>
      <c r="VO261" s="18"/>
      <c r="VP261" s="18"/>
      <c r="VQ261" s="18"/>
      <c r="VR261" s="18"/>
      <c r="VS261" s="18"/>
      <c r="VT261" s="18"/>
      <c r="VU261" s="18"/>
      <c r="VV261" s="18"/>
      <c r="VW261" s="18"/>
      <c r="VX261" s="18"/>
      <c r="VY261" s="18"/>
      <c r="VZ261" s="18"/>
      <c r="WA261" s="18"/>
      <c r="WB261" s="18"/>
      <c r="WC261" s="18"/>
      <c r="WD261" s="18"/>
      <c r="WE261" s="18"/>
      <c r="WF261" s="18"/>
      <c r="WG261" s="18"/>
      <c r="WH261" s="18"/>
      <c r="WI261" s="18"/>
      <c r="WJ261" s="18"/>
      <c r="WK261" s="18"/>
      <c r="WL261" s="18"/>
      <c r="WM261" s="18"/>
      <c r="WN261" s="18"/>
      <c r="WO261" s="18"/>
      <c r="WP261" s="18"/>
      <c r="WQ261" s="18"/>
      <c r="WR261" s="18"/>
      <c r="WS261" s="18"/>
      <c r="WT261" s="18"/>
      <c r="WU261" s="18"/>
      <c r="WV261" s="18"/>
      <c r="WW261" s="18"/>
      <c r="WX261" s="18"/>
      <c r="WY261" s="18"/>
      <c r="WZ261" s="18"/>
      <c r="XA261" s="18"/>
      <c r="XB261" s="18"/>
      <c r="XC261" s="18"/>
      <c r="XD261" s="18"/>
      <c r="XE261" s="18"/>
      <c r="XF261" s="18"/>
      <c r="XG261" s="18"/>
      <c r="XH261" s="18"/>
      <c r="XI261" s="18"/>
      <c r="XJ261" s="18"/>
      <c r="XK261" s="18"/>
      <c r="XL261" s="18"/>
      <c r="XM261" s="18"/>
      <c r="XN261" s="18"/>
      <c r="XO261" s="18"/>
      <c r="XP261" s="18"/>
      <c r="XQ261" s="18"/>
      <c r="XR261" s="18"/>
      <c r="XS261" s="18"/>
      <c r="XT261" s="18"/>
      <c r="XU261" s="18"/>
      <c r="XV261" s="18"/>
      <c r="XW261" s="18"/>
      <c r="XX261" s="18"/>
      <c r="XY261" s="18"/>
      <c r="XZ261" s="18"/>
      <c r="YA261" s="18"/>
      <c r="YB261" s="18"/>
      <c r="YC261" s="18"/>
      <c r="YD261" s="18"/>
      <c r="YE261" s="18"/>
      <c r="YF261" s="18"/>
      <c r="YG261" s="18"/>
      <c r="YH261" s="18"/>
      <c r="YI261" s="18"/>
      <c r="YJ261" s="18"/>
      <c r="YK261" s="18"/>
      <c r="YL261" s="18"/>
      <c r="YM261" s="18"/>
      <c r="YN261" s="18"/>
      <c r="YO261" s="18"/>
      <c r="YP261" s="18"/>
      <c r="YQ261" s="18"/>
      <c r="YR261" s="18"/>
      <c r="YS261" s="18"/>
      <c r="YT261" s="18"/>
      <c r="YU261" s="18"/>
      <c r="YV261" s="18"/>
      <c r="YW261" s="18"/>
      <c r="YX261" s="18"/>
      <c r="YY261" s="18"/>
      <c r="YZ261" s="18"/>
      <c r="ZA261" s="18"/>
      <c r="ZB261" s="18"/>
      <c r="ZC261" s="18"/>
      <c r="ZD261" s="18"/>
      <c r="ZE261" s="18"/>
      <c r="ZF261" s="18"/>
      <c r="ZG261" s="18"/>
      <c r="ZH261" s="18"/>
      <c r="ZI261" s="18"/>
      <c r="ZJ261" s="18"/>
      <c r="ZK261" s="18"/>
      <c r="ZL261" s="18"/>
      <c r="ZM261" s="18"/>
      <c r="ZN261" s="18"/>
      <c r="ZO261" s="18"/>
      <c r="ZP261" s="18"/>
      <c r="ZQ261" s="18"/>
      <c r="ZR261" s="18"/>
      <c r="ZS261" s="18"/>
      <c r="ZT261" s="18"/>
      <c r="ZU261" s="18"/>
      <c r="ZV261" s="18"/>
      <c r="ZW261" s="18"/>
      <c r="ZX261" s="18"/>
      <c r="ZY261" s="18"/>
      <c r="ZZ261" s="18"/>
      <c r="AAA261" s="18"/>
      <c r="AAB261" s="18"/>
      <c r="AAC261" s="18"/>
      <c r="AAD261" s="18"/>
      <c r="AAE261" s="18"/>
      <c r="AAF261" s="18"/>
      <c r="AAG261" s="18"/>
      <c r="AAH261" s="18"/>
      <c r="AAI261" s="18"/>
      <c r="AAJ261" s="18"/>
      <c r="AAK261" s="18"/>
      <c r="AAL261" s="18"/>
      <c r="AAM261" s="18"/>
      <c r="AAN261" s="18"/>
      <c r="AAO261" s="18"/>
      <c r="AAP261" s="18"/>
      <c r="AAQ261" s="18"/>
      <c r="AAR261" s="18"/>
      <c r="AAS261" s="18"/>
      <c r="AAT261" s="18"/>
      <c r="AAU261" s="18"/>
      <c r="AAV261" s="18"/>
      <c r="AAW261" s="18"/>
      <c r="AAX261" s="18"/>
      <c r="AAY261" s="18"/>
      <c r="AAZ261" s="18"/>
      <c r="ABA261" s="18"/>
      <c r="ABB261" s="18"/>
      <c r="ABC261" s="18"/>
      <c r="ABD261" s="18"/>
      <c r="ABE261" s="18"/>
      <c r="ABF261" s="18"/>
      <c r="ABG261" s="18"/>
      <c r="ABH261" s="18"/>
      <c r="ABI261" s="18"/>
      <c r="ABJ261" s="18"/>
      <c r="ABK261" s="18"/>
      <c r="ABL261" s="18"/>
      <c r="ABM261" s="18"/>
      <c r="ABN261" s="18"/>
      <c r="ABO261" s="18"/>
      <c r="ABP261" s="18"/>
      <c r="ABQ261" s="18"/>
      <c r="ABR261" s="18"/>
      <c r="ABS261" s="18"/>
      <c r="ABT261" s="18"/>
      <c r="ABU261" s="18"/>
      <c r="ABV261" s="18"/>
      <c r="ABW261" s="18"/>
      <c r="ABX261" s="18"/>
      <c r="ABY261" s="18"/>
      <c r="ABZ261" s="18"/>
      <c r="ACA261" s="18"/>
      <c r="ACB261" s="18"/>
      <c r="ACC261" s="18"/>
      <c r="ACD261" s="18"/>
      <c r="ACE261" s="18"/>
      <c r="ACF261" s="18"/>
      <c r="ACG261" s="18"/>
      <c r="ACH261" s="18"/>
      <c r="ACI261" s="18"/>
      <c r="ACJ261" s="18"/>
      <c r="ACK261" s="18"/>
      <c r="ACL261" s="18"/>
      <c r="ACM261" s="18"/>
      <c r="ACN261" s="18"/>
      <c r="ACO261" s="18"/>
      <c r="ACP261" s="18"/>
      <c r="ACQ261" s="18"/>
      <c r="ACR261" s="18"/>
      <c r="ACS261" s="18"/>
      <c r="ACT261" s="18"/>
      <c r="ACU261" s="18"/>
      <c r="ACV261" s="18"/>
      <c r="ACW261" s="18"/>
      <c r="ACX261" s="18"/>
      <c r="ACY261" s="18"/>
      <c r="ACZ261" s="18"/>
      <c r="ADA261" s="18"/>
      <c r="ADB261" s="18"/>
      <c r="ADC261" s="18"/>
      <c r="ADD261" s="18"/>
      <c r="ADE261" s="18"/>
      <c r="ADF261" s="18"/>
      <c r="ADG261" s="18"/>
      <c r="ADH261" s="18"/>
      <c r="ADI261" s="18"/>
      <c r="ADJ261" s="18"/>
      <c r="ADK261" s="18"/>
      <c r="ADL261" s="18"/>
      <c r="ADM261" s="18"/>
      <c r="ADN261" s="18"/>
      <c r="ADO261" s="18"/>
      <c r="ADP261" s="18"/>
      <c r="ADQ261" s="18"/>
      <c r="ADR261" s="18"/>
      <c r="ADS261" s="18"/>
      <c r="ADT261" s="18"/>
      <c r="ADU261" s="18"/>
      <c r="ADV261" s="18"/>
      <c r="ADW261" s="18"/>
      <c r="ADX261" s="18"/>
      <c r="ADY261" s="18"/>
      <c r="ADZ261" s="18"/>
      <c r="AEA261" s="18"/>
      <c r="AEB261" s="18"/>
      <c r="AEC261" s="18"/>
      <c r="AED261" s="18"/>
      <c r="AEE261" s="18"/>
      <c r="AEF261" s="18"/>
      <c r="AEG261" s="18"/>
      <c r="AEH261" s="18"/>
      <c r="AEI261" s="18"/>
      <c r="AEJ261" s="18"/>
      <c r="AEK261" s="18"/>
      <c r="AEL261" s="18"/>
      <c r="AEM261" s="18"/>
      <c r="AEN261" s="18"/>
      <c r="AEO261" s="18"/>
      <c r="AEP261" s="18"/>
      <c r="AEQ261" s="18"/>
      <c r="AER261" s="18"/>
      <c r="AES261" s="18"/>
      <c r="AET261" s="18"/>
      <c r="AEU261" s="18"/>
      <c r="AEV261" s="18"/>
      <c r="AEW261" s="18"/>
      <c r="AEX261" s="18"/>
      <c r="AEY261" s="18"/>
      <c r="AEZ261" s="18"/>
      <c r="AFA261" s="18"/>
      <c r="AFB261" s="18"/>
      <c r="AFC261" s="18"/>
      <c r="AFD261" s="18"/>
      <c r="AFE261" s="18"/>
      <c r="AFF261" s="18"/>
      <c r="AFG261" s="18"/>
      <c r="AFH261" s="18"/>
      <c r="AFI261" s="18"/>
      <c r="AFJ261" s="18"/>
      <c r="AFK261" s="18"/>
      <c r="AFL261" s="18"/>
      <c r="AFM261" s="18"/>
      <c r="AFN261" s="18"/>
      <c r="AFO261" s="18"/>
      <c r="AFP261" s="18"/>
      <c r="AFQ261" s="18"/>
      <c r="AFR261" s="18"/>
      <c r="AFS261" s="18"/>
      <c r="AFT261" s="18"/>
      <c r="AFU261" s="18"/>
      <c r="AFV261" s="18"/>
      <c r="AFW261" s="18"/>
      <c r="AFX261" s="18"/>
      <c r="AFY261" s="18"/>
      <c r="AFZ261" s="18"/>
      <c r="AGA261" s="18"/>
      <c r="AGB261" s="18"/>
      <c r="AGC261" s="18"/>
      <c r="AGD261" s="18"/>
      <c r="AGE261" s="18"/>
      <c r="AGF261" s="18"/>
      <c r="AGG261" s="18"/>
      <c r="AGH261" s="18"/>
      <c r="AGI261" s="18"/>
      <c r="AGJ261" s="18"/>
      <c r="AGK261" s="18"/>
      <c r="AGL261" s="18"/>
      <c r="AGM261" s="18"/>
      <c r="AGN261" s="18"/>
      <c r="AGO261" s="18"/>
      <c r="AGP261" s="18"/>
      <c r="AGQ261" s="18"/>
      <c r="AGR261" s="18"/>
      <c r="AGS261" s="18"/>
      <c r="AGT261" s="18"/>
      <c r="AGU261" s="18"/>
      <c r="AGV261" s="18"/>
      <c r="AGW261" s="18"/>
      <c r="AGX261" s="18"/>
      <c r="AGY261" s="18"/>
      <c r="AGZ261" s="18"/>
      <c r="AHA261" s="18"/>
      <c r="AHB261" s="18"/>
      <c r="AHC261" s="18"/>
      <c r="AHD261" s="18"/>
      <c r="AHE261" s="18"/>
      <c r="AHF261" s="18"/>
      <c r="AHG261" s="18"/>
      <c r="AHH261" s="18"/>
      <c r="AHI261" s="18"/>
      <c r="AHJ261" s="18"/>
      <c r="AHK261" s="18"/>
      <c r="AHL261" s="18"/>
      <c r="AHM261" s="18"/>
      <c r="AHN261" s="18"/>
      <c r="AHO261" s="18"/>
      <c r="AHP261" s="18"/>
      <c r="AHQ261" s="18"/>
      <c r="AHR261" s="18"/>
      <c r="AHS261" s="18"/>
      <c r="AHT261" s="18"/>
      <c r="AHU261" s="18"/>
      <c r="AHV261" s="18"/>
      <c r="AHW261" s="18"/>
      <c r="AHX261" s="18"/>
      <c r="AHY261" s="18"/>
      <c r="AHZ261" s="18"/>
      <c r="AIA261" s="18"/>
      <c r="AIB261" s="18"/>
      <c r="AIC261" s="18"/>
      <c r="AID261" s="18"/>
      <c r="AIE261" s="18"/>
      <c r="AIF261" s="18"/>
      <c r="AIG261" s="18"/>
      <c r="AIH261" s="18"/>
      <c r="AII261" s="18"/>
      <c r="AIJ261" s="18"/>
      <c r="AIK261" s="18"/>
      <c r="AIL261" s="18"/>
      <c r="AIM261" s="18"/>
      <c r="AIN261" s="18"/>
      <c r="AIO261" s="18"/>
      <c r="AIP261" s="18"/>
      <c r="AIQ261" s="18"/>
      <c r="AIR261" s="18"/>
      <c r="AIS261" s="18"/>
      <c r="AIT261" s="18"/>
      <c r="AIU261" s="18"/>
      <c r="AIV261" s="18"/>
      <c r="AIW261" s="18"/>
      <c r="AIX261" s="18"/>
      <c r="AIY261" s="18"/>
      <c r="AIZ261" s="18"/>
      <c r="AJA261" s="18"/>
      <c r="AJB261" s="18"/>
      <c r="AJC261" s="18"/>
      <c r="AJD261" s="18"/>
      <c r="AJE261" s="18"/>
      <c r="AJF261" s="18"/>
      <c r="AJG261" s="18"/>
      <c r="AJH261" s="18"/>
      <c r="AJI261" s="18"/>
      <c r="AJJ261" s="18"/>
      <c r="AJK261" s="18"/>
      <c r="AJL261" s="18"/>
      <c r="AJM261" s="18"/>
      <c r="AJN261" s="18"/>
      <c r="AJO261" s="18"/>
      <c r="AJP261" s="18"/>
      <c r="AJQ261" s="18"/>
      <c r="AJR261" s="18"/>
      <c r="AJS261" s="18"/>
      <c r="AJT261" s="18"/>
      <c r="AJU261" s="18"/>
      <c r="AJV261" s="18"/>
      <c r="AJW261" s="18"/>
      <c r="AJX261" s="18"/>
      <c r="AJY261" s="18"/>
      <c r="AJZ261" s="18"/>
      <c r="AKA261" s="18"/>
      <c r="AKB261" s="18"/>
      <c r="AKC261" s="18"/>
      <c r="AKD261" s="18"/>
      <c r="AKE261" s="18"/>
      <c r="AKF261" s="18"/>
      <c r="AKG261" s="18"/>
      <c r="AKH261" s="18"/>
      <c r="AKI261" s="18"/>
      <c r="AKJ261" s="18"/>
      <c r="AKK261" s="18"/>
      <c r="AKL261" s="18"/>
      <c r="AKM261" s="18"/>
      <c r="AKN261" s="18"/>
      <c r="AKO261" s="18"/>
      <c r="AKP261" s="18"/>
      <c r="AKQ261" s="18"/>
      <c r="AKR261" s="18"/>
      <c r="AKS261" s="18"/>
      <c r="AKT261" s="18"/>
      <c r="AKU261" s="18"/>
      <c r="AKV261" s="18"/>
      <c r="AKW261" s="18"/>
      <c r="AKX261" s="18"/>
      <c r="AKY261" s="18"/>
      <c r="AKZ261" s="18"/>
      <c r="ALA261" s="18"/>
      <c r="ALB261" s="18"/>
      <c r="ALC261" s="18"/>
      <c r="ALD261" s="18"/>
      <c r="ALE261" s="18"/>
      <c r="ALF261" s="18"/>
      <c r="ALG261" s="18"/>
      <c r="ALH261" s="18"/>
      <c r="ALI261" s="18"/>
      <c r="ALJ261" s="18"/>
      <c r="ALK261" s="18"/>
      <c r="ALL261" s="18"/>
      <c r="ALM261" s="18"/>
      <c r="ALN261" s="18"/>
      <c r="ALO261" s="18"/>
      <c r="ALP261" s="18"/>
      <c r="ALQ261" s="18"/>
      <c r="ALR261" s="18"/>
      <c r="ALS261" s="18"/>
      <c r="ALT261" s="18"/>
      <c r="ALU261" s="18"/>
      <c r="ALV261" s="18"/>
      <c r="ALW261" s="18"/>
      <c r="ALX261" s="18"/>
      <c r="ALY261" s="18"/>
      <c r="ALZ261" s="18"/>
      <c r="AMA261" s="18"/>
      <c r="AMB261" s="18"/>
      <c r="AMC261" s="18"/>
      <c r="AMD261" s="18"/>
      <c r="AME261" s="18"/>
      <c r="AMF261" s="18"/>
      <c r="AMG261" s="18"/>
      <c r="AMH261" s="18"/>
      <c r="AMI261" s="18"/>
      <c r="AMJ261" s="18"/>
      <c r="AMK261" s="18"/>
      <c r="AML261" s="18"/>
      <c r="AMM261" s="18"/>
      <c r="AMN261" s="18"/>
      <c r="AMO261" s="18"/>
      <c r="AMP261" s="18"/>
      <c r="AMQ261" s="18"/>
      <c r="AMR261" s="18"/>
      <c r="AMS261" s="18"/>
      <c r="AMT261" s="18"/>
      <c r="AMU261" s="18"/>
      <c r="AMV261" s="18"/>
      <c r="AMW261" s="18"/>
      <c r="AMX261" s="18"/>
      <c r="AMY261" s="18"/>
      <c r="AMZ261" s="18"/>
      <c r="ANA261" s="18"/>
      <c r="ANB261" s="18"/>
      <c r="ANC261" s="18"/>
      <c r="AND261" s="18"/>
      <c r="ANE261" s="18"/>
      <c r="ANF261" s="18"/>
      <c r="ANG261" s="18"/>
      <c r="ANH261" s="18"/>
      <c r="ANI261" s="18"/>
      <c r="ANJ261" s="18"/>
      <c r="ANK261" s="18"/>
      <c r="ANL261" s="18"/>
      <c r="ANM261" s="18"/>
      <c r="ANN261" s="18"/>
      <c r="ANO261" s="18"/>
      <c r="ANP261" s="18"/>
      <c r="ANQ261" s="18"/>
      <c r="ANR261" s="18"/>
      <c r="ANS261" s="18"/>
      <c r="ANT261" s="18"/>
      <c r="ANU261" s="18"/>
      <c r="ANV261" s="18"/>
      <c r="ANW261" s="18"/>
      <c r="ANX261" s="18"/>
      <c r="ANY261" s="18"/>
      <c r="ANZ261" s="18"/>
      <c r="AOA261" s="18"/>
      <c r="AOB261" s="18"/>
      <c r="AOC261" s="18"/>
      <c r="AOD261" s="18"/>
      <c r="AOE261" s="18"/>
      <c r="AOF261" s="18"/>
      <c r="AOG261" s="18"/>
      <c r="AOH261" s="18"/>
      <c r="AOI261" s="18"/>
      <c r="AOJ261" s="18"/>
      <c r="AOK261" s="18"/>
      <c r="AOL261" s="18"/>
      <c r="AOM261" s="18"/>
      <c r="AON261" s="18"/>
      <c r="AOO261" s="18"/>
      <c r="AOP261" s="18"/>
      <c r="AOQ261" s="18"/>
      <c r="AOR261" s="18"/>
      <c r="AOS261" s="18"/>
      <c r="AOT261" s="18"/>
      <c r="AOU261" s="18"/>
      <c r="AOV261" s="18"/>
      <c r="AOW261" s="18"/>
      <c r="AOX261" s="18"/>
      <c r="AOY261" s="18"/>
      <c r="AOZ261" s="18"/>
      <c r="APA261" s="18"/>
      <c r="APB261" s="18"/>
      <c r="APC261" s="18"/>
      <c r="APD261" s="18"/>
      <c r="APE261" s="18"/>
      <c r="APF261" s="18"/>
      <c r="APG261" s="18"/>
      <c r="APH261" s="18"/>
      <c r="API261" s="18"/>
      <c r="APJ261" s="18"/>
      <c r="APK261" s="18"/>
      <c r="APL261" s="18"/>
      <c r="APM261" s="18"/>
      <c r="APN261" s="18"/>
      <c r="APO261" s="18"/>
      <c r="APP261" s="18"/>
      <c r="APQ261" s="18"/>
      <c r="APR261" s="18"/>
      <c r="APS261" s="18"/>
      <c r="APT261" s="18"/>
      <c r="APU261" s="18"/>
      <c r="APV261" s="18"/>
      <c r="APW261" s="18"/>
      <c r="APX261" s="18"/>
      <c r="APY261" s="18"/>
      <c r="APZ261" s="18"/>
      <c r="AQA261" s="18"/>
      <c r="AQB261" s="18"/>
      <c r="AQC261" s="18"/>
      <c r="AQD261" s="18"/>
      <c r="AQE261" s="18"/>
      <c r="AQF261" s="18"/>
      <c r="AQG261" s="18"/>
      <c r="AQH261" s="18"/>
      <c r="AQI261" s="18"/>
      <c r="AQJ261" s="18"/>
      <c r="AQK261" s="18"/>
      <c r="AQL261" s="18"/>
      <c r="AQM261" s="18"/>
      <c r="AQN261" s="18"/>
      <c r="AQO261" s="18"/>
      <c r="AQP261" s="18"/>
      <c r="AQQ261" s="18"/>
      <c r="AQR261" s="18"/>
      <c r="AQS261" s="18"/>
      <c r="AQT261" s="18"/>
      <c r="AQU261" s="18"/>
      <c r="AQV261" s="18"/>
      <c r="AQW261" s="18"/>
      <c r="AQX261" s="18"/>
      <c r="AQY261" s="18"/>
      <c r="AQZ261" s="18"/>
      <c r="ARA261" s="18"/>
      <c r="ARB261" s="18"/>
      <c r="ARC261" s="18"/>
      <c r="ARD261" s="18"/>
      <c r="ARE261" s="18"/>
      <c r="ARF261" s="18"/>
      <c r="ARG261" s="18"/>
      <c r="ARH261" s="18"/>
      <c r="ARI261" s="18"/>
      <c r="ARJ261" s="18"/>
      <c r="ARK261" s="18"/>
      <c r="ARL261" s="18"/>
      <c r="ARM261" s="18"/>
      <c r="ARN261" s="18"/>
      <c r="ARO261" s="18"/>
      <c r="ARP261" s="18"/>
      <c r="ARQ261" s="18"/>
      <c r="ARR261" s="18"/>
      <c r="ARS261" s="18"/>
      <c r="ART261" s="18"/>
      <c r="ARU261" s="18"/>
      <c r="ARV261" s="18"/>
      <c r="ARW261" s="18"/>
      <c r="ARX261" s="18"/>
      <c r="ARY261" s="18"/>
      <c r="ARZ261" s="18"/>
      <c r="ASA261" s="18"/>
      <c r="ASB261" s="18"/>
      <c r="ASC261" s="18"/>
      <c r="ASD261" s="18"/>
      <c r="ASE261" s="18"/>
      <c r="ASF261" s="18"/>
      <c r="ASG261" s="18"/>
      <c r="ASH261" s="18"/>
      <c r="ASI261" s="18"/>
      <c r="ASJ261" s="18"/>
      <c r="ASK261" s="18"/>
      <c r="ASL261" s="18"/>
      <c r="ASM261" s="18"/>
      <c r="ASN261" s="18"/>
      <c r="ASO261" s="18"/>
      <c r="ASP261" s="18"/>
      <c r="ASQ261" s="18"/>
      <c r="ASR261" s="18"/>
      <c r="ASS261" s="18"/>
      <c r="AST261" s="18"/>
      <c r="ASU261" s="18"/>
      <c r="ASV261" s="18"/>
      <c r="ASW261" s="18"/>
      <c r="ASX261" s="18"/>
      <c r="ASY261" s="18"/>
      <c r="ASZ261" s="18"/>
      <c r="ATA261" s="18"/>
      <c r="ATB261" s="18"/>
      <c r="ATC261" s="18"/>
      <c r="ATD261" s="18"/>
      <c r="ATE261" s="18"/>
      <c r="ATF261" s="18"/>
      <c r="ATG261" s="18"/>
      <c r="ATH261" s="18"/>
      <c r="ATI261" s="18"/>
      <c r="ATJ261" s="18"/>
      <c r="ATK261" s="18"/>
      <c r="ATL261" s="18"/>
      <c r="ATM261" s="18"/>
      <c r="ATN261" s="18"/>
      <c r="ATO261" s="18"/>
      <c r="ATP261" s="18"/>
      <c r="ATQ261" s="18"/>
      <c r="ATR261" s="18"/>
      <c r="ATS261" s="18"/>
      <c r="ATT261" s="18"/>
      <c r="ATU261" s="18"/>
      <c r="ATV261" s="18"/>
      <c r="ATW261" s="18"/>
      <c r="ATX261" s="18"/>
      <c r="ATY261" s="18"/>
      <c r="ATZ261" s="18"/>
      <c r="AUA261" s="18"/>
      <c r="AUB261" s="18"/>
      <c r="AUC261" s="18"/>
      <c r="AUD261" s="18"/>
      <c r="AUE261" s="18"/>
      <c r="AUF261" s="18"/>
      <c r="AUG261" s="18"/>
      <c r="AUH261" s="18"/>
      <c r="AUI261" s="18"/>
      <c r="AUJ261" s="18"/>
      <c r="AUK261" s="18"/>
      <c r="AUL261" s="18"/>
      <c r="AUM261" s="18"/>
      <c r="AUN261" s="18"/>
      <c r="AUO261" s="18"/>
      <c r="AUP261" s="18"/>
      <c r="AUQ261" s="18"/>
      <c r="AUR261" s="18"/>
      <c r="AUS261" s="18"/>
      <c r="AUT261" s="18"/>
      <c r="AUU261" s="18"/>
      <c r="AUV261" s="18"/>
      <c r="AUW261" s="18"/>
      <c r="AUX261" s="18"/>
      <c r="AUY261" s="18"/>
      <c r="AUZ261" s="18"/>
      <c r="AVA261" s="18"/>
      <c r="AVB261" s="18"/>
      <c r="AVC261" s="18"/>
      <c r="AVD261" s="18"/>
      <c r="AVE261" s="18"/>
      <c r="AVF261" s="18"/>
      <c r="AVG261" s="18"/>
      <c r="AVH261" s="18"/>
      <c r="AVI261" s="18"/>
      <c r="AVJ261" s="18"/>
      <c r="AVK261" s="18"/>
      <c r="AVL261" s="18"/>
      <c r="AVM261" s="18"/>
      <c r="AVN261" s="18"/>
      <c r="AVO261" s="18"/>
      <c r="AVP261" s="18"/>
      <c r="AVQ261" s="18"/>
      <c r="AVR261" s="18"/>
      <c r="AVS261" s="18"/>
      <c r="AVT261" s="18"/>
      <c r="AVU261" s="18"/>
      <c r="AVV261" s="18"/>
      <c r="AVW261" s="18"/>
      <c r="AVX261" s="18"/>
      <c r="AVY261" s="18"/>
      <c r="AVZ261" s="18"/>
      <c r="AWA261" s="18"/>
      <c r="AWB261" s="18"/>
      <c r="AWC261" s="18"/>
      <c r="AWD261" s="18"/>
      <c r="AWE261" s="18"/>
      <c r="AWF261" s="18"/>
      <c r="AWG261" s="18"/>
      <c r="AWH261" s="18"/>
      <c r="AWI261" s="18"/>
      <c r="AWJ261" s="18"/>
      <c r="AWK261" s="18"/>
      <c r="AWL261" s="18"/>
      <c r="AWM261" s="18"/>
      <c r="AWN261" s="18"/>
      <c r="AWO261" s="18"/>
      <c r="AWP261" s="18"/>
      <c r="AWQ261" s="18"/>
      <c r="AWR261" s="18"/>
      <c r="AWS261" s="18"/>
      <c r="AWT261" s="18"/>
      <c r="AWU261" s="18"/>
      <c r="AWV261" s="18"/>
      <c r="AWW261" s="18"/>
      <c r="AWX261" s="18"/>
      <c r="AWY261" s="18"/>
      <c r="AWZ261" s="18"/>
      <c r="AXA261" s="18"/>
      <c r="AXB261" s="18"/>
      <c r="AXC261" s="18"/>
      <c r="AXD261" s="18"/>
      <c r="AXE261" s="18"/>
      <c r="AXF261" s="18"/>
      <c r="AXG261" s="18"/>
      <c r="AXH261" s="18"/>
      <c r="AXI261" s="18"/>
      <c r="AXJ261" s="18"/>
      <c r="AXK261" s="18"/>
      <c r="AXL261" s="18"/>
      <c r="AXM261" s="18"/>
      <c r="AXN261" s="18"/>
      <c r="AXO261" s="18"/>
      <c r="AXP261" s="18"/>
      <c r="AXQ261" s="18"/>
      <c r="AXR261" s="18"/>
      <c r="AXS261" s="18"/>
      <c r="AXT261" s="18"/>
      <c r="AXU261" s="18"/>
      <c r="AXV261" s="18"/>
      <c r="AXW261" s="18"/>
      <c r="AXX261" s="18"/>
      <c r="AXY261" s="18"/>
      <c r="AXZ261" s="18"/>
      <c r="AYA261" s="18"/>
      <c r="AYB261" s="18"/>
      <c r="AYC261" s="18"/>
      <c r="AYD261" s="18"/>
      <c r="AYE261" s="18"/>
      <c r="AYF261" s="18"/>
      <c r="AYG261" s="18"/>
      <c r="AYH261" s="18"/>
      <c r="AYI261" s="18"/>
      <c r="AYJ261" s="18"/>
      <c r="AYK261" s="18"/>
      <c r="AYL261" s="18"/>
      <c r="AYM261" s="18"/>
      <c r="AYN261" s="18"/>
      <c r="AYO261" s="18"/>
      <c r="AYP261" s="18"/>
      <c r="AYQ261" s="18"/>
      <c r="AYR261" s="18"/>
      <c r="AYS261" s="18"/>
      <c r="AYT261" s="18"/>
      <c r="AYU261" s="18"/>
      <c r="AYV261" s="18"/>
      <c r="AYW261" s="18"/>
      <c r="AYX261" s="18"/>
      <c r="AYY261" s="18"/>
      <c r="AYZ261" s="18"/>
      <c r="AZA261" s="18"/>
      <c r="AZB261" s="18"/>
      <c r="AZC261" s="18"/>
      <c r="AZD261" s="18"/>
      <c r="AZE261" s="18"/>
      <c r="AZF261" s="18"/>
      <c r="AZG261" s="18"/>
      <c r="AZH261" s="18"/>
      <c r="AZI261" s="18"/>
      <c r="AZJ261" s="18"/>
      <c r="AZK261" s="18"/>
      <c r="AZL261" s="18"/>
      <c r="AZM261" s="18"/>
      <c r="AZN261" s="18"/>
      <c r="AZO261" s="18"/>
      <c r="AZP261" s="18"/>
      <c r="AZQ261" s="18"/>
      <c r="AZR261" s="18"/>
      <c r="AZS261" s="18"/>
      <c r="AZT261" s="18"/>
      <c r="AZU261" s="18"/>
      <c r="AZV261" s="18"/>
      <c r="AZW261" s="18"/>
      <c r="AZX261" s="18"/>
      <c r="AZY261" s="18"/>
      <c r="AZZ261" s="18"/>
      <c r="BAA261" s="18"/>
      <c r="BAB261" s="18"/>
      <c r="BAC261" s="18"/>
      <c r="BAD261" s="18"/>
      <c r="BAE261" s="18"/>
      <c r="BAF261" s="18"/>
      <c r="BAG261" s="18"/>
      <c r="BAH261" s="18"/>
      <c r="BAI261" s="18"/>
      <c r="BAJ261" s="18"/>
      <c r="BAK261" s="18"/>
      <c r="BAL261" s="18"/>
      <c r="BAM261" s="18"/>
      <c r="BAN261" s="18"/>
      <c r="BAO261" s="18"/>
      <c r="BAP261" s="18"/>
      <c r="BAQ261" s="18"/>
      <c r="BAR261" s="18"/>
      <c r="BAS261" s="18"/>
      <c r="BAT261" s="18"/>
      <c r="BAU261" s="18"/>
      <c r="BAV261" s="18"/>
      <c r="BAW261" s="18"/>
      <c r="BAX261" s="18"/>
      <c r="BAY261" s="18"/>
      <c r="BAZ261" s="18"/>
      <c r="BBA261" s="18"/>
      <c r="BBB261" s="18"/>
      <c r="BBC261" s="18"/>
      <c r="BBD261" s="18"/>
      <c r="BBE261" s="18"/>
      <c r="BBF261" s="18"/>
      <c r="BBG261" s="18"/>
      <c r="BBH261" s="18"/>
      <c r="BBI261" s="18"/>
      <c r="BBJ261" s="18"/>
      <c r="BBK261" s="18"/>
      <c r="BBL261" s="18"/>
      <c r="BBM261" s="18"/>
      <c r="BBN261" s="18"/>
      <c r="BBO261" s="18"/>
      <c r="BBP261" s="18"/>
      <c r="BBQ261" s="18"/>
      <c r="BBR261" s="18"/>
      <c r="BBS261" s="18"/>
      <c r="BBT261" s="18"/>
      <c r="BBU261" s="18"/>
      <c r="BBV261" s="18"/>
      <c r="BBW261" s="18"/>
      <c r="BBX261" s="18"/>
      <c r="BBY261" s="18"/>
      <c r="BBZ261" s="18"/>
      <c r="BCA261" s="18"/>
      <c r="BCB261" s="18"/>
      <c r="BCC261" s="18"/>
      <c r="BCD261" s="18"/>
      <c r="BCE261" s="18"/>
      <c r="BCF261" s="18"/>
      <c r="BCG261" s="18"/>
      <c r="BCH261" s="18"/>
      <c r="BCI261" s="18"/>
      <c r="BCJ261" s="18"/>
      <c r="BCK261" s="18"/>
      <c r="BCL261" s="18"/>
      <c r="BCM261" s="18"/>
      <c r="BCN261" s="18"/>
      <c r="BCO261" s="18"/>
      <c r="BCP261" s="18"/>
      <c r="BCQ261" s="18"/>
      <c r="BCR261" s="18"/>
      <c r="BCS261" s="18"/>
      <c r="BCT261" s="18"/>
      <c r="BCU261" s="18"/>
      <c r="BCV261" s="18"/>
      <c r="BCW261" s="18"/>
      <c r="BCX261" s="18"/>
      <c r="BCY261" s="18"/>
      <c r="BCZ261" s="18"/>
      <c r="BDA261" s="18"/>
      <c r="BDB261" s="18"/>
      <c r="BDC261" s="18"/>
      <c r="BDD261" s="18"/>
      <c r="BDE261" s="18"/>
      <c r="BDF261" s="18"/>
      <c r="BDG261" s="18"/>
      <c r="BDH261" s="18"/>
      <c r="BDI261" s="18"/>
      <c r="BDJ261" s="18"/>
      <c r="BDK261" s="18"/>
      <c r="BDL261" s="18"/>
      <c r="BDM261" s="18"/>
      <c r="BDN261" s="18"/>
      <c r="BDO261" s="18"/>
      <c r="BDP261" s="18"/>
      <c r="BDQ261" s="18"/>
      <c r="BDR261" s="18"/>
      <c r="BDS261" s="18"/>
      <c r="BDT261" s="18"/>
      <c r="BDU261" s="18"/>
      <c r="BDV261" s="18"/>
      <c r="BDW261" s="18"/>
      <c r="BDX261" s="18"/>
      <c r="BDY261" s="18"/>
      <c r="BDZ261" s="18"/>
      <c r="BEA261" s="18"/>
      <c r="BEB261" s="18"/>
      <c r="BEC261" s="18"/>
      <c r="BED261" s="18"/>
      <c r="BEE261" s="18"/>
      <c r="BEF261" s="18"/>
      <c r="BEG261" s="18"/>
      <c r="BEH261" s="18"/>
      <c r="BEI261" s="18"/>
      <c r="BEJ261" s="18"/>
      <c r="BEK261" s="18"/>
      <c r="BEL261" s="18"/>
      <c r="BEM261" s="18"/>
      <c r="BEN261" s="18"/>
      <c r="BEO261" s="18"/>
      <c r="BEP261" s="18"/>
      <c r="BEQ261" s="18"/>
      <c r="BER261" s="18"/>
      <c r="BES261" s="18"/>
      <c r="BET261" s="18"/>
      <c r="BEU261" s="18"/>
      <c r="BEV261" s="18"/>
      <c r="BEW261" s="18"/>
      <c r="BEX261" s="18"/>
      <c r="BEY261" s="18"/>
      <c r="BEZ261" s="18"/>
      <c r="BFA261" s="18"/>
      <c r="BFB261" s="18"/>
      <c r="BFC261" s="18"/>
      <c r="BFD261" s="18"/>
      <c r="BFE261" s="18"/>
      <c r="BFF261" s="18"/>
      <c r="BFG261" s="18"/>
      <c r="BFH261" s="18"/>
      <c r="BFI261" s="18"/>
      <c r="BFJ261" s="18"/>
      <c r="BFK261" s="18"/>
      <c r="BFL261" s="18"/>
      <c r="BFM261" s="18"/>
      <c r="BFN261" s="18"/>
      <c r="BFO261" s="18"/>
      <c r="BFP261" s="18"/>
      <c r="BFQ261" s="18"/>
      <c r="BFR261" s="18"/>
      <c r="BFS261" s="18"/>
      <c r="BFT261" s="18"/>
      <c r="BFU261" s="18"/>
      <c r="BFV261" s="18"/>
      <c r="BFW261" s="18"/>
      <c r="BFX261" s="18"/>
      <c r="BFY261" s="18"/>
      <c r="BFZ261" s="18"/>
      <c r="BGA261" s="18"/>
      <c r="BGB261" s="18"/>
      <c r="BGC261" s="18"/>
      <c r="BGD261" s="18"/>
      <c r="BGE261" s="18"/>
      <c r="BGF261" s="18"/>
      <c r="BGG261" s="18"/>
      <c r="BGH261" s="18"/>
      <c r="BGI261" s="18"/>
      <c r="BGJ261" s="18"/>
      <c r="BGK261" s="18"/>
      <c r="BGL261" s="18"/>
      <c r="BGM261" s="18"/>
      <c r="BGN261" s="18"/>
      <c r="BGO261" s="18"/>
      <c r="BGP261" s="18"/>
      <c r="BGQ261" s="18"/>
      <c r="BGR261" s="18"/>
      <c r="BGS261" s="18"/>
      <c r="BGT261" s="18"/>
      <c r="BGU261" s="18"/>
      <c r="BGV261" s="18"/>
      <c r="BGW261" s="18"/>
      <c r="BGX261" s="18"/>
      <c r="BGY261" s="18"/>
      <c r="BGZ261" s="18"/>
      <c r="BHA261" s="18"/>
      <c r="BHB261" s="18"/>
      <c r="BHC261" s="18"/>
      <c r="BHD261" s="18"/>
      <c r="BHE261" s="18"/>
      <c r="BHF261" s="18"/>
      <c r="BHG261" s="18"/>
      <c r="BHH261" s="18"/>
      <c r="BHI261" s="18"/>
      <c r="BHJ261" s="18"/>
      <c r="BHK261" s="18"/>
      <c r="BHL261" s="18"/>
      <c r="BHM261" s="18"/>
      <c r="BHN261" s="18"/>
      <c r="BHO261" s="18"/>
      <c r="BHP261" s="18"/>
      <c r="BHQ261" s="18"/>
      <c r="BHR261" s="18"/>
      <c r="BHS261" s="18"/>
      <c r="BHT261" s="18"/>
      <c r="BHU261" s="18"/>
      <c r="BHV261" s="18"/>
      <c r="BHW261" s="18"/>
      <c r="BHX261" s="18"/>
      <c r="BHY261" s="18"/>
      <c r="BHZ261" s="18"/>
      <c r="BIA261" s="18"/>
      <c r="BIB261" s="18"/>
      <c r="BIC261" s="18"/>
      <c r="BID261" s="18"/>
      <c r="BIE261" s="18"/>
      <c r="BIF261" s="18"/>
      <c r="BIG261" s="18"/>
      <c r="BIH261" s="18"/>
      <c r="BII261" s="18"/>
      <c r="BIJ261" s="18"/>
      <c r="BIK261" s="18"/>
      <c r="BIL261" s="18"/>
      <c r="BIM261" s="18"/>
      <c r="BIN261" s="18"/>
      <c r="BIO261" s="18"/>
      <c r="BIP261" s="18"/>
      <c r="BIQ261" s="18"/>
      <c r="BIR261" s="18"/>
      <c r="BIS261" s="18"/>
      <c r="BIT261" s="18"/>
      <c r="BIU261" s="18"/>
      <c r="BIV261" s="18"/>
      <c r="BIW261" s="18"/>
      <c r="BIX261" s="18"/>
      <c r="BIY261" s="18"/>
      <c r="BIZ261" s="18"/>
      <c r="BJA261" s="18"/>
      <c r="BJB261" s="18"/>
      <c r="BJC261" s="18"/>
      <c r="BJD261" s="18"/>
      <c r="BJE261" s="18"/>
      <c r="BJF261" s="18"/>
      <c r="BJG261" s="18"/>
      <c r="BJH261" s="18"/>
      <c r="BJI261" s="18"/>
      <c r="BJJ261" s="18"/>
      <c r="BJK261" s="18"/>
      <c r="BJL261" s="18"/>
      <c r="BJM261" s="18"/>
      <c r="BJN261" s="18"/>
      <c r="BJO261" s="18"/>
      <c r="BJP261" s="18"/>
      <c r="BJQ261" s="18"/>
      <c r="BJR261" s="18"/>
      <c r="BJS261" s="18"/>
      <c r="BJT261" s="18"/>
      <c r="BJU261" s="18"/>
      <c r="BJV261" s="18"/>
      <c r="BJW261" s="18"/>
      <c r="BJX261" s="18"/>
      <c r="BJY261" s="18"/>
      <c r="BJZ261" s="18"/>
      <c r="BKA261" s="18"/>
      <c r="BKB261" s="18"/>
      <c r="BKC261" s="18"/>
      <c r="BKD261" s="18"/>
      <c r="BKE261" s="18"/>
      <c r="BKF261" s="18"/>
      <c r="BKG261" s="18"/>
      <c r="BKH261" s="18"/>
      <c r="BKI261" s="18"/>
      <c r="BKJ261" s="18"/>
      <c r="BKK261" s="18"/>
      <c r="BKL261" s="18"/>
      <c r="BKM261" s="18"/>
      <c r="BKN261" s="18"/>
      <c r="BKO261" s="18"/>
      <c r="BKP261" s="18"/>
      <c r="BKQ261" s="18"/>
      <c r="BKR261" s="18"/>
      <c r="BKS261" s="18"/>
      <c r="BKT261" s="18"/>
      <c r="BKU261" s="18"/>
      <c r="BKV261" s="18"/>
      <c r="BKW261" s="18"/>
      <c r="BKX261" s="18"/>
      <c r="BKY261" s="18"/>
      <c r="BKZ261" s="18"/>
      <c r="BLA261" s="18"/>
      <c r="BLB261" s="18"/>
      <c r="BLC261" s="18"/>
      <c r="BLD261" s="18"/>
      <c r="BLE261" s="18"/>
      <c r="BLF261" s="18"/>
      <c r="BLG261" s="18"/>
      <c r="BLH261" s="18"/>
      <c r="BLI261" s="18"/>
      <c r="BLJ261" s="18"/>
      <c r="BLK261" s="18"/>
      <c r="BLL261" s="18"/>
      <c r="BLM261" s="18"/>
      <c r="BLN261" s="18"/>
      <c r="BLO261" s="18"/>
      <c r="BLP261" s="18"/>
      <c r="BLQ261" s="18"/>
      <c r="BLR261" s="18"/>
      <c r="BLS261" s="18"/>
      <c r="BLT261" s="18"/>
      <c r="BLU261" s="18"/>
      <c r="BLV261" s="18"/>
      <c r="BLW261" s="18"/>
      <c r="BLX261" s="18"/>
      <c r="BLY261" s="18"/>
      <c r="BLZ261" s="18"/>
      <c r="BMA261" s="18"/>
      <c r="BMB261" s="18"/>
      <c r="BMC261" s="18"/>
      <c r="BMD261" s="18"/>
      <c r="BME261" s="18"/>
      <c r="BMF261" s="18"/>
      <c r="BMG261" s="18"/>
      <c r="BMH261" s="18"/>
      <c r="BMI261" s="18"/>
      <c r="BMJ261" s="18"/>
      <c r="BMK261" s="18"/>
      <c r="BML261" s="18"/>
      <c r="BMM261" s="18"/>
      <c r="BMN261" s="18"/>
      <c r="BMO261" s="18"/>
      <c r="BMP261" s="18"/>
      <c r="BMQ261" s="18"/>
      <c r="BMR261" s="18"/>
      <c r="BMS261" s="18"/>
      <c r="BMT261" s="18"/>
      <c r="BMU261" s="18"/>
      <c r="BMV261" s="18"/>
      <c r="BMW261" s="18"/>
      <c r="BMX261" s="18"/>
      <c r="BMY261" s="18"/>
      <c r="BMZ261" s="18"/>
      <c r="BNA261" s="18"/>
      <c r="BNB261" s="18"/>
      <c r="BNC261" s="18"/>
      <c r="BND261" s="18"/>
      <c r="BNE261" s="18"/>
      <c r="BNF261" s="18"/>
      <c r="BNG261" s="18"/>
      <c r="BNH261" s="18"/>
      <c r="BNI261" s="18"/>
      <c r="BNJ261" s="18"/>
      <c r="BNK261" s="18"/>
      <c r="BNL261" s="18"/>
      <c r="BNM261" s="18"/>
      <c r="BNN261" s="18"/>
      <c r="BNO261" s="18"/>
      <c r="BNP261" s="18"/>
      <c r="BNQ261" s="18"/>
      <c r="BNR261" s="18"/>
      <c r="BNS261" s="18"/>
      <c r="BNT261" s="18"/>
      <c r="BNU261" s="18"/>
      <c r="BNV261" s="18"/>
      <c r="BNW261" s="18"/>
      <c r="BNX261" s="18"/>
      <c r="BNY261" s="18"/>
      <c r="BNZ261" s="18"/>
      <c r="BOA261" s="18"/>
      <c r="BOB261" s="18"/>
      <c r="BOC261" s="18"/>
      <c r="BOD261" s="18"/>
      <c r="BOE261" s="18"/>
      <c r="BOF261" s="18"/>
      <c r="BOG261" s="18"/>
      <c r="BOH261" s="18"/>
      <c r="BOI261" s="18"/>
      <c r="BOJ261" s="18"/>
      <c r="BOK261" s="18"/>
      <c r="BOL261" s="18"/>
      <c r="BOM261" s="18"/>
      <c r="BON261" s="18"/>
      <c r="BOO261" s="18"/>
      <c r="BOP261" s="18"/>
      <c r="BOQ261" s="18"/>
      <c r="BOR261" s="18"/>
      <c r="BOS261" s="18"/>
      <c r="BOT261" s="18"/>
      <c r="BOU261" s="18"/>
      <c r="BOV261" s="18"/>
      <c r="BOW261" s="18"/>
      <c r="BOX261" s="18"/>
      <c r="BOY261" s="18"/>
      <c r="BOZ261" s="18"/>
      <c r="BPA261" s="18"/>
      <c r="BPB261" s="18"/>
      <c r="BPC261" s="18"/>
      <c r="BPD261" s="18"/>
      <c r="BPE261" s="18"/>
      <c r="BPF261" s="18"/>
      <c r="BPG261" s="18"/>
      <c r="BPH261" s="18"/>
      <c r="BPI261" s="18"/>
      <c r="BPJ261" s="18"/>
      <c r="BPK261" s="18"/>
      <c r="BPL261" s="18"/>
      <c r="BPM261" s="18"/>
      <c r="BPN261" s="18"/>
      <c r="BPO261" s="18"/>
      <c r="BPP261" s="18"/>
      <c r="BPQ261" s="18"/>
      <c r="BPR261" s="18"/>
      <c r="BPS261" s="18"/>
      <c r="BPT261" s="18"/>
      <c r="BPU261" s="18"/>
      <c r="BPV261" s="18"/>
      <c r="BPW261" s="18"/>
      <c r="BPX261" s="18"/>
      <c r="BPY261" s="18"/>
      <c r="BPZ261" s="18"/>
      <c r="BQA261" s="18"/>
      <c r="BQB261" s="18"/>
      <c r="BQC261" s="18"/>
      <c r="BQD261" s="18"/>
      <c r="BQE261" s="18"/>
      <c r="BQF261" s="18"/>
      <c r="BQG261" s="18"/>
      <c r="BQH261" s="18"/>
      <c r="BQI261" s="18"/>
      <c r="BQJ261" s="18"/>
      <c r="BQK261" s="18"/>
      <c r="BQL261" s="18"/>
      <c r="BQM261" s="18"/>
      <c r="BQN261" s="18"/>
      <c r="BQO261" s="18"/>
      <c r="BQP261" s="18"/>
      <c r="BQQ261" s="18"/>
      <c r="BQR261" s="18"/>
      <c r="BQS261" s="18"/>
      <c r="BQT261" s="18"/>
      <c r="BQU261" s="18"/>
      <c r="BQV261" s="18"/>
      <c r="BQW261" s="18"/>
      <c r="BQX261" s="18"/>
      <c r="BQY261" s="18"/>
      <c r="BQZ261" s="18"/>
      <c r="BRA261" s="18"/>
      <c r="BRB261" s="18"/>
      <c r="BRC261" s="18"/>
      <c r="BRD261" s="18"/>
      <c r="BRE261" s="18"/>
      <c r="BRF261" s="18"/>
      <c r="BRG261" s="18"/>
      <c r="BRH261" s="18"/>
      <c r="BRI261" s="18"/>
      <c r="BRJ261" s="18"/>
      <c r="BRK261" s="18"/>
      <c r="BRL261" s="18"/>
      <c r="BRM261" s="18"/>
      <c r="BRN261" s="18"/>
      <c r="BRO261" s="18"/>
      <c r="BRP261" s="18"/>
      <c r="BRQ261" s="18"/>
      <c r="BRR261" s="18"/>
      <c r="BRS261" s="18"/>
      <c r="BRT261" s="18"/>
      <c r="BRU261" s="18"/>
      <c r="BRV261" s="18"/>
      <c r="BRW261" s="18"/>
      <c r="BRX261" s="18"/>
      <c r="BRY261" s="18"/>
      <c r="BRZ261" s="18"/>
      <c r="BSA261" s="18"/>
      <c r="BSB261" s="18"/>
      <c r="BSC261" s="18"/>
      <c r="BSD261" s="18"/>
      <c r="BSE261" s="18"/>
      <c r="BSF261" s="18"/>
      <c r="BSG261" s="18"/>
      <c r="BSH261" s="18"/>
      <c r="BSI261" s="18"/>
      <c r="BSJ261" s="18"/>
      <c r="BSK261" s="18"/>
      <c r="BSL261" s="18"/>
      <c r="BSM261" s="18"/>
      <c r="BSN261" s="18"/>
      <c r="BSO261" s="18"/>
      <c r="BSP261" s="18"/>
      <c r="BSQ261" s="18"/>
      <c r="BSR261" s="18"/>
      <c r="BSS261" s="18"/>
      <c r="BST261" s="18"/>
      <c r="BSU261" s="18"/>
      <c r="BSV261" s="18"/>
      <c r="BSW261" s="18"/>
      <c r="BSX261" s="18"/>
      <c r="BSY261" s="18"/>
      <c r="BSZ261" s="18"/>
      <c r="BTA261" s="18"/>
      <c r="BTB261" s="18"/>
      <c r="BTC261" s="18"/>
      <c r="BTD261" s="18"/>
      <c r="BTE261" s="18"/>
      <c r="BTF261" s="18"/>
      <c r="BTG261" s="18"/>
      <c r="BTH261" s="18"/>
      <c r="BTI261" s="18"/>
    </row>
    <row r="262" spans="1:1881" s="798" customFormat="1" ht="110.25" customHeight="1" x14ac:dyDescent="0.3">
      <c r="A262" s="121">
        <v>622</v>
      </c>
      <c r="B262" s="799" t="s">
        <v>607</v>
      </c>
      <c r="C262" s="121" t="s">
        <v>715</v>
      </c>
      <c r="D262" s="121" t="s">
        <v>1421</v>
      </c>
      <c r="E262" s="699" t="e">
        <f>HLOOKUP($D$2,'2020 Data(H)'!$C$1:$CZ$428,282,FALSE)</f>
        <v>#N/A</v>
      </c>
      <c r="F262" s="300">
        <v>0</v>
      </c>
      <c r="G262" s="759"/>
      <c r="H262" s="17"/>
      <c r="I262" s="795"/>
      <c r="J262" s="18"/>
      <c r="K262" s="18"/>
      <c r="L262" s="18"/>
      <c r="M262" s="18"/>
      <c r="N262" s="302"/>
      <c r="O262" s="18"/>
      <c r="P262" s="18"/>
      <c r="Q262" s="18"/>
      <c r="R262" s="18"/>
      <c r="S262" s="18"/>
      <c r="T262" s="18"/>
      <c r="U262" s="18"/>
      <c r="V262" s="18"/>
      <c r="W262" s="18"/>
      <c r="X262" s="18"/>
      <c r="Y262" s="18"/>
      <c r="Z262" s="121"/>
      <c r="AA262" s="121"/>
      <c r="AB262" s="121"/>
      <c r="AC262" s="121"/>
      <c r="AD262" s="121"/>
      <c r="AE262" s="121"/>
      <c r="AF262" s="121"/>
      <c r="AG262" s="121"/>
      <c r="AH262" s="121"/>
      <c r="AI262" s="121"/>
      <c r="AJ262" s="121"/>
      <c r="AK262" s="121"/>
      <c r="AL262" s="121"/>
      <c r="AM262" s="121"/>
      <c r="AN262" s="121"/>
      <c r="AO262" s="121"/>
      <c r="AP262" s="121"/>
      <c r="AQ262" s="121"/>
      <c r="AR262" s="121"/>
      <c r="AS262" s="18"/>
      <c r="AT262" s="18"/>
      <c r="AU262" s="18"/>
      <c r="AV262" s="18"/>
      <c r="AW262" s="18"/>
      <c r="AX262" s="18"/>
      <c r="AY262" s="18"/>
      <c r="AZ262" s="18"/>
      <c r="BA262" s="18"/>
      <c r="BB262" s="18"/>
      <c r="BC262" s="18"/>
      <c r="BD262" s="18"/>
      <c r="BE262" s="18"/>
      <c r="BF262" s="18"/>
      <c r="BG262" s="18"/>
      <c r="BH262" s="18"/>
      <c r="BI262" s="18"/>
      <c r="BJ262" s="18"/>
      <c r="BK262" s="18"/>
      <c r="BL262" s="18"/>
      <c r="BM262" s="18"/>
      <c r="BN262" s="18"/>
      <c r="BO262" s="18"/>
      <c r="BP262" s="18"/>
      <c r="BQ262" s="18"/>
      <c r="BR262" s="18"/>
      <c r="BS262" s="18"/>
      <c r="BT262" s="18"/>
      <c r="BU262" s="18"/>
      <c r="BV262" s="18"/>
      <c r="BW262" s="18"/>
      <c r="BX262" s="18"/>
      <c r="BY262" s="18"/>
      <c r="BZ262" s="18"/>
      <c r="CA262" s="18"/>
      <c r="CB262" s="18"/>
      <c r="CC262" s="18"/>
      <c r="CD262" s="18"/>
      <c r="CE262" s="18"/>
      <c r="CF262" s="18"/>
      <c r="CG262" s="18"/>
      <c r="CH262" s="18"/>
      <c r="CI262" s="18"/>
      <c r="CJ262" s="18"/>
      <c r="CK262" s="18"/>
      <c r="CL262" s="18"/>
      <c r="CM262" s="18"/>
      <c r="CN262" s="18"/>
      <c r="CO262" s="18"/>
      <c r="CP262" s="18"/>
      <c r="CQ262" s="18"/>
      <c r="CR262" s="18"/>
      <c r="CS262" s="18"/>
      <c r="CT262" s="18"/>
      <c r="CU262" s="18"/>
      <c r="CV262" s="18"/>
      <c r="CW262" s="18"/>
      <c r="CX262" s="18"/>
      <c r="CY262" s="18"/>
      <c r="CZ262" s="18"/>
      <c r="DA262" s="18"/>
      <c r="DB262" s="18"/>
      <c r="DC262" s="18"/>
      <c r="DD262" s="18"/>
      <c r="DE262" s="18"/>
      <c r="DF262" s="18"/>
      <c r="DG262" s="18"/>
      <c r="DH262" s="18"/>
      <c r="DI262" s="18"/>
      <c r="DJ262" s="18"/>
      <c r="DK262" s="18"/>
      <c r="DL262" s="18"/>
      <c r="DM262" s="18"/>
      <c r="DN262" s="18"/>
      <c r="DO262" s="18"/>
      <c r="DP262" s="18"/>
      <c r="DQ262" s="18"/>
      <c r="DR262" s="18"/>
      <c r="DS262" s="18"/>
      <c r="DT262" s="18"/>
      <c r="DU262" s="18"/>
      <c r="DV262" s="18"/>
      <c r="DW262" s="18"/>
      <c r="DX262" s="18"/>
      <c r="DY262" s="18"/>
      <c r="DZ262" s="18"/>
      <c r="EA262" s="18"/>
      <c r="EB262" s="18"/>
      <c r="EC262" s="18"/>
      <c r="ED262" s="18"/>
      <c r="EE262" s="18"/>
      <c r="EF262" s="18"/>
      <c r="EG262" s="18"/>
      <c r="EH262" s="18"/>
      <c r="EI262" s="18"/>
      <c r="EJ262" s="18"/>
      <c r="EK262" s="18"/>
      <c r="EL262" s="18"/>
      <c r="EM262" s="18"/>
      <c r="EN262" s="18"/>
      <c r="EO262" s="18"/>
      <c r="EP262" s="18"/>
      <c r="EQ262" s="18"/>
      <c r="ER262" s="18"/>
      <c r="ES262" s="18"/>
      <c r="ET262" s="18"/>
      <c r="EU262" s="18"/>
      <c r="EV262" s="18"/>
      <c r="EW262" s="18"/>
      <c r="EX262" s="18"/>
      <c r="EY262" s="18"/>
      <c r="EZ262" s="18"/>
      <c r="FA262" s="18"/>
      <c r="FB262" s="18"/>
      <c r="FC262" s="18"/>
      <c r="FD262" s="18"/>
      <c r="FE262" s="18"/>
      <c r="FF262" s="18"/>
      <c r="FG262" s="18"/>
      <c r="FH262" s="18"/>
      <c r="FI262" s="18"/>
      <c r="FJ262" s="18"/>
      <c r="FK262" s="18"/>
      <c r="FL262" s="18"/>
      <c r="FM262" s="18"/>
      <c r="FN262" s="18"/>
      <c r="FO262" s="18"/>
      <c r="FP262" s="18"/>
      <c r="FQ262" s="18"/>
      <c r="FR262" s="18"/>
      <c r="FS262" s="18"/>
      <c r="FT262" s="18"/>
      <c r="FU262" s="18"/>
      <c r="FV262" s="18"/>
      <c r="FW262" s="18"/>
      <c r="FX262" s="18"/>
      <c r="FY262" s="18"/>
      <c r="FZ262" s="18"/>
      <c r="GA262" s="18"/>
      <c r="GB262" s="18"/>
      <c r="GC262" s="18"/>
      <c r="GD262" s="18"/>
      <c r="GE262" s="18"/>
      <c r="GF262" s="18"/>
      <c r="GG262" s="18"/>
      <c r="GH262" s="18"/>
      <c r="GI262" s="18"/>
      <c r="GJ262" s="18"/>
      <c r="GK262" s="18"/>
      <c r="GL262" s="18"/>
      <c r="GM262" s="18"/>
      <c r="GN262" s="18"/>
      <c r="GO262" s="18"/>
      <c r="GP262" s="18"/>
      <c r="GQ262" s="18"/>
      <c r="GR262" s="18"/>
      <c r="GS262" s="18"/>
      <c r="GT262" s="18"/>
      <c r="GU262" s="18"/>
      <c r="GV262" s="18"/>
      <c r="GW262" s="18"/>
      <c r="GX262" s="18"/>
      <c r="GY262" s="18"/>
      <c r="GZ262" s="18"/>
      <c r="HA262" s="18"/>
      <c r="HB262" s="18"/>
      <c r="HC262" s="18"/>
      <c r="HD262" s="18"/>
      <c r="HE262" s="18"/>
      <c r="HF262" s="18"/>
      <c r="HG262" s="18"/>
      <c r="HH262" s="18"/>
      <c r="HI262" s="18"/>
      <c r="HJ262" s="18"/>
      <c r="HK262" s="18"/>
      <c r="HL262" s="18"/>
      <c r="HM262" s="18"/>
      <c r="HN262" s="18"/>
      <c r="HO262" s="18"/>
      <c r="HP262" s="18"/>
      <c r="HQ262" s="18"/>
      <c r="HR262" s="18"/>
      <c r="HS262" s="18"/>
      <c r="HT262" s="18"/>
      <c r="HU262" s="18"/>
      <c r="HV262" s="18"/>
      <c r="HW262" s="18"/>
      <c r="HX262" s="18"/>
      <c r="HY262" s="18"/>
      <c r="HZ262" s="18"/>
      <c r="IA262" s="18"/>
      <c r="IB262" s="18"/>
      <c r="IC262" s="18"/>
      <c r="ID262" s="18"/>
      <c r="IE262" s="18"/>
      <c r="IF262" s="18"/>
      <c r="IG262" s="18"/>
      <c r="IH262" s="18"/>
      <c r="II262" s="18"/>
      <c r="IJ262" s="18"/>
      <c r="IK262" s="18"/>
      <c r="IL262" s="18"/>
      <c r="IM262" s="18"/>
      <c r="IN262" s="18"/>
      <c r="IO262" s="18"/>
      <c r="IP262" s="18"/>
      <c r="IQ262" s="18"/>
      <c r="IR262" s="18"/>
      <c r="IS262" s="18"/>
      <c r="IT262" s="18"/>
      <c r="IU262" s="18"/>
      <c r="IV262" s="18"/>
      <c r="IW262" s="18"/>
      <c r="IX262" s="18"/>
      <c r="IY262" s="18"/>
      <c r="IZ262" s="18"/>
      <c r="JA262" s="18"/>
      <c r="JB262" s="18"/>
      <c r="JC262" s="18"/>
      <c r="JD262" s="18"/>
      <c r="JE262" s="18"/>
      <c r="JF262" s="18"/>
      <c r="JG262" s="18"/>
      <c r="JH262" s="18"/>
      <c r="JI262" s="18"/>
      <c r="JJ262" s="18"/>
      <c r="JK262" s="18"/>
      <c r="JL262" s="18"/>
      <c r="JM262" s="18"/>
      <c r="JN262" s="18"/>
      <c r="JO262" s="18"/>
      <c r="JP262" s="18"/>
      <c r="JQ262" s="18"/>
      <c r="JR262" s="18"/>
      <c r="JS262" s="18"/>
      <c r="JT262" s="18"/>
      <c r="JU262" s="18"/>
      <c r="JV262" s="18"/>
      <c r="JW262" s="18"/>
      <c r="JX262" s="18"/>
      <c r="JY262" s="18"/>
      <c r="JZ262" s="18"/>
      <c r="KA262" s="18"/>
      <c r="KB262" s="18"/>
      <c r="KC262" s="18"/>
      <c r="KD262" s="18"/>
      <c r="KE262" s="18"/>
      <c r="KF262" s="18"/>
      <c r="KG262" s="18"/>
      <c r="KH262" s="18"/>
      <c r="KI262" s="18"/>
      <c r="KJ262" s="18"/>
      <c r="KK262" s="18"/>
      <c r="KL262" s="18"/>
      <c r="KM262" s="18"/>
      <c r="KN262" s="18"/>
      <c r="KO262" s="18"/>
      <c r="KP262" s="18"/>
      <c r="KQ262" s="18"/>
      <c r="KR262" s="18"/>
      <c r="KS262" s="18"/>
      <c r="KT262" s="18"/>
      <c r="KU262" s="18"/>
      <c r="KV262" s="18"/>
      <c r="KW262" s="18"/>
      <c r="KX262" s="18"/>
      <c r="KY262" s="18"/>
      <c r="KZ262" s="18"/>
      <c r="LA262" s="18"/>
      <c r="LB262" s="18"/>
      <c r="LC262" s="18"/>
      <c r="LD262" s="18"/>
      <c r="LE262" s="18"/>
      <c r="LF262" s="18"/>
      <c r="LG262" s="18"/>
      <c r="LH262" s="18"/>
      <c r="LI262" s="18"/>
      <c r="LJ262" s="18"/>
      <c r="LK262" s="18"/>
      <c r="LL262" s="18"/>
      <c r="LM262" s="18"/>
      <c r="LN262" s="18"/>
      <c r="LO262" s="18"/>
      <c r="LP262" s="18"/>
      <c r="LQ262" s="18"/>
      <c r="LR262" s="18"/>
      <c r="LS262" s="18"/>
      <c r="LT262" s="18"/>
      <c r="LU262" s="18"/>
      <c r="LV262" s="18"/>
      <c r="LW262" s="18"/>
      <c r="LX262" s="18"/>
      <c r="LY262" s="18"/>
      <c r="LZ262" s="18"/>
      <c r="MA262" s="18"/>
      <c r="MB262" s="18"/>
      <c r="MC262" s="18"/>
      <c r="MD262" s="18"/>
      <c r="ME262" s="18"/>
      <c r="MF262" s="18"/>
      <c r="MG262" s="18"/>
      <c r="MH262" s="18"/>
      <c r="MI262" s="18"/>
      <c r="MJ262" s="18"/>
      <c r="MK262" s="18"/>
      <c r="ML262" s="18"/>
      <c r="MM262" s="18"/>
      <c r="MN262" s="18"/>
      <c r="MO262" s="18"/>
      <c r="MP262" s="18"/>
      <c r="MQ262" s="18"/>
      <c r="MR262" s="18"/>
      <c r="MS262" s="18"/>
      <c r="MT262" s="18"/>
      <c r="MU262" s="18"/>
      <c r="MV262" s="18"/>
      <c r="MW262" s="18"/>
      <c r="MX262" s="18"/>
      <c r="MY262" s="18"/>
      <c r="MZ262" s="18"/>
      <c r="NA262" s="18"/>
      <c r="NB262" s="18"/>
      <c r="NC262" s="18"/>
      <c r="ND262" s="18"/>
      <c r="NE262" s="18"/>
      <c r="NF262" s="18"/>
      <c r="NG262" s="18"/>
      <c r="NH262" s="18"/>
      <c r="NI262" s="18"/>
      <c r="NJ262" s="18"/>
      <c r="NK262" s="18"/>
      <c r="NL262" s="18"/>
      <c r="NM262" s="18"/>
      <c r="NN262" s="18"/>
      <c r="NO262" s="18"/>
      <c r="NP262" s="18"/>
      <c r="NQ262" s="18"/>
      <c r="NR262" s="18"/>
      <c r="NS262" s="18"/>
      <c r="NT262" s="18"/>
      <c r="NU262" s="18"/>
      <c r="NV262" s="18"/>
      <c r="NW262" s="18"/>
      <c r="NX262" s="18"/>
      <c r="NY262" s="18"/>
      <c r="NZ262" s="18"/>
      <c r="OA262" s="18"/>
      <c r="OB262" s="18"/>
      <c r="OC262" s="18"/>
      <c r="OD262" s="18"/>
      <c r="OE262" s="18"/>
      <c r="OF262" s="18"/>
      <c r="OG262" s="18"/>
      <c r="OH262" s="18"/>
      <c r="OI262" s="18"/>
      <c r="OJ262" s="18"/>
      <c r="OK262" s="18"/>
      <c r="OL262" s="18"/>
      <c r="OM262" s="18"/>
      <c r="ON262" s="18"/>
      <c r="OO262" s="18"/>
      <c r="OP262" s="18"/>
      <c r="OQ262" s="18"/>
      <c r="OR262" s="18"/>
      <c r="OS262" s="18"/>
      <c r="OT262" s="18"/>
      <c r="OU262" s="18"/>
      <c r="OV262" s="18"/>
      <c r="OW262" s="18"/>
      <c r="OX262" s="18"/>
      <c r="OY262" s="18"/>
      <c r="OZ262" s="18"/>
      <c r="PA262" s="18"/>
      <c r="PB262" s="18"/>
      <c r="PC262" s="18"/>
      <c r="PD262" s="18"/>
      <c r="PE262" s="18"/>
      <c r="PF262" s="18"/>
      <c r="PG262" s="18"/>
      <c r="PH262" s="18"/>
      <c r="PI262" s="18"/>
      <c r="PJ262" s="18"/>
      <c r="PK262" s="18"/>
      <c r="PL262" s="18"/>
      <c r="PM262" s="18"/>
      <c r="PN262" s="18"/>
      <c r="PO262" s="18"/>
      <c r="PP262" s="18"/>
      <c r="PQ262" s="18"/>
      <c r="PR262" s="18"/>
      <c r="PS262" s="18"/>
      <c r="PT262" s="18"/>
      <c r="PU262" s="18"/>
      <c r="PV262" s="18"/>
      <c r="PW262" s="18"/>
      <c r="PX262" s="18"/>
      <c r="PY262" s="18"/>
      <c r="PZ262" s="18"/>
      <c r="QA262" s="18"/>
      <c r="QB262" s="18"/>
      <c r="QC262" s="18"/>
      <c r="QD262" s="18"/>
      <c r="QE262" s="18"/>
      <c r="QF262" s="18"/>
      <c r="QG262" s="18"/>
      <c r="QH262" s="18"/>
      <c r="QI262" s="18"/>
      <c r="QJ262" s="18"/>
      <c r="QK262" s="18"/>
      <c r="QL262" s="18"/>
      <c r="QM262" s="18"/>
      <c r="QN262" s="18"/>
      <c r="QO262" s="18"/>
      <c r="QP262" s="18"/>
      <c r="QQ262" s="18"/>
      <c r="QR262" s="18"/>
      <c r="QS262" s="18"/>
      <c r="QT262" s="18"/>
      <c r="QU262" s="18"/>
      <c r="QV262" s="18"/>
      <c r="QW262" s="18"/>
      <c r="QX262" s="18"/>
      <c r="QY262" s="18"/>
      <c r="QZ262" s="18"/>
      <c r="RA262" s="18"/>
      <c r="RB262" s="18"/>
      <c r="RC262" s="18"/>
      <c r="RD262" s="18"/>
      <c r="RE262" s="18"/>
      <c r="RF262" s="18"/>
      <c r="RG262" s="18"/>
      <c r="RH262" s="18"/>
      <c r="RI262" s="18"/>
      <c r="RJ262" s="18"/>
      <c r="RK262" s="18"/>
      <c r="RL262" s="18"/>
      <c r="RM262" s="18"/>
      <c r="RN262" s="18"/>
      <c r="RO262" s="18"/>
      <c r="RP262" s="18"/>
      <c r="RQ262" s="18"/>
      <c r="RR262" s="18"/>
      <c r="RS262" s="18"/>
      <c r="RT262" s="18"/>
      <c r="RU262" s="18"/>
      <c r="RV262" s="18"/>
      <c r="RW262" s="18"/>
      <c r="RX262" s="18"/>
      <c r="RY262" s="18"/>
      <c r="RZ262" s="18"/>
      <c r="SA262" s="18"/>
      <c r="SB262" s="18"/>
      <c r="SC262" s="18"/>
      <c r="SD262" s="18"/>
      <c r="SE262" s="18"/>
      <c r="SF262" s="18"/>
      <c r="SG262" s="18"/>
      <c r="SH262" s="18"/>
      <c r="SI262" s="18"/>
      <c r="SJ262" s="18"/>
      <c r="SK262" s="18"/>
      <c r="SL262" s="18"/>
      <c r="SM262" s="18"/>
      <c r="SN262" s="18"/>
      <c r="SO262" s="18"/>
      <c r="SP262" s="18"/>
      <c r="SQ262" s="18"/>
      <c r="SR262" s="18"/>
      <c r="SS262" s="18"/>
      <c r="ST262" s="18"/>
      <c r="SU262" s="18"/>
      <c r="SV262" s="18"/>
      <c r="SW262" s="18"/>
      <c r="SX262" s="18"/>
      <c r="SY262" s="18"/>
      <c r="SZ262" s="18"/>
      <c r="TA262" s="18"/>
      <c r="TB262" s="18"/>
      <c r="TC262" s="18"/>
      <c r="TD262" s="18"/>
      <c r="TE262" s="18"/>
      <c r="TF262" s="18"/>
      <c r="TG262" s="18"/>
      <c r="TH262" s="18"/>
      <c r="TI262" s="18"/>
      <c r="TJ262" s="18"/>
      <c r="TK262" s="18"/>
      <c r="TL262" s="18"/>
      <c r="TM262" s="18"/>
      <c r="TN262" s="18"/>
      <c r="TO262" s="18"/>
      <c r="TP262" s="18"/>
      <c r="TQ262" s="18"/>
      <c r="TR262" s="18"/>
      <c r="TS262" s="18"/>
      <c r="TT262" s="18"/>
      <c r="TU262" s="18"/>
      <c r="TV262" s="18"/>
      <c r="TW262" s="18"/>
      <c r="TX262" s="18"/>
      <c r="TY262" s="18"/>
      <c r="TZ262" s="18"/>
      <c r="UA262" s="18"/>
      <c r="UB262" s="18"/>
      <c r="UC262" s="18"/>
      <c r="UD262" s="18"/>
      <c r="UE262" s="18"/>
      <c r="UF262" s="18"/>
      <c r="UG262" s="18"/>
      <c r="UH262" s="18"/>
      <c r="UI262" s="18"/>
      <c r="UJ262" s="18"/>
      <c r="UK262" s="18"/>
      <c r="UL262" s="18"/>
      <c r="UM262" s="18"/>
      <c r="UN262" s="18"/>
      <c r="UO262" s="18"/>
      <c r="UP262" s="18"/>
      <c r="UQ262" s="18"/>
      <c r="UR262" s="18"/>
      <c r="US262" s="18"/>
      <c r="UT262" s="18"/>
      <c r="UU262" s="18"/>
      <c r="UV262" s="18"/>
      <c r="UW262" s="18"/>
      <c r="UX262" s="18"/>
      <c r="UY262" s="18"/>
      <c r="UZ262" s="18"/>
      <c r="VA262" s="18"/>
      <c r="VB262" s="18"/>
      <c r="VC262" s="18"/>
      <c r="VD262" s="18"/>
      <c r="VE262" s="18"/>
      <c r="VF262" s="18"/>
      <c r="VG262" s="18"/>
      <c r="VH262" s="18"/>
      <c r="VI262" s="18"/>
      <c r="VJ262" s="18"/>
      <c r="VK262" s="18"/>
      <c r="VL262" s="18"/>
      <c r="VM262" s="18"/>
      <c r="VN262" s="18"/>
      <c r="VO262" s="18"/>
      <c r="VP262" s="18"/>
      <c r="VQ262" s="18"/>
      <c r="VR262" s="18"/>
      <c r="VS262" s="18"/>
      <c r="VT262" s="18"/>
      <c r="VU262" s="18"/>
      <c r="VV262" s="18"/>
      <c r="VW262" s="18"/>
      <c r="VX262" s="18"/>
      <c r="VY262" s="18"/>
      <c r="VZ262" s="18"/>
      <c r="WA262" s="18"/>
      <c r="WB262" s="18"/>
      <c r="WC262" s="18"/>
      <c r="WD262" s="18"/>
      <c r="WE262" s="18"/>
      <c r="WF262" s="18"/>
      <c r="WG262" s="18"/>
      <c r="WH262" s="18"/>
      <c r="WI262" s="18"/>
      <c r="WJ262" s="18"/>
      <c r="WK262" s="18"/>
      <c r="WL262" s="18"/>
      <c r="WM262" s="18"/>
      <c r="WN262" s="18"/>
      <c r="WO262" s="18"/>
      <c r="WP262" s="18"/>
      <c r="WQ262" s="18"/>
      <c r="WR262" s="18"/>
      <c r="WS262" s="18"/>
      <c r="WT262" s="18"/>
      <c r="WU262" s="18"/>
      <c r="WV262" s="18"/>
      <c r="WW262" s="18"/>
      <c r="WX262" s="18"/>
      <c r="WY262" s="18"/>
      <c r="WZ262" s="18"/>
      <c r="XA262" s="18"/>
      <c r="XB262" s="18"/>
      <c r="XC262" s="18"/>
      <c r="XD262" s="18"/>
      <c r="XE262" s="18"/>
      <c r="XF262" s="18"/>
      <c r="XG262" s="18"/>
      <c r="XH262" s="18"/>
      <c r="XI262" s="18"/>
      <c r="XJ262" s="18"/>
      <c r="XK262" s="18"/>
      <c r="XL262" s="18"/>
      <c r="XM262" s="18"/>
      <c r="XN262" s="18"/>
      <c r="XO262" s="18"/>
      <c r="XP262" s="18"/>
      <c r="XQ262" s="18"/>
      <c r="XR262" s="18"/>
      <c r="XS262" s="18"/>
      <c r="XT262" s="18"/>
      <c r="XU262" s="18"/>
      <c r="XV262" s="18"/>
      <c r="XW262" s="18"/>
      <c r="XX262" s="18"/>
      <c r="XY262" s="18"/>
      <c r="XZ262" s="18"/>
      <c r="YA262" s="18"/>
      <c r="YB262" s="18"/>
      <c r="YC262" s="18"/>
      <c r="YD262" s="18"/>
      <c r="YE262" s="18"/>
      <c r="YF262" s="18"/>
      <c r="YG262" s="18"/>
      <c r="YH262" s="18"/>
      <c r="YI262" s="18"/>
      <c r="YJ262" s="18"/>
      <c r="YK262" s="18"/>
      <c r="YL262" s="18"/>
      <c r="YM262" s="18"/>
      <c r="YN262" s="18"/>
      <c r="YO262" s="18"/>
      <c r="YP262" s="18"/>
      <c r="YQ262" s="18"/>
      <c r="YR262" s="18"/>
      <c r="YS262" s="18"/>
      <c r="YT262" s="18"/>
      <c r="YU262" s="18"/>
      <c r="YV262" s="18"/>
      <c r="YW262" s="18"/>
      <c r="YX262" s="18"/>
      <c r="YY262" s="18"/>
      <c r="YZ262" s="18"/>
      <c r="ZA262" s="18"/>
      <c r="ZB262" s="18"/>
      <c r="ZC262" s="18"/>
      <c r="ZD262" s="18"/>
      <c r="ZE262" s="18"/>
      <c r="ZF262" s="18"/>
      <c r="ZG262" s="18"/>
      <c r="ZH262" s="18"/>
      <c r="ZI262" s="18"/>
      <c r="ZJ262" s="18"/>
      <c r="ZK262" s="18"/>
      <c r="ZL262" s="18"/>
      <c r="ZM262" s="18"/>
      <c r="ZN262" s="18"/>
      <c r="ZO262" s="18"/>
      <c r="ZP262" s="18"/>
      <c r="ZQ262" s="18"/>
      <c r="ZR262" s="18"/>
      <c r="ZS262" s="18"/>
      <c r="ZT262" s="18"/>
      <c r="ZU262" s="18"/>
      <c r="ZV262" s="18"/>
      <c r="ZW262" s="18"/>
      <c r="ZX262" s="18"/>
      <c r="ZY262" s="18"/>
      <c r="ZZ262" s="18"/>
      <c r="AAA262" s="18"/>
      <c r="AAB262" s="18"/>
      <c r="AAC262" s="18"/>
      <c r="AAD262" s="18"/>
      <c r="AAE262" s="18"/>
      <c r="AAF262" s="18"/>
      <c r="AAG262" s="18"/>
      <c r="AAH262" s="18"/>
      <c r="AAI262" s="18"/>
      <c r="AAJ262" s="18"/>
      <c r="AAK262" s="18"/>
      <c r="AAL262" s="18"/>
      <c r="AAM262" s="18"/>
      <c r="AAN262" s="18"/>
      <c r="AAO262" s="18"/>
      <c r="AAP262" s="18"/>
      <c r="AAQ262" s="18"/>
      <c r="AAR262" s="18"/>
      <c r="AAS262" s="18"/>
      <c r="AAT262" s="18"/>
      <c r="AAU262" s="18"/>
      <c r="AAV262" s="18"/>
      <c r="AAW262" s="18"/>
      <c r="AAX262" s="18"/>
      <c r="AAY262" s="18"/>
      <c r="AAZ262" s="18"/>
      <c r="ABA262" s="18"/>
      <c r="ABB262" s="18"/>
      <c r="ABC262" s="18"/>
      <c r="ABD262" s="18"/>
      <c r="ABE262" s="18"/>
      <c r="ABF262" s="18"/>
      <c r="ABG262" s="18"/>
      <c r="ABH262" s="18"/>
      <c r="ABI262" s="18"/>
      <c r="ABJ262" s="18"/>
      <c r="ABK262" s="18"/>
      <c r="ABL262" s="18"/>
      <c r="ABM262" s="18"/>
      <c r="ABN262" s="18"/>
      <c r="ABO262" s="18"/>
      <c r="ABP262" s="18"/>
      <c r="ABQ262" s="18"/>
      <c r="ABR262" s="18"/>
      <c r="ABS262" s="18"/>
      <c r="ABT262" s="18"/>
      <c r="ABU262" s="18"/>
      <c r="ABV262" s="18"/>
      <c r="ABW262" s="18"/>
      <c r="ABX262" s="18"/>
      <c r="ABY262" s="18"/>
      <c r="ABZ262" s="18"/>
      <c r="ACA262" s="18"/>
      <c r="ACB262" s="18"/>
      <c r="ACC262" s="18"/>
      <c r="ACD262" s="18"/>
      <c r="ACE262" s="18"/>
      <c r="ACF262" s="18"/>
      <c r="ACG262" s="18"/>
      <c r="ACH262" s="18"/>
      <c r="ACI262" s="18"/>
      <c r="ACJ262" s="18"/>
      <c r="ACK262" s="18"/>
      <c r="ACL262" s="18"/>
      <c r="ACM262" s="18"/>
      <c r="ACN262" s="18"/>
      <c r="ACO262" s="18"/>
      <c r="ACP262" s="18"/>
      <c r="ACQ262" s="18"/>
      <c r="ACR262" s="18"/>
      <c r="ACS262" s="18"/>
      <c r="ACT262" s="18"/>
      <c r="ACU262" s="18"/>
      <c r="ACV262" s="18"/>
      <c r="ACW262" s="18"/>
      <c r="ACX262" s="18"/>
      <c r="ACY262" s="18"/>
      <c r="ACZ262" s="18"/>
      <c r="ADA262" s="18"/>
      <c r="ADB262" s="18"/>
      <c r="ADC262" s="18"/>
      <c r="ADD262" s="18"/>
      <c r="ADE262" s="18"/>
      <c r="ADF262" s="18"/>
      <c r="ADG262" s="18"/>
      <c r="ADH262" s="18"/>
      <c r="ADI262" s="18"/>
      <c r="ADJ262" s="18"/>
      <c r="ADK262" s="18"/>
      <c r="ADL262" s="18"/>
      <c r="ADM262" s="18"/>
      <c r="ADN262" s="18"/>
      <c r="ADO262" s="18"/>
      <c r="ADP262" s="18"/>
      <c r="ADQ262" s="18"/>
      <c r="ADR262" s="18"/>
      <c r="ADS262" s="18"/>
      <c r="ADT262" s="18"/>
      <c r="ADU262" s="18"/>
      <c r="ADV262" s="18"/>
      <c r="ADW262" s="18"/>
      <c r="ADX262" s="18"/>
      <c r="ADY262" s="18"/>
      <c r="ADZ262" s="18"/>
      <c r="AEA262" s="18"/>
      <c r="AEB262" s="18"/>
      <c r="AEC262" s="18"/>
      <c r="AED262" s="18"/>
      <c r="AEE262" s="18"/>
      <c r="AEF262" s="18"/>
      <c r="AEG262" s="18"/>
      <c r="AEH262" s="18"/>
      <c r="AEI262" s="18"/>
      <c r="AEJ262" s="18"/>
      <c r="AEK262" s="18"/>
      <c r="AEL262" s="18"/>
      <c r="AEM262" s="18"/>
      <c r="AEN262" s="18"/>
      <c r="AEO262" s="18"/>
      <c r="AEP262" s="18"/>
      <c r="AEQ262" s="18"/>
      <c r="AER262" s="18"/>
      <c r="AES262" s="18"/>
      <c r="AET262" s="18"/>
      <c r="AEU262" s="18"/>
      <c r="AEV262" s="18"/>
      <c r="AEW262" s="18"/>
      <c r="AEX262" s="18"/>
      <c r="AEY262" s="18"/>
      <c r="AEZ262" s="18"/>
      <c r="AFA262" s="18"/>
      <c r="AFB262" s="18"/>
      <c r="AFC262" s="18"/>
      <c r="AFD262" s="18"/>
      <c r="AFE262" s="18"/>
      <c r="AFF262" s="18"/>
      <c r="AFG262" s="18"/>
      <c r="AFH262" s="18"/>
      <c r="AFI262" s="18"/>
      <c r="AFJ262" s="18"/>
      <c r="AFK262" s="18"/>
      <c r="AFL262" s="18"/>
      <c r="AFM262" s="18"/>
      <c r="AFN262" s="18"/>
      <c r="AFO262" s="18"/>
      <c r="AFP262" s="18"/>
      <c r="AFQ262" s="18"/>
      <c r="AFR262" s="18"/>
      <c r="AFS262" s="18"/>
      <c r="AFT262" s="18"/>
      <c r="AFU262" s="18"/>
      <c r="AFV262" s="18"/>
      <c r="AFW262" s="18"/>
      <c r="AFX262" s="18"/>
      <c r="AFY262" s="18"/>
      <c r="AFZ262" s="18"/>
      <c r="AGA262" s="18"/>
      <c r="AGB262" s="18"/>
      <c r="AGC262" s="18"/>
      <c r="AGD262" s="18"/>
      <c r="AGE262" s="18"/>
      <c r="AGF262" s="18"/>
      <c r="AGG262" s="18"/>
      <c r="AGH262" s="18"/>
      <c r="AGI262" s="18"/>
      <c r="AGJ262" s="18"/>
      <c r="AGK262" s="18"/>
      <c r="AGL262" s="18"/>
      <c r="AGM262" s="18"/>
      <c r="AGN262" s="18"/>
      <c r="AGO262" s="18"/>
      <c r="AGP262" s="18"/>
      <c r="AGQ262" s="18"/>
      <c r="AGR262" s="18"/>
      <c r="AGS262" s="18"/>
      <c r="AGT262" s="18"/>
      <c r="AGU262" s="18"/>
      <c r="AGV262" s="18"/>
      <c r="AGW262" s="18"/>
      <c r="AGX262" s="18"/>
      <c r="AGY262" s="18"/>
      <c r="AGZ262" s="18"/>
      <c r="AHA262" s="18"/>
      <c r="AHB262" s="18"/>
      <c r="AHC262" s="18"/>
      <c r="AHD262" s="18"/>
      <c r="AHE262" s="18"/>
      <c r="AHF262" s="18"/>
      <c r="AHG262" s="18"/>
      <c r="AHH262" s="18"/>
      <c r="AHI262" s="18"/>
      <c r="AHJ262" s="18"/>
      <c r="AHK262" s="18"/>
      <c r="AHL262" s="18"/>
      <c r="AHM262" s="18"/>
      <c r="AHN262" s="18"/>
      <c r="AHO262" s="18"/>
      <c r="AHP262" s="18"/>
      <c r="AHQ262" s="18"/>
      <c r="AHR262" s="18"/>
      <c r="AHS262" s="18"/>
      <c r="AHT262" s="18"/>
      <c r="AHU262" s="18"/>
      <c r="AHV262" s="18"/>
      <c r="AHW262" s="18"/>
      <c r="AHX262" s="18"/>
      <c r="AHY262" s="18"/>
      <c r="AHZ262" s="18"/>
      <c r="AIA262" s="18"/>
      <c r="AIB262" s="18"/>
      <c r="AIC262" s="18"/>
      <c r="AID262" s="18"/>
      <c r="AIE262" s="18"/>
      <c r="AIF262" s="18"/>
      <c r="AIG262" s="18"/>
      <c r="AIH262" s="18"/>
      <c r="AII262" s="18"/>
      <c r="AIJ262" s="18"/>
      <c r="AIK262" s="18"/>
      <c r="AIL262" s="18"/>
      <c r="AIM262" s="18"/>
      <c r="AIN262" s="18"/>
      <c r="AIO262" s="18"/>
      <c r="AIP262" s="18"/>
      <c r="AIQ262" s="18"/>
      <c r="AIR262" s="18"/>
      <c r="AIS262" s="18"/>
      <c r="AIT262" s="18"/>
      <c r="AIU262" s="18"/>
      <c r="AIV262" s="18"/>
      <c r="AIW262" s="18"/>
      <c r="AIX262" s="18"/>
      <c r="AIY262" s="18"/>
      <c r="AIZ262" s="18"/>
      <c r="AJA262" s="18"/>
      <c r="AJB262" s="18"/>
      <c r="AJC262" s="18"/>
      <c r="AJD262" s="18"/>
      <c r="AJE262" s="18"/>
      <c r="AJF262" s="18"/>
      <c r="AJG262" s="18"/>
      <c r="AJH262" s="18"/>
      <c r="AJI262" s="18"/>
      <c r="AJJ262" s="18"/>
      <c r="AJK262" s="18"/>
      <c r="AJL262" s="18"/>
      <c r="AJM262" s="18"/>
      <c r="AJN262" s="18"/>
      <c r="AJO262" s="18"/>
      <c r="AJP262" s="18"/>
      <c r="AJQ262" s="18"/>
      <c r="AJR262" s="18"/>
      <c r="AJS262" s="18"/>
      <c r="AJT262" s="18"/>
      <c r="AJU262" s="18"/>
      <c r="AJV262" s="18"/>
      <c r="AJW262" s="18"/>
      <c r="AJX262" s="18"/>
      <c r="AJY262" s="18"/>
      <c r="AJZ262" s="18"/>
      <c r="AKA262" s="18"/>
      <c r="AKB262" s="18"/>
      <c r="AKC262" s="18"/>
      <c r="AKD262" s="18"/>
      <c r="AKE262" s="18"/>
      <c r="AKF262" s="18"/>
      <c r="AKG262" s="18"/>
      <c r="AKH262" s="18"/>
      <c r="AKI262" s="18"/>
      <c r="AKJ262" s="18"/>
      <c r="AKK262" s="18"/>
      <c r="AKL262" s="18"/>
      <c r="AKM262" s="18"/>
      <c r="AKN262" s="18"/>
      <c r="AKO262" s="18"/>
      <c r="AKP262" s="18"/>
      <c r="AKQ262" s="18"/>
      <c r="AKR262" s="18"/>
      <c r="AKS262" s="18"/>
      <c r="AKT262" s="18"/>
      <c r="AKU262" s="18"/>
      <c r="AKV262" s="18"/>
      <c r="AKW262" s="18"/>
      <c r="AKX262" s="18"/>
      <c r="AKY262" s="18"/>
      <c r="AKZ262" s="18"/>
      <c r="ALA262" s="18"/>
      <c r="ALB262" s="18"/>
      <c r="ALC262" s="18"/>
      <c r="ALD262" s="18"/>
      <c r="ALE262" s="18"/>
      <c r="ALF262" s="18"/>
      <c r="ALG262" s="18"/>
      <c r="ALH262" s="18"/>
      <c r="ALI262" s="18"/>
      <c r="ALJ262" s="18"/>
      <c r="ALK262" s="18"/>
      <c r="ALL262" s="18"/>
      <c r="ALM262" s="18"/>
      <c r="ALN262" s="18"/>
      <c r="ALO262" s="18"/>
      <c r="ALP262" s="18"/>
      <c r="ALQ262" s="18"/>
      <c r="ALR262" s="18"/>
      <c r="ALS262" s="18"/>
      <c r="ALT262" s="18"/>
      <c r="ALU262" s="18"/>
      <c r="ALV262" s="18"/>
      <c r="ALW262" s="18"/>
      <c r="ALX262" s="18"/>
      <c r="ALY262" s="18"/>
      <c r="ALZ262" s="18"/>
      <c r="AMA262" s="18"/>
      <c r="AMB262" s="18"/>
      <c r="AMC262" s="18"/>
      <c r="AMD262" s="18"/>
      <c r="AME262" s="18"/>
      <c r="AMF262" s="18"/>
      <c r="AMG262" s="18"/>
      <c r="AMH262" s="18"/>
      <c r="AMI262" s="18"/>
      <c r="AMJ262" s="18"/>
      <c r="AMK262" s="18"/>
      <c r="AML262" s="18"/>
      <c r="AMM262" s="18"/>
      <c r="AMN262" s="18"/>
      <c r="AMO262" s="18"/>
      <c r="AMP262" s="18"/>
      <c r="AMQ262" s="18"/>
      <c r="AMR262" s="18"/>
      <c r="AMS262" s="18"/>
      <c r="AMT262" s="18"/>
      <c r="AMU262" s="18"/>
      <c r="AMV262" s="18"/>
      <c r="AMW262" s="18"/>
      <c r="AMX262" s="18"/>
      <c r="AMY262" s="18"/>
      <c r="AMZ262" s="18"/>
      <c r="ANA262" s="18"/>
      <c r="ANB262" s="18"/>
      <c r="ANC262" s="18"/>
      <c r="AND262" s="18"/>
      <c r="ANE262" s="18"/>
      <c r="ANF262" s="18"/>
      <c r="ANG262" s="18"/>
      <c r="ANH262" s="18"/>
      <c r="ANI262" s="18"/>
      <c r="ANJ262" s="18"/>
      <c r="ANK262" s="18"/>
      <c r="ANL262" s="18"/>
      <c r="ANM262" s="18"/>
      <c r="ANN262" s="18"/>
      <c r="ANO262" s="18"/>
      <c r="ANP262" s="18"/>
      <c r="ANQ262" s="18"/>
      <c r="ANR262" s="18"/>
      <c r="ANS262" s="18"/>
      <c r="ANT262" s="18"/>
      <c r="ANU262" s="18"/>
      <c r="ANV262" s="18"/>
      <c r="ANW262" s="18"/>
      <c r="ANX262" s="18"/>
      <c r="ANY262" s="18"/>
      <c r="ANZ262" s="18"/>
      <c r="AOA262" s="18"/>
      <c r="AOB262" s="18"/>
      <c r="AOC262" s="18"/>
      <c r="AOD262" s="18"/>
      <c r="AOE262" s="18"/>
      <c r="AOF262" s="18"/>
      <c r="AOG262" s="18"/>
      <c r="AOH262" s="18"/>
      <c r="AOI262" s="18"/>
      <c r="AOJ262" s="18"/>
      <c r="AOK262" s="18"/>
      <c r="AOL262" s="18"/>
      <c r="AOM262" s="18"/>
      <c r="AON262" s="18"/>
      <c r="AOO262" s="18"/>
      <c r="AOP262" s="18"/>
      <c r="AOQ262" s="18"/>
      <c r="AOR262" s="18"/>
      <c r="AOS262" s="18"/>
      <c r="AOT262" s="18"/>
      <c r="AOU262" s="18"/>
      <c r="AOV262" s="18"/>
      <c r="AOW262" s="18"/>
      <c r="AOX262" s="18"/>
      <c r="AOY262" s="18"/>
      <c r="AOZ262" s="18"/>
      <c r="APA262" s="18"/>
      <c r="APB262" s="18"/>
      <c r="APC262" s="18"/>
      <c r="APD262" s="18"/>
      <c r="APE262" s="18"/>
      <c r="APF262" s="18"/>
      <c r="APG262" s="18"/>
      <c r="APH262" s="18"/>
      <c r="API262" s="18"/>
      <c r="APJ262" s="18"/>
      <c r="APK262" s="18"/>
      <c r="APL262" s="18"/>
      <c r="APM262" s="18"/>
      <c r="APN262" s="18"/>
      <c r="APO262" s="18"/>
      <c r="APP262" s="18"/>
      <c r="APQ262" s="18"/>
      <c r="APR262" s="18"/>
      <c r="APS262" s="18"/>
      <c r="APT262" s="18"/>
      <c r="APU262" s="18"/>
      <c r="APV262" s="18"/>
      <c r="APW262" s="18"/>
      <c r="APX262" s="18"/>
      <c r="APY262" s="18"/>
      <c r="APZ262" s="18"/>
      <c r="AQA262" s="18"/>
      <c r="AQB262" s="18"/>
      <c r="AQC262" s="18"/>
      <c r="AQD262" s="18"/>
      <c r="AQE262" s="18"/>
      <c r="AQF262" s="18"/>
      <c r="AQG262" s="18"/>
      <c r="AQH262" s="18"/>
      <c r="AQI262" s="18"/>
      <c r="AQJ262" s="18"/>
      <c r="AQK262" s="18"/>
      <c r="AQL262" s="18"/>
      <c r="AQM262" s="18"/>
      <c r="AQN262" s="18"/>
      <c r="AQO262" s="18"/>
      <c r="AQP262" s="18"/>
      <c r="AQQ262" s="18"/>
      <c r="AQR262" s="18"/>
      <c r="AQS262" s="18"/>
      <c r="AQT262" s="18"/>
      <c r="AQU262" s="18"/>
      <c r="AQV262" s="18"/>
      <c r="AQW262" s="18"/>
      <c r="AQX262" s="18"/>
      <c r="AQY262" s="18"/>
      <c r="AQZ262" s="18"/>
      <c r="ARA262" s="18"/>
      <c r="ARB262" s="18"/>
      <c r="ARC262" s="18"/>
      <c r="ARD262" s="18"/>
      <c r="ARE262" s="18"/>
      <c r="ARF262" s="18"/>
      <c r="ARG262" s="18"/>
      <c r="ARH262" s="18"/>
      <c r="ARI262" s="18"/>
      <c r="ARJ262" s="18"/>
      <c r="ARK262" s="18"/>
      <c r="ARL262" s="18"/>
      <c r="ARM262" s="18"/>
      <c r="ARN262" s="18"/>
      <c r="ARO262" s="18"/>
      <c r="ARP262" s="18"/>
      <c r="ARQ262" s="18"/>
      <c r="ARR262" s="18"/>
      <c r="ARS262" s="18"/>
      <c r="ART262" s="18"/>
      <c r="ARU262" s="18"/>
      <c r="ARV262" s="18"/>
      <c r="ARW262" s="18"/>
      <c r="ARX262" s="18"/>
      <c r="ARY262" s="18"/>
      <c r="ARZ262" s="18"/>
      <c r="ASA262" s="18"/>
      <c r="ASB262" s="18"/>
      <c r="ASC262" s="18"/>
      <c r="ASD262" s="18"/>
      <c r="ASE262" s="18"/>
      <c r="ASF262" s="18"/>
      <c r="ASG262" s="18"/>
      <c r="ASH262" s="18"/>
      <c r="ASI262" s="18"/>
      <c r="ASJ262" s="18"/>
      <c r="ASK262" s="18"/>
      <c r="ASL262" s="18"/>
      <c r="ASM262" s="18"/>
      <c r="ASN262" s="18"/>
      <c r="ASO262" s="18"/>
      <c r="ASP262" s="18"/>
      <c r="ASQ262" s="18"/>
      <c r="ASR262" s="18"/>
      <c r="ASS262" s="18"/>
      <c r="AST262" s="18"/>
      <c r="ASU262" s="18"/>
      <c r="ASV262" s="18"/>
      <c r="ASW262" s="18"/>
      <c r="ASX262" s="18"/>
      <c r="ASY262" s="18"/>
      <c r="ASZ262" s="18"/>
      <c r="ATA262" s="18"/>
      <c r="ATB262" s="18"/>
      <c r="ATC262" s="18"/>
      <c r="ATD262" s="18"/>
      <c r="ATE262" s="18"/>
      <c r="ATF262" s="18"/>
      <c r="ATG262" s="18"/>
      <c r="ATH262" s="18"/>
      <c r="ATI262" s="18"/>
      <c r="ATJ262" s="18"/>
      <c r="ATK262" s="18"/>
      <c r="ATL262" s="18"/>
      <c r="ATM262" s="18"/>
      <c r="ATN262" s="18"/>
      <c r="ATO262" s="18"/>
      <c r="ATP262" s="18"/>
      <c r="ATQ262" s="18"/>
      <c r="ATR262" s="18"/>
      <c r="ATS262" s="18"/>
      <c r="ATT262" s="18"/>
      <c r="ATU262" s="18"/>
      <c r="ATV262" s="18"/>
      <c r="ATW262" s="18"/>
      <c r="ATX262" s="18"/>
      <c r="ATY262" s="18"/>
      <c r="ATZ262" s="18"/>
      <c r="AUA262" s="18"/>
      <c r="AUB262" s="18"/>
      <c r="AUC262" s="18"/>
      <c r="AUD262" s="18"/>
      <c r="AUE262" s="18"/>
      <c r="AUF262" s="18"/>
      <c r="AUG262" s="18"/>
      <c r="AUH262" s="18"/>
      <c r="AUI262" s="18"/>
      <c r="AUJ262" s="18"/>
      <c r="AUK262" s="18"/>
      <c r="AUL262" s="18"/>
      <c r="AUM262" s="18"/>
      <c r="AUN262" s="18"/>
      <c r="AUO262" s="18"/>
      <c r="AUP262" s="18"/>
      <c r="AUQ262" s="18"/>
      <c r="AUR262" s="18"/>
      <c r="AUS262" s="18"/>
      <c r="AUT262" s="18"/>
      <c r="AUU262" s="18"/>
      <c r="AUV262" s="18"/>
      <c r="AUW262" s="18"/>
      <c r="AUX262" s="18"/>
      <c r="AUY262" s="18"/>
      <c r="AUZ262" s="18"/>
      <c r="AVA262" s="18"/>
      <c r="AVB262" s="18"/>
      <c r="AVC262" s="18"/>
      <c r="AVD262" s="18"/>
      <c r="AVE262" s="18"/>
      <c r="AVF262" s="18"/>
      <c r="AVG262" s="18"/>
      <c r="AVH262" s="18"/>
      <c r="AVI262" s="18"/>
      <c r="AVJ262" s="18"/>
      <c r="AVK262" s="18"/>
      <c r="AVL262" s="18"/>
      <c r="AVM262" s="18"/>
      <c r="AVN262" s="18"/>
      <c r="AVO262" s="18"/>
      <c r="AVP262" s="18"/>
      <c r="AVQ262" s="18"/>
      <c r="AVR262" s="18"/>
      <c r="AVS262" s="18"/>
      <c r="AVT262" s="18"/>
      <c r="AVU262" s="18"/>
      <c r="AVV262" s="18"/>
      <c r="AVW262" s="18"/>
      <c r="AVX262" s="18"/>
      <c r="AVY262" s="18"/>
      <c r="AVZ262" s="18"/>
      <c r="AWA262" s="18"/>
      <c r="AWB262" s="18"/>
      <c r="AWC262" s="18"/>
      <c r="AWD262" s="18"/>
      <c r="AWE262" s="18"/>
      <c r="AWF262" s="18"/>
      <c r="AWG262" s="18"/>
      <c r="AWH262" s="18"/>
      <c r="AWI262" s="18"/>
      <c r="AWJ262" s="18"/>
      <c r="AWK262" s="18"/>
      <c r="AWL262" s="18"/>
      <c r="AWM262" s="18"/>
      <c r="AWN262" s="18"/>
      <c r="AWO262" s="18"/>
      <c r="AWP262" s="18"/>
      <c r="AWQ262" s="18"/>
      <c r="AWR262" s="18"/>
      <c r="AWS262" s="18"/>
      <c r="AWT262" s="18"/>
      <c r="AWU262" s="18"/>
      <c r="AWV262" s="18"/>
      <c r="AWW262" s="18"/>
      <c r="AWX262" s="18"/>
      <c r="AWY262" s="18"/>
      <c r="AWZ262" s="18"/>
      <c r="AXA262" s="18"/>
      <c r="AXB262" s="18"/>
      <c r="AXC262" s="18"/>
      <c r="AXD262" s="18"/>
      <c r="AXE262" s="18"/>
      <c r="AXF262" s="18"/>
      <c r="AXG262" s="18"/>
      <c r="AXH262" s="18"/>
      <c r="AXI262" s="18"/>
      <c r="AXJ262" s="18"/>
      <c r="AXK262" s="18"/>
      <c r="AXL262" s="18"/>
      <c r="AXM262" s="18"/>
      <c r="AXN262" s="18"/>
      <c r="AXO262" s="18"/>
      <c r="AXP262" s="18"/>
      <c r="AXQ262" s="18"/>
      <c r="AXR262" s="18"/>
      <c r="AXS262" s="18"/>
      <c r="AXT262" s="18"/>
      <c r="AXU262" s="18"/>
      <c r="AXV262" s="18"/>
      <c r="AXW262" s="18"/>
      <c r="AXX262" s="18"/>
      <c r="AXY262" s="18"/>
      <c r="AXZ262" s="18"/>
      <c r="AYA262" s="18"/>
      <c r="AYB262" s="18"/>
      <c r="AYC262" s="18"/>
      <c r="AYD262" s="18"/>
      <c r="AYE262" s="18"/>
      <c r="AYF262" s="18"/>
      <c r="AYG262" s="18"/>
      <c r="AYH262" s="18"/>
      <c r="AYI262" s="18"/>
      <c r="AYJ262" s="18"/>
      <c r="AYK262" s="18"/>
      <c r="AYL262" s="18"/>
      <c r="AYM262" s="18"/>
      <c r="AYN262" s="18"/>
      <c r="AYO262" s="18"/>
      <c r="AYP262" s="18"/>
      <c r="AYQ262" s="18"/>
      <c r="AYR262" s="18"/>
      <c r="AYS262" s="18"/>
      <c r="AYT262" s="18"/>
      <c r="AYU262" s="18"/>
      <c r="AYV262" s="18"/>
      <c r="AYW262" s="18"/>
      <c r="AYX262" s="18"/>
      <c r="AYY262" s="18"/>
      <c r="AYZ262" s="18"/>
      <c r="AZA262" s="18"/>
      <c r="AZB262" s="18"/>
      <c r="AZC262" s="18"/>
      <c r="AZD262" s="18"/>
      <c r="AZE262" s="18"/>
      <c r="AZF262" s="18"/>
      <c r="AZG262" s="18"/>
      <c r="AZH262" s="18"/>
      <c r="AZI262" s="18"/>
      <c r="AZJ262" s="18"/>
      <c r="AZK262" s="18"/>
      <c r="AZL262" s="18"/>
      <c r="AZM262" s="18"/>
      <c r="AZN262" s="18"/>
      <c r="AZO262" s="18"/>
      <c r="AZP262" s="18"/>
      <c r="AZQ262" s="18"/>
      <c r="AZR262" s="18"/>
      <c r="AZS262" s="18"/>
      <c r="AZT262" s="18"/>
      <c r="AZU262" s="18"/>
      <c r="AZV262" s="18"/>
      <c r="AZW262" s="18"/>
      <c r="AZX262" s="18"/>
      <c r="AZY262" s="18"/>
      <c r="AZZ262" s="18"/>
      <c r="BAA262" s="18"/>
      <c r="BAB262" s="18"/>
      <c r="BAC262" s="18"/>
      <c r="BAD262" s="18"/>
      <c r="BAE262" s="18"/>
      <c r="BAF262" s="18"/>
      <c r="BAG262" s="18"/>
      <c r="BAH262" s="18"/>
      <c r="BAI262" s="18"/>
      <c r="BAJ262" s="18"/>
      <c r="BAK262" s="18"/>
      <c r="BAL262" s="18"/>
      <c r="BAM262" s="18"/>
      <c r="BAN262" s="18"/>
      <c r="BAO262" s="18"/>
      <c r="BAP262" s="18"/>
      <c r="BAQ262" s="18"/>
      <c r="BAR262" s="18"/>
      <c r="BAS262" s="18"/>
      <c r="BAT262" s="18"/>
      <c r="BAU262" s="18"/>
      <c r="BAV262" s="18"/>
      <c r="BAW262" s="18"/>
      <c r="BAX262" s="18"/>
      <c r="BAY262" s="18"/>
      <c r="BAZ262" s="18"/>
      <c r="BBA262" s="18"/>
      <c r="BBB262" s="18"/>
      <c r="BBC262" s="18"/>
      <c r="BBD262" s="18"/>
      <c r="BBE262" s="18"/>
      <c r="BBF262" s="18"/>
      <c r="BBG262" s="18"/>
      <c r="BBH262" s="18"/>
      <c r="BBI262" s="18"/>
      <c r="BBJ262" s="18"/>
      <c r="BBK262" s="18"/>
      <c r="BBL262" s="18"/>
      <c r="BBM262" s="18"/>
      <c r="BBN262" s="18"/>
      <c r="BBO262" s="18"/>
      <c r="BBP262" s="18"/>
      <c r="BBQ262" s="18"/>
      <c r="BBR262" s="18"/>
      <c r="BBS262" s="18"/>
      <c r="BBT262" s="18"/>
      <c r="BBU262" s="18"/>
      <c r="BBV262" s="18"/>
      <c r="BBW262" s="18"/>
      <c r="BBX262" s="18"/>
      <c r="BBY262" s="18"/>
      <c r="BBZ262" s="18"/>
      <c r="BCA262" s="18"/>
      <c r="BCB262" s="18"/>
      <c r="BCC262" s="18"/>
      <c r="BCD262" s="18"/>
      <c r="BCE262" s="18"/>
      <c r="BCF262" s="18"/>
      <c r="BCG262" s="18"/>
      <c r="BCH262" s="18"/>
      <c r="BCI262" s="18"/>
      <c r="BCJ262" s="18"/>
      <c r="BCK262" s="18"/>
      <c r="BCL262" s="18"/>
      <c r="BCM262" s="18"/>
      <c r="BCN262" s="18"/>
      <c r="BCO262" s="18"/>
      <c r="BCP262" s="18"/>
      <c r="BCQ262" s="18"/>
      <c r="BCR262" s="18"/>
      <c r="BCS262" s="18"/>
      <c r="BCT262" s="18"/>
      <c r="BCU262" s="18"/>
      <c r="BCV262" s="18"/>
      <c r="BCW262" s="18"/>
      <c r="BCX262" s="18"/>
      <c r="BCY262" s="18"/>
      <c r="BCZ262" s="18"/>
      <c r="BDA262" s="18"/>
      <c r="BDB262" s="18"/>
      <c r="BDC262" s="18"/>
      <c r="BDD262" s="18"/>
      <c r="BDE262" s="18"/>
      <c r="BDF262" s="18"/>
      <c r="BDG262" s="18"/>
      <c r="BDH262" s="18"/>
      <c r="BDI262" s="18"/>
      <c r="BDJ262" s="18"/>
      <c r="BDK262" s="18"/>
      <c r="BDL262" s="18"/>
      <c r="BDM262" s="18"/>
      <c r="BDN262" s="18"/>
      <c r="BDO262" s="18"/>
      <c r="BDP262" s="18"/>
      <c r="BDQ262" s="18"/>
      <c r="BDR262" s="18"/>
      <c r="BDS262" s="18"/>
      <c r="BDT262" s="18"/>
      <c r="BDU262" s="18"/>
      <c r="BDV262" s="18"/>
      <c r="BDW262" s="18"/>
      <c r="BDX262" s="18"/>
      <c r="BDY262" s="18"/>
      <c r="BDZ262" s="18"/>
      <c r="BEA262" s="18"/>
      <c r="BEB262" s="18"/>
      <c r="BEC262" s="18"/>
      <c r="BED262" s="18"/>
      <c r="BEE262" s="18"/>
      <c r="BEF262" s="18"/>
      <c r="BEG262" s="18"/>
      <c r="BEH262" s="18"/>
      <c r="BEI262" s="18"/>
      <c r="BEJ262" s="18"/>
      <c r="BEK262" s="18"/>
      <c r="BEL262" s="18"/>
      <c r="BEM262" s="18"/>
      <c r="BEN262" s="18"/>
      <c r="BEO262" s="18"/>
      <c r="BEP262" s="18"/>
      <c r="BEQ262" s="18"/>
      <c r="BER262" s="18"/>
      <c r="BES262" s="18"/>
      <c r="BET262" s="18"/>
      <c r="BEU262" s="18"/>
      <c r="BEV262" s="18"/>
      <c r="BEW262" s="18"/>
      <c r="BEX262" s="18"/>
      <c r="BEY262" s="18"/>
      <c r="BEZ262" s="18"/>
      <c r="BFA262" s="18"/>
      <c r="BFB262" s="18"/>
      <c r="BFC262" s="18"/>
      <c r="BFD262" s="18"/>
      <c r="BFE262" s="18"/>
      <c r="BFF262" s="18"/>
      <c r="BFG262" s="18"/>
      <c r="BFH262" s="18"/>
      <c r="BFI262" s="18"/>
      <c r="BFJ262" s="18"/>
      <c r="BFK262" s="18"/>
      <c r="BFL262" s="18"/>
      <c r="BFM262" s="18"/>
      <c r="BFN262" s="18"/>
      <c r="BFO262" s="18"/>
      <c r="BFP262" s="18"/>
      <c r="BFQ262" s="18"/>
      <c r="BFR262" s="18"/>
      <c r="BFS262" s="18"/>
      <c r="BFT262" s="18"/>
      <c r="BFU262" s="18"/>
      <c r="BFV262" s="18"/>
      <c r="BFW262" s="18"/>
      <c r="BFX262" s="18"/>
      <c r="BFY262" s="18"/>
      <c r="BFZ262" s="18"/>
      <c r="BGA262" s="18"/>
      <c r="BGB262" s="18"/>
      <c r="BGC262" s="18"/>
      <c r="BGD262" s="18"/>
      <c r="BGE262" s="18"/>
      <c r="BGF262" s="18"/>
      <c r="BGG262" s="18"/>
      <c r="BGH262" s="18"/>
      <c r="BGI262" s="18"/>
      <c r="BGJ262" s="18"/>
      <c r="BGK262" s="18"/>
      <c r="BGL262" s="18"/>
      <c r="BGM262" s="18"/>
      <c r="BGN262" s="18"/>
      <c r="BGO262" s="18"/>
      <c r="BGP262" s="18"/>
      <c r="BGQ262" s="18"/>
      <c r="BGR262" s="18"/>
      <c r="BGS262" s="18"/>
      <c r="BGT262" s="18"/>
      <c r="BGU262" s="18"/>
      <c r="BGV262" s="18"/>
      <c r="BGW262" s="18"/>
      <c r="BGX262" s="18"/>
      <c r="BGY262" s="18"/>
      <c r="BGZ262" s="18"/>
      <c r="BHA262" s="18"/>
      <c r="BHB262" s="18"/>
      <c r="BHC262" s="18"/>
      <c r="BHD262" s="18"/>
      <c r="BHE262" s="18"/>
      <c r="BHF262" s="18"/>
      <c r="BHG262" s="18"/>
      <c r="BHH262" s="18"/>
      <c r="BHI262" s="18"/>
      <c r="BHJ262" s="18"/>
      <c r="BHK262" s="18"/>
      <c r="BHL262" s="18"/>
      <c r="BHM262" s="18"/>
      <c r="BHN262" s="18"/>
      <c r="BHO262" s="18"/>
      <c r="BHP262" s="18"/>
      <c r="BHQ262" s="18"/>
      <c r="BHR262" s="18"/>
      <c r="BHS262" s="18"/>
      <c r="BHT262" s="18"/>
      <c r="BHU262" s="18"/>
      <c r="BHV262" s="18"/>
      <c r="BHW262" s="18"/>
      <c r="BHX262" s="18"/>
      <c r="BHY262" s="18"/>
      <c r="BHZ262" s="18"/>
      <c r="BIA262" s="18"/>
      <c r="BIB262" s="18"/>
      <c r="BIC262" s="18"/>
      <c r="BID262" s="18"/>
      <c r="BIE262" s="18"/>
      <c r="BIF262" s="18"/>
      <c r="BIG262" s="18"/>
      <c r="BIH262" s="18"/>
      <c r="BII262" s="18"/>
      <c r="BIJ262" s="18"/>
      <c r="BIK262" s="18"/>
      <c r="BIL262" s="18"/>
      <c r="BIM262" s="18"/>
      <c r="BIN262" s="18"/>
      <c r="BIO262" s="18"/>
      <c r="BIP262" s="18"/>
      <c r="BIQ262" s="18"/>
      <c r="BIR262" s="18"/>
      <c r="BIS262" s="18"/>
      <c r="BIT262" s="18"/>
      <c r="BIU262" s="18"/>
      <c r="BIV262" s="18"/>
      <c r="BIW262" s="18"/>
      <c r="BIX262" s="18"/>
      <c r="BIY262" s="18"/>
      <c r="BIZ262" s="18"/>
      <c r="BJA262" s="18"/>
      <c r="BJB262" s="18"/>
      <c r="BJC262" s="18"/>
      <c r="BJD262" s="18"/>
      <c r="BJE262" s="18"/>
      <c r="BJF262" s="18"/>
      <c r="BJG262" s="18"/>
      <c r="BJH262" s="18"/>
      <c r="BJI262" s="18"/>
      <c r="BJJ262" s="18"/>
      <c r="BJK262" s="18"/>
      <c r="BJL262" s="18"/>
      <c r="BJM262" s="18"/>
      <c r="BJN262" s="18"/>
      <c r="BJO262" s="18"/>
      <c r="BJP262" s="18"/>
      <c r="BJQ262" s="18"/>
      <c r="BJR262" s="18"/>
      <c r="BJS262" s="18"/>
      <c r="BJT262" s="18"/>
      <c r="BJU262" s="18"/>
      <c r="BJV262" s="18"/>
      <c r="BJW262" s="18"/>
      <c r="BJX262" s="18"/>
      <c r="BJY262" s="18"/>
      <c r="BJZ262" s="18"/>
      <c r="BKA262" s="18"/>
      <c r="BKB262" s="18"/>
      <c r="BKC262" s="18"/>
      <c r="BKD262" s="18"/>
      <c r="BKE262" s="18"/>
      <c r="BKF262" s="18"/>
      <c r="BKG262" s="18"/>
      <c r="BKH262" s="18"/>
      <c r="BKI262" s="18"/>
      <c r="BKJ262" s="18"/>
      <c r="BKK262" s="18"/>
      <c r="BKL262" s="18"/>
      <c r="BKM262" s="18"/>
      <c r="BKN262" s="18"/>
      <c r="BKO262" s="18"/>
      <c r="BKP262" s="18"/>
      <c r="BKQ262" s="18"/>
      <c r="BKR262" s="18"/>
      <c r="BKS262" s="18"/>
      <c r="BKT262" s="18"/>
      <c r="BKU262" s="18"/>
      <c r="BKV262" s="18"/>
      <c r="BKW262" s="18"/>
      <c r="BKX262" s="18"/>
      <c r="BKY262" s="18"/>
      <c r="BKZ262" s="18"/>
      <c r="BLA262" s="18"/>
      <c r="BLB262" s="18"/>
      <c r="BLC262" s="18"/>
      <c r="BLD262" s="18"/>
      <c r="BLE262" s="18"/>
      <c r="BLF262" s="18"/>
      <c r="BLG262" s="18"/>
      <c r="BLH262" s="18"/>
      <c r="BLI262" s="18"/>
      <c r="BLJ262" s="18"/>
      <c r="BLK262" s="18"/>
      <c r="BLL262" s="18"/>
      <c r="BLM262" s="18"/>
      <c r="BLN262" s="18"/>
      <c r="BLO262" s="18"/>
      <c r="BLP262" s="18"/>
      <c r="BLQ262" s="18"/>
      <c r="BLR262" s="18"/>
      <c r="BLS262" s="18"/>
      <c r="BLT262" s="18"/>
      <c r="BLU262" s="18"/>
      <c r="BLV262" s="18"/>
      <c r="BLW262" s="18"/>
      <c r="BLX262" s="18"/>
      <c r="BLY262" s="18"/>
      <c r="BLZ262" s="18"/>
      <c r="BMA262" s="18"/>
      <c r="BMB262" s="18"/>
      <c r="BMC262" s="18"/>
      <c r="BMD262" s="18"/>
      <c r="BME262" s="18"/>
      <c r="BMF262" s="18"/>
      <c r="BMG262" s="18"/>
      <c r="BMH262" s="18"/>
      <c r="BMI262" s="18"/>
      <c r="BMJ262" s="18"/>
      <c r="BMK262" s="18"/>
      <c r="BML262" s="18"/>
      <c r="BMM262" s="18"/>
      <c r="BMN262" s="18"/>
      <c r="BMO262" s="18"/>
      <c r="BMP262" s="18"/>
      <c r="BMQ262" s="18"/>
      <c r="BMR262" s="18"/>
      <c r="BMS262" s="18"/>
      <c r="BMT262" s="18"/>
      <c r="BMU262" s="18"/>
      <c r="BMV262" s="18"/>
      <c r="BMW262" s="18"/>
      <c r="BMX262" s="18"/>
      <c r="BMY262" s="18"/>
      <c r="BMZ262" s="18"/>
      <c r="BNA262" s="18"/>
      <c r="BNB262" s="18"/>
      <c r="BNC262" s="18"/>
      <c r="BND262" s="18"/>
      <c r="BNE262" s="18"/>
      <c r="BNF262" s="18"/>
      <c r="BNG262" s="18"/>
      <c r="BNH262" s="18"/>
      <c r="BNI262" s="18"/>
      <c r="BNJ262" s="18"/>
      <c r="BNK262" s="18"/>
      <c r="BNL262" s="18"/>
      <c r="BNM262" s="18"/>
      <c r="BNN262" s="18"/>
      <c r="BNO262" s="18"/>
      <c r="BNP262" s="18"/>
      <c r="BNQ262" s="18"/>
      <c r="BNR262" s="18"/>
      <c r="BNS262" s="18"/>
      <c r="BNT262" s="18"/>
      <c r="BNU262" s="18"/>
      <c r="BNV262" s="18"/>
      <c r="BNW262" s="18"/>
      <c r="BNX262" s="18"/>
      <c r="BNY262" s="18"/>
      <c r="BNZ262" s="18"/>
      <c r="BOA262" s="18"/>
      <c r="BOB262" s="18"/>
      <c r="BOC262" s="18"/>
      <c r="BOD262" s="18"/>
      <c r="BOE262" s="18"/>
      <c r="BOF262" s="18"/>
      <c r="BOG262" s="18"/>
      <c r="BOH262" s="18"/>
      <c r="BOI262" s="18"/>
      <c r="BOJ262" s="18"/>
      <c r="BOK262" s="18"/>
      <c r="BOL262" s="18"/>
      <c r="BOM262" s="18"/>
      <c r="BON262" s="18"/>
      <c r="BOO262" s="18"/>
      <c r="BOP262" s="18"/>
      <c r="BOQ262" s="18"/>
      <c r="BOR262" s="18"/>
      <c r="BOS262" s="18"/>
      <c r="BOT262" s="18"/>
      <c r="BOU262" s="18"/>
      <c r="BOV262" s="18"/>
      <c r="BOW262" s="18"/>
      <c r="BOX262" s="18"/>
      <c r="BOY262" s="18"/>
      <c r="BOZ262" s="18"/>
      <c r="BPA262" s="18"/>
      <c r="BPB262" s="18"/>
      <c r="BPC262" s="18"/>
      <c r="BPD262" s="18"/>
      <c r="BPE262" s="18"/>
      <c r="BPF262" s="18"/>
      <c r="BPG262" s="18"/>
      <c r="BPH262" s="18"/>
      <c r="BPI262" s="18"/>
      <c r="BPJ262" s="18"/>
      <c r="BPK262" s="18"/>
      <c r="BPL262" s="18"/>
      <c r="BPM262" s="18"/>
      <c r="BPN262" s="18"/>
      <c r="BPO262" s="18"/>
      <c r="BPP262" s="18"/>
      <c r="BPQ262" s="18"/>
      <c r="BPR262" s="18"/>
      <c r="BPS262" s="18"/>
      <c r="BPT262" s="18"/>
      <c r="BPU262" s="18"/>
      <c r="BPV262" s="18"/>
      <c r="BPW262" s="18"/>
      <c r="BPX262" s="18"/>
      <c r="BPY262" s="18"/>
      <c r="BPZ262" s="18"/>
      <c r="BQA262" s="18"/>
      <c r="BQB262" s="18"/>
      <c r="BQC262" s="18"/>
      <c r="BQD262" s="18"/>
      <c r="BQE262" s="18"/>
      <c r="BQF262" s="18"/>
      <c r="BQG262" s="18"/>
      <c r="BQH262" s="18"/>
      <c r="BQI262" s="18"/>
      <c r="BQJ262" s="18"/>
      <c r="BQK262" s="18"/>
      <c r="BQL262" s="18"/>
      <c r="BQM262" s="18"/>
      <c r="BQN262" s="18"/>
      <c r="BQO262" s="18"/>
      <c r="BQP262" s="18"/>
      <c r="BQQ262" s="18"/>
      <c r="BQR262" s="18"/>
      <c r="BQS262" s="18"/>
      <c r="BQT262" s="18"/>
      <c r="BQU262" s="18"/>
      <c r="BQV262" s="18"/>
      <c r="BQW262" s="18"/>
      <c r="BQX262" s="18"/>
      <c r="BQY262" s="18"/>
      <c r="BQZ262" s="18"/>
      <c r="BRA262" s="18"/>
      <c r="BRB262" s="18"/>
      <c r="BRC262" s="18"/>
      <c r="BRD262" s="18"/>
      <c r="BRE262" s="18"/>
      <c r="BRF262" s="18"/>
      <c r="BRG262" s="18"/>
      <c r="BRH262" s="18"/>
      <c r="BRI262" s="18"/>
      <c r="BRJ262" s="18"/>
      <c r="BRK262" s="18"/>
      <c r="BRL262" s="18"/>
      <c r="BRM262" s="18"/>
      <c r="BRN262" s="18"/>
      <c r="BRO262" s="18"/>
      <c r="BRP262" s="18"/>
      <c r="BRQ262" s="18"/>
      <c r="BRR262" s="18"/>
      <c r="BRS262" s="18"/>
      <c r="BRT262" s="18"/>
      <c r="BRU262" s="18"/>
      <c r="BRV262" s="18"/>
      <c r="BRW262" s="18"/>
      <c r="BRX262" s="18"/>
      <c r="BRY262" s="18"/>
      <c r="BRZ262" s="18"/>
      <c r="BSA262" s="18"/>
      <c r="BSB262" s="18"/>
      <c r="BSC262" s="18"/>
      <c r="BSD262" s="18"/>
      <c r="BSE262" s="18"/>
      <c r="BSF262" s="18"/>
      <c r="BSG262" s="18"/>
      <c r="BSH262" s="18"/>
      <c r="BSI262" s="18"/>
      <c r="BSJ262" s="18"/>
      <c r="BSK262" s="18"/>
      <c r="BSL262" s="18"/>
      <c r="BSM262" s="18"/>
      <c r="BSN262" s="18"/>
      <c r="BSO262" s="18"/>
      <c r="BSP262" s="18"/>
      <c r="BSQ262" s="18"/>
      <c r="BSR262" s="18"/>
      <c r="BSS262" s="18"/>
      <c r="BST262" s="18"/>
      <c r="BSU262" s="18"/>
      <c r="BSV262" s="18"/>
      <c r="BSW262" s="18"/>
      <c r="BSX262" s="18"/>
      <c r="BSY262" s="18"/>
      <c r="BSZ262" s="18"/>
      <c r="BTA262" s="18"/>
      <c r="BTB262" s="18"/>
      <c r="BTC262" s="18"/>
      <c r="BTD262" s="18"/>
      <c r="BTE262" s="18"/>
      <c r="BTF262" s="18"/>
      <c r="BTG262" s="18"/>
      <c r="BTH262" s="18"/>
      <c r="BTI262" s="18"/>
    </row>
    <row r="263" spans="1:1881" s="798" customFormat="1" ht="225" customHeight="1" x14ac:dyDescent="0.3">
      <c r="A263" s="105">
        <v>577</v>
      </c>
      <c r="B263" s="701"/>
      <c r="C263" s="701" t="s">
        <v>543</v>
      </c>
      <c r="D263" s="357" t="s">
        <v>674</v>
      </c>
      <c r="E263" s="1226"/>
      <c r="F263" s="300"/>
      <c r="G263" s="800" t="str">
        <f>IF(F263="Yes","In this cell - Please include the name of the plan, a brief description of the benefit and the population group that received the benefits."," ")</f>
        <v xml:space="preserve"> </v>
      </c>
      <c r="H263" s="17"/>
      <c r="I263" s="795"/>
      <c r="J263" s="605"/>
      <c r="K263" s="18"/>
      <c r="L263" s="18"/>
      <c r="M263" s="18"/>
      <c r="N263" s="302"/>
      <c r="O263" s="18"/>
      <c r="P263" s="18"/>
      <c r="Q263" s="18"/>
      <c r="R263" s="18"/>
      <c r="S263" s="18"/>
      <c r="T263" s="18"/>
      <c r="U263" s="18"/>
      <c r="V263" s="18"/>
      <c r="W263" s="18"/>
      <c r="X263" s="18"/>
      <c r="Y263" s="18"/>
      <c r="Z263" s="105"/>
      <c r="AA263" s="105"/>
      <c r="AB263" s="105"/>
      <c r="AC263" s="105"/>
      <c r="AD263" s="105"/>
      <c r="AE263" s="105"/>
      <c r="AF263" s="105"/>
      <c r="AG263" s="105"/>
      <c r="AH263" s="105"/>
      <c r="AI263" s="105"/>
      <c r="AJ263" s="105"/>
      <c r="AK263" s="105"/>
      <c r="AL263" s="105"/>
      <c r="AM263" s="105"/>
      <c r="AN263" s="105"/>
      <c r="AO263" s="105"/>
      <c r="AP263" s="105"/>
      <c r="AQ263" s="105"/>
      <c r="AR263" s="105"/>
      <c r="AS263" s="18"/>
      <c r="AT263" s="18"/>
      <c r="AU263" s="18"/>
      <c r="AV263" s="18"/>
      <c r="AW263" s="18"/>
      <c r="AX263" s="18"/>
      <c r="AY263" s="18"/>
      <c r="AZ263" s="18"/>
      <c r="BA263" s="18"/>
      <c r="BB263" s="18"/>
      <c r="BC263" s="18"/>
      <c r="BD263" s="18"/>
      <c r="BE263" s="18"/>
      <c r="BF263" s="18"/>
      <c r="BG263" s="18"/>
      <c r="BH263" s="18"/>
      <c r="BI263" s="18"/>
      <c r="BJ263" s="18"/>
      <c r="BK263" s="18"/>
      <c r="BL263" s="18"/>
      <c r="BM263" s="18"/>
      <c r="BN263" s="18"/>
      <c r="BO263" s="18"/>
      <c r="BP263" s="18"/>
      <c r="BQ263" s="18"/>
      <c r="BR263" s="18"/>
      <c r="BS263" s="18"/>
      <c r="BT263" s="18"/>
      <c r="BU263" s="18"/>
      <c r="BV263" s="18"/>
      <c r="BW263" s="18"/>
      <c r="BX263" s="18"/>
      <c r="BY263" s="18"/>
      <c r="BZ263" s="18"/>
      <c r="CA263" s="18"/>
      <c r="CB263" s="18"/>
      <c r="CC263" s="18"/>
      <c r="CD263" s="18"/>
      <c r="CE263" s="18"/>
      <c r="CF263" s="18"/>
      <c r="CG263" s="18"/>
      <c r="CH263" s="18"/>
      <c r="CI263" s="18"/>
      <c r="CJ263" s="18"/>
      <c r="CK263" s="18"/>
      <c r="CL263" s="18"/>
      <c r="CM263" s="18"/>
      <c r="CN263" s="18"/>
      <c r="CO263" s="18"/>
      <c r="CP263" s="18"/>
      <c r="CQ263" s="18"/>
      <c r="CR263" s="18"/>
      <c r="CS263" s="18"/>
      <c r="CT263" s="18"/>
      <c r="CU263" s="18"/>
      <c r="CV263" s="18"/>
      <c r="CW263" s="18"/>
      <c r="CX263" s="18"/>
      <c r="CY263" s="18"/>
      <c r="CZ263" s="18"/>
      <c r="DA263" s="18"/>
      <c r="DB263" s="18"/>
      <c r="DC263" s="18"/>
      <c r="DD263" s="18"/>
      <c r="DE263" s="18"/>
      <c r="DF263" s="18"/>
      <c r="DG263" s="18"/>
      <c r="DH263" s="18"/>
      <c r="DI263" s="18"/>
      <c r="DJ263" s="18"/>
      <c r="DK263" s="18"/>
      <c r="DL263" s="18"/>
      <c r="DM263" s="18"/>
      <c r="DN263" s="18"/>
      <c r="DO263" s="18"/>
      <c r="DP263" s="18"/>
      <c r="DQ263" s="18"/>
      <c r="DR263" s="18"/>
      <c r="DS263" s="18"/>
      <c r="DT263" s="18"/>
      <c r="DU263" s="18"/>
      <c r="DV263" s="18"/>
      <c r="DW263" s="18"/>
      <c r="DX263" s="18"/>
      <c r="DY263" s="18"/>
      <c r="DZ263" s="18"/>
      <c r="EA263" s="18"/>
      <c r="EB263" s="18"/>
      <c r="EC263" s="18"/>
      <c r="ED263" s="18"/>
      <c r="EE263" s="18"/>
      <c r="EF263" s="18"/>
      <c r="EG263" s="18"/>
      <c r="EH263" s="18"/>
      <c r="EI263" s="18"/>
      <c r="EJ263" s="18"/>
      <c r="EK263" s="18"/>
      <c r="EL263" s="18"/>
      <c r="EM263" s="18"/>
      <c r="EN263" s="18"/>
      <c r="EO263" s="18"/>
      <c r="EP263" s="18"/>
      <c r="EQ263" s="18"/>
      <c r="ER263" s="18"/>
      <c r="ES263" s="18"/>
      <c r="ET263" s="18"/>
      <c r="EU263" s="18"/>
      <c r="EV263" s="18"/>
      <c r="EW263" s="18"/>
      <c r="EX263" s="18"/>
      <c r="EY263" s="18"/>
      <c r="EZ263" s="18"/>
      <c r="FA263" s="18"/>
      <c r="FB263" s="18"/>
      <c r="FC263" s="18"/>
      <c r="FD263" s="18"/>
      <c r="FE263" s="18"/>
      <c r="FF263" s="18"/>
      <c r="FG263" s="18"/>
      <c r="FH263" s="18"/>
      <c r="FI263" s="18"/>
      <c r="FJ263" s="18"/>
      <c r="FK263" s="18"/>
      <c r="FL263" s="18"/>
      <c r="FM263" s="18"/>
      <c r="FN263" s="18"/>
      <c r="FO263" s="18"/>
      <c r="FP263" s="18"/>
      <c r="FQ263" s="18"/>
      <c r="FR263" s="18"/>
      <c r="FS263" s="18"/>
      <c r="FT263" s="18"/>
      <c r="FU263" s="18"/>
      <c r="FV263" s="18"/>
      <c r="FW263" s="18"/>
      <c r="FX263" s="18"/>
      <c r="FY263" s="18"/>
      <c r="FZ263" s="18"/>
      <c r="GA263" s="18"/>
      <c r="GB263" s="18"/>
      <c r="GC263" s="18"/>
      <c r="GD263" s="18"/>
      <c r="GE263" s="18"/>
      <c r="GF263" s="18"/>
      <c r="GG263" s="18"/>
      <c r="GH263" s="18"/>
      <c r="GI263" s="18"/>
      <c r="GJ263" s="18"/>
      <c r="GK263" s="18"/>
      <c r="GL263" s="18"/>
      <c r="GM263" s="18"/>
      <c r="GN263" s="18"/>
      <c r="GO263" s="18"/>
      <c r="GP263" s="18"/>
      <c r="GQ263" s="18"/>
      <c r="GR263" s="18"/>
      <c r="GS263" s="18"/>
      <c r="GT263" s="18"/>
      <c r="GU263" s="18"/>
      <c r="GV263" s="18"/>
      <c r="GW263" s="18"/>
      <c r="GX263" s="18"/>
      <c r="GY263" s="18"/>
      <c r="GZ263" s="18"/>
      <c r="HA263" s="18"/>
      <c r="HB263" s="18"/>
      <c r="HC263" s="18"/>
      <c r="HD263" s="18"/>
      <c r="HE263" s="18"/>
      <c r="HF263" s="18"/>
      <c r="HG263" s="18"/>
      <c r="HH263" s="18"/>
      <c r="HI263" s="18"/>
      <c r="HJ263" s="18"/>
      <c r="HK263" s="18"/>
      <c r="HL263" s="18"/>
      <c r="HM263" s="18"/>
      <c r="HN263" s="18"/>
      <c r="HO263" s="18"/>
      <c r="HP263" s="18"/>
      <c r="HQ263" s="18"/>
      <c r="HR263" s="18"/>
      <c r="HS263" s="18"/>
      <c r="HT263" s="18"/>
      <c r="HU263" s="18"/>
      <c r="HV263" s="18"/>
      <c r="HW263" s="18"/>
      <c r="HX263" s="18"/>
      <c r="HY263" s="18"/>
      <c r="HZ263" s="18"/>
      <c r="IA263" s="18"/>
      <c r="IB263" s="18"/>
      <c r="IC263" s="18"/>
      <c r="ID263" s="18"/>
      <c r="IE263" s="18"/>
      <c r="IF263" s="18"/>
      <c r="IG263" s="18"/>
      <c r="IH263" s="18"/>
      <c r="II263" s="18"/>
      <c r="IJ263" s="18"/>
      <c r="IK263" s="18"/>
      <c r="IL263" s="18"/>
      <c r="IM263" s="18"/>
      <c r="IN263" s="18"/>
      <c r="IO263" s="18"/>
      <c r="IP263" s="18"/>
      <c r="IQ263" s="18"/>
      <c r="IR263" s="18"/>
      <c r="IS263" s="18"/>
      <c r="IT263" s="18"/>
      <c r="IU263" s="18"/>
      <c r="IV263" s="18"/>
      <c r="IW263" s="18"/>
      <c r="IX263" s="18"/>
      <c r="IY263" s="18"/>
      <c r="IZ263" s="18"/>
      <c r="JA263" s="18"/>
      <c r="JB263" s="18"/>
      <c r="JC263" s="18"/>
      <c r="JD263" s="18"/>
      <c r="JE263" s="18"/>
      <c r="JF263" s="18"/>
      <c r="JG263" s="18"/>
      <c r="JH263" s="18"/>
      <c r="JI263" s="18"/>
      <c r="JJ263" s="18"/>
      <c r="JK263" s="18"/>
      <c r="JL263" s="18"/>
      <c r="JM263" s="18"/>
      <c r="JN263" s="18"/>
      <c r="JO263" s="18"/>
      <c r="JP263" s="18"/>
      <c r="JQ263" s="18"/>
      <c r="JR263" s="18"/>
      <c r="JS263" s="18"/>
      <c r="JT263" s="18"/>
      <c r="JU263" s="18"/>
      <c r="JV263" s="18"/>
      <c r="JW263" s="18"/>
      <c r="JX263" s="18"/>
      <c r="JY263" s="18"/>
      <c r="JZ263" s="18"/>
      <c r="KA263" s="18"/>
      <c r="KB263" s="18"/>
      <c r="KC263" s="18"/>
      <c r="KD263" s="18"/>
      <c r="KE263" s="18"/>
      <c r="KF263" s="18"/>
      <c r="KG263" s="18"/>
      <c r="KH263" s="18"/>
      <c r="KI263" s="18"/>
      <c r="KJ263" s="18"/>
      <c r="KK263" s="18"/>
      <c r="KL263" s="18"/>
      <c r="KM263" s="18"/>
      <c r="KN263" s="18"/>
      <c r="KO263" s="18"/>
      <c r="KP263" s="18"/>
      <c r="KQ263" s="18"/>
      <c r="KR263" s="18"/>
      <c r="KS263" s="18"/>
      <c r="KT263" s="18"/>
      <c r="KU263" s="18"/>
      <c r="KV263" s="18"/>
      <c r="KW263" s="18"/>
      <c r="KX263" s="18"/>
      <c r="KY263" s="18"/>
      <c r="KZ263" s="18"/>
      <c r="LA263" s="18"/>
      <c r="LB263" s="18"/>
      <c r="LC263" s="18"/>
      <c r="LD263" s="18"/>
      <c r="LE263" s="18"/>
      <c r="LF263" s="18"/>
      <c r="LG263" s="18"/>
      <c r="LH263" s="18"/>
      <c r="LI263" s="18"/>
      <c r="LJ263" s="18"/>
      <c r="LK263" s="18"/>
      <c r="LL263" s="18"/>
      <c r="LM263" s="18"/>
      <c r="LN263" s="18"/>
      <c r="LO263" s="18"/>
      <c r="LP263" s="18"/>
      <c r="LQ263" s="18"/>
      <c r="LR263" s="18"/>
      <c r="LS263" s="18"/>
      <c r="LT263" s="18"/>
      <c r="LU263" s="18"/>
      <c r="LV263" s="18"/>
      <c r="LW263" s="18"/>
      <c r="LX263" s="18"/>
      <c r="LY263" s="18"/>
      <c r="LZ263" s="18"/>
      <c r="MA263" s="18"/>
      <c r="MB263" s="18"/>
      <c r="MC263" s="18"/>
      <c r="MD263" s="18"/>
      <c r="ME263" s="18"/>
      <c r="MF263" s="18"/>
      <c r="MG263" s="18"/>
      <c r="MH263" s="18"/>
      <c r="MI263" s="18"/>
      <c r="MJ263" s="18"/>
      <c r="MK263" s="18"/>
      <c r="ML263" s="18"/>
      <c r="MM263" s="18"/>
      <c r="MN263" s="18"/>
      <c r="MO263" s="18"/>
      <c r="MP263" s="18"/>
      <c r="MQ263" s="18"/>
      <c r="MR263" s="18"/>
      <c r="MS263" s="18"/>
      <c r="MT263" s="18"/>
      <c r="MU263" s="18"/>
      <c r="MV263" s="18"/>
      <c r="MW263" s="18"/>
      <c r="MX263" s="18"/>
      <c r="MY263" s="18"/>
      <c r="MZ263" s="18"/>
      <c r="NA263" s="18"/>
      <c r="NB263" s="18"/>
      <c r="NC263" s="18"/>
      <c r="ND263" s="18"/>
      <c r="NE263" s="18"/>
      <c r="NF263" s="18"/>
      <c r="NG263" s="18"/>
      <c r="NH263" s="18"/>
      <c r="NI263" s="18"/>
      <c r="NJ263" s="18"/>
      <c r="NK263" s="18"/>
      <c r="NL263" s="18"/>
      <c r="NM263" s="18"/>
      <c r="NN263" s="18"/>
      <c r="NO263" s="18"/>
      <c r="NP263" s="18"/>
      <c r="NQ263" s="18"/>
      <c r="NR263" s="18"/>
      <c r="NS263" s="18"/>
      <c r="NT263" s="18"/>
      <c r="NU263" s="18"/>
      <c r="NV263" s="18"/>
      <c r="NW263" s="18"/>
      <c r="NX263" s="18"/>
      <c r="NY263" s="18"/>
      <c r="NZ263" s="18"/>
      <c r="OA263" s="18"/>
      <c r="OB263" s="18"/>
      <c r="OC263" s="18"/>
      <c r="OD263" s="18"/>
      <c r="OE263" s="18"/>
      <c r="OF263" s="18"/>
      <c r="OG263" s="18"/>
      <c r="OH263" s="18"/>
      <c r="OI263" s="18"/>
      <c r="OJ263" s="18"/>
      <c r="OK263" s="18"/>
      <c r="OL263" s="18"/>
      <c r="OM263" s="18"/>
      <c r="ON263" s="18"/>
      <c r="OO263" s="18"/>
      <c r="OP263" s="18"/>
      <c r="OQ263" s="18"/>
      <c r="OR263" s="18"/>
      <c r="OS263" s="18"/>
      <c r="OT263" s="18"/>
      <c r="OU263" s="18"/>
      <c r="OV263" s="18"/>
      <c r="OW263" s="18"/>
      <c r="OX263" s="18"/>
      <c r="OY263" s="18"/>
      <c r="OZ263" s="18"/>
      <c r="PA263" s="18"/>
      <c r="PB263" s="18"/>
      <c r="PC263" s="18"/>
      <c r="PD263" s="18"/>
      <c r="PE263" s="18"/>
      <c r="PF263" s="18"/>
      <c r="PG263" s="18"/>
      <c r="PH263" s="18"/>
      <c r="PI263" s="18"/>
      <c r="PJ263" s="18"/>
      <c r="PK263" s="18"/>
      <c r="PL263" s="18"/>
      <c r="PM263" s="18"/>
      <c r="PN263" s="18"/>
      <c r="PO263" s="18"/>
      <c r="PP263" s="18"/>
      <c r="PQ263" s="18"/>
      <c r="PR263" s="18"/>
      <c r="PS263" s="18"/>
      <c r="PT263" s="18"/>
      <c r="PU263" s="18"/>
      <c r="PV263" s="18"/>
      <c r="PW263" s="18"/>
      <c r="PX263" s="18"/>
      <c r="PY263" s="18"/>
      <c r="PZ263" s="18"/>
      <c r="QA263" s="18"/>
      <c r="QB263" s="18"/>
      <c r="QC263" s="18"/>
      <c r="QD263" s="18"/>
      <c r="QE263" s="18"/>
      <c r="QF263" s="18"/>
      <c r="QG263" s="18"/>
      <c r="QH263" s="18"/>
      <c r="QI263" s="18"/>
      <c r="QJ263" s="18"/>
      <c r="QK263" s="18"/>
      <c r="QL263" s="18"/>
      <c r="QM263" s="18"/>
      <c r="QN263" s="18"/>
      <c r="QO263" s="18"/>
      <c r="QP263" s="18"/>
      <c r="QQ263" s="18"/>
      <c r="QR263" s="18"/>
      <c r="QS263" s="18"/>
      <c r="QT263" s="18"/>
      <c r="QU263" s="18"/>
      <c r="QV263" s="18"/>
      <c r="QW263" s="18"/>
      <c r="QX263" s="18"/>
      <c r="QY263" s="18"/>
      <c r="QZ263" s="18"/>
      <c r="RA263" s="18"/>
      <c r="RB263" s="18"/>
      <c r="RC263" s="18"/>
      <c r="RD263" s="18"/>
      <c r="RE263" s="18"/>
      <c r="RF263" s="18"/>
      <c r="RG263" s="18"/>
      <c r="RH263" s="18"/>
      <c r="RI263" s="18"/>
      <c r="RJ263" s="18"/>
      <c r="RK263" s="18"/>
      <c r="RL263" s="18"/>
      <c r="RM263" s="18"/>
      <c r="RN263" s="18"/>
      <c r="RO263" s="18"/>
      <c r="RP263" s="18"/>
      <c r="RQ263" s="18"/>
      <c r="RR263" s="18"/>
      <c r="RS263" s="18"/>
      <c r="RT263" s="18"/>
      <c r="RU263" s="18"/>
      <c r="RV263" s="18"/>
      <c r="RW263" s="18"/>
      <c r="RX263" s="18"/>
      <c r="RY263" s="18"/>
      <c r="RZ263" s="18"/>
      <c r="SA263" s="18"/>
      <c r="SB263" s="18"/>
      <c r="SC263" s="18"/>
      <c r="SD263" s="18"/>
      <c r="SE263" s="18"/>
      <c r="SF263" s="18"/>
      <c r="SG263" s="18"/>
      <c r="SH263" s="18"/>
      <c r="SI263" s="18"/>
      <c r="SJ263" s="18"/>
      <c r="SK263" s="18"/>
      <c r="SL263" s="18"/>
      <c r="SM263" s="18"/>
      <c r="SN263" s="18"/>
      <c r="SO263" s="18"/>
      <c r="SP263" s="18"/>
      <c r="SQ263" s="18"/>
      <c r="SR263" s="18"/>
      <c r="SS263" s="18"/>
      <c r="ST263" s="18"/>
      <c r="SU263" s="18"/>
      <c r="SV263" s="18"/>
      <c r="SW263" s="18"/>
      <c r="SX263" s="18"/>
      <c r="SY263" s="18"/>
      <c r="SZ263" s="18"/>
      <c r="TA263" s="18"/>
      <c r="TB263" s="18"/>
      <c r="TC263" s="18"/>
      <c r="TD263" s="18"/>
      <c r="TE263" s="18"/>
      <c r="TF263" s="18"/>
      <c r="TG263" s="18"/>
      <c r="TH263" s="18"/>
      <c r="TI263" s="18"/>
      <c r="TJ263" s="18"/>
      <c r="TK263" s="18"/>
      <c r="TL263" s="18"/>
      <c r="TM263" s="18"/>
      <c r="TN263" s="18"/>
      <c r="TO263" s="18"/>
      <c r="TP263" s="18"/>
      <c r="TQ263" s="18"/>
      <c r="TR263" s="18"/>
      <c r="TS263" s="18"/>
      <c r="TT263" s="18"/>
      <c r="TU263" s="18"/>
      <c r="TV263" s="18"/>
      <c r="TW263" s="18"/>
      <c r="TX263" s="18"/>
      <c r="TY263" s="18"/>
      <c r="TZ263" s="18"/>
      <c r="UA263" s="18"/>
      <c r="UB263" s="18"/>
      <c r="UC263" s="18"/>
      <c r="UD263" s="18"/>
      <c r="UE263" s="18"/>
      <c r="UF263" s="18"/>
      <c r="UG263" s="18"/>
      <c r="UH263" s="18"/>
      <c r="UI263" s="18"/>
      <c r="UJ263" s="18"/>
      <c r="UK263" s="18"/>
      <c r="UL263" s="18"/>
      <c r="UM263" s="18"/>
      <c r="UN263" s="18"/>
      <c r="UO263" s="18"/>
      <c r="UP263" s="18"/>
      <c r="UQ263" s="18"/>
      <c r="UR263" s="18"/>
      <c r="US263" s="18"/>
      <c r="UT263" s="18"/>
      <c r="UU263" s="18"/>
      <c r="UV263" s="18"/>
      <c r="UW263" s="18"/>
      <c r="UX263" s="18"/>
      <c r="UY263" s="18"/>
      <c r="UZ263" s="18"/>
      <c r="VA263" s="18"/>
      <c r="VB263" s="18"/>
      <c r="VC263" s="18"/>
      <c r="VD263" s="18"/>
      <c r="VE263" s="18"/>
      <c r="VF263" s="18"/>
      <c r="VG263" s="18"/>
      <c r="VH263" s="18"/>
      <c r="VI263" s="18"/>
      <c r="VJ263" s="18"/>
      <c r="VK263" s="18"/>
      <c r="VL263" s="18"/>
      <c r="VM263" s="18"/>
      <c r="VN263" s="18"/>
      <c r="VO263" s="18"/>
      <c r="VP263" s="18"/>
      <c r="VQ263" s="18"/>
      <c r="VR263" s="18"/>
      <c r="VS263" s="18"/>
      <c r="VT263" s="18"/>
      <c r="VU263" s="18"/>
      <c r="VV263" s="18"/>
      <c r="VW263" s="18"/>
      <c r="VX263" s="18"/>
      <c r="VY263" s="18"/>
      <c r="VZ263" s="18"/>
      <c r="WA263" s="18"/>
      <c r="WB263" s="18"/>
      <c r="WC263" s="18"/>
      <c r="WD263" s="18"/>
      <c r="WE263" s="18"/>
      <c r="WF263" s="18"/>
      <c r="WG263" s="18"/>
      <c r="WH263" s="18"/>
      <c r="WI263" s="18"/>
      <c r="WJ263" s="18"/>
      <c r="WK263" s="18"/>
      <c r="WL263" s="18"/>
      <c r="WM263" s="18"/>
      <c r="WN263" s="18"/>
      <c r="WO263" s="18"/>
      <c r="WP263" s="18"/>
      <c r="WQ263" s="18"/>
      <c r="WR263" s="18"/>
      <c r="WS263" s="18"/>
      <c r="WT263" s="18"/>
      <c r="WU263" s="18"/>
      <c r="WV263" s="18"/>
      <c r="WW263" s="18"/>
      <c r="WX263" s="18"/>
      <c r="WY263" s="18"/>
      <c r="WZ263" s="18"/>
      <c r="XA263" s="18"/>
      <c r="XB263" s="18"/>
      <c r="XC263" s="18"/>
      <c r="XD263" s="18"/>
      <c r="XE263" s="18"/>
      <c r="XF263" s="18"/>
      <c r="XG263" s="18"/>
      <c r="XH263" s="18"/>
      <c r="XI263" s="18"/>
      <c r="XJ263" s="18"/>
      <c r="XK263" s="18"/>
      <c r="XL263" s="18"/>
      <c r="XM263" s="18"/>
      <c r="XN263" s="18"/>
      <c r="XO263" s="18"/>
      <c r="XP263" s="18"/>
      <c r="XQ263" s="18"/>
      <c r="XR263" s="18"/>
      <c r="XS263" s="18"/>
      <c r="XT263" s="18"/>
      <c r="XU263" s="18"/>
      <c r="XV263" s="18"/>
      <c r="XW263" s="18"/>
      <c r="XX263" s="18"/>
      <c r="XY263" s="18"/>
      <c r="XZ263" s="18"/>
      <c r="YA263" s="18"/>
      <c r="YB263" s="18"/>
      <c r="YC263" s="18"/>
      <c r="YD263" s="18"/>
      <c r="YE263" s="18"/>
      <c r="YF263" s="18"/>
      <c r="YG263" s="18"/>
      <c r="YH263" s="18"/>
      <c r="YI263" s="18"/>
      <c r="YJ263" s="18"/>
      <c r="YK263" s="18"/>
      <c r="YL263" s="18"/>
      <c r="YM263" s="18"/>
      <c r="YN263" s="18"/>
      <c r="YO263" s="18"/>
      <c r="YP263" s="18"/>
      <c r="YQ263" s="18"/>
      <c r="YR263" s="18"/>
      <c r="YS263" s="18"/>
      <c r="YT263" s="18"/>
      <c r="YU263" s="18"/>
      <c r="YV263" s="18"/>
      <c r="YW263" s="18"/>
      <c r="YX263" s="18"/>
      <c r="YY263" s="18"/>
      <c r="YZ263" s="18"/>
      <c r="ZA263" s="18"/>
      <c r="ZB263" s="18"/>
      <c r="ZC263" s="18"/>
      <c r="ZD263" s="18"/>
      <c r="ZE263" s="18"/>
      <c r="ZF263" s="18"/>
      <c r="ZG263" s="18"/>
      <c r="ZH263" s="18"/>
      <c r="ZI263" s="18"/>
      <c r="ZJ263" s="18"/>
      <c r="ZK263" s="18"/>
      <c r="ZL263" s="18"/>
      <c r="ZM263" s="18"/>
      <c r="ZN263" s="18"/>
      <c r="ZO263" s="18"/>
      <c r="ZP263" s="18"/>
      <c r="ZQ263" s="18"/>
      <c r="ZR263" s="18"/>
      <c r="ZS263" s="18"/>
      <c r="ZT263" s="18"/>
      <c r="ZU263" s="18"/>
      <c r="ZV263" s="18"/>
      <c r="ZW263" s="18"/>
      <c r="ZX263" s="18"/>
      <c r="ZY263" s="18"/>
      <c r="ZZ263" s="18"/>
      <c r="AAA263" s="18"/>
      <c r="AAB263" s="18"/>
      <c r="AAC263" s="18"/>
      <c r="AAD263" s="18"/>
      <c r="AAE263" s="18"/>
      <c r="AAF263" s="18"/>
      <c r="AAG263" s="18"/>
      <c r="AAH263" s="18"/>
      <c r="AAI263" s="18"/>
      <c r="AAJ263" s="18"/>
      <c r="AAK263" s="18"/>
      <c r="AAL263" s="18"/>
      <c r="AAM263" s="18"/>
      <c r="AAN263" s="18"/>
      <c r="AAO263" s="18"/>
      <c r="AAP263" s="18"/>
      <c r="AAQ263" s="18"/>
      <c r="AAR263" s="18"/>
      <c r="AAS263" s="18"/>
      <c r="AAT263" s="18"/>
      <c r="AAU263" s="18"/>
      <c r="AAV263" s="18"/>
      <c r="AAW263" s="18"/>
      <c r="AAX263" s="18"/>
      <c r="AAY263" s="18"/>
      <c r="AAZ263" s="18"/>
      <c r="ABA263" s="18"/>
      <c r="ABB263" s="18"/>
      <c r="ABC263" s="18"/>
      <c r="ABD263" s="18"/>
      <c r="ABE263" s="18"/>
      <c r="ABF263" s="18"/>
      <c r="ABG263" s="18"/>
      <c r="ABH263" s="18"/>
      <c r="ABI263" s="18"/>
      <c r="ABJ263" s="18"/>
      <c r="ABK263" s="18"/>
      <c r="ABL263" s="18"/>
      <c r="ABM263" s="18"/>
      <c r="ABN263" s="18"/>
      <c r="ABO263" s="18"/>
      <c r="ABP263" s="18"/>
      <c r="ABQ263" s="18"/>
      <c r="ABR263" s="18"/>
      <c r="ABS263" s="18"/>
      <c r="ABT263" s="18"/>
      <c r="ABU263" s="18"/>
      <c r="ABV263" s="18"/>
      <c r="ABW263" s="18"/>
      <c r="ABX263" s="18"/>
      <c r="ABY263" s="18"/>
      <c r="ABZ263" s="18"/>
      <c r="ACA263" s="18"/>
      <c r="ACB263" s="18"/>
      <c r="ACC263" s="18"/>
      <c r="ACD263" s="18"/>
      <c r="ACE263" s="18"/>
      <c r="ACF263" s="18"/>
      <c r="ACG263" s="18"/>
      <c r="ACH263" s="18"/>
      <c r="ACI263" s="18"/>
      <c r="ACJ263" s="18"/>
      <c r="ACK263" s="18"/>
      <c r="ACL263" s="18"/>
      <c r="ACM263" s="18"/>
      <c r="ACN263" s="18"/>
      <c r="ACO263" s="18"/>
      <c r="ACP263" s="18"/>
      <c r="ACQ263" s="18"/>
      <c r="ACR263" s="18"/>
      <c r="ACS263" s="18"/>
      <c r="ACT263" s="18"/>
      <c r="ACU263" s="18"/>
      <c r="ACV263" s="18"/>
      <c r="ACW263" s="18"/>
      <c r="ACX263" s="18"/>
      <c r="ACY263" s="18"/>
      <c r="ACZ263" s="18"/>
      <c r="ADA263" s="18"/>
      <c r="ADB263" s="18"/>
      <c r="ADC263" s="18"/>
      <c r="ADD263" s="18"/>
      <c r="ADE263" s="18"/>
      <c r="ADF263" s="18"/>
      <c r="ADG263" s="18"/>
      <c r="ADH263" s="18"/>
      <c r="ADI263" s="18"/>
      <c r="ADJ263" s="18"/>
      <c r="ADK263" s="18"/>
      <c r="ADL263" s="18"/>
      <c r="ADM263" s="18"/>
      <c r="ADN263" s="18"/>
      <c r="ADO263" s="18"/>
      <c r="ADP263" s="18"/>
      <c r="ADQ263" s="18"/>
      <c r="ADR263" s="18"/>
      <c r="ADS263" s="18"/>
      <c r="ADT263" s="18"/>
      <c r="ADU263" s="18"/>
      <c r="ADV263" s="18"/>
      <c r="ADW263" s="18"/>
      <c r="ADX263" s="18"/>
      <c r="ADY263" s="18"/>
      <c r="ADZ263" s="18"/>
      <c r="AEA263" s="18"/>
      <c r="AEB263" s="18"/>
      <c r="AEC263" s="18"/>
      <c r="AED263" s="18"/>
      <c r="AEE263" s="18"/>
      <c r="AEF263" s="18"/>
      <c r="AEG263" s="18"/>
      <c r="AEH263" s="18"/>
      <c r="AEI263" s="18"/>
      <c r="AEJ263" s="18"/>
      <c r="AEK263" s="18"/>
      <c r="AEL263" s="18"/>
      <c r="AEM263" s="18"/>
      <c r="AEN263" s="18"/>
      <c r="AEO263" s="18"/>
      <c r="AEP263" s="18"/>
      <c r="AEQ263" s="18"/>
      <c r="AER263" s="18"/>
      <c r="AES263" s="18"/>
      <c r="AET263" s="18"/>
      <c r="AEU263" s="18"/>
      <c r="AEV263" s="18"/>
      <c r="AEW263" s="18"/>
      <c r="AEX263" s="18"/>
      <c r="AEY263" s="18"/>
      <c r="AEZ263" s="18"/>
      <c r="AFA263" s="18"/>
      <c r="AFB263" s="18"/>
      <c r="AFC263" s="18"/>
      <c r="AFD263" s="18"/>
      <c r="AFE263" s="18"/>
      <c r="AFF263" s="18"/>
      <c r="AFG263" s="18"/>
      <c r="AFH263" s="18"/>
      <c r="AFI263" s="18"/>
      <c r="AFJ263" s="18"/>
      <c r="AFK263" s="18"/>
      <c r="AFL263" s="18"/>
      <c r="AFM263" s="18"/>
      <c r="AFN263" s="18"/>
      <c r="AFO263" s="18"/>
      <c r="AFP263" s="18"/>
      <c r="AFQ263" s="18"/>
      <c r="AFR263" s="18"/>
      <c r="AFS263" s="18"/>
      <c r="AFT263" s="18"/>
      <c r="AFU263" s="18"/>
      <c r="AFV263" s="18"/>
      <c r="AFW263" s="18"/>
      <c r="AFX263" s="18"/>
      <c r="AFY263" s="18"/>
      <c r="AFZ263" s="18"/>
      <c r="AGA263" s="18"/>
      <c r="AGB263" s="18"/>
      <c r="AGC263" s="18"/>
      <c r="AGD263" s="18"/>
      <c r="AGE263" s="18"/>
      <c r="AGF263" s="18"/>
      <c r="AGG263" s="18"/>
      <c r="AGH263" s="18"/>
      <c r="AGI263" s="18"/>
      <c r="AGJ263" s="18"/>
      <c r="AGK263" s="18"/>
      <c r="AGL263" s="18"/>
      <c r="AGM263" s="18"/>
      <c r="AGN263" s="18"/>
      <c r="AGO263" s="18"/>
      <c r="AGP263" s="18"/>
      <c r="AGQ263" s="18"/>
      <c r="AGR263" s="18"/>
      <c r="AGS263" s="18"/>
      <c r="AGT263" s="18"/>
      <c r="AGU263" s="18"/>
      <c r="AGV263" s="18"/>
      <c r="AGW263" s="18"/>
      <c r="AGX263" s="18"/>
      <c r="AGY263" s="18"/>
      <c r="AGZ263" s="18"/>
      <c r="AHA263" s="18"/>
      <c r="AHB263" s="18"/>
      <c r="AHC263" s="18"/>
      <c r="AHD263" s="18"/>
      <c r="AHE263" s="18"/>
      <c r="AHF263" s="18"/>
      <c r="AHG263" s="18"/>
      <c r="AHH263" s="18"/>
      <c r="AHI263" s="18"/>
      <c r="AHJ263" s="18"/>
      <c r="AHK263" s="18"/>
      <c r="AHL263" s="18"/>
      <c r="AHM263" s="18"/>
      <c r="AHN263" s="18"/>
      <c r="AHO263" s="18"/>
      <c r="AHP263" s="18"/>
      <c r="AHQ263" s="18"/>
      <c r="AHR263" s="18"/>
      <c r="AHS263" s="18"/>
      <c r="AHT263" s="18"/>
      <c r="AHU263" s="18"/>
      <c r="AHV263" s="18"/>
      <c r="AHW263" s="18"/>
      <c r="AHX263" s="18"/>
      <c r="AHY263" s="18"/>
      <c r="AHZ263" s="18"/>
      <c r="AIA263" s="18"/>
      <c r="AIB263" s="18"/>
      <c r="AIC263" s="18"/>
      <c r="AID263" s="18"/>
      <c r="AIE263" s="18"/>
      <c r="AIF263" s="18"/>
      <c r="AIG263" s="18"/>
      <c r="AIH263" s="18"/>
      <c r="AII263" s="18"/>
      <c r="AIJ263" s="18"/>
      <c r="AIK263" s="18"/>
      <c r="AIL263" s="18"/>
      <c r="AIM263" s="18"/>
      <c r="AIN263" s="18"/>
      <c r="AIO263" s="18"/>
      <c r="AIP263" s="18"/>
      <c r="AIQ263" s="18"/>
      <c r="AIR263" s="18"/>
      <c r="AIS263" s="18"/>
      <c r="AIT263" s="18"/>
      <c r="AIU263" s="18"/>
      <c r="AIV263" s="18"/>
      <c r="AIW263" s="18"/>
      <c r="AIX263" s="18"/>
      <c r="AIY263" s="18"/>
      <c r="AIZ263" s="18"/>
      <c r="AJA263" s="18"/>
      <c r="AJB263" s="18"/>
      <c r="AJC263" s="18"/>
      <c r="AJD263" s="18"/>
      <c r="AJE263" s="18"/>
      <c r="AJF263" s="18"/>
      <c r="AJG263" s="18"/>
      <c r="AJH263" s="18"/>
      <c r="AJI263" s="18"/>
      <c r="AJJ263" s="18"/>
      <c r="AJK263" s="18"/>
      <c r="AJL263" s="18"/>
      <c r="AJM263" s="18"/>
      <c r="AJN263" s="18"/>
      <c r="AJO263" s="18"/>
      <c r="AJP263" s="18"/>
      <c r="AJQ263" s="18"/>
      <c r="AJR263" s="18"/>
      <c r="AJS263" s="18"/>
      <c r="AJT263" s="18"/>
      <c r="AJU263" s="18"/>
      <c r="AJV263" s="18"/>
      <c r="AJW263" s="18"/>
      <c r="AJX263" s="18"/>
      <c r="AJY263" s="18"/>
      <c r="AJZ263" s="18"/>
      <c r="AKA263" s="18"/>
      <c r="AKB263" s="18"/>
      <c r="AKC263" s="18"/>
      <c r="AKD263" s="18"/>
      <c r="AKE263" s="18"/>
      <c r="AKF263" s="18"/>
      <c r="AKG263" s="18"/>
      <c r="AKH263" s="18"/>
      <c r="AKI263" s="18"/>
      <c r="AKJ263" s="18"/>
      <c r="AKK263" s="18"/>
      <c r="AKL263" s="18"/>
      <c r="AKM263" s="18"/>
      <c r="AKN263" s="18"/>
      <c r="AKO263" s="18"/>
      <c r="AKP263" s="18"/>
      <c r="AKQ263" s="18"/>
      <c r="AKR263" s="18"/>
      <c r="AKS263" s="18"/>
      <c r="AKT263" s="18"/>
      <c r="AKU263" s="18"/>
      <c r="AKV263" s="18"/>
      <c r="AKW263" s="18"/>
      <c r="AKX263" s="18"/>
      <c r="AKY263" s="18"/>
      <c r="AKZ263" s="18"/>
      <c r="ALA263" s="18"/>
      <c r="ALB263" s="18"/>
      <c r="ALC263" s="18"/>
      <c r="ALD263" s="18"/>
      <c r="ALE263" s="18"/>
      <c r="ALF263" s="18"/>
      <c r="ALG263" s="18"/>
      <c r="ALH263" s="18"/>
      <c r="ALI263" s="18"/>
      <c r="ALJ263" s="18"/>
      <c r="ALK263" s="18"/>
      <c r="ALL263" s="18"/>
      <c r="ALM263" s="18"/>
      <c r="ALN263" s="18"/>
      <c r="ALO263" s="18"/>
      <c r="ALP263" s="18"/>
      <c r="ALQ263" s="18"/>
      <c r="ALR263" s="18"/>
      <c r="ALS263" s="18"/>
      <c r="ALT263" s="18"/>
      <c r="ALU263" s="18"/>
      <c r="ALV263" s="18"/>
      <c r="ALW263" s="18"/>
      <c r="ALX263" s="18"/>
      <c r="ALY263" s="18"/>
      <c r="ALZ263" s="18"/>
      <c r="AMA263" s="18"/>
      <c r="AMB263" s="18"/>
      <c r="AMC263" s="18"/>
      <c r="AMD263" s="18"/>
      <c r="AME263" s="18"/>
      <c r="AMF263" s="18"/>
      <c r="AMG263" s="18"/>
      <c r="AMH263" s="18"/>
      <c r="AMI263" s="18"/>
      <c r="AMJ263" s="18"/>
      <c r="AMK263" s="18"/>
      <c r="AML263" s="18"/>
      <c r="AMM263" s="18"/>
      <c r="AMN263" s="18"/>
      <c r="AMO263" s="18"/>
      <c r="AMP263" s="18"/>
      <c r="AMQ263" s="18"/>
      <c r="AMR263" s="18"/>
      <c r="AMS263" s="18"/>
      <c r="AMT263" s="18"/>
      <c r="AMU263" s="18"/>
      <c r="AMV263" s="18"/>
      <c r="AMW263" s="18"/>
      <c r="AMX263" s="18"/>
      <c r="AMY263" s="18"/>
      <c r="AMZ263" s="18"/>
      <c r="ANA263" s="18"/>
      <c r="ANB263" s="18"/>
      <c r="ANC263" s="18"/>
      <c r="AND263" s="18"/>
      <c r="ANE263" s="18"/>
      <c r="ANF263" s="18"/>
      <c r="ANG263" s="18"/>
      <c r="ANH263" s="18"/>
      <c r="ANI263" s="18"/>
      <c r="ANJ263" s="18"/>
      <c r="ANK263" s="18"/>
      <c r="ANL263" s="18"/>
      <c r="ANM263" s="18"/>
      <c r="ANN263" s="18"/>
      <c r="ANO263" s="18"/>
      <c r="ANP263" s="18"/>
      <c r="ANQ263" s="18"/>
      <c r="ANR263" s="18"/>
      <c r="ANS263" s="18"/>
      <c r="ANT263" s="18"/>
      <c r="ANU263" s="18"/>
      <c r="ANV263" s="18"/>
      <c r="ANW263" s="18"/>
      <c r="ANX263" s="18"/>
      <c r="ANY263" s="18"/>
      <c r="ANZ263" s="18"/>
      <c r="AOA263" s="18"/>
      <c r="AOB263" s="18"/>
      <c r="AOC263" s="18"/>
      <c r="AOD263" s="18"/>
      <c r="AOE263" s="18"/>
      <c r="AOF263" s="18"/>
      <c r="AOG263" s="18"/>
      <c r="AOH263" s="18"/>
      <c r="AOI263" s="18"/>
      <c r="AOJ263" s="18"/>
      <c r="AOK263" s="18"/>
      <c r="AOL263" s="18"/>
      <c r="AOM263" s="18"/>
      <c r="AON263" s="18"/>
      <c r="AOO263" s="18"/>
      <c r="AOP263" s="18"/>
      <c r="AOQ263" s="18"/>
      <c r="AOR263" s="18"/>
      <c r="AOS263" s="18"/>
      <c r="AOT263" s="18"/>
      <c r="AOU263" s="18"/>
      <c r="AOV263" s="18"/>
      <c r="AOW263" s="18"/>
      <c r="AOX263" s="18"/>
      <c r="AOY263" s="18"/>
      <c r="AOZ263" s="18"/>
      <c r="APA263" s="18"/>
      <c r="APB263" s="18"/>
      <c r="APC263" s="18"/>
      <c r="APD263" s="18"/>
      <c r="APE263" s="18"/>
      <c r="APF263" s="18"/>
      <c r="APG263" s="18"/>
      <c r="APH263" s="18"/>
      <c r="API263" s="18"/>
      <c r="APJ263" s="18"/>
      <c r="APK263" s="18"/>
      <c r="APL263" s="18"/>
      <c r="APM263" s="18"/>
      <c r="APN263" s="18"/>
      <c r="APO263" s="18"/>
      <c r="APP263" s="18"/>
      <c r="APQ263" s="18"/>
      <c r="APR263" s="18"/>
      <c r="APS263" s="18"/>
      <c r="APT263" s="18"/>
      <c r="APU263" s="18"/>
      <c r="APV263" s="18"/>
      <c r="APW263" s="18"/>
      <c r="APX263" s="18"/>
      <c r="APY263" s="18"/>
      <c r="APZ263" s="18"/>
      <c r="AQA263" s="18"/>
      <c r="AQB263" s="18"/>
      <c r="AQC263" s="18"/>
      <c r="AQD263" s="18"/>
      <c r="AQE263" s="18"/>
      <c r="AQF263" s="18"/>
      <c r="AQG263" s="18"/>
      <c r="AQH263" s="18"/>
      <c r="AQI263" s="18"/>
      <c r="AQJ263" s="18"/>
      <c r="AQK263" s="18"/>
      <c r="AQL263" s="18"/>
      <c r="AQM263" s="18"/>
      <c r="AQN263" s="18"/>
      <c r="AQO263" s="18"/>
      <c r="AQP263" s="18"/>
      <c r="AQQ263" s="18"/>
      <c r="AQR263" s="18"/>
      <c r="AQS263" s="18"/>
      <c r="AQT263" s="18"/>
      <c r="AQU263" s="18"/>
      <c r="AQV263" s="18"/>
      <c r="AQW263" s="18"/>
      <c r="AQX263" s="18"/>
      <c r="AQY263" s="18"/>
      <c r="AQZ263" s="18"/>
      <c r="ARA263" s="18"/>
      <c r="ARB263" s="18"/>
      <c r="ARC263" s="18"/>
      <c r="ARD263" s="18"/>
      <c r="ARE263" s="18"/>
      <c r="ARF263" s="18"/>
      <c r="ARG263" s="18"/>
      <c r="ARH263" s="18"/>
      <c r="ARI263" s="18"/>
      <c r="ARJ263" s="18"/>
      <c r="ARK263" s="18"/>
      <c r="ARL263" s="18"/>
      <c r="ARM263" s="18"/>
      <c r="ARN263" s="18"/>
      <c r="ARO263" s="18"/>
      <c r="ARP263" s="18"/>
      <c r="ARQ263" s="18"/>
      <c r="ARR263" s="18"/>
      <c r="ARS263" s="18"/>
      <c r="ART263" s="18"/>
      <c r="ARU263" s="18"/>
      <c r="ARV263" s="18"/>
      <c r="ARW263" s="18"/>
      <c r="ARX263" s="18"/>
      <c r="ARY263" s="18"/>
      <c r="ARZ263" s="18"/>
      <c r="ASA263" s="18"/>
      <c r="ASB263" s="18"/>
      <c r="ASC263" s="18"/>
      <c r="ASD263" s="18"/>
      <c r="ASE263" s="18"/>
      <c r="ASF263" s="18"/>
      <c r="ASG263" s="18"/>
      <c r="ASH263" s="18"/>
      <c r="ASI263" s="18"/>
      <c r="ASJ263" s="18"/>
      <c r="ASK263" s="18"/>
      <c r="ASL263" s="18"/>
      <c r="ASM263" s="18"/>
      <c r="ASN263" s="18"/>
      <c r="ASO263" s="18"/>
      <c r="ASP263" s="18"/>
      <c r="ASQ263" s="18"/>
      <c r="ASR263" s="18"/>
      <c r="ASS263" s="18"/>
      <c r="AST263" s="18"/>
      <c r="ASU263" s="18"/>
      <c r="ASV263" s="18"/>
      <c r="ASW263" s="18"/>
      <c r="ASX263" s="18"/>
      <c r="ASY263" s="18"/>
      <c r="ASZ263" s="18"/>
      <c r="ATA263" s="18"/>
      <c r="ATB263" s="18"/>
      <c r="ATC263" s="18"/>
      <c r="ATD263" s="18"/>
      <c r="ATE263" s="18"/>
      <c r="ATF263" s="18"/>
      <c r="ATG263" s="18"/>
      <c r="ATH263" s="18"/>
      <c r="ATI263" s="18"/>
      <c r="ATJ263" s="18"/>
      <c r="ATK263" s="18"/>
      <c r="ATL263" s="18"/>
      <c r="ATM263" s="18"/>
      <c r="ATN263" s="18"/>
      <c r="ATO263" s="18"/>
      <c r="ATP263" s="18"/>
      <c r="ATQ263" s="18"/>
      <c r="ATR263" s="18"/>
      <c r="ATS263" s="18"/>
      <c r="ATT263" s="18"/>
      <c r="ATU263" s="18"/>
      <c r="ATV263" s="18"/>
      <c r="ATW263" s="18"/>
      <c r="ATX263" s="18"/>
      <c r="ATY263" s="18"/>
      <c r="ATZ263" s="18"/>
      <c r="AUA263" s="18"/>
      <c r="AUB263" s="18"/>
      <c r="AUC263" s="18"/>
      <c r="AUD263" s="18"/>
      <c r="AUE263" s="18"/>
      <c r="AUF263" s="18"/>
      <c r="AUG263" s="18"/>
      <c r="AUH263" s="18"/>
      <c r="AUI263" s="18"/>
      <c r="AUJ263" s="18"/>
      <c r="AUK263" s="18"/>
      <c r="AUL263" s="18"/>
      <c r="AUM263" s="18"/>
      <c r="AUN263" s="18"/>
      <c r="AUO263" s="18"/>
      <c r="AUP263" s="18"/>
      <c r="AUQ263" s="18"/>
      <c r="AUR263" s="18"/>
      <c r="AUS263" s="18"/>
      <c r="AUT263" s="18"/>
      <c r="AUU263" s="18"/>
      <c r="AUV263" s="18"/>
      <c r="AUW263" s="18"/>
      <c r="AUX263" s="18"/>
      <c r="AUY263" s="18"/>
      <c r="AUZ263" s="18"/>
      <c r="AVA263" s="18"/>
      <c r="AVB263" s="18"/>
      <c r="AVC263" s="18"/>
      <c r="AVD263" s="18"/>
      <c r="AVE263" s="18"/>
      <c r="AVF263" s="18"/>
      <c r="AVG263" s="18"/>
      <c r="AVH263" s="18"/>
      <c r="AVI263" s="18"/>
      <c r="AVJ263" s="18"/>
      <c r="AVK263" s="18"/>
      <c r="AVL263" s="18"/>
      <c r="AVM263" s="18"/>
      <c r="AVN263" s="18"/>
      <c r="AVO263" s="18"/>
      <c r="AVP263" s="18"/>
      <c r="AVQ263" s="18"/>
      <c r="AVR263" s="18"/>
      <c r="AVS263" s="18"/>
      <c r="AVT263" s="18"/>
      <c r="AVU263" s="18"/>
      <c r="AVV263" s="18"/>
      <c r="AVW263" s="18"/>
      <c r="AVX263" s="18"/>
      <c r="AVY263" s="18"/>
      <c r="AVZ263" s="18"/>
      <c r="AWA263" s="18"/>
      <c r="AWB263" s="18"/>
      <c r="AWC263" s="18"/>
      <c r="AWD263" s="18"/>
      <c r="AWE263" s="18"/>
      <c r="AWF263" s="18"/>
      <c r="AWG263" s="18"/>
      <c r="AWH263" s="18"/>
      <c r="AWI263" s="18"/>
      <c r="AWJ263" s="18"/>
      <c r="AWK263" s="18"/>
      <c r="AWL263" s="18"/>
      <c r="AWM263" s="18"/>
      <c r="AWN263" s="18"/>
      <c r="AWO263" s="18"/>
      <c r="AWP263" s="18"/>
      <c r="AWQ263" s="18"/>
      <c r="AWR263" s="18"/>
      <c r="AWS263" s="18"/>
      <c r="AWT263" s="18"/>
      <c r="AWU263" s="18"/>
      <c r="AWV263" s="18"/>
      <c r="AWW263" s="18"/>
      <c r="AWX263" s="18"/>
      <c r="AWY263" s="18"/>
      <c r="AWZ263" s="18"/>
      <c r="AXA263" s="18"/>
      <c r="AXB263" s="18"/>
      <c r="AXC263" s="18"/>
      <c r="AXD263" s="18"/>
      <c r="AXE263" s="18"/>
      <c r="AXF263" s="18"/>
      <c r="AXG263" s="18"/>
      <c r="AXH263" s="18"/>
      <c r="AXI263" s="18"/>
      <c r="AXJ263" s="18"/>
      <c r="AXK263" s="18"/>
      <c r="AXL263" s="18"/>
      <c r="AXM263" s="18"/>
      <c r="AXN263" s="18"/>
      <c r="AXO263" s="18"/>
      <c r="AXP263" s="18"/>
      <c r="AXQ263" s="18"/>
      <c r="AXR263" s="18"/>
      <c r="AXS263" s="18"/>
      <c r="AXT263" s="18"/>
      <c r="AXU263" s="18"/>
      <c r="AXV263" s="18"/>
      <c r="AXW263" s="18"/>
      <c r="AXX263" s="18"/>
      <c r="AXY263" s="18"/>
      <c r="AXZ263" s="18"/>
      <c r="AYA263" s="18"/>
      <c r="AYB263" s="18"/>
      <c r="AYC263" s="18"/>
      <c r="AYD263" s="18"/>
      <c r="AYE263" s="18"/>
      <c r="AYF263" s="18"/>
      <c r="AYG263" s="18"/>
      <c r="AYH263" s="18"/>
      <c r="AYI263" s="18"/>
      <c r="AYJ263" s="18"/>
      <c r="AYK263" s="18"/>
      <c r="AYL263" s="18"/>
      <c r="AYM263" s="18"/>
      <c r="AYN263" s="18"/>
      <c r="AYO263" s="18"/>
      <c r="AYP263" s="18"/>
      <c r="AYQ263" s="18"/>
      <c r="AYR263" s="18"/>
      <c r="AYS263" s="18"/>
      <c r="AYT263" s="18"/>
      <c r="AYU263" s="18"/>
      <c r="AYV263" s="18"/>
      <c r="AYW263" s="18"/>
      <c r="AYX263" s="18"/>
      <c r="AYY263" s="18"/>
      <c r="AYZ263" s="18"/>
      <c r="AZA263" s="18"/>
      <c r="AZB263" s="18"/>
      <c r="AZC263" s="18"/>
      <c r="AZD263" s="18"/>
      <c r="AZE263" s="18"/>
      <c r="AZF263" s="18"/>
      <c r="AZG263" s="18"/>
      <c r="AZH263" s="18"/>
      <c r="AZI263" s="18"/>
      <c r="AZJ263" s="18"/>
      <c r="AZK263" s="18"/>
      <c r="AZL263" s="18"/>
      <c r="AZM263" s="18"/>
      <c r="AZN263" s="18"/>
      <c r="AZO263" s="18"/>
      <c r="AZP263" s="18"/>
      <c r="AZQ263" s="18"/>
      <c r="AZR263" s="18"/>
      <c r="AZS263" s="18"/>
      <c r="AZT263" s="18"/>
      <c r="AZU263" s="18"/>
      <c r="AZV263" s="18"/>
      <c r="AZW263" s="18"/>
      <c r="AZX263" s="18"/>
      <c r="AZY263" s="18"/>
      <c r="AZZ263" s="18"/>
      <c r="BAA263" s="18"/>
      <c r="BAB263" s="18"/>
      <c r="BAC263" s="18"/>
      <c r="BAD263" s="18"/>
      <c r="BAE263" s="18"/>
      <c r="BAF263" s="18"/>
      <c r="BAG263" s="18"/>
      <c r="BAH263" s="18"/>
      <c r="BAI263" s="18"/>
      <c r="BAJ263" s="18"/>
      <c r="BAK263" s="18"/>
      <c r="BAL263" s="18"/>
      <c r="BAM263" s="18"/>
      <c r="BAN263" s="18"/>
      <c r="BAO263" s="18"/>
      <c r="BAP263" s="18"/>
      <c r="BAQ263" s="18"/>
      <c r="BAR263" s="18"/>
      <c r="BAS263" s="18"/>
      <c r="BAT263" s="18"/>
      <c r="BAU263" s="18"/>
      <c r="BAV263" s="18"/>
      <c r="BAW263" s="18"/>
      <c r="BAX263" s="18"/>
      <c r="BAY263" s="18"/>
      <c r="BAZ263" s="18"/>
      <c r="BBA263" s="18"/>
      <c r="BBB263" s="18"/>
      <c r="BBC263" s="18"/>
      <c r="BBD263" s="18"/>
      <c r="BBE263" s="18"/>
      <c r="BBF263" s="18"/>
      <c r="BBG263" s="18"/>
      <c r="BBH263" s="18"/>
      <c r="BBI263" s="18"/>
      <c r="BBJ263" s="18"/>
      <c r="BBK263" s="18"/>
      <c r="BBL263" s="18"/>
      <c r="BBM263" s="18"/>
      <c r="BBN263" s="18"/>
      <c r="BBO263" s="18"/>
      <c r="BBP263" s="18"/>
      <c r="BBQ263" s="18"/>
      <c r="BBR263" s="18"/>
      <c r="BBS263" s="18"/>
      <c r="BBT263" s="18"/>
      <c r="BBU263" s="18"/>
      <c r="BBV263" s="18"/>
      <c r="BBW263" s="18"/>
      <c r="BBX263" s="18"/>
      <c r="BBY263" s="18"/>
      <c r="BBZ263" s="18"/>
      <c r="BCA263" s="18"/>
      <c r="BCB263" s="18"/>
      <c r="BCC263" s="18"/>
      <c r="BCD263" s="18"/>
      <c r="BCE263" s="18"/>
      <c r="BCF263" s="18"/>
      <c r="BCG263" s="18"/>
      <c r="BCH263" s="18"/>
      <c r="BCI263" s="18"/>
      <c r="BCJ263" s="18"/>
      <c r="BCK263" s="18"/>
      <c r="BCL263" s="18"/>
      <c r="BCM263" s="18"/>
      <c r="BCN263" s="18"/>
      <c r="BCO263" s="18"/>
      <c r="BCP263" s="18"/>
      <c r="BCQ263" s="18"/>
      <c r="BCR263" s="18"/>
      <c r="BCS263" s="18"/>
      <c r="BCT263" s="18"/>
      <c r="BCU263" s="18"/>
      <c r="BCV263" s="18"/>
      <c r="BCW263" s="18"/>
      <c r="BCX263" s="18"/>
      <c r="BCY263" s="18"/>
      <c r="BCZ263" s="18"/>
      <c r="BDA263" s="18"/>
      <c r="BDB263" s="18"/>
      <c r="BDC263" s="18"/>
      <c r="BDD263" s="18"/>
      <c r="BDE263" s="18"/>
      <c r="BDF263" s="18"/>
      <c r="BDG263" s="18"/>
      <c r="BDH263" s="18"/>
      <c r="BDI263" s="18"/>
      <c r="BDJ263" s="18"/>
      <c r="BDK263" s="18"/>
      <c r="BDL263" s="18"/>
      <c r="BDM263" s="18"/>
      <c r="BDN263" s="18"/>
      <c r="BDO263" s="18"/>
      <c r="BDP263" s="18"/>
      <c r="BDQ263" s="18"/>
      <c r="BDR263" s="18"/>
      <c r="BDS263" s="18"/>
      <c r="BDT263" s="18"/>
      <c r="BDU263" s="18"/>
      <c r="BDV263" s="18"/>
      <c r="BDW263" s="18"/>
      <c r="BDX263" s="18"/>
      <c r="BDY263" s="18"/>
      <c r="BDZ263" s="18"/>
      <c r="BEA263" s="18"/>
      <c r="BEB263" s="18"/>
      <c r="BEC263" s="18"/>
      <c r="BED263" s="18"/>
      <c r="BEE263" s="18"/>
      <c r="BEF263" s="18"/>
      <c r="BEG263" s="18"/>
      <c r="BEH263" s="18"/>
      <c r="BEI263" s="18"/>
      <c r="BEJ263" s="18"/>
      <c r="BEK263" s="18"/>
      <c r="BEL263" s="18"/>
      <c r="BEM263" s="18"/>
      <c r="BEN263" s="18"/>
      <c r="BEO263" s="18"/>
      <c r="BEP263" s="18"/>
      <c r="BEQ263" s="18"/>
      <c r="BER263" s="18"/>
      <c r="BES263" s="18"/>
      <c r="BET263" s="18"/>
      <c r="BEU263" s="18"/>
      <c r="BEV263" s="18"/>
      <c r="BEW263" s="18"/>
      <c r="BEX263" s="18"/>
      <c r="BEY263" s="18"/>
      <c r="BEZ263" s="18"/>
      <c r="BFA263" s="18"/>
      <c r="BFB263" s="18"/>
      <c r="BFC263" s="18"/>
      <c r="BFD263" s="18"/>
      <c r="BFE263" s="18"/>
      <c r="BFF263" s="18"/>
      <c r="BFG263" s="18"/>
      <c r="BFH263" s="18"/>
      <c r="BFI263" s="18"/>
      <c r="BFJ263" s="18"/>
      <c r="BFK263" s="18"/>
      <c r="BFL263" s="18"/>
      <c r="BFM263" s="18"/>
      <c r="BFN263" s="18"/>
      <c r="BFO263" s="18"/>
      <c r="BFP263" s="18"/>
      <c r="BFQ263" s="18"/>
      <c r="BFR263" s="18"/>
      <c r="BFS263" s="18"/>
      <c r="BFT263" s="18"/>
      <c r="BFU263" s="18"/>
      <c r="BFV263" s="18"/>
      <c r="BFW263" s="18"/>
      <c r="BFX263" s="18"/>
      <c r="BFY263" s="18"/>
      <c r="BFZ263" s="18"/>
      <c r="BGA263" s="18"/>
      <c r="BGB263" s="18"/>
      <c r="BGC263" s="18"/>
      <c r="BGD263" s="18"/>
      <c r="BGE263" s="18"/>
      <c r="BGF263" s="18"/>
      <c r="BGG263" s="18"/>
      <c r="BGH263" s="18"/>
      <c r="BGI263" s="18"/>
      <c r="BGJ263" s="18"/>
      <c r="BGK263" s="18"/>
      <c r="BGL263" s="18"/>
      <c r="BGM263" s="18"/>
      <c r="BGN263" s="18"/>
      <c r="BGO263" s="18"/>
      <c r="BGP263" s="18"/>
      <c r="BGQ263" s="18"/>
      <c r="BGR263" s="18"/>
      <c r="BGS263" s="18"/>
      <c r="BGT263" s="18"/>
      <c r="BGU263" s="18"/>
      <c r="BGV263" s="18"/>
      <c r="BGW263" s="18"/>
      <c r="BGX263" s="18"/>
      <c r="BGY263" s="18"/>
      <c r="BGZ263" s="18"/>
      <c r="BHA263" s="18"/>
      <c r="BHB263" s="18"/>
      <c r="BHC263" s="18"/>
      <c r="BHD263" s="18"/>
      <c r="BHE263" s="18"/>
      <c r="BHF263" s="18"/>
      <c r="BHG263" s="18"/>
      <c r="BHH263" s="18"/>
      <c r="BHI263" s="18"/>
      <c r="BHJ263" s="18"/>
      <c r="BHK263" s="18"/>
      <c r="BHL263" s="18"/>
      <c r="BHM263" s="18"/>
      <c r="BHN263" s="18"/>
      <c r="BHO263" s="18"/>
      <c r="BHP263" s="18"/>
      <c r="BHQ263" s="18"/>
      <c r="BHR263" s="18"/>
      <c r="BHS263" s="18"/>
      <c r="BHT263" s="18"/>
      <c r="BHU263" s="18"/>
      <c r="BHV263" s="18"/>
      <c r="BHW263" s="18"/>
      <c r="BHX263" s="18"/>
      <c r="BHY263" s="18"/>
      <c r="BHZ263" s="18"/>
      <c r="BIA263" s="18"/>
      <c r="BIB263" s="18"/>
      <c r="BIC263" s="18"/>
      <c r="BID263" s="18"/>
      <c r="BIE263" s="18"/>
      <c r="BIF263" s="18"/>
      <c r="BIG263" s="18"/>
      <c r="BIH263" s="18"/>
      <c r="BII263" s="18"/>
      <c r="BIJ263" s="18"/>
      <c r="BIK263" s="18"/>
      <c r="BIL263" s="18"/>
      <c r="BIM263" s="18"/>
      <c r="BIN263" s="18"/>
      <c r="BIO263" s="18"/>
      <c r="BIP263" s="18"/>
      <c r="BIQ263" s="18"/>
      <c r="BIR263" s="18"/>
      <c r="BIS263" s="18"/>
      <c r="BIT263" s="18"/>
      <c r="BIU263" s="18"/>
      <c r="BIV263" s="18"/>
      <c r="BIW263" s="18"/>
      <c r="BIX263" s="18"/>
      <c r="BIY263" s="18"/>
      <c r="BIZ263" s="18"/>
      <c r="BJA263" s="18"/>
      <c r="BJB263" s="18"/>
      <c r="BJC263" s="18"/>
      <c r="BJD263" s="18"/>
      <c r="BJE263" s="18"/>
      <c r="BJF263" s="18"/>
      <c r="BJG263" s="18"/>
      <c r="BJH263" s="18"/>
      <c r="BJI263" s="18"/>
      <c r="BJJ263" s="18"/>
      <c r="BJK263" s="18"/>
      <c r="BJL263" s="18"/>
      <c r="BJM263" s="18"/>
      <c r="BJN263" s="18"/>
      <c r="BJO263" s="18"/>
      <c r="BJP263" s="18"/>
      <c r="BJQ263" s="18"/>
      <c r="BJR263" s="18"/>
      <c r="BJS263" s="18"/>
      <c r="BJT263" s="18"/>
      <c r="BJU263" s="18"/>
      <c r="BJV263" s="18"/>
      <c r="BJW263" s="18"/>
      <c r="BJX263" s="18"/>
      <c r="BJY263" s="18"/>
      <c r="BJZ263" s="18"/>
      <c r="BKA263" s="18"/>
      <c r="BKB263" s="18"/>
      <c r="BKC263" s="18"/>
      <c r="BKD263" s="18"/>
      <c r="BKE263" s="18"/>
      <c r="BKF263" s="18"/>
      <c r="BKG263" s="18"/>
      <c r="BKH263" s="18"/>
      <c r="BKI263" s="18"/>
      <c r="BKJ263" s="18"/>
      <c r="BKK263" s="18"/>
      <c r="BKL263" s="18"/>
      <c r="BKM263" s="18"/>
      <c r="BKN263" s="18"/>
      <c r="BKO263" s="18"/>
      <c r="BKP263" s="18"/>
      <c r="BKQ263" s="18"/>
      <c r="BKR263" s="18"/>
      <c r="BKS263" s="18"/>
      <c r="BKT263" s="18"/>
      <c r="BKU263" s="18"/>
      <c r="BKV263" s="18"/>
      <c r="BKW263" s="18"/>
      <c r="BKX263" s="18"/>
      <c r="BKY263" s="18"/>
      <c r="BKZ263" s="18"/>
      <c r="BLA263" s="18"/>
      <c r="BLB263" s="18"/>
      <c r="BLC263" s="18"/>
      <c r="BLD263" s="18"/>
      <c r="BLE263" s="18"/>
      <c r="BLF263" s="18"/>
      <c r="BLG263" s="18"/>
      <c r="BLH263" s="18"/>
      <c r="BLI263" s="18"/>
      <c r="BLJ263" s="18"/>
      <c r="BLK263" s="18"/>
      <c r="BLL263" s="18"/>
      <c r="BLM263" s="18"/>
      <c r="BLN263" s="18"/>
      <c r="BLO263" s="18"/>
      <c r="BLP263" s="18"/>
      <c r="BLQ263" s="18"/>
      <c r="BLR263" s="18"/>
      <c r="BLS263" s="18"/>
      <c r="BLT263" s="18"/>
      <c r="BLU263" s="18"/>
      <c r="BLV263" s="18"/>
      <c r="BLW263" s="18"/>
      <c r="BLX263" s="18"/>
      <c r="BLY263" s="18"/>
      <c r="BLZ263" s="18"/>
      <c r="BMA263" s="18"/>
      <c r="BMB263" s="18"/>
      <c r="BMC263" s="18"/>
      <c r="BMD263" s="18"/>
      <c r="BME263" s="18"/>
      <c r="BMF263" s="18"/>
      <c r="BMG263" s="18"/>
      <c r="BMH263" s="18"/>
      <c r="BMI263" s="18"/>
      <c r="BMJ263" s="18"/>
      <c r="BMK263" s="18"/>
      <c r="BML263" s="18"/>
      <c r="BMM263" s="18"/>
      <c r="BMN263" s="18"/>
      <c r="BMO263" s="18"/>
      <c r="BMP263" s="18"/>
      <c r="BMQ263" s="18"/>
      <c r="BMR263" s="18"/>
      <c r="BMS263" s="18"/>
      <c r="BMT263" s="18"/>
      <c r="BMU263" s="18"/>
      <c r="BMV263" s="18"/>
      <c r="BMW263" s="18"/>
      <c r="BMX263" s="18"/>
      <c r="BMY263" s="18"/>
      <c r="BMZ263" s="18"/>
      <c r="BNA263" s="18"/>
      <c r="BNB263" s="18"/>
      <c r="BNC263" s="18"/>
      <c r="BND263" s="18"/>
      <c r="BNE263" s="18"/>
      <c r="BNF263" s="18"/>
      <c r="BNG263" s="18"/>
      <c r="BNH263" s="18"/>
      <c r="BNI263" s="18"/>
      <c r="BNJ263" s="18"/>
      <c r="BNK263" s="18"/>
      <c r="BNL263" s="18"/>
      <c r="BNM263" s="18"/>
      <c r="BNN263" s="18"/>
      <c r="BNO263" s="18"/>
      <c r="BNP263" s="18"/>
      <c r="BNQ263" s="18"/>
      <c r="BNR263" s="18"/>
      <c r="BNS263" s="18"/>
      <c r="BNT263" s="18"/>
      <c r="BNU263" s="18"/>
      <c r="BNV263" s="18"/>
      <c r="BNW263" s="18"/>
      <c r="BNX263" s="18"/>
      <c r="BNY263" s="18"/>
      <c r="BNZ263" s="18"/>
      <c r="BOA263" s="18"/>
      <c r="BOB263" s="18"/>
      <c r="BOC263" s="18"/>
      <c r="BOD263" s="18"/>
      <c r="BOE263" s="18"/>
      <c r="BOF263" s="18"/>
      <c r="BOG263" s="18"/>
      <c r="BOH263" s="18"/>
      <c r="BOI263" s="18"/>
      <c r="BOJ263" s="18"/>
      <c r="BOK263" s="18"/>
      <c r="BOL263" s="18"/>
      <c r="BOM263" s="18"/>
      <c r="BON263" s="18"/>
      <c r="BOO263" s="18"/>
      <c r="BOP263" s="18"/>
      <c r="BOQ263" s="18"/>
      <c r="BOR263" s="18"/>
      <c r="BOS263" s="18"/>
      <c r="BOT263" s="18"/>
      <c r="BOU263" s="18"/>
      <c r="BOV263" s="18"/>
      <c r="BOW263" s="18"/>
      <c r="BOX263" s="18"/>
      <c r="BOY263" s="18"/>
      <c r="BOZ263" s="18"/>
      <c r="BPA263" s="18"/>
      <c r="BPB263" s="18"/>
      <c r="BPC263" s="18"/>
      <c r="BPD263" s="18"/>
      <c r="BPE263" s="18"/>
      <c r="BPF263" s="18"/>
      <c r="BPG263" s="18"/>
      <c r="BPH263" s="18"/>
      <c r="BPI263" s="18"/>
      <c r="BPJ263" s="18"/>
      <c r="BPK263" s="18"/>
      <c r="BPL263" s="18"/>
      <c r="BPM263" s="18"/>
      <c r="BPN263" s="18"/>
      <c r="BPO263" s="18"/>
      <c r="BPP263" s="18"/>
      <c r="BPQ263" s="18"/>
      <c r="BPR263" s="18"/>
      <c r="BPS263" s="18"/>
      <c r="BPT263" s="18"/>
      <c r="BPU263" s="18"/>
      <c r="BPV263" s="18"/>
      <c r="BPW263" s="18"/>
      <c r="BPX263" s="18"/>
      <c r="BPY263" s="18"/>
      <c r="BPZ263" s="18"/>
      <c r="BQA263" s="18"/>
      <c r="BQB263" s="18"/>
      <c r="BQC263" s="18"/>
      <c r="BQD263" s="18"/>
      <c r="BQE263" s="18"/>
      <c r="BQF263" s="18"/>
      <c r="BQG263" s="18"/>
      <c r="BQH263" s="18"/>
      <c r="BQI263" s="18"/>
      <c r="BQJ263" s="18"/>
      <c r="BQK263" s="18"/>
      <c r="BQL263" s="18"/>
      <c r="BQM263" s="18"/>
      <c r="BQN263" s="18"/>
      <c r="BQO263" s="18"/>
      <c r="BQP263" s="18"/>
      <c r="BQQ263" s="18"/>
      <c r="BQR263" s="18"/>
      <c r="BQS263" s="18"/>
      <c r="BQT263" s="18"/>
      <c r="BQU263" s="18"/>
      <c r="BQV263" s="18"/>
      <c r="BQW263" s="18"/>
      <c r="BQX263" s="18"/>
      <c r="BQY263" s="18"/>
      <c r="BQZ263" s="18"/>
      <c r="BRA263" s="18"/>
      <c r="BRB263" s="18"/>
      <c r="BRC263" s="18"/>
      <c r="BRD263" s="18"/>
      <c r="BRE263" s="18"/>
      <c r="BRF263" s="18"/>
      <c r="BRG263" s="18"/>
      <c r="BRH263" s="18"/>
      <c r="BRI263" s="18"/>
      <c r="BRJ263" s="18"/>
      <c r="BRK263" s="18"/>
      <c r="BRL263" s="18"/>
      <c r="BRM263" s="18"/>
      <c r="BRN263" s="18"/>
      <c r="BRO263" s="18"/>
      <c r="BRP263" s="18"/>
      <c r="BRQ263" s="18"/>
      <c r="BRR263" s="18"/>
      <c r="BRS263" s="18"/>
      <c r="BRT263" s="18"/>
      <c r="BRU263" s="18"/>
      <c r="BRV263" s="18"/>
      <c r="BRW263" s="18"/>
      <c r="BRX263" s="18"/>
      <c r="BRY263" s="18"/>
      <c r="BRZ263" s="18"/>
      <c r="BSA263" s="18"/>
      <c r="BSB263" s="18"/>
      <c r="BSC263" s="18"/>
      <c r="BSD263" s="18"/>
      <c r="BSE263" s="18"/>
      <c r="BSF263" s="18"/>
      <c r="BSG263" s="18"/>
      <c r="BSH263" s="18"/>
      <c r="BSI263" s="18"/>
      <c r="BSJ263" s="18"/>
      <c r="BSK263" s="18"/>
      <c r="BSL263" s="18"/>
      <c r="BSM263" s="18"/>
      <c r="BSN263" s="18"/>
      <c r="BSO263" s="18"/>
      <c r="BSP263" s="18"/>
      <c r="BSQ263" s="18"/>
      <c r="BSR263" s="18"/>
      <c r="BSS263" s="18"/>
      <c r="BST263" s="18"/>
      <c r="BSU263" s="18"/>
      <c r="BSV263" s="18"/>
      <c r="BSW263" s="18"/>
      <c r="BSX263" s="18"/>
      <c r="BSY263" s="18"/>
      <c r="BSZ263" s="18"/>
      <c r="BTA263" s="18"/>
      <c r="BTB263" s="18"/>
      <c r="BTC263" s="18"/>
      <c r="BTD263" s="18"/>
      <c r="BTE263" s="18"/>
      <c r="BTF263" s="18"/>
      <c r="BTG263" s="18"/>
      <c r="BTH263" s="18"/>
      <c r="BTI263" s="18"/>
    </row>
    <row r="264" spans="1:1881" s="798" customFormat="1" ht="30.75" customHeight="1" x14ac:dyDescent="0.3">
      <c r="A264" s="105"/>
      <c r="B264" s="856" t="s">
        <v>528</v>
      </c>
      <c r="C264" s="857"/>
      <c r="D264" s="94"/>
      <c r="E264" s="797"/>
      <c r="F264" s="801"/>
      <c r="G264" s="758"/>
      <c r="H264" s="17"/>
      <c r="I264" s="77"/>
      <c r="J264" s="18"/>
      <c r="K264" s="18"/>
      <c r="L264" s="18"/>
      <c r="M264" s="18"/>
      <c r="N264" s="302"/>
      <c r="O264" s="18"/>
      <c r="P264" s="18"/>
      <c r="Q264" s="18"/>
      <c r="R264" s="18"/>
      <c r="S264" s="18"/>
      <c r="T264" s="18"/>
      <c r="U264" s="18"/>
      <c r="V264" s="18"/>
      <c r="W264" s="18"/>
      <c r="X264" s="18"/>
      <c r="Y264" s="18"/>
      <c r="Z264" s="105"/>
      <c r="AA264" s="105"/>
      <c r="AB264" s="105"/>
      <c r="AC264" s="105"/>
      <c r="AD264" s="105"/>
      <c r="AE264" s="105"/>
      <c r="AF264" s="105"/>
      <c r="AG264" s="105"/>
      <c r="AH264" s="105"/>
      <c r="AI264" s="105"/>
      <c r="AJ264" s="105"/>
      <c r="AK264" s="105"/>
      <c r="AL264" s="105"/>
      <c r="AM264" s="105"/>
      <c r="AN264" s="105"/>
      <c r="AO264" s="105"/>
      <c r="AP264" s="105"/>
      <c r="AQ264" s="105"/>
      <c r="AR264" s="105"/>
      <c r="AS264" s="18"/>
      <c r="AT264" s="18"/>
      <c r="AU264" s="18"/>
      <c r="AV264" s="18"/>
      <c r="AW264" s="18"/>
      <c r="AX264" s="18"/>
      <c r="AY264" s="18"/>
      <c r="AZ264" s="18"/>
      <c r="BA264" s="18"/>
      <c r="BB264" s="18"/>
      <c r="BC264" s="18"/>
      <c r="BD264" s="18"/>
      <c r="BE264" s="18"/>
      <c r="BF264" s="18"/>
      <c r="BG264" s="18"/>
      <c r="BH264" s="18"/>
      <c r="BI264" s="18"/>
      <c r="BJ264" s="18"/>
      <c r="BK264" s="18"/>
      <c r="BL264" s="18"/>
      <c r="BM264" s="18"/>
      <c r="BN264" s="18"/>
      <c r="BO264" s="18"/>
      <c r="BP264" s="18"/>
      <c r="BQ264" s="18"/>
      <c r="BR264" s="18"/>
      <c r="BS264" s="18"/>
      <c r="BT264" s="18"/>
      <c r="BU264" s="18"/>
      <c r="BV264" s="18"/>
      <c r="BW264" s="18"/>
      <c r="BX264" s="18"/>
      <c r="BY264" s="18"/>
      <c r="BZ264" s="18"/>
      <c r="CA264" s="18"/>
      <c r="CB264" s="18"/>
      <c r="CC264" s="18"/>
      <c r="CD264" s="18"/>
      <c r="CE264" s="18"/>
      <c r="CF264" s="18"/>
      <c r="CG264" s="18"/>
      <c r="CH264" s="18"/>
      <c r="CI264" s="18"/>
      <c r="CJ264" s="18"/>
      <c r="CK264" s="18"/>
      <c r="CL264" s="18"/>
      <c r="CM264" s="18"/>
      <c r="CN264" s="18"/>
      <c r="CO264" s="18"/>
      <c r="CP264" s="18"/>
      <c r="CQ264" s="18"/>
      <c r="CR264" s="18"/>
      <c r="CS264" s="18"/>
      <c r="CT264" s="18"/>
      <c r="CU264" s="18"/>
      <c r="CV264" s="18"/>
      <c r="CW264" s="18"/>
      <c r="CX264" s="18"/>
      <c r="CY264" s="18"/>
      <c r="CZ264" s="18"/>
      <c r="DA264" s="18"/>
      <c r="DB264" s="18"/>
      <c r="DC264" s="18"/>
      <c r="DD264" s="18"/>
      <c r="DE264" s="18"/>
      <c r="DF264" s="18"/>
      <c r="DG264" s="18"/>
      <c r="DH264" s="18"/>
      <c r="DI264" s="18"/>
      <c r="DJ264" s="18"/>
      <c r="DK264" s="18"/>
      <c r="DL264" s="18"/>
      <c r="DM264" s="18"/>
      <c r="DN264" s="18"/>
      <c r="DO264" s="18"/>
      <c r="DP264" s="18"/>
      <c r="DQ264" s="18"/>
      <c r="DR264" s="18"/>
      <c r="DS264" s="18"/>
      <c r="DT264" s="18"/>
      <c r="DU264" s="18"/>
      <c r="DV264" s="18"/>
      <c r="DW264" s="18"/>
      <c r="DX264" s="18"/>
      <c r="DY264" s="18"/>
      <c r="DZ264" s="18"/>
      <c r="EA264" s="18"/>
      <c r="EB264" s="18"/>
      <c r="EC264" s="18"/>
      <c r="ED264" s="18"/>
      <c r="EE264" s="18"/>
      <c r="EF264" s="18"/>
      <c r="EG264" s="18"/>
      <c r="EH264" s="18"/>
      <c r="EI264" s="18"/>
      <c r="EJ264" s="18"/>
      <c r="EK264" s="18"/>
      <c r="EL264" s="18"/>
      <c r="EM264" s="18"/>
      <c r="EN264" s="18"/>
      <c r="EO264" s="18"/>
      <c r="EP264" s="18"/>
      <c r="EQ264" s="18"/>
      <c r="ER264" s="18"/>
      <c r="ES264" s="18"/>
      <c r="ET264" s="18"/>
      <c r="EU264" s="18"/>
      <c r="EV264" s="18"/>
      <c r="EW264" s="18"/>
      <c r="EX264" s="18"/>
      <c r="EY264" s="18"/>
      <c r="EZ264" s="18"/>
      <c r="FA264" s="18"/>
      <c r="FB264" s="18"/>
      <c r="FC264" s="18"/>
      <c r="FD264" s="18"/>
      <c r="FE264" s="18"/>
      <c r="FF264" s="18"/>
      <c r="FG264" s="18"/>
      <c r="FH264" s="18"/>
      <c r="FI264" s="18"/>
      <c r="FJ264" s="18"/>
      <c r="FK264" s="18"/>
      <c r="FL264" s="18"/>
      <c r="FM264" s="18"/>
      <c r="FN264" s="18"/>
      <c r="FO264" s="18"/>
      <c r="FP264" s="18"/>
      <c r="FQ264" s="18"/>
      <c r="FR264" s="18"/>
      <c r="FS264" s="18"/>
      <c r="FT264" s="18"/>
      <c r="FU264" s="18"/>
      <c r="FV264" s="18"/>
      <c r="FW264" s="18"/>
      <c r="FX264" s="18"/>
      <c r="FY264" s="18"/>
      <c r="FZ264" s="18"/>
      <c r="GA264" s="18"/>
      <c r="GB264" s="18"/>
      <c r="GC264" s="18"/>
      <c r="GD264" s="18"/>
      <c r="GE264" s="18"/>
      <c r="GF264" s="18"/>
      <c r="GG264" s="18"/>
      <c r="GH264" s="18"/>
      <c r="GI264" s="18"/>
      <c r="GJ264" s="18"/>
      <c r="GK264" s="18"/>
      <c r="GL264" s="18"/>
      <c r="GM264" s="18"/>
      <c r="GN264" s="18"/>
      <c r="GO264" s="18"/>
      <c r="GP264" s="18"/>
      <c r="GQ264" s="18"/>
      <c r="GR264" s="18"/>
      <c r="GS264" s="18"/>
      <c r="GT264" s="18"/>
      <c r="GU264" s="18"/>
      <c r="GV264" s="18"/>
      <c r="GW264" s="18"/>
      <c r="GX264" s="18"/>
      <c r="GY264" s="18"/>
      <c r="GZ264" s="18"/>
      <c r="HA264" s="18"/>
      <c r="HB264" s="18"/>
      <c r="HC264" s="18"/>
      <c r="HD264" s="18"/>
      <c r="HE264" s="18"/>
      <c r="HF264" s="18"/>
      <c r="HG264" s="18"/>
      <c r="HH264" s="18"/>
      <c r="HI264" s="18"/>
      <c r="HJ264" s="18"/>
      <c r="HK264" s="18"/>
      <c r="HL264" s="18"/>
      <c r="HM264" s="18"/>
      <c r="HN264" s="18"/>
      <c r="HO264" s="18"/>
      <c r="HP264" s="18"/>
      <c r="HQ264" s="18"/>
      <c r="HR264" s="18"/>
      <c r="HS264" s="18"/>
      <c r="HT264" s="18"/>
      <c r="HU264" s="18"/>
      <c r="HV264" s="18"/>
      <c r="HW264" s="18"/>
      <c r="HX264" s="18"/>
      <c r="HY264" s="18"/>
      <c r="HZ264" s="18"/>
      <c r="IA264" s="18"/>
      <c r="IB264" s="18"/>
      <c r="IC264" s="18"/>
      <c r="ID264" s="18"/>
      <c r="IE264" s="18"/>
      <c r="IF264" s="18"/>
      <c r="IG264" s="18"/>
      <c r="IH264" s="18"/>
      <c r="II264" s="18"/>
      <c r="IJ264" s="18"/>
      <c r="IK264" s="18"/>
      <c r="IL264" s="18"/>
      <c r="IM264" s="18"/>
      <c r="IN264" s="18"/>
      <c r="IO264" s="18"/>
      <c r="IP264" s="18"/>
      <c r="IQ264" s="18"/>
      <c r="IR264" s="18"/>
      <c r="IS264" s="18"/>
      <c r="IT264" s="18"/>
      <c r="IU264" s="18"/>
      <c r="IV264" s="18"/>
      <c r="IW264" s="18"/>
      <c r="IX264" s="18"/>
      <c r="IY264" s="18"/>
      <c r="IZ264" s="18"/>
      <c r="JA264" s="18"/>
      <c r="JB264" s="18"/>
      <c r="JC264" s="18"/>
      <c r="JD264" s="18"/>
      <c r="JE264" s="18"/>
      <c r="JF264" s="18"/>
      <c r="JG264" s="18"/>
      <c r="JH264" s="18"/>
      <c r="JI264" s="18"/>
      <c r="JJ264" s="18"/>
      <c r="JK264" s="18"/>
      <c r="JL264" s="18"/>
      <c r="JM264" s="18"/>
      <c r="JN264" s="18"/>
      <c r="JO264" s="18"/>
      <c r="JP264" s="18"/>
      <c r="JQ264" s="18"/>
      <c r="JR264" s="18"/>
      <c r="JS264" s="18"/>
      <c r="JT264" s="18"/>
      <c r="JU264" s="18"/>
      <c r="JV264" s="18"/>
      <c r="JW264" s="18"/>
      <c r="JX264" s="18"/>
      <c r="JY264" s="18"/>
      <c r="JZ264" s="18"/>
      <c r="KA264" s="18"/>
      <c r="KB264" s="18"/>
      <c r="KC264" s="18"/>
      <c r="KD264" s="18"/>
      <c r="KE264" s="18"/>
      <c r="KF264" s="18"/>
      <c r="KG264" s="18"/>
      <c r="KH264" s="18"/>
      <c r="KI264" s="18"/>
      <c r="KJ264" s="18"/>
      <c r="KK264" s="18"/>
      <c r="KL264" s="18"/>
      <c r="KM264" s="18"/>
      <c r="KN264" s="18"/>
      <c r="KO264" s="18"/>
      <c r="KP264" s="18"/>
      <c r="KQ264" s="18"/>
      <c r="KR264" s="18"/>
      <c r="KS264" s="18"/>
      <c r="KT264" s="18"/>
      <c r="KU264" s="18"/>
      <c r="KV264" s="18"/>
      <c r="KW264" s="18"/>
      <c r="KX264" s="18"/>
      <c r="KY264" s="18"/>
      <c r="KZ264" s="18"/>
      <c r="LA264" s="18"/>
      <c r="LB264" s="18"/>
      <c r="LC264" s="18"/>
      <c r="LD264" s="18"/>
      <c r="LE264" s="18"/>
      <c r="LF264" s="18"/>
      <c r="LG264" s="18"/>
      <c r="LH264" s="18"/>
      <c r="LI264" s="18"/>
      <c r="LJ264" s="18"/>
      <c r="LK264" s="18"/>
      <c r="LL264" s="18"/>
      <c r="LM264" s="18"/>
      <c r="LN264" s="18"/>
      <c r="LO264" s="18"/>
      <c r="LP264" s="18"/>
      <c r="LQ264" s="18"/>
      <c r="LR264" s="18"/>
      <c r="LS264" s="18"/>
      <c r="LT264" s="18"/>
      <c r="LU264" s="18"/>
      <c r="LV264" s="18"/>
      <c r="LW264" s="18"/>
      <c r="LX264" s="18"/>
      <c r="LY264" s="18"/>
      <c r="LZ264" s="18"/>
      <c r="MA264" s="18"/>
      <c r="MB264" s="18"/>
      <c r="MC264" s="18"/>
      <c r="MD264" s="18"/>
      <c r="ME264" s="18"/>
      <c r="MF264" s="18"/>
      <c r="MG264" s="18"/>
      <c r="MH264" s="18"/>
      <c r="MI264" s="18"/>
      <c r="MJ264" s="18"/>
      <c r="MK264" s="18"/>
      <c r="ML264" s="18"/>
      <c r="MM264" s="18"/>
      <c r="MN264" s="18"/>
      <c r="MO264" s="18"/>
      <c r="MP264" s="18"/>
      <c r="MQ264" s="18"/>
      <c r="MR264" s="18"/>
      <c r="MS264" s="18"/>
      <c r="MT264" s="18"/>
      <c r="MU264" s="18"/>
      <c r="MV264" s="18"/>
      <c r="MW264" s="18"/>
      <c r="MX264" s="18"/>
      <c r="MY264" s="18"/>
      <c r="MZ264" s="18"/>
      <c r="NA264" s="18"/>
      <c r="NB264" s="18"/>
      <c r="NC264" s="18"/>
      <c r="ND264" s="18"/>
      <c r="NE264" s="18"/>
      <c r="NF264" s="18"/>
      <c r="NG264" s="18"/>
      <c r="NH264" s="18"/>
      <c r="NI264" s="18"/>
      <c r="NJ264" s="18"/>
      <c r="NK264" s="18"/>
      <c r="NL264" s="18"/>
      <c r="NM264" s="18"/>
      <c r="NN264" s="18"/>
      <c r="NO264" s="18"/>
      <c r="NP264" s="18"/>
      <c r="NQ264" s="18"/>
      <c r="NR264" s="18"/>
      <c r="NS264" s="18"/>
      <c r="NT264" s="18"/>
      <c r="NU264" s="18"/>
      <c r="NV264" s="18"/>
      <c r="NW264" s="18"/>
      <c r="NX264" s="18"/>
      <c r="NY264" s="18"/>
      <c r="NZ264" s="18"/>
      <c r="OA264" s="18"/>
      <c r="OB264" s="18"/>
      <c r="OC264" s="18"/>
      <c r="OD264" s="18"/>
      <c r="OE264" s="18"/>
      <c r="OF264" s="18"/>
      <c r="OG264" s="18"/>
      <c r="OH264" s="18"/>
      <c r="OI264" s="18"/>
      <c r="OJ264" s="18"/>
      <c r="OK264" s="18"/>
      <c r="OL264" s="18"/>
      <c r="OM264" s="18"/>
      <c r="ON264" s="18"/>
      <c r="OO264" s="18"/>
      <c r="OP264" s="18"/>
      <c r="OQ264" s="18"/>
      <c r="OR264" s="18"/>
      <c r="OS264" s="18"/>
      <c r="OT264" s="18"/>
      <c r="OU264" s="18"/>
      <c r="OV264" s="18"/>
      <c r="OW264" s="18"/>
      <c r="OX264" s="18"/>
      <c r="OY264" s="18"/>
      <c r="OZ264" s="18"/>
      <c r="PA264" s="18"/>
      <c r="PB264" s="18"/>
      <c r="PC264" s="18"/>
      <c r="PD264" s="18"/>
      <c r="PE264" s="18"/>
      <c r="PF264" s="18"/>
      <c r="PG264" s="18"/>
      <c r="PH264" s="18"/>
      <c r="PI264" s="18"/>
      <c r="PJ264" s="18"/>
      <c r="PK264" s="18"/>
      <c r="PL264" s="18"/>
      <c r="PM264" s="18"/>
      <c r="PN264" s="18"/>
      <c r="PO264" s="18"/>
      <c r="PP264" s="18"/>
      <c r="PQ264" s="18"/>
      <c r="PR264" s="18"/>
      <c r="PS264" s="18"/>
      <c r="PT264" s="18"/>
      <c r="PU264" s="18"/>
      <c r="PV264" s="18"/>
      <c r="PW264" s="18"/>
      <c r="PX264" s="18"/>
      <c r="PY264" s="18"/>
      <c r="PZ264" s="18"/>
      <c r="QA264" s="18"/>
      <c r="QB264" s="18"/>
      <c r="QC264" s="18"/>
      <c r="QD264" s="18"/>
      <c r="QE264" s="18"/>
      <c r="QF264" s="18"/>
      <c r="QG264" s="18"/>
      <c r="QH264" s="18"/>
      <c r="QI264" s="18"/>
      <c r="QJ264" s="18"/>
      <c r="QK264" s="18"/>
      <c r="QL264" s="18"/>
      <c r="QM264" s="18"/>
      <c r="QN264" s="18"/>
      <c r="QO264" s="18"/>
      <c r="QP264" s="18"/>
      <c r="QQ264" s="18"/>
      <c r="QR264" s="18"/>
      <c r="QS264" s="18"/>
      <c r="QT264" s="18"/>
      <c r="QU264" s="18"/>
      <c r="QV264" s="18"/>
      <c r="QW264" s="18"/>
      <c r="QX264" s="18"/>
      <c r="QY264" s="18"/>
      <c r="QZ264" s="18"/>
      <c r="RA264" s="18"/>
      <c r="RB264" s="18"/>
      <c r="RC264" s="18"/>
      <c r="RD264" s="18"/>
      <c r="RE264" s="18"/>
      <c r="RF264" s="18"/>
      <c r="RG264" s="18"/>
      <c r="RH264" s="18"/>
      <c r="RI264" s="18"/>
      <c r="RJ264" s="18"/>
      <c r="RK264" s="18"/>
      <c r="RL264" s="18"/>
      <c r="RM264" s="18"/>
      <c r="RN264" s="18"/>
      <c r="RO264" s="18"/>
      <c r="RP264" s="18"/>
      <c r="RQ264" s="18"/>
      <c r="RR264" s="18"/>
      <c r="RS264" s="18"/>
      <c r="RT264" s="18"/>
      <c r="RU264" s="18"/>
      <c r="RV264" s="18"/>
      <c r="RW264" s="18"/>
      <c r="RX264" s="18"/>
      <c r="RY264" s="18"/>
      <c r="RZ264" s="18"/>
      <c r="SA264" s="18"/>
      <c r="SB264" s="18"/>
      <c r="SC264" s="18"/>
      <c r="SD264" s="18"/>
      <c r="SE264" s="18"/>
      <c r="SF264" s="18"/>
      <c r="SG264" s="18"/>
      <c r="SH264" s="18"/>
      <c r="SI264" s="18"/>
      <c r="SJ264" s="18"/>
      <c r="SK264" s="18"/>
      <c r="SL264" s="18"/>
      <c r="SM264" s="18"/>
      <c r="SN264" s="18"/>
      <c r="SO264" s="18"/>
      <c r="SP264" s="18"/>
      <c r="SQ264" s="18"/>
      <c r="SR264" s="18"/>
      <c r="SS264" s="18"/>
      <c r="ST264" s="18"/>
      <c r="SU264" s="18"/>
      <c r="SV264" s="18"/>
      <c r="SW264" s="18"/>
      <c r="SX264" s="18"/>
      <c r="SY264" s="18"/>
      <c r="SZ264" s="18"/>
      <c r="TA264" s="18"/>
      <c r="TB264" s="18"/>
      <c r="TC264" s="18"/>
      <c r="TD264" s="18"/>
      <c r="TE264" s="18"/>
      <c r="TF264" s="18"/>
      <c r="TG264" s="18"/>
      <c r="TH264" s="18"/>
      <c r="TI264" s="18"/>
      <c r="TJ264" s="18"/>
      <c r="TK264" s="18"/>
      <c r="TL264" s="18"/>
      <c r="TM264" s="18"/>
      <c r="TN264" s="18"/>
      <c r="TO264" s="18"/>
      <c r="TP264" s="18"/>
      <c r="TQ264" s="18"/>
      <c r="TR264" s="18"/>
      <c r="TS264" s="18"/>
      <c r="TT264" s="18"/>
      <c r="TU264" s="18"/>
      <c r="TV264" s="18"/>
      <c r="TW264" s="18"/>
      <c r="TX264" s="18"/>
      <c r="TY264" s="18"/>
      <c r="TZ264" s="18"/>
      <c r="UA264" s="18"/>
      <c r="UB264" s="18"/>
      <c r="UC264" s="18"/>
      <c r="UD264" s="18"/>
      <c r="UE264" s="18"/>
      <c r="UF264" s="18"/>
      <c r="UG264" s="18"/>
      <c r="UH264" s="18"/>
      <c r="UI264" s="18"/>
      <c r="UJ264" s="18"/>
      <c r="UK264" s="18"/>
      <c r="UL264" s="18"/>
      <c r="UM264" s="18"/>
      <c r="UN264" s="18"/>
      <c r="UO264" s="18"/>
      <c r="UP264" s="18"/>
      <c r="UQ264" s="18"/>
      <c r="UR264" s="18"/>
      <c r="US264" s="18"/>
      <c r="UT264" s="18"/>
      <c r="UU264" s="18"/>
      <c r="UV264" s="18"/>
      <c r="UW264" s="18"/>
      <c r="UX264" s="18"/>
      <c r="UY264" s="18"/>
      <c r="UZ264" s="18"/>
      <c r="VA264" s="18"/>
      <c r="VB264" s="18"/>
      <c r="VC264" s="18"/>
      <c r="VD264" s="18"/>
      <c r="VE264" s="18"/>
      <c r="VF264" s="18"/>
      <c r="VG264" s="18"/>
      <c r="VH264" s="18"/>
      <c r="VI264" s="18"/>
      <c r="VJ264" s="18"/>
      <c r="VK264" s="18"/>
      <c r="VL264" s="18"/>
      <c r="VM264" s="18"/>
      <c r="VN264" s="18"/>
      <c r="VO264" s="18"/>
      <c r="VP264" s="18"/>
      <c r="VQ264" s="18"/>
      <c r="VR264" s="18"/>
      <c r="VS264" s="18"/>
      <c r="VT264" s="18"/>
      <c r="VU264" s="18"/>
      <c r="VV264" s="18"/>
      <c r="VW264" s="18"/>
      <c r="VX264" s="18"/>
      <c r="VY264" s="18"/>
      <c r="VZ264" s="18"/>
      <c r="WA264" s="18"/>
      <c r="WB264" s="18"/>
      <c r="WC264" s="18"/>
      <c r="WD264" s="18"/>
      <c r="WE264" s="18"/>
      <c r="WF264" s="18"/>
      <c r="WG264" s="18"/>
      <c r="WH264" s="18"/>
      <c r="WI264" s="18"/>
      <c r="WJ264" s="18"/>
      <c r="WK264" s="18"/>
      <c r="WL264" s="18"/>
      <c r="WM264" s="18"/>
      <c r="WN264" s="18"/>
      <c r="WO264" s="18"/>
      <c r="WP264" s="18"/>
      <c r="WQ264" s="18"/>
      <c r="WR264" s="18"/>
      <c r="WS264" s="18"/>
      <c r="WT264" s="18"/>
      <c r="WU264" s="18"/>
      <c r="WV264" s="18"/>
      <c r="WW264" s="18"/>
      <c r="WX264" s="18"/>
      <c r="WY264" s="18"/>
      <c r="WZ264" s="18"/>
      <c r="XA264" s="18"/>
      <c r="XB264" s="18"/>
      <c r="XC264" s="18"/>
      <c r="XD264" s="18"/>
      <c r="XE264" s="18"/>
      <c r="XF264" s="18"/>
      <c r="XG264" s="18"/>
      <c r="XH264" s="18"/>
      <c r="XI264" s="18"/>
      <c r="XJ264" s="18"/>
      <c r="XK264" s="18"/>
      <c r="XL264" s="18"/>
      <c r="XM264" s="18"/>
      <c r="XN264" s="18"/>
      <c r="XO264" s="18"/>
      <c r="XP264" s="18"/>
      <c r="XQ264" s="18"/>
      <c r="XR264" s="18"/>
      <c r="XS264" s="18"/>
      <c r="XT264" s="18"/>
      <c r="XU264" s="18"/>
      <c r="XV264" s="18"/>
      <c r="XW264" s="18"/>
      <c r="XX264" s="18"/>
      <c r="XY264" s="18"/>
      <c r="XZ264" s="18"/>
      <c r="YA264" s="18"/>
      <c r="YB264" s="18"/>
      <c r="YC264" s="18"/>
      <c r="YD264" s="18"/>
      <c r="YE264" s="18"/>
      <c r="YF264" s="18"/>
      <c r="YG264" s="18"/>
      <c r="YH264" s="18"/>
      <c r="YI264" s="18"/>
      <c r="YJ264" s="18"/>
      <c r="YK264" s="18"/>
      <c r="YL264" s="18"/>
      <c r="YM264" s="18"/>
      <c r="YN264" s="18"/>
      <c r="YO264" s="18"/>
      <c r="YP264" s="18"/>
      <c r="YQ264" s="18"/>
      <c r="YR264" s="18"/>
      <c r="YS264" s="18"/>
      <c r="YT264" s="18"/>
      <c r="YU264" s="18"/>
      <c r="YV264" s="18"/>
      <c r="YW264" s="18"/>
      <c r="YX264" s="18"/>
      <c r="YY264" s="18"/>
      <c r="YZ264" s="18"/>
      <c r="ZA264" s="18"/>
      <c r="ZB264" s="18"/>
      <c r="ZC264" s="18"/>
      <c r="ZD264" s="18"/>
      <c r="ZE264" s="18"/>
      <c r="ZF264" s="18"/>
      <c r="ZG264" s="18"/>
      <c r="ZH264" s="18"/>
      <c r="ZI264" s="18"/>
      <c r="ZJ264" s="18"/>
      <c r="ZK264" s="18"/>
      <c r="ZL264" s="18"/>
      <c r="ZM264" s="18"/>
      <c r="ZN264" s="18"/>
      <c r="ZO264" s="18"/>
      <c r="ZP264" s="18"/>
      <c r="ZQ264" s="18"/>
      <c r="ZR264" s="18"/>
      <c r="ZS264" s="18"/>
      <c r="ZT264" s="18"/>
      <c r="ZU264" s="18"/>
      <c r="ZV264" s="18"/>
      <c r="ZW264" s="18"/>
      <c r="ZX264" s="18"/>
      <c r="ZY264" s="18"/>
      <c r="ZZ264" s="18"/>
      <c r="AAA264" s="18"/>
      <c r="AAB264" s="18"/>
      <c r="AAC264" s="18"/>
      <c r="AAD264" s="18"/>
      <c r="AAE264" s="18"/>
      <c r="AAF264" s="18"/>
      <c r="AAG264" s="18"/>
      <c r="AAH264" s="18"/>
      <c r="AAI264" s="18"/>
      <c r="AAJ264" s="18"/>
      <c r="AAK264" s="18"/>
      <c r="AAL264" s="18"/>
      <c r="AAM264" s="18"/>
      <c r="AAN264" s="18"/>
      <c r="AAO264" s="18"/>
      <c r="AAP264" s="18"/>
      <c r="AAQ264" s="18"/>
      <c r="AAR264" s="18"/>
      <c r="AAS264" s="18"/>
      <c r="AAT264" s="18"/>
      <c r="AAU264" s="18"/>
      <c r="AAV264" s="18"/>
      <c r="AAW264" s="18"/>
      <c r="AAX264" s="18"/>
      <c r="AAY264" s="18"/>
      <c r="AAZ264" s="18"/>
      <c r="ABA264" s="18"/>
      <c r="ABB264" s="18"/>
      <c r="ABC264" s="18"/>
      <c r="ABD264" s="18"/>
      <c r="ABE264" s="18"/>
      <c r="ABF264" s="18"/>
      <c r="ABG264" s="18"/>
      <c r="ABH264" s="18"/>
      <c r="ABI264" s="18"/>
      <c r="ABJ264" s="18"/>
      <c r="ABK264" s="18"/>
      <c r="ABL264" s="18"/>
      <c r="ABM264" s="18"/>
      <c r="ABN264" s="18"/>
      <c r="ABO264" s="18"/>
      <c r="ABP264" s="18"/>
      <c r="ABQ264" s="18"/>
      <c r="ABR264" s="18"/>
      <c r="ABS264" s="18"/>
      <c r="ABT264" s="18"/>
      <c r="ABU264" s="18"/>
      <c r="ABV264" s="18"/>
      <c r="ABW264" s="18"/>
      <c r="ABX264" s="18"/>
      <c r="ABY264" s="18"/>
      <c r="ABZ264" s="18"/>
      <c r="ACA264" s="18"/>
      <c r="ACB264" s="18"/>
      <c r="ACC264" s="18"/>
      <c r="ACD264" s="18"/>
      <c r="ACE264" s="18"/>
      <c r="ACF264" s="18"/>
      <c r="ACG264" s="18"/>
      <c r="ACH264" s="18"/>
      <c r="ACI264" s="18"/>
      <c r="ACJ264" s="18"/>
      <c r="ACK264" s="18"/>
      <c r="ACL264" s="18"/>
      <c r="ACM264" s="18"/>
      <c r="ACN264" s="18"/>
      <c r="ACO264" s="18"/>
      <c r="ACP264" s="18"/>
      <c r="ACQ264" s="18"/>
      <c r="ACR264" s="18"/>
      <c r="ACS264" s="18"/>
      <c r="ACT264" s="18"/>
      <c r="ACU264" s="18"/>
      <c r="ACV264" s="18"/>
      <c r="ACW264" s="18"/>
      <c r="ACX264" s="18"/>
      <c r="ACY264" s="18"/>
      <c r="ACZ264" s="18"/>
      <c r="ADA264" s="18"/>
      <c r="ADB264" s="18"/>
      <c r="ADC264" s="18"/>
      <c r="ADD264" s="18"/>
      <c r="ADE264" s="18"/>
      <c r="ADF264" s="18"/>
      <c r="ADG264" s="18"/>
      <c r="ADH264" s="18"/>
      <c r="ADI264" s="18"/>
      <c r="ADJ264" s="18"/>
      <c r="ADK264" s="18"/>
      <c r="ADL264" s="18"/>
      <c r="ADM264" s="18"/>
      <c r="ADN264" s="18"/>
      <c r="ADO264" s="18"/>
      <c r="ADP264" s="18"/>
      <c r="ADQ264" s="18"/>
      <c r="ADR264" s="18"/>
      <c r="ADS264" s="18"/>
      <c r="ADT264" s="18"/>
      <c r="ADU264" s="18"/>
      <c r="ADV264" s="18"/>
      <c r="ADW264" s="18"/>
      <c r="ADX264" s="18"/>
      <c r="ADY264" s="18"/>
      <c r="ADZ264" s="18"/>
      <c r="AEA264" s="18"/>
      <c r="AEB264" s="18"/>
      <c r="AEC264" s="18"/>
      <c r="AED264" s="18"/>
      <c r="AEE264" s="18"/>
      <c r="AEF264" s="18"/>
      <c r="AEG264" s="18"/>
      <c r="AEH264" s="18"/>
      <c r="AEI264" s="18"/>
      <c r="AEJ264" s="18"/>
      <c r="AEK264" s="18"/>
      <c r="AEL264" s="18"/>
      <c r="AEM264" s="18"/>
      <c r="AEN264" s="18"/>
      <c r="AEO264" s="18"/>
      <c r="AEP264" s="18"/>
      <c r="AEQ264" s="18"/>
      <c r="AER264" s="18"/>
      <c r="AES264" s="18"/>
      <c r="AET264" s="18"/>
      <c r="AEU264" s="18"/>
      <c r="AEV264" s="18"/>
      <c r="AEW264" s="18"/>
      <c r="AEX264" s="18"/>
      <c r="AEY264" s="18"/>
      <c r="AEZ264" s="18"/>
      <c r="AFA264" s="18"/>
      <c r="AFB264" s="18"/>
      <c r="AFC264" s="18"/>
      <c r="AFD264" s="18"/>
      <c r="AFE264" s="18"/>
      <c r="AFF264" s="18"/>
      <c r="AFG264" s="18"/>
      <c r="AFH264" s="18"/>
      <c r="AFI264" s="18"/>
      <c r="AFJ264" s="18"/>
      <c r="AFK264" s="18"/>
      <c r="AFL264" s="18"/>
      <c r="AFM264" s="18"/>
      <c r="AFN264" s="18"/>
      <c r="AFO264" s="18"/>
      <c r="AFP264" s="18"/>
      <c r="AFQ264" s="18"/>
      <c r="AFR264" s="18"/>
      <c r="AFS264" s="18"/>
      <c r="AFT264" s="18"/>
      <c r="AFU264" s="18"/>
      <c r="AFV264" s="18"/>
      <c r="AFW264" s="18"/>
      <c r="AFX264" s="18"/>
      <c r="AFY264" s="18"/>
      <c r="AFZ264" s="18"/>
      <c r="AGA264" s="18"/>
      <c r="AGB264" s="18"/>
      <c r="AGC264" s="18"/>
      <c r="AGD264" s="18"/>
      <c r="AGE264" s="18"/>
      <c r="AGF264" s="18"/>
      <c r="AGG264" s="18"/>
      <c r="AGH264" s="18"/>
      <c r="AGI264" s="18"/>
      <c r="AGJ264" s="18"/>
      <c r="AGK264" s="18"/>
      <c r="AGL264" s="18"/>
      <c r="AGM264" s="18"/>
      <c r="AGN264" s="18"/>
      <c r="AGO264" s="18"/>
      <c r="AGP264" s="18"/>
      <c r="AGQ264" s="18"/>
      <c r="AGR264" s="18"/>
      <c r="AGS264" s="18"/>
      <c r="AGT264" s="18"/>
      <c r="AGU264" s="18"/>
      <c r="AGV264" s="18"/>
      <c r="AGW264" s="18"/>
      <c r="AGX264" s="18"/>
      <c r="AGY264" s="18"/>
      <c r="AGZ264" s="18"/>
      <c r="AHA264" s="18"/>
      <c r="AHB264" s="18"/>
      <c r="AHC264" s="18"/>
      <c r="AHD264" s="18"/>
      <c r="AHE264" s="18"/>
      <c r="AHF264" s="18"/>
      <c r="AHG264" s="18"/>
      <c r="AHH264" s="18"/>
      <c r="AHI264" s="18"/>
      <c r="AHJ264" s="18"/>
      <c r="AHK264" s="18"/>
      <c r="AHL264" s="18"/>
      <c r="AHM264" s="18"/>
      <c r="AHN264" s="18"/>
      <c r="AHO264" s="18"/>
      <c r="AHP264" s="18"/>
      <c r="AHQ264" s="18"/>
      <c r="AHR264" s="18"/>
      <c r="AHS264" s="18"/>
      <c r="AHT264" s="18"/>
      <c r="AHU264" s="18"/>
      <c r="AHV264" s="18"/>
      <c r="AHW264" s="18"/>
      <c r="AHX264" s="18"/>
      <c r="AHY264" s="18"/>
      <c r="AHZ264" s="18"/>
      <c r="AIA264" s="18"/>
      <c r="AIB264" s="18"/>
      <c r="AIC264" s="18"/>
      <c r="AID264" s="18"/>
      <c r="AIE264" s="18"/>
      <c r="AIF264" s="18"/>
      <c r="AIG264" s="18"/>
      <c r="AIH264" s="18"/>
      <c r="AII264" s="18"/>
      <c r="AIJ264" s="18"/>
      <c r="AIK264" s="18"/>
      <c r="AIL264" s="18"/>
      <c r="AIM264" s="18"/>
      <c r="AIN264" s="18"/>
      <c r="AIO264" s="18"/>
      <c r="AIP264" s="18"/>
      <c r="AIQ264" s="18"/>
      <c r="AIR264" s="18"/>
      <c r="AIS264" s="18"/>
      <c r="AIT264" s="18"/>
      <c r="AIU264" s="18"/>
      <c r="AIV264" s="18"/>
      <c r="AIW264" s="18"/>
      <c r="AIX264" s="18"/>
      <c r="AIY264" s="18"/>
      <c r="AIZ264" s="18"/>
      <c r="AJA264" s="18"/>
      <c r="AJB264" s="18"/>
      <c r="AJC264" s="18"/>
      <c r="AJD264" s="18"/>
      <c r="AJE264" s="18"/>
      <c r="AJF264" s="18"/>
      <c r="AJG264" s="18"/>
      <c r="AJH264" s="18"/>
      <c r="AJI264" s="18"/>
      <c r="AJJ264" s="18"/>
      <c r="AJK264" s="18"/>
      <c r="AJL264" s="18"/>
      <c r="AJM264" s="18"/>
      <c r="AJN264" s="18"/>
      <c r="AJO264" s="18"/>
      <c r="AJP264" s="18"/>
      <c r="AJQ264" s="18"/>
      <c r="AJR264" s="18"/>
      <c r="AJS264" s="18"/>
      <c r="AJT264" s="18"/>
      <c r="AJU264" s="18"/>
      <c r="AJV264" s="18"/>
      <c r="AJW264" s="18"/>
      <c r="AJX264" s="18"/>
      <c r="AJY264" s="18"/>
      <c r="AJZ264" s="18"/>
      <c r="AKA264" s="18"/>
      <c r="AKB264" s="18"/>
      <c r="AKC264" s="18"/>
      <c r="AKD264" s="18"/>
      <c r="AKE264" s="18"/>
      <c r="AKF264" s="18"/>
      <c r="AKG264" s="18"/>
      <c r="AKH264" s="18"/>
      <c r="AKI264" s="18"/>
      <c r="AKJ264" s="18"/>
      <c r="AKK264" s="18"/>
      <c r="AKL264" s="18"/>
      <c r="AKM264" s="18"/>
      <c r="AKN264" s="18"/>
      <c r="AKO264" s="18"/>
      <c r="AKP264" s="18"/>
      <c r="AKQ264" s="18"/>
      <c r="AKR264" s="18"/>
      <c r="AKS264" s="18"/>
      <c r="AKT264" s="18"/>
      <c r="AKU264" s="18"/>
      <c r="AKV264" s="18"/>
      <c r="AKW264" s="18"/>
      <c r="AKX264" s="18"/>
      <c r="AKY264" s="18"/>
      <c r="AKZ264" s="18"/>
      <c r="ALA264" s="18"/>
      <c r="ALB264" s="18"/>
      <c r="ALC264" s="18"/>
      <c r="ALD264" s="18"/>
      <c r="ALE264" s="18"/>
      <c r="ALF264" s="18"/>
      <c r="ALG264" s="18"/>
      <c r="ALH264" s="18"/>
      <c r="ALI264" s="18"/>
      <c r="ALJ264" s="18"/>
      <c r="ALK264" s="18"/>
      <c r="ALL264" s="18"/>
      <c r="ALM264" s="18"/>
      <c r="ALN264" s="18"/>
      <c r="ALO264" s="18"/>
      <c r="ALP264" s="18"/>
      <c r="ALQ264" s="18"/>
      <c r="ALR264" s="18"/>
      <c r="ALS264" s="18"/>
      <c r="ALT264" s="18"/>
      <c r="ALU264" s="18"/>
      <c r="ALV264" s="18"/>
      <c r="ALW264" s="18"/>
      <c r="ALX264" s="18"/>
      <c r="ALY264" s="18"/>
      <c r="ALZ264" s="18"/>
      <c r="AMA264" s="18"/>
      <c r="AMB264" s="18"/>
      <c r="AMC264" s="18"/>
      <c r="AMD264" s="18"/>
      <c r="AME264" s="18"/>
      <c r="AMF264" s="18"/>
      <c r="AMG264" s="18"/>
      <c r="AMH264" s="18"/>
      <c r="AMI264" s="18"/>
      <c r="AMJ264" s="18"/>
      <c r="AMK264" s="18"/>
      <c r="AML264" s="18"/>
      <c r="AMM264" s="18"/>
      <c r="AMN264" s="18"/>
      <c r="AMO264" s="18"/>
      <c r="AMP264" s="18"/>
      <c r="AMQ264" s="18"/>
      <c r="AMR264" s="18"/>
      <c r="AMS264" s="18"/>
      <c r="AMT264" s="18"/>
      <c r="AMU264" s="18"/>
      <c r="AMV264" s="18"/>
      <c r="AMW264" s="18"/>
      <c r="AMX264" s="18"/>
      <c r="AMY264" s="18"/>
      <c r="AMZ264" s="18"/>
      <c r="ANA264" s="18"/>
      <c r="ANB264" s="18"/>
      <c r="ANC264" s="18"/>
      <c r="AND264" s="18"/>
      <c r="ANE264" s="18"/>
      <c r="ANF264" s="18"/>
      <c r="ANG264" s="18"/>
      <c r="ANH264" s="18"/>
      <c r="ANI264" s="18"/>
      <c r="ANJ264" s="18"/>
      <c r="ANK264" s="18"/>
      <c r="ANL264" s="18"/>
      <c r="ANM264" s="18"/>
      <c r="ANN264" s="18"/>
      <c r="ANO264" s="18"/>
      <c r="ANP264" s="18"/>
      <c r="ANQ264" s="18"/>
      <c r="ANR264" s="18"/>
      <c r="ANS264" s="18"/>
      <c r="ANT264" s="18"/>
      <c r="ANU264" s="18"/>
      <c r="ANV264" s="18"/>
      <c r="ANW264" s="18"/>
      <c r="ANX264" s="18"/>
      <c r="ANY264" s="18"/>
      <c r="ANZ264" s="18"/>
      <c r="AOA264" s="18"/>
      <c r="AOB264" s="18"/>
      <c r="AOC264" s="18"/>
      <c r="AOD264" s="18"/>
      <c r="AOE264" s="18"/>
      <c r="AOF264" s="18"/>
      <c r="AOG264" s="18"/>
      <c r="AOH264" s="18"/>
      <c r="AOI264" s="18"/>
      <c r="AOJ264" s="18"/>
      <c r="AOK264" s="18"/>
      <c r="AOL264" s="18"/>
      <c r="AOM264" s="18"/>
      <c r="AON264" s="18"/>
      <c r="AOO264" s="18"/>
      <c r="AOP264" s="18"/>
      <c r="AOQ264" s="18"/>
      <c r="AOR264" s="18"/>
      <c r="AOS264" s="18"/>
      <c r="AOT264" s="18"/>
      <c r="AOU264" s="18"/>
      <c r="AOV264" s="18"/>
      <c r="AOW264" s="18"/>
      <c r="AOX264" s="18"/>
      <c r="AOY264" s="18"/>
      <c r="AOZ264" s="18"/>
      <c r="APA264" s="18"/>
      <c r="APB264" s="18"/>
      <c r="APC264" s="18"/>
      <c r="APD264" s="18"/>
      <c r="APE264" s="18"/>
      <c r="APF264" s="18"/>
      <c r="APG264" s="18"/>
      <c r="APH264" s="18"/>
      <c r="API264" s="18"/>
      <c r="APJ264" s="18"/>
      <c r="APK264" s="18"/>
      <c r="APL264" s="18"/>
      <c r="APM264" s="18"/>
      <c r="APN264" s="18"/>
      <c r="APO264" s="18"/>
      <c r="APP264" s="18"/>
      <c r="APQ264" s="18"/>
      <c r="APR264" s="18"/>
      <c r="APS264" s="18"/>
      <c r="APT264" s="18"/>
      <c r="APU264" s="18"/>
      <c r="APV264" s="18"/>
      <c r="APW264" s="18"/>
      <c r="APX264" s="18"/>
      <c r="APY264" s="18"/>
      <c r="APZ264" s="18"/>
      <c r="AQA264" s="18"/>
      <c r="AQB264" s="18"/>
      <c r="AQC264" s="18"/>
      <c r="AQD264" s="18"/>
      <c r="AQE264" s="18"/>
      <c r="AQF264" s="18"/>
      <c r="AQG264" s="18"/>
      <c r="AQH264" s="18"/>
      <c r="AQI264" s="18"/>
      <c r="AQJ264" s="18"/>
      <c r="AQK264" s="18"/>
      <c r="AQL264" s="18"/>
      <c r="AQM264" s="18"/>
      <c r="AQN264" s="18"/>
      <c r="AQO264" s="18"/>
      <c r="AQP264" s="18"/>
      <c r="AQQ264" s="18"/>
      <c r="AQR264" s="18"/>
      <c r="AQS264" s="18"/>
      <c r="AQT264" s="18"/>
      <c r="AQU264" s="18"/>
      <c r="AQV264" s="18"/>
      <c r="AQW264" s="18"/>
      <c r="AQX264" s="18"/>
      <c r="AQY264" s="18"/>
      <c r="AQZ264" s="18"/>
      <c r="ARA264" s="18"/>
      <c r="ARB264" s="18"/>
      <c r="ARC264" s="18"/>
      <c r="ARD264" s="18"/>
      <c r="ARE264" s="18"/>
      <c r="ARF264" s="18"/>
      <c r="ARG264" s="18"/>
      <c r="ARH264" s="18"/>
      <c r="ARI264" s="18"/>
      <c r="ARJ264" s="18"/>
      <c r="ARK264" s="18"/>
      <c r="ARL264" s="18"/>
      <c r="ARM264" s="18"/>
      <c r="ARN264" s="18"/>
      <c r="ARO264" s="18"/>
      <c r="ARP264" s="18"/>
      <c r="ARQ264" s="18"/>
      <c r="ARR264" s="18"/>
      <c r="ARS264" s="18"/>
      <c r="ART264" s="18"/>
      <c r="ARU264" s="18"/>
      <c r="ARV264" s="18"/>
      <c r="ARW264" s="18"/>
      <c r="ARX264" s="18"/>
      <c r="ARY264" s="18"/>
      <c r="ARZ264" s="18"/>
      <c r="ASA264" s="18"/>
      <c r="ASB264" s="18"/>
      <c r="ASC264" s="18"/>
      <c r="ASD264" s="18"/>
      <c r="ASE264" s="18"/>
      <c r="ASF264" s="18"/>
      <c r="ASG264" s="18"/>
      <c r="ASH264" s="18"/>
      <c r="ASI264" s="18"/>
      <c r="ASJ264" s="18"/>
      <c r="ASK264" s="18"/>
      <c r="ASL264" s="18"/>
      <c r="ASM264" s="18"/>
      <c r="ASN264" s="18"/>
      <c r="ASO264" s="18"/>
      <c r="ASP264" s="18"/>
      <c r="ASQ264" s="18"/>
      <c r="ASR264" s="18"/>
      <c r="ASS264" s="18"/>
      <c r="AST264" s="18"/>
      <c r="ASU264" s="18"/>
      <c r="ASV264" s="18"/>
      <c r="ASW264" s="18"/>
      <c r="ASX264" s="18"/>
      <c r="ASY264" s="18"/>
      <c r="ASZ264" s="18"/>
      <c r="ATA264" s="18"/>
      <c r="ATB264" s="18"/>
      <c r="ATC264" s="18"/>
      <c r="ATD264" s="18"/>
      <c r="ATE264" s="18"/>
      <c r="ATF264" s="18"/>
      <c r="ATG264" s="18"/>
      <c r="ATH264" s="18"/>
      <c r="ATI264" s="18"/>
      <c r="ATJ264" s="18"/>
      <c r="ATK264" s="18"/>
      <c r="ATL264" s="18"/>
      <c r="ATM264" s="18"/>
      <c r="ATN264" s="18"/>
      <c r="ATO264" s="18"/>
      <c r="ATP264" s="18"/>
      <c r="ATQ264" s="18"/>
      <c r="ATR264" s="18"/>
      <c r="ATS264" s="18"/>
      <c r="ATT264" s="18"/>
      <c r="ATU264" s="18"/>
      <c r="ATV264" s="18"/>
      <c r="ATW264" s="18"/>
      <c r="ATX264" s="18"/>
      <c r="ATY264" s="18"/>
      <c r="ATZ264" s="18"/>
      <c r="AUA264" s="18"/>
      <c r="AUB264" s="18"/>
      <c r="AUC264" s="18"/>
      <c r="AUD264" s="18"/>
      <c r="AUE264" s="18"/>
      <c r="AUF264" s="18"/>
      <c r="AUG264" s="18"/>
      <c r="AUH264" s="18"/>
      <c r="AUI264" s="18"/>
      <c r="AUJ264" s="18"/>
      <c r="AUK264" s="18"/>
      <c r="AUL264" s="18"/>
      <c r="AUM264" s="18"/>
      <c r="AUN264" s="18"/>
      <c r="AUO264" s="18"/>
      <c r="AUP264" s="18"/>
      <c r="AUQ264" s="18"/>
      <c r="AUR264" s="18"/>
      <c r="AUS264" s="18"/>
      <c r="AUT264" s="18"/>
      <c r="AUU264" s="18"/>
      <c r="AUV264" s="18"/>
      <c r="AUW264" s="18"/>
      <c r="AUX264" s="18"/>
      <c r="AUY264" s="18"/>
      <c r="AUZ264" s="18"/>
      <c r="AVA264" s="18"/>
      <c r="AVB264" s="18"/>
      <c r="AVC264" s="18"/>
      <c r="AVD264" s="18"/>
      <c r="AVE264" s="18"/>
      <c r="AVF264" s="18"/>
      <c r="AVG264" s="18"/>
      <c r="AVH264" s="18"/>
      <c r="AVI264" s="18"/>
      <c r="AVJ264" s="18"/>
      <c r="AVK264" s="18"/>
      <c r="AVL264" s="18"/>
      <c r="AVM264" s="18"/>
      <c r="AVN264" s="18"/>
      <c r="AVO264" s="18"/>
      <c r="AVP264" s="18"/>
      <c r="AVQ264" s="18"/>
      <c r="AVR264" s="18"/>
      <c r="AVS264" s="18"/>
      <c r="AVT264" s="18"/>
      <c r="AVU264" s="18"/>
      <c r="AVV264" s="18"/>
      <c r="AVW264" s="18"/>
      <c r="AVX264" s="18"/>
      <c r="AVY264" s="18"/>
      <c r="AVZ264" s="18"/>
      <c r="AWA264" s="18"/>
      <c r="AWB264" s="18"/>
      <c r="AWC264" s="18"/>
      <c r="AWD264" s="18"/>
      <c r="AWE264" s="18"/>
      <c r="AWF264" s="18"/>
      <c r="AWG264" s="18"/>
      <c r="AWH264" s="18"/>
      <c r="AWI264" s="18"/>
      <c r="AWJ264" s="18"/>
      <c r="AWK264" s="18"/>
      <c r="AWL264" s="18"/>
      <c r="AWM264" s="18"/>
      <c r="AWN264" s="18"/>
      <c r="AWO264" s="18"/>
      <c r="AWP264" s="18"/>
      <c r="AWQ264" s="18"/>
      <c r="AWR264" s="18"/>
      <c r="AWS264" s="18"/>
      <c r="AWT264" s="18"/>
      <c r="AWU264" s="18"/>
      <c r="AWV264" s="18"/>
      <c r="AWW264" s="18"/>
      <c r="AWX264" s="18"/>
      <c r="AWY264" s="18"/>
      <c r="AWZ264" s="18"/>
      <c r="AXA264" s="18"/>
      <c r="AXB264" s="18"/>
      <c r="AXC264" s="18"/>
      <c r="AXD264" s="18"/>
      <c r="AXE264" s="18"/>
      <c r="AXF264" s="18"/>
      <c r="AXG264" s="18"/>
      <c r="AXH264" s="18"/>
      <c r="AXI264" s="18"/>
      <c r="AXJ264" s="18"/>
      <c r="AXK264" s="18"/>
      <c r="AXL264" s="18"/>
      <c r="AXM264" s="18"/>
      <c r="AXN264" s="18"/>
      <c r="AXO264" s="18"/>
      <c r="AXP264" s="18"/>
      <c r="AXQ264" s="18"/>
      <c r="AXR264" s="18"/>
      <c r="AXS264" s="18"/>
      <c r="AXT264" s="18"/>
      <c r="AXU264" s="18"/>
      <c r="AXV264" s="18"/>
      <c r="AXW264" s="18"/>
      <c r="AXX264" s="18"/>
      <c r="AXY264" s="18"/>
      <c r="AXZ264" s="18"/>
      <c r="AYA264" s="18"/>
      <c r="AYB264" s="18"/>
      <c r="AYC264" s="18"/>
      <c r="AYD264" s="18"/>
      <c r="AYE264" s="18"/>
      <c r="AYF264" s="18"/>
      <c r="AYG264" s="18"/>
      <c r="AYH264" s="18"/>
      <c r="AYI264" s="18"/>
      <c r="AYJ264" s="18"/>
      <c r="AYK264" s="18"/>
      <c r="AYL264" s="18"/>
      <c r="AYM264" s="18"/>
      <c r="AYN264" s="18"/>
      <c r="AYO264" s="18"/>
      <c r="AYP264" s="18"/>
      <c r="AYQ264" s="18"/>
      <c r="AYR264" s="18"/>
      <c r="AYS264" s="18"/>
      <c r="AYT264" s="18"/>
      <c r="AYU264" s="18"/>
      <c r="AYV264" s="18"/>
      <c r="AYW264" s="18"/>
      <c r="AYX264" s="18"/>
      <c r="AYY264" s="18"/>
      <c r="AYZ264" s="18"/>
      <c r="AZA264" s="18"/>
      <c r="AZB264" s="18"/>
      <c r="AZC264" s="18"/>
      <c r="AZD264" s="18"/>
      <c r="AZE264" s="18"/>
      <c r="AZF264" s="18"/>
      <c r="AZG264" s="18"/>
      <c r="AZH264" s="18"/>
      <c r="AZI264" s="18"/>
      <c r="AZJ264" s="18"/>
      <c r="AZK264" s="18"/>
      <c r="AZL264" s="18"/>
      <c r="AZM264" s="18"/>
      <c r="AZN264" s="18"/>
      <c r="AZO264" s="18"/>
      <c r="AZP264" s="18"/>
      <c r="AZQ264" s="18"/>
      <c r="AZR264" s="18"/>
      <c r="AZS264" s="18"/>
      <c r="AZT264" s="18"/>
      <c r="AZU264" s="18"/>
      <c r="AZV264" s="18"/>
      <c r="AZW264" s="18"/>
      <c r="AZX264" s="18"/>
      <c r="AZY264" s="18"/>
      <c r="AZZ264" s="18"/>
      <c r="BAA264" s="18"/>
      <c r="BAB264" s="18"/>
      <c r="BAC264" s="18"/>
      <c r="BAD264" s="18"/>
      <c r="BAE264" s="18"/>
      <c r="BAF264" s="18"/>
      <c r="BAG264" s="18"/>
      <c r="BAH264" s="18"/>
      <c r="BAI264" s="18"/>
      <c r="BAJ264" s="18"/>
      <c r="BAK264" s="18"/>
      <c r="BAL264" s="18"/>
      <c r="BAM264" s="18"/>
      <c r="BAN264" s="18"/>
      <c r="BAO264" s="18"/>
      <c r="BAP264" s="18"/>
      <c r="BAQ264" s="18"/>
      <c r="BAR264" s="18"/>
      <c r="BAS264" s="18"/>
      <c r="BAT264" s="18"/>
      <c r="BAU264" s="18"/>
      <c r="BAV264" s="18"/>
      <c r="BAW264" s="18"/>
      <c r="BAX264" s="18"/>
      <c r="BAY264" s="18"/>
      <c r="BAZ264" s="18"/>
      <c r="BBA264" s="18"/>
      <c r="BBB264" s="18"/>
      <c r="BBC264" s="18"/>
      <c r="BBD264" s="18"/>
      <c r="BBE264" s="18"/>
      <c r="BBF264" s="18"/>
      <c r="BBG264" s="18"/>
      <c r="BBH264" s="18"/>
      <c r="BBI264" s="18"/>
      <c r="BBJ264" s="18"/>
      <c r="BBK264" s="18"/>
      <c r="BBL264" s="18"/>
      <c r="BBM264" s="18"/>
      <c r="BBN264" s="18"/>
      <c r="BBO264" s="18"/>
      <c r="BBP264" s="18"/>
      <c r="BBQ264" s="18"/>
      <c r="BBR264" s="18"/>
      <c r="BBS264" s="18"/>
      <c r="BBT264" s="18"/>
      <c r="BBU264" s="18"/>
      <c r="BBV264" s="18"/>
      <c r="BBW264" s="18"/>
      <c r="BBX264" s="18"/>
      <c r="BBY264" s="18"/>
      <c r="BBZ264" s="18"/>
      <c r="BCA264" s="18"/>
      <c r="BCB264" s="18"/>
      <c r="BCC264" s="18"/>
      <c r="BCD264" s="18"/>
      <c r="BCE264" s="18"/>
      <c r="BCF264" s="18"/>
      <c r="BCG264" s="18"/>
      <c r="BCH264" s="18"/>
      <c r="BCI264" s="18"/>
      <c r="BCJ264" s="18"/>
      <c r="BCK264" s="18"/>
      <c r="BCL264" s="18"/>
      <c r="BCM264" s="18"/>
      <c r="BCN264" s="18"/>
      <c r="BCO264" s="18"/>
      <c r="BCP264" s="18"/>
      <c r="BCQ264" s="18"/>
      <c r="BCR264" s="18"/>
      <c r="BCS264" s="18"/>
      <c r="BCT264" s="18"/>
      <c r="BCU264" s="18"/>
      <c r="BCV264" s="18"/>
      <c r="BCW264" s="18"/>
      <c r="BCX264" s="18"/>
      <c r="BCY264" s="18"/>
      <c r="BCZ264" s="18"/>
      <c r="BDA264" s="18"/>
      <c r="BDB264" s="18"/>
      <c r="BDC264" s="18"/>
      <c r="BDD264" s="18"/>
      <c r="BDE264" s="18"/>
      <c r="BDF264" s="18"/>
      <c r="BDG264" s="18"/>
      <c r="BDH264" s="18"/>
      <c r="BDI264" s="18"/>
      <c r="BDJ264" s="18"/>
      <c r="BDK264" s="18"/>
      <c r="BDL264" s="18"/>
      <c r="BDM264" s="18"/>
      <c r="BDN264" s="18"/>
      <c r="BDO264" s="18"/>
      <c r="BDP264" s="18"/>
      <c r="BDQ264" s="18"/>
      <c r="BDR264" s="18"/>
      <c r="BDS264" s="18"/>
      <c r="BDT264" s="18"/>
      <c r="BDU264" s="18"/>
      <c r="BDV264" s="18"/>
      <c r="BDW264" s="18"/>
      <c r="BDX264" s="18"/>
      <c r="BDY264" s="18"/>
      <c r="BDZ264" s="18"/>
      <c r="BEA264" s="18"/>
      <c r="BEB264" s="18"/>
      <c r="BEC264" s="18"/>
      <c r="BED264" s="18"/>
      <c r="BEE264" s="18"/>
      <c r="BEF264" s="18"/>
      <c r="BEG264" s="18"/>
      <c r="BEH264" s="18"/>
      <c r="BEI264" s="18"/>
      <c r="BEJ264" s="18"/>
      <c r="BEK264" s="18"/>
      <c r="BEL264" s="18"/>
      <c r="BEM264" s="18"/>
      <c r="BEN264" s="18"/>
      <c r="BEO264" s="18"/>
      <c r="BEP264" s="18"/>
      <c r="BEQ264" s="18"/>
      <c r="BER264" s="18"/>
      <c r="BES264" s="18"/>
      <c r="BET264" s="18"/>
      <c r="BEU264" s="18"/>
      <c r="BEV264" s="18"/>
      <c r="BEW264" s="18"/>
      <c r="BEX264" s="18"/>
      <c r="BEY264" s="18"/>
      <c r="BEZ264" s="18"/>
      <c r="BFA264" s="18"/>
      <c r="BFB264" s="18"/>
      <c r="BFC264" s="18"/>
      <c r="BFD264" s="18"/>
      <c r="BFE264" s="18"/>
      <c r="BFF264" s="18"/>
      <c r="BFG264" s="18"/>
      <c r="BFH264" s="18"/>
      <c r="BFI264" s="18"/>
      <c r="BFJ264" s="18"/>
      <c r="BFK264" s="18"/>
      <c r="BFL264" s="18"/>
      <c r="BFM264" s="18"/>
      <c r="BFN264" s="18"/>
      <c r="BFO264" s="18"/>
      <c r="BFP264" s="18"/>
      <c r="BFQ264" s="18"/>
      <c r="BFR264" s="18"/>
      <c r="BFS264" s="18"/>
      <c r="BFT264" s="18"/>
      <c r="BFU264" s="18"/>
      <c r="BFV264" s="18"/>
      <c r="BFW264" s="18"/>
      <c r="BFX264" s="18"/>
      <c r="BFY264" s="18"/>
      <c r="BFZ264" s="18"/>
      <c r="BGA264" s="18"/>
      <c r="BGB264" s="18"/>
      <c r="BGC264" s="18"/>
      <c r="BGD264" s="18"/>
      <c r="BGE264" s="18"/>
      <c r="BGF264" s="18"/>
      <c r="BGG264" s="18"/>
      <c r="BGH264" s="18"/>
      <c r="BGI264" s="18"/>
      <c r="BGJ264" s="18"/>
      <c r="BGK264" s="18"/>
      <c r="BGL264" s="18"/>
      <c r="BGM264" s="18"/>
      <c r="BGN264" s="18"/>
      <c r="BGO264" s="18"/>
      <c r="BGP264" s="18"/>
      <c r="BGQ264" s="18"/>
      <c r="BGR264" s="18"/>
      <c r="BGS264" s="18"/>
      <c r="BGT264" s="18"/>
      <c r="BGU264" s="18"/>
      <c r="BGV264" s="18"/>
      <c r="BGW264" s="18"/>
      <c r="BGX264" s="18"/>
      <c r="BGY264" s="18"/>
      <c r="BGZ264" s="18"/>
      <c r="BHA264" s="18"/>
      <c r="BHB264" s="18"/>
      <c r="BHC264" s="18"/>
      <c r="BHD264" s="18"/>
      <c r="BHE264" s="18"/>
      <c r="BHF264" s="18"/>
      <c r="BHG264" s="18"/>
      <c r="BHH264" s="18"/>
      <c r="BHI264" s="18"/>
      <c r="BHJ264" s="18"/>
      <c r="BHK264" s="18"/>
      <c r="BHL264" s="18"/>
      <c r="BHM264" s="18"/>
      <c r="BHN264" s="18"/>
      <c r="BHO264" s="18"/>
      <c r="BHP264" s="18"/>
      <c r="BHQ264" s="18"/>
      <c r="BHR264" s="18"/>
      <c r="BHS264" s="18"/>
      <c r="BHT264" s="18"/>
      <c r="BHU264" s="18"/>
      <c r="BHV264" s="18"/>
      <c r="BHW264" s="18"/>
      <c r="BHX264" s="18"/>
      <c r="BHY264" s="18"/>
      <c r="BHZ264" s="18"/>
      <c r="BIA264" s="18"/>
      <c r="BIB264" s="18"/>
      <c r="BIC264" s="18"/>
      <c r="BID264" s="18"/>
      <c r="BIE264" s="18"/>
      <c r="BIF264" s="18"/>
      <c r="BIG264" s="18"/>
      <c r="BIH264" s="18"/>
      <c r="BII264" s="18"/>
      <c r="BIJ264" s="18"/>
      <c r="BIK264" s="18"/>
      <c r="BIL264" s="18"/>
      <c r="BIM264" s="18"/>
      <c r="BIN264" s="18"/>
      <c r="BIO264" s="18"/>
      <c r="BIP264" s="18"/>
      <c r="BIQ264" s="18"/>
      <c r="BIR264" s="18"/>
      <c r="BIS264" s="18"/>
      <c r="BIT264" s="18"/>
      <c r="BIU264" s="18"/>
      <c r="BIV264" s="18"/>
      <c r="BIW264" s="18"/>
      <c r="BIX264" s="18"/>
      <c r="BIY264" s="18"/>
      <c r="BIZ264" s="18"/>
      <c r="BJA264" s="18"/>
      <c r="BJB264" s="18"/>
      <c r="BJC264" s="18"/>
      <c r="BJD264" s="18"/>
      <c r="BJE264" s="18"/>
      <c r="BJF264" s="18"/>
      <c r="BJG264" s="18"/>
      <c r="BJH264" s="18"/>
      <c r="BJI264" s="18"/>
      <c r="BJJ264" s="18"/>
      <c r="BJK264" s="18"/>
      <c r="BJL264" s="18"/>
      <c r="BJM264" s="18"/>
      <c r="BJN264" s="18"/>
      <c r="BJO264" s="18"/>
      <c r="BJP264" s="18"/>
      <c r="BJQ264" s="18"/>
      <c r="BJR264" s="18"/>
      <c r="BJS264" s="18"/>
      <c r="BJT264" s="18"/>
      <c r="BJU264" s="18"/>
      <c r="BJV264" s="18"/>
      <c r="BJW264" s="18"/>
      <c r="BJX264" s="18"/>
      <c r="BJY264" s="18"/>
      <c r="BJZ264" s="18"/>
      <c r="BKA264" s="18"/>
      <c r="BKB264" s="18"/>
      <c r="BKC264" s="18"/>
      <c r="BKD264" s="18"/>
      <c r="BKE264" s="18"/>
      <c r="BKF264" s="18"/>
      <c r="BKG264" s="18"/>
      <c r="BKH264" s="18"/>
      <c r="BKI264" s="18"/>
      <c r="BKJ264" s="18"/>
      <c r="BKK264" s="18"/>
      <c r="BKL264" s="18"/>
      <c r="BKM264" s="18"/>
      <c r="BKN264" s="18"/>
      <c r="BKO264" s="18"/>
      <c r="BKP264" s="18"/>
      <c r="BKQ264" s="18"/>
      <c r="BKR264" s="18"/>
      <c r="BKS264" s="18"/>
      <c r="BKT264" s="18"/>
      <c r="BKU264" s="18"/>
      <c r="BKV264" s="18"/>
      <c r="BKW264" s="18"/>
      <c r="BKX264" s="18"/>
      <c r="BKY264" s="18"/>
      <c r="BKZ264" s="18"/>
      <c r="BLA264" s="18"/>
      <c r="BLB264" s="18"/>
      <c r="BLC264" s="18"/>
      <c r="BLD264" s="18"/>
      <c r="BLE264" s="18"/>
      <c r="BLF264" s="18"/>
      <c r="BLG264" s="18"/>
      <c r="BLH264" s="18"/>
      <c r="BLI264" s="18"/>
      <c r="BLJ264" s="18"/>
      <c r="BLK264" s="18"/>
      <c r="BLL264" s="18"/>
      <c r="BLM264" s="18"/>
      <c r="BLN264" s="18"/>
      <c r="BLO264" s="18"/>
      <c r="BLP264" s="18"/>
      <c r="BLQ264" s="18"/>
      <c r="BLR264" s="18"/>
      <c r="BLS264" s="18"/>
      <c r="BLT264" s="18"/>
      <c r="BLU264" s="18"/>
      <c r="BLV264" s="18"/>
      <c r="BLW264" s="18"/>
      <c r="BLX264" s="18"/>
      <c r="BLY264" s="18"/>
      <c r="BLZ264" s="18"/>
      <c r="BMA264" s="18"/>
      <c r="BMB264" s="18"/>
      <c r="BMC264" s="18"/>
      <c r="BMD264" s="18"/>
      <c r="BME264" s="18"/>
      <c r="BMF264" s="18"/>
      <c r="BMG264" s="18"/>
      <c r="BMH264" s="18"/>
      <c r="BMI264" s="18"/>
      <c r="BMJ264" s="18"/>
      <c r="BMK264" s="18"/>
      <c r="BML264" s="18"/>
      <c r="BMM264" s="18"/>
      <c r="BMN264" s="18"/>
      <c r="BMO264" s="18"/>
      <c r="BMP264" s="18"/>
      <c r="BMQ264" s="18"/>
      <c r="BMR264" s="18"/>
      <c r="BMS264" s="18"/>
      <c r="BMT264" s="18"/>
      <c r="BMU264" s="18"/>
      <c r="BMV264" s="18"/>
      <c r="BMW264" s="18"/>
      <c r="BMX264" s="18"/>
      <c r="BMY264" s="18"/>
      <c r="BMZ264" s="18"/>
      <c r="BNA264" s="18"/>
      <c r="BNB264" s="18"/>
      <c r="BNC264" s="18"/>
      <c r="BND264" s="18"/>
      <c r="BNE264" s="18"/>
      <c r="BNF264" s="18"/>
      <c r="BNG264" s="18"/>
      <c r="BNH264" s="18"/>
      <c r="BNI264" s="18"/>
      <c r="BNJ264" s="18"/>
      <c r="BNK264" s="18"/>
      <c r="BNL264" s="18"/>
      <c r="BNM264" s="18"/>
      <c r="BNN264" s="18"/>
      <c r="BNO264" s="18"/>
      <c r="BNP264" s="18"/>
      <c r="BNQ264" s="18"/>
      <c r="BNR264" s="18"/>
      <c r="BNS264" s="18"/>
      <c r="BNT264" s="18"/>
      <c r="BNU264" s="18"/>
      <c r="BNV264" s="18"/>
      <c r="BNW264" s="18"/>
      <c r="BNX264" s="18"/>
      <c r="BNY264" s="18"/>
      <c r="BNZ264" s="18"/>
      <c r="BOA264" s="18"/>
      <c r="BOB264" s="18"/>
      <c r="BOC264" s="18"/>
      <c r="BOD264" s="18"/>
      <c r="BOE264" s="18"/>
      <c r="BOF264" s="18"/>
      <c r="BOG264" s="18"/>
      <c r="BOH264" s="18"/>
      <c r="BOI264" s="18"/>
      <c r="BOJ264" s="18"/>
      <c r="BOK264" s="18"/>
      <c r="BOL264" s="18"/>
      <c r="BOM264" s="18"/>
      <c r="BON264" s="18"/>
      <c r="BOO264" s="18"/>
      <c r="BOP264" s="18"/>
      <c r="BOQ264" s="18"/>
      <c r="BOR264" s="18"/>
      <c r="BOS264" s="18"/>
      <c r="BOT264" s="18"/>
      <c r="BOU264" s="18"/>
      <c r="BOV264" s="18"/>
      <c r="BOW264" s="18"/>
      <c r="BOX264" s="18"/>
      <c r="BOY264" s="18"/>
      <c r="BOZ264" s="18"/>
      <c r="BPA264" s="18"/>
      <c r="BPB264" s="18"/>
      <c r="BPC264" s="18"/>
      <c r="BPD264" s="18"/>
      <c r="BPE264" s="18"/>
      <c r="BPF264" s="18"/>
      <c r="BPG264" s="18"/>
      <c r="BPH264" s="18"/>
      <c r="BPI264" s="18"/>
      <c r="BPJ264" s="18"/>
      <c r="BPK264" s="18"/>
      <c r="BPL264" s="18"/>
      <c r="BPM264" s="18"/>
      <c r="BPN264" s="18"/>
      <c r="BPO264" s="18"/>
      <c r="BPP264" s="18"/>
      <c r="BPQ264" s="18"/>
      <c r="BPR264" s="18"/>
      <c r="BPS264" s="18"/>
      <c r="BPT264" s="18"/>
      <c r="BPU264" s="18"/>
      <c r="BPV264" s="18"/>
      <c r="BPW264" s="18"/>
      <c r="BPX264" s="18"/>
      <c r="BPY264" s="18"/>
      <c r="BPZ264" s="18"/>
      <c r="BQA264" s="18"/>
      <c r="BQB264" s="18"/>
      <c r="BQC264" s="18"/>
      <c r="BQD264" s="18"/>
      <c r="BQE264" s="18"/>
      <c r="BQF264" s="18"/>
      <c r="BQG264" s="18"/>
      <c r="BQH264" s="18"/>
      <c r="BQI264" s="18"/>
      <c r="BQJ264" s="18"/>
      <c r="BQK264" s="18"/>
      <c r="BQL264" s="18"/>
      <c r="BQM264" s="18"/>
      <c r="BQN264" s="18"/>
      <c r="BQO264" s="18"/>
      <c r="BQP264" s="18"/>
      <c r="BQQ264" s="18"/>
      <c r="BQR264" s="18"/>
      <c r="BQS264" s="18"/>
      <c r="BQT264" s="18"/>
      <c r="BQU264" s="18"/>
      <c r="BQV264" s="18"/>
      <c r="BQW264" s="18"/>
      <c r="BQX264" s="18"/>
      <c r="BQY264" s="18"/>
      <c r="BQZ264" s="18"/>
      <c r="BRA264" s="18"/>
      <c r="BRB264" s="18"/>
      <c r="BRC264" s="18"/>
      <c r="BRD264" s="18"/>
      <c r="BRE264" s="18"/>
      <c r="BRF264" s="18"/>
      <c r="BRG264" s="18"/>
      <c r="BRH264" s="18"/>
      <c r="BRI264" s="18"/>
      <c r="BRJ264" s="18"/>
      <c r="BRK264" s="18"/>
      <c r="BRL264" s="18"/>
      <c r="BRM264" s="18"/>
      <c r="BRN264" s="18"/>
      <c r="BRO264" s="18"/>
      <c r="BRP264" s="18"/>
      <c r="BRQ264" s="18"/>
      <c r="BRR264" s="18"/>
      <c r="BRS264" s="18"/>
      <c r="BRT264" s="18"/>
      <c r="BRU264" s="18"/>
      <c r="BRV264" s="18"/>
      <c r="BRW264" s="18"/>
      <c r="BRX264" s="18"/>
      <c r="BRY264" s="18"/>
      <c r="BRZ264" s="18"/>
      <c r="BSA264" s="18"/>
      <c r="BSB264" s="18"/>
      <c r="BSC264" s="18"/>
      <c r="BSD264" s="18"/>
      <c r="BSE264" s="18"/>
      <c r="BSF264" s="18"/>
      <c r="BSG264" s="18"/>
      <c r="BSH264" s="18"/>
      <c r="BSI264" s="18"/>
      <c r="BSJ264" s="18"/>
      <c r="BSK264" s="18"/>
      <c r="BSL264" s="18"/>
      <c r="BSM264" s="18"/>
      <c r="BSN264" s="18"/>
      <c r="BSO264" s="18"/>
      <c r="BSP264" s="18"/>
      <c r="BSQ264" s="18"/>
      <c r="BSR264" s="18"/>
      <c r="BSS264" s="18"/>
      <c r="BST264" s="18"/>
      <c r="BSU264" s="18"/>
      <c r="BSV264" s="18"/>
      <c r="BSW264" s="18"/>
      <c r="BSX264" s="18"/>
      <c r="BSY264" s="18"/>
      <c r="BSZ264" s="18"/>
      <c r="BTA264" s="18"/>
      <c r="BTB264" s="18"/>
      <c r="BTC264" s="18"/>
      <c r="BTD264" s="18"/>
      <c r="BTE264" s="18"/>
      <c r="BTF264" s="18"/>
      <c r="BTG264" s="18"/>
      <c r="BTH264" s="18"/>
      <c r="BTI264" s="18"/>
    </row>
    <row r="265" spans="1:1881" s="798" customFormat="1" ht="81.75" customHeight="1" x14ac:dyDescent="0.3">
      <c r="A265" s="105">
        <v>598</v>
      </c>
      <c r="B265" s="701" t="s">
        <v>59</v>
      </c>
      <c r="C265" s="701" t="s">
        <v>529</v>
      </c>
      <c r="D265" s="737" t="s">
        <v>678</v>
      </c>
      <c r="E265" s="699" t="e">
        <f>HLOOKUP($D$2,'2020 Data(H)'!$C$1:$CZ$428,258,FALSE)</f>
        <v>#N/A</v>
      </c>
      <c r="F265" s="300">
        <v>0</v>
      </c>
      <c r="G265" s="759">
        <f>IF(F265&lt;0,"Error: Enter as positive.",)</f>
        <v>0</v>
      </c>
      <c r="H265" s="759"/>
      <c r="I265" s="795"/>
      <c r="J265" s="605"/>
      <c r="K265" s="18"/>
      <c r="L265" s="18"/>
      <c r="M265" s="18"/>
      <c r="N265" s="302"/>
      <c r="O265" s="18"/>
      <c r="P265" s="18"/>
      <c r="Q265" s="18"/>
      <c r="R265" s="18"/>
      <c r="S265" s="18"/>
      <c r="T265" s="18"/>
      <c r="U265" s="18"/>
      <c r="V265" s="18"/>
      <c r="W265" s="18"/>
      <c r="X265" s="18"/>
      <c r="Y265" s="18"/>
      <c r="Z265" s="105"/>
      <c r="AA265" s="105"/>
      <c r="AB265" s="105"/>
      <c r="AC265" s="105"/>
      <c r="AD265" s="105"/>
      <c r="AE265" s="105"/>
      <c r="AF265" s="105"/>
      <c r="AG265" s="105"/>
      <c r="AH265" s="105"/>
      <c r="AI265" s="105"/>
      <c r="AJ265" s="105"/>
      <c r="AK265" s="105"/>
      <c r="AL265" s="105"/>
      <c r="AM265" s="105"/>
      <c r="AN265" s="105"/>
      <c r="AO265" s="105"/>
      <c r="AP265" s="105"/>
      <c r="AQ265" s="105"/>
      <c r="AR265" s="105"/>
      <c r="AS265" s="18"/>
      <c r="AT265" s="18"/>
      <c r="AU265" s="18"/>
      <c r="AV265" s="18"/>
      <c r="AW265" s="18"/>
      <c r="AX265" s="18"/>
      <c r="AY265" s="18"/>
      <c r="AZ265" s="18"/>
      <c r="BA265" s="18"/>
      <c r="BB265" s="18"/>
      <c r="BC265" s="18"/>
      <c r="BD265" s="18"/>
      <c r="BE265" s="18"/>
      <c r="BF265" s="18"/>
      <c r="BG265" s="18"/>
      <c r="BH265" s="18"/>
      <c r="BI265" s="18"/>
      <c r="BJ265" s="18"/>
      <c r="BK265" s="18"/>
      <c r="BL265" s="18"/>
      <c r="BM265" s="18"/>
      <c r="BN265" s="18"/>
      <c r="BO265" s="18"/>
      <c r="BP265" s="18"/>
      <c r="BQ265" s="18"/>
      <c r="BR265" s="18"/>
      <c r="BS265" s="18"/>
      <c r="BT265" s="18"/>
      <c r="BU265" s="18"/>
      <c r="BV265" s="18"/>
      <c r="BW265" s="18"/>
      <c r="BX265" s="18"/>
      <c r="BY265" s="18"/>
      <c r="BZ265" s="18"/>
      <c r="CA265" s="18"/>
      <c r="CB265" s="18"/>
      <c r="CC265" s="18"/>
      <c r="CD265" s="18"/>
      <c r="CE265" s="18"/>
      <c r="CF265" s="18"/>
      <c r="CG265" s="18"/>
      <c r="CH265" s="18"/>
      <c r="CI265" s="18"/>
      <c r="CJ265" s="18"/>
      <c r="CK265" s="18"/>
      <c r="CL265" s="18"/>
      <c r="CM265" s="18"/>
      <c r="CN265" s="18"/>
      <c r="CO265" s="18"/>
      <c r="CP265" s="18"/>
      <c r="CQ265" s="18"/>
      <c r="CR265" s="18"/>
      <c r="CS265" s="18"/>
      <c r="CT265" s="18"/>
      <c r="CU265" s="18"/>
      <c r="CV265" s="18"/>
      <c r="CW265" s="18"/>
      <c r="CX265" s="18"/>
      <c r="CY265" s="18"/>
      <c r="CZ265" s="18"/>
      <c r="DA265" s="18"/>
      <c r="DB265" s="18"/>
      <c r="DC265" s="18"/>
      <c r="DD265" s="18"/>
      <c r="DE265" s="18"/>
      <c r="DF265" s="18"/>
      <c r="DG265" s="18"/>
      <c r="DH265" s="18"/>
      <c r="DI265" s="18"/>
      <c r="DJ265" s="18"/>
      <c r="DK265" s="18"/>
      <c r="DL265" s="18"/>
      <c r="DM265" s="18"/>
      <c r="DN265" s="18"/>
      <c r="DO265" s="18"/>
      <c r="DP265" s="18"/>
      <c r="DQ265" s="18"/>
      <c r="DR265" s="18"/>
      <c r="DS265" s="18"/>
      <c r="DT265" s="18"/>
      <c r="DU265" s="18"/>
      <c r="DV265" s="18"/>
      <c r="DW265" s="18"/>
      <c r="DX265" s="18"/>
      <c r="DY265" s="18"/>
      <c r="DZ265" s="18"/>
      <c r="EA265" s="18"/>
      <c r="EB265" s="18"/>
      <c r="EC265" s="18"/>
      <c r="ED265" s="18"/>
      <c r="EE265" s="18"/>
      <c r="EF265" s="18"/>
      <c r="EG265" s="18"/>
      <c r="EH265" s="18"/>
      <c r="EI265" s="18"/>
      <c r="EJ265" s="18"/>
      <c r="EK265" s="18"/>
      <c r="EL265" s="18"/>
      <c r="EM265" s="18"/>
      <c r="EN265" s="18"/>
      <c r="EO265" s="18"/>
      <c r="EP265" s="18"/>
      <c r="EQ265" s="18"/>
      <c r="ER265" s="18"/>
      <c r="ES265" s="18"/>
      <c r="ET265" s="18"/>
      <c r="EU265" s="18"/>
      <c r="EV265" s="18"/>
      <c r="EW265" s="18"/>
      <c r="EX265" s="18"/>
      <c r="EY265" s="18"/>
      <c r="EZ265" s="18"/>
      <c r="FA265" s="18"/>
      <c r="FB265" s="18"/>
      <c r="FC265" s="18"/>
      <c r="FD265" s="18"/>
      <c r="FE265" s="18"/>
      <c r="FF265" s="18"/>
      <c r="FG265" s="18"/>
      <c r="FH265" s="18"/>
      <c r="FI265" s="18"/>
      <c r="FJ265" s="18"/>
      <c r="FK265" s="18"/>
      <c r="FL265" s="18"/>
      <c r="FM265" s="18"/>
      <c r="FN265" s="18"/>
      <c r="FO265" s="18"/>
      <c r="FP265" s="18"/>
      <c r="FQ265" s="18"/>
      <c r="FR265" s="18"/>
      <c r="FS265" s="18"/>
      <c r="FT265" s="18"/>
      <c r="FU265" s="18"/>
      <c r="FV265" s="18"/>
      <c r="FW265" s="18"/>
      <c r="FX265" s="18"/>
      <c r="FY265" s="18"/>
      <c r="FZ265" s="18"/>
      <c r="GA265" s="18"/>
      <c r="GB265" s="18"/>
      <c r="GC265" s="18"/>
      <c r="GD265" s="18"/>
      <c r="GE265" s="18"/>
      <c r="GF265" s="18"/>
      <c r="GG265" s="18"/>
      <c r="GH265" s="18"/>
      <c r="GI265" s="18"/>
      <c r="GJ265" s="18"/>
      <c r="GK265" s="18"/>
      <c r="GL265" s="18"/>
      <c r="GM265" s="18"/>
      <c r="GN265" s="18"/>
      <c r="GO265" s="18"/>
      <c r="GP265" s="18"/>
      <c r="GQ265" s="18"/>
      <c r="GR265" s="18"/>
      <c r="GS265" s="18"/>
      <c r="GT265" s="18"/>
      <c r="GU265" s="18"/>
      <c r="GV265" s="18"/>
      <c r="GW265" s="18"/>
      <c r="GX265" s="18"/>
      <c r="GY265" s="18"/>
      <c r="GZ265" s="18"/>
      <c r="HA265" s="18"/>
      <c r="HB265" s="18"/>
      <c r="HC265" s="18"/>
      <c r="HD265" s="18"/>
      <c r="HE265" s="18"/>
      <c r="HF265" s="18"/>
      <c r="HG265" s="18"/>
      <c r="HH265" s="18"/>
      <c r="HI265" s="18"/>
      <c r="HJ265" s="18"/>
      <c r="HK265" s="18"/>
      <c r="HL265" s="18"/>
      <c r="HM265" s="18"/>
      <c r="HN265" s="18"/>
      <c r="HO265" s="18"/>
      <c r="HP265" s="18"/>
      <c r="HQ265" s="18"/>
      <c r="HR265" s="18"/>
      <c r="HS265" s="18"/>
      <c r="HT265" s="18"/>
      <c r="HU265" s="18"/>
      <c r="HV265" s="18"/>
      <c r="HW265" s="18"/>
      <c r="HX265" s="18"/>
      <c r="HY265" s="18"/>
      <c r="HZ265" s="18"/>
      <c r="IA265" s="18"/>
      <c r="IB265" s="18"/>
      <c r="IC265" s="18"/>
      <c r="ID265" s="18"/>
      <c r="IE265" s="18"/>
      <c r="IF265" s="18"/>
      <c r="IG265" s="18"/>
      <c r="IH265" s="18"/>
      <c r="II265" s="18"/>
      <c r="IJ265" s="18"/>
      <c r="IK265" s="18"/>
      <c r="IL265" s="18"/>
      <c r="IM265" s="18"/>
      <c r="IN265" s="18"/>
      <c r="IO265" s="18"/>
      <c r="IP265" s="18"/>
      <c r="IQ265" s="18"/>
      <c r="IR265" s="18"/>
      <c r="IS265" s="18"/>
      <c r="IT265" s="18"/>
      <c r="IU265" s="18"/>
      <c r="IV265" s="18"/>
      <c r="IW265" s="18"/>
      <c r="IX265" s="18"/>
      <c r="IY265" s="18"/>
      <c r="IZ265" s="18"/>
      <c r="JA265" s="18"/>
      <c r="JB265" s="18"/>
      <c r="JC265" s="18"/>
      <c r="JD265" s="18"/>
      <c r="JE265" s="18"/>
      <c r="JF265" s="18"/>
      <c r="JG265" s="18"/>
      <c r="JH265" s="18"/>
      <c r="JI265" s="18"/>
      <c r="JJ265" s="18"/>
      <c r="JK265" s="18"/>
      <c r="JL265" s="18"/>
      <c r="JM265" s="18"/>
      <c r="JN265" s="18"/>
      <c r="JO265" s="18"/>
      <c r="JP265" s="18"/>
      <c r="JQ265" s="18"/>
      <c r="JR265" s="18"/>
      <c r="JS265" s="18"/>
      <c r="JT265" s="18"/>
      <c r="JU265" s="18"/>
      <c r="JV265" s="18"/>
      <c r="JW265" s="18"/>
      <c r="JX265" s="18"/>
      <c r="JY265" s="18"/>
      <c r="JZ265" s="18"/>
      <c r="KA265" s="18"/>
      <c r="KB265" s="18"/>
      <c r="KC265" s="18"/>
      <c r="KD265" s="18"/>
      <c r="KE265" s="18"/>
      <c r="KF265" s="18"/>
      <c r="KG265" s="18"/>
      <c r="KH265" s="18"/>
      <c r="KI265" s="18"/>
      <c r="KJ265" s="18"/>
      <c r="KK265" s="18"/>
      <c r="KL265" s="18"/>
      <c r="KM265" s="18"/>
      <c r="KN265" s="18"/>
      <c r="KO265" s="18"/>
      <c r="KP265" s="18"/>
      <c r="KQ265" s="18"/>
      <c r="KR265" s="18"/>
      <c r="KS265" s="18"/>
      <c r="KT265" s="18"/>
      <c r="KU265" s="18"/>
      <c r="KV265" s="18"/>
      <c r="KW265" s="18"/>
      <c r="KX265" s="18"/>
      <c r="KY265" s="18"/>
      <c r="KZ265" s="18"/>
      <c r="LA265" s="18"/>
      <c r="LB265" s="18"/>
      <c r="LC265" s="18"/>
      <c r="LD265" s="18"/>
      <c r="LE265" s="18"/>
      <c r="LF265" s="18"/>
      <c r="LG265" s="18"/>
      <c r="LH265" s="18"/>
      <c r="LI265" s="18"/>
      <c r="LJ265" s="18"/>
      <c r="LK265" s="18"/>
      <c r="LL265" s="18"/>
      <c r="LM265" s="18"/>
      <c r="LN265" s="18"/>
      <c r="LO265" s="18"/>
      <c r="LP265" s="18"/>
      <c r="LQ265" s="18"/>
      <c r="LR265" s="18"/>
      <c r="LS265" s="18"/>
      <c r="LT265" s="18"/>
      <c r="LU265" s="18"/>
      <c r="LV265" s="18"/>
      <c r="LW265" s="18"/>
      <c r="LX265" s="18"/>
      <c r="LY265" s="18"/>
      <c r="LZ265" s="18"/>
      <c r="MA265" s="18"/>
      <c r="MB265" s="18"/>
      <c r="MC265" s="18"/>
      <c r="MD265" s="18"/>
      <c r="ME265" s="18"/>
      <c r="MF265" s="18"/>
      <c r="MG265" s="18"/>
      <c r="MH265" s="18"/>
      <c r="MI265" s="18"/>
      <c r="MJ265" s="18"/>
      <c r="MK265" s="18"/>
      <c r="ML265" s="18"/>
      <c r="MM265" s="18"/>
      <c r="MN265" s="18"/>
      <c r="MO265" s="18"/>
      <c r="MP265" s="18"/>
      <c r="MQ265" s="18"/>
      <c r="MR265" s="18"/>
      <c r="MS265" s="18"/>
      <c r="MT265" s="18"/>
      <c r="MU265" s="18"/>
      <c r="MV265" s="18"/>
      <c r="MW265" s="18"/>
      <c r="MX265" s="18"/>
      <c r="MY265" s="18"/>
      <c r="MZ265" s="18"/>
      <c r="NA265" s="18"/>
      <c r="NB265" s="18"/>
      <c r="NC265" s="18"/>
      <c r="ND265" s="18"/>
      <c r="NE265" s="18"/>
      <c r="NF265" s="18"/>
      <c r="NG265" s="18"/>
      <c r="NH265" s="18"/>
      <c r="NI265" s="18"/>
      <c r="NJ265" s="18"/>
      <c r="NK265" s="18"/>
      <c r="NL265" s="18"/>
      <c r="NM265" s="18"/>
      <c r="NN265" s="18"/>
      <c r="NO265" s="18"/>
      <c r="NP265" s="18"/>
      <c r="NQ265" s="18"/>
      <c r="NR265" s="18"/>
      <c r="NS265" s="18"/>
      <c r="NT265" s="18"/>
      <c r="NU265" s="18"/>
      <c r="NV265" s="18"/>
      <c r="NW265" s="18"/>
      <c r="NX265" s="18"/>
      <c r="NY265" s="18"/>
      <c r="NZ265" s="18"/>
      <c r="OA265" s="18"/>
      <c r="OB265" s="18"/>
      <c r="OC265" s="18"/>
      <c r="OD265" s="18"/>
      <c r="OE265" s="18"/>
      <c r="OF265" s="18"/>
      <c r="OG265" s="18"/>
      <c r="OH265" s="18"/>
      <c r="OI265" s="18"/>
      <c r="OJ265" s="18"/>
      <c r="OK265" s="18"/>
      <c r="OL265" s="18"/>
      <c r="OM265" s="18"/>
      <c r="ON265" s="18"/>
      <c r="OO265" s="18"/>
      <c r="OP265" s="18"/>
      <c r="OQ265" s="18"/>
      <c r="OR265" s="18"/>
      <c r="OS265" s="18"/>
      <c r="OT265" s="18"/>
      <c r="OU265" s="18"/>
      <c r="OV265" s="18"/>
      <c r="OW265" s="18"/>
      <c r="OX265" s="18"/>
      <c r="OY265" s="18"/>
      <c r="OZ265" s="18"/>
      <c r="PA265" s="18"/>
      <c r="PB265" s="18"/>
      <c r="PC265" s="18"/>
      <c r="PD265" s="18"/>
      <c r="PE265" s="18"/>
      <c r="PF265" s="18"/>
      <c r="PG265" s="18"/>
      <c r="PH265" s="18"/>
      <c r="PI265" s="18"/>
      <c r="PJ265" s="18"/>
      <c r="PK265" s="18"/>
      <c r="PL265" s="18"/>
      <c r="PM265" s="18"/>
      <c r="PN265" s="18"/>
      <c r="PO265" s="18"/>
      <c r="PP265" s="18"/>
      <c r="PQ265" s="18"/>
      <c r="PR265" s="18"/>
      <c r="PS265" s="18"/>
      <c r="PT265" s="18"/>
      <c r="PU265" s="18"/>
      <c r="PV265" s="18"/>
      <c r="PW265" s="18"/>
      <c r="PX265" s="18"/>
      <c r="PY265" s="18"/>
      <c r="PZ265" s="18"/>
      <c r="QA265" s="18"/>
      <c r="QB265" s="18"/>
      <c r="QC265" s="18"/>
      <c r="QD265" s="18"/>
      <c r="QE265" s="18"/>
      <c r="QF265" s="18"/>
      <c r="QG265" s="18"/>
      <c r="QH265" s="18"/>
      <c r="QI265" s="18"/>
      <c r="QJ265" s="18"/>
      <c r="QK265" s="18"/>
      <c r="QL265" s="18"/>
      <c r="QM265" s="18"/>
      <c r="QN265" s="18"/>
      <c r="QO265" s="18"/>
      <c r="QP265" s="18"/>
      <c r="QQ265" s="18"/>
      <c r="QR265" s="18"/>
      <c r="QS265" s="18"/>
      <c r="QT265" s="18"/>
      <c r="QU265" s="18"/>
      <c r="QV265" s="18"/>
      <c r="QW265" s="18"/>
      <c r="QX265" s="18"/>
      <c r="QY265" s="18"/>
      <c r="QZ265" s="18"/>
      <c r="RA265" s="18"/>
      <c r="RB265" s="18"/>
      <c r="RC265" s="18"/>
      <c r="RD265" s="18"/>
      <c r="RE265" s="18"/>
      <c r="RF265" s="18"/>
      <c r="RG265" s="18"/>
      <c r="RH265" s="18"/>
      <c r="RI265" s="18"/>
      <c r="RJ265" s="18"/>
      <c r="RK265" s="18"/>
      <c r="RL265" s="18"/>
      <c r="RM265" s="18"/>
      <c r="RN265" s="18"/>
      <c r="RO265" s="18"/>
      <c r="RP265" s="18"/>
      <c r="RQ265" s="18"/>
      <c r="RR265" s="18"/>
      <c r="RS265" s="18"/>
      <c r="RT265" s="18"/>
      <c r="RU265" s="18"/>
      <c r="RV265" s="18"/>
      <c r="RW265" s="18"/>
      <c r="RX265" s="18"/>
      <c r="RY265" s="18"/>
      <c r="RZ265" s="18"/>
      <c r="SA265" s="18"/>
      <c r="SB265" s="18"/>
      <c r="SC265" s="18"/>
      <c r="SD265" s="18"/>
      <c r="SE265" s="18"/>
      <c r="SF265" s="18"/>
      <c r="SG265" s="18"/>
      <c r="SH265" s="18"/>
      <c r="SI265" s="18"/>
      <c r="SJ265" s="18"/>
      <c r="SK265" s="18"/>
      <c r="SL265" s="18"/>
      <c r="SM265" s="18"/>
      <c r="SN265" s="18"/>
      <c r="SO265" s="18"/>
      <c r="SP265" s="18"/>
      <c r="SQ265" s="18"/>
      <c r="SR265" s="18"/>
      <c r="SS265" s="18"/>
      <c r="ST265" s="18"/>
      <c r="SU265" s="18"/>
      <c r="SV265" s="18"/>
      <c r="SW265" s="18"/>
      <c r="SX265" s="18"/>
      <c r="SY265" s="18"/>
      <c r="SZ265" s="18"/>
      <c r="TA265" s="18"/>
      <c r="TB265" s="18"/>
      <c r="TC265" s="18"/>
      <c r="TD265" s="18"/>
      <c r="TE265" s="18"/>
      <c r="TF265" s="18"/>
      <c r="TG265" s="18"/>
      <c r="TH265" s="18"/>
      <c r="TI265" s="18"/>
      <c r="TJ265" s="18"/>
      <c r="TK265" s="18"/>
      <c r="TL265" s="18"/>
      <c r="TM265" s="18"/>
      <c r="TN265" s="18"/>
      <c r="TO265" s="18"/>
      <c r="TP265" s="18"/>
      <c r="TQ265" s="18"/>
      <c r="TR265" s="18"/>
      <c r="TS265" s="18"/>
      <c r="TT265" s="18"/>
      <c r="TU265" s="18"/>
      <c r="TV265" s="18"/>
      <c r="TW265" s="18"/>
      <c r="TX265" s="18"/>
      <c r="TY265" s="18"/>
      <c r="TZ265" s="18"/>
      <c r="UA265" s="18"/>
      <c r="UB265" s="18"/>
      <c r="UC265" s="18"/>
      <c r="UD265" s="18"/>
      <c r="UE265" s="18"/>
      <c r="UF265" s="18"/>
      <c r="UG265" s="18"/>
      <c r="UH265" s="18"/>
      <c r="UI265" s="18"/>
      <c r="UJ265" s="18"/>
      <c r="UK265" s="18"/>
      <c r="UL265" s="18"/>
      <c r="UM265" s="18"/>
      <c r="UN265" s="18"/>
      <c r="UO265" s="18"/>
      <c r="UP265" s="18"/>
      <c r="UQ265" s="18"/>
      <c r="UR265" s="18"/>
      <c r="US265" s="18"/>
      <c r="UT265" s="18"/>
      <c r="UU265" s="18"/>
      <c r="UV265" s="18"/>
      <c r="UW265" s="18"/>
      <c r="UX265" s="18"/>
      <c r="UY265" s="18"/>
      <c r="UZ265" s="18"/>
      <c r="VA265" s="18"/>
      <c r="VB265" s="18"/>
      <c r="VC265" s="18"/>
      <c r="VD265" s="18"/>
      <c r="VE265" s="18"/>
      <c r="VF265" s="18"/>
      <c r="VG265" s="18"/>
      <c r="VH265" s="18"/>
      <c r="VI265" s="18"/>
      <c r="VJ265" s="18"/>
      <c r="VK265" s="18"/>
      <c r="VL265" s="18"/>
      <c r="VM265" s="18"/>
      <c r="VN265" s="18"/>
      <c r="VO265" s="18"/>
      <c r="VP265" s="18"/>
      <c r="VQ265" s="18"/>
      <c r="VR265" s="18"/>
      <c r="VS265" s="18"/>
      <c r="VT265" s="18"/>
      <c r="VU265" s="18"/>
      <c r="VV265" s="18"/>
      <c r="VW265" s="18"/>
      <c r="VX265" s="18"/>
      <c r="VY265" s="18"/>
      <c r="VZ265" s="18"/>
      <c r="WA265" s="18"/>
      <c r="WB265" s="18"/>
      <c r="WC265" s="18"/>
      <c r="WD265" s="18"/>
      <c r="WE265" s="18"/>
      <c r="WF265" s="18"/>
      <c r="WG265" s="18"/>
      <c r="WH265" s="18"/>
      <c r="WI265" s="18"/>
      <c r="WJ265" s="18"/>
      <c r="WK265" s="18"/>
      <c r="WL265" s="18"/>
      <c r="WM265" s="18"/>
      <c r="WN265" s="18"/>
      <c r="WO265" s="18"/>
      <c r="WP265" s="18"/>
      <c r="WQ265" s="18"/>
      <c r="WR265" s="18"/>
      <c r="WS265" s="18"/>
      <c r="WT265" s="18"/>
      <c r="WU265" s="18"/>
      <c r="WV265" s="18"/>
      <c r="WW265" s="18"/>
      <c r="WX265" s="18"/>
      <c r="WY265" s="18"/>
      <c r="WZ265" s="18"/>
      <c r="XA265" s="18"/>
      <c r="XB265" s="18"/>
      <c r="XC265" s="18"/>
      <c r="XD265" s="18"/>
      <c r="XE265" s="18"/>
      <c r="XF265" s="18"/>
      <c r="XG265" s="18"/>
      <c r="XH265" s="18"/>
      <c r="XI265" s="18"/>
      <c r="XJ265" s="18"/>
      <c r="XK265" s="18"/>
      <c r="XL265" s="18"/>
      <c r="XM265" s="18"/>
      <c r="XN265" s="18"/>
      <c r="XO265" s="18"/>
      <c r="XP265" s="18"/>
      <c r="XQ265" s="18"/>
      <c r="XR265" s="18"/>
      <c r="XS265" s="18"/>
      <c r="XT265" s="18"/>
      <c r="XU265" s="18"/>
      <c r="XV265" s="18"/>
      <c r="XW265" s="18"/>
      <c r="XX265" s="18"/>
      <c r="XY265" s="18"/>
      <c r="XZ265" s="18"/>
      <c r="YA265" s="18"/>
      <c r="YB265" s="18"/>
      <c r="YC265" s="18"/>
      <c r="YD265" s="18"/>
      <c r="YE265" s="18"/>
      <c r="YF265" s="18"/>
      <c r="YG265" s="18"/>
      <c r="YH265" s="18"/>
      <c r="YI265" s="18"/>
      <c r="YJ265" s="18"/>
      <c r="YK265" s="18"/>
      <c r="YL265" s="18"/>
      <c r="YM265" s="18"/>
      <c r="YN265" s="18"/>
      <c r="YO265" s="18"/>
      <c r="YP265" s="18"/>
      <c r="YQ265" s="18"/>
      <c r="YR265" s="18"/>
      <c r="YS265" s="18"/>
      <c r="YT265" s="18"/>
      <c r="YU265" s="18"/>
      <c r="YV265" s="18"/>
      <c r="YW265" s="18"/>
      <c r="YX265" s="18"/>
      <c r="YY265" s="18"/>
      <c r="YZ265" s="18"/>
      <c r="ZA265" s="18"/>
      <c r="ZB265" s="18"/>
      <c r="ZC265" s="18"/>
      <c r="ZD265" s="18"/>
      <c r="ZE265" s="18"/>
      <c r="ZF265" s="18"/>
      <c r="ZG265" s="18"/>
      <c r="ZH265" s="18"/>
      <c r="ZI265" s="18"/>
      <c r="ZJ265" s="18"/>
      <c r="ZK265" s="18"/>
      <c r="ZL265" s="18"/>
      <c r="ZM265" s="18"/>
      <c r="ZN265" s="18"/>
      <c r="ZO265" s="18"/>
      <c r="ZP265" s="18"/>
      <c r="ZQ265" s="18"/>
      <c r="ZR265" s="18"/>
      <c r="ZS265" s="18"/>
      <c r="ZT265" s="18"/>
      <c r="ZU265" s="18"/>
      <c r="ZV265" s="18"/>
      <c r="ZW265" s="18"/>
      <c r="ZX265" s="18"/>
      <c r="ZY265" s="18"/>
      <c r="ZZ265" s="18"/>
      <c r="AAA265" s="18"/>
      <c r="AAB265" s="18"/>
      <c r="AAC265" s="18"/>
      <c r="AAD265" s="18"/>
      <c r="AAE265" s="18"/>
      <c r="AAF265" s="18"/>
      <c r="AAG265" s="18"/>
      <c r="AAH265" s="18"/>
      <c r="AAI265" s="18"/>
      <c r="AAJ265" s="18"/>
      <c r="AAK265" s="18"/>
      <c r="AAL265" s="18"/>
      <c r="AAM265" s="18"/>
      <c r="AAN265" s="18"/>
      <c r="AAO265" s="18"/>
      <c r="AAP265" s="18"/>
      <c r="AAQ265" s="18"/>
      <c r="AAR265" s="18"/>
      <c r="AAS265" s="18"/>
      <c r="AAT265" s="18"/>
      <c r="AAU265" s="18"/>
      <c r="AAV265" s="18"/>
      <c r="AAW265" s="18"/>
      <c r="AAX265" s="18"/>
      <c r="AAY265" s="18"/>
      <c r="AAZ265" s="18"/>
      <c r="ABA265" s="18"/>
      <c r="ABB265" s="18"/>
      <c r="ABC265" s="18"/>
      <c r="ABD265" s="18"/>
      <c r="ABE265" s="18"/>
      <c r="ABF265" s="18"/>
      <c r="ABG265" s="18"/>
      <c r="ABH265" s="18"/>
      <c r="ABI265" s="18"/>
      <c r="ABJ265" s="18"/>
      <c r="ABK265" s="18"/>
      <c r="ABL265" s="18"/>
      <c r="ABM265" s="18"/>
      <c r="ABN265" s="18"/>
      <c r="ABO265" s="18"/>
      <c r="ABP265" s="18"/>
      <c r="ABQ265" s="18"/>
      <c r="ABR265" s="18"/>
      <c r="ABS265" s="18"/>
      <c r="ABT265" s="18"/>
      <c r="ABU265" s="18"/>
      <c r="ABV265" s="18"/>
      <c r="ABW265" s="18"/>
      <c r="ABX265" s="18"/>
      <c r="ABY265" s="18"/>
      <c r="ABZ265" s="18"/>
      <c r="ACA265" s="18"/>
      <c r="ACB265" s="18"/>
      <c r="ACC265" s="18"/>
      <c r="ACD265" s="18"/>
      <c r="ACE265" s="18"/>
      <c r="ACF265" s="18"/>
      <c r="ACG265" s="18"/>
      <c r="ACH265" s="18"/>
      <c r="ACI265" s="18"/>
      <c r="ACJ265" s="18"/>
      <c r="ACK265" s="18"/>
      <c r="ACL265" s="18"/>
      <c r="ACM265" s="18"/>
      <c r="ACN265" s="18"/>
      <c r="ACO265" s="18"/>
      <c r="ACP265" s="18"/>
      <c r="ACQ265" s="18"/>
      <c r="ACR265" s="18"/>
      <c r="ACS265" s="18"/>
      <c r="ACT265" s="18"/>
      <c r="ACU265" s="18"/>
      <c r="ACV265" s="18"/>
      <c r="ACW265" s="18"/>
      <c r="ACX265" s="18"/>
      <c r="ACY265" s="18"/>
      <c r="ACZ265" s="18"/>
      <c r="ADA265" s="18"/>
      <c r="ADB265" s="18"/>
      <c r="ADC265" s="18"/>
      <c r="ADD265" s="18"/>
      <c r="ADE265" s="18"/>
      <c r="ADF265" s="18"/>
      <c r="ADG265" s="18"/>
      <c r="ADH265" s="18"/>
      <c r="ADI265" s="18"/>
      <c r="ADJ265" s="18"/>
      <c r="ADK265" s="18"/>
      <c r="ADL265" s="18"/>
      <c r="ADM265" s="18"/>
      <c r="ADN265" s="18"/>
      <c r="ADO265" s="18"/>
      <c r="ADP265" s="18"/>
      <c r="ADQ265" s="18"/>
      <c r="ADR265" s="18"/>
      <c r="ADS265" s="18"/>
      <c r="ADT265" s="18"/>
      <c r="ADU265" s="18"/>
      <c r="ADV265" s="18"/>
      <c r="ADW265" s="18"/>
      <c r="ADX265" s="18"/>
      <c r="ADY265" s="18"/>
      <c r="ADZ265" s="18"/>
      <c r="AEA265" s="18"/>
      <c r="AEB265" s="18"/>
      <c r="AEC265" s="18"/>
      <c r="AED265" s="18"/>
      <c r="AEE265" s="18"/>
      <c r="AEF265" s="18"/>
      <c r="AEG265" s="18"/>
      <c r="AEH265" s="18"/>
      <c r="AEI265" s="18"/>
      <c r="AEJ265" s="18"/>
      <c r="AEK265" s="18"/>
      <c r="AEL265" s="18"/>
      <c r="AEM265" s="18"/>
      <c r="AEN265" s="18"/>
      <c r="AEO265" s="18"/>
      <c r="AEP265" s="18"/>
      <c r="AEQ265" s="18"/>
      <c r="AER265" s="18"/>
      <c r="AES265" s="18"/>
      <c r="AET265" s="18"/>
      <c r="AEU265" s="18"/>
      <c r="AEV265" s="18"/>
      <c r="AEW265" s="18"/>
      <c r="AEX265" s="18"/>
      <c r="AEY265" s="18"/>
      <c r="AEZ265" s="18"/>
      <c r="AFA265" s="18"/>
      <c r="AFB265" s="18"/>
      <c r="AFC265" s="18"/>
      <c r="AFD265" s="18"/>
      <c r="AFE265" s="18"/>
      <c r="AFF265" s="18"/>
      <c r="AFG265" s="18"/>
      <c r="AFH265" s="18"/>
      <c r="AFI265" s="18"/>
      <c r="AFJ265" s="18"/>
      <c r="AFK265" s="18"/>
      <c r="AFL265" s="18"/>
      <c r="AFM265" s="18"/>
      <c r="AFN265" s="18"/>
      <c r="AFO265" s="18"/>
      <c r="AFP265" s="18"/>
      <c r="AFQ265" s="18"/>
      <c r="AFR265" s="18"/>
      <c r="AFS265" s="18"/>
      <c r="AFT265" s="18"/>
      <c r="AFU265" s="18"/>
      <c r="AFV265" s="18"/>
      <c r="AFW265" s="18"/>
      <c r="AFX265" s="18"/>
      <c r="AFY265" s="18"/>
      <c r="AFZ265" s="18"/>
      <c r="AGA265" s="18"/>
      <c r="AGB265" s="18"/>
      <c r="AGC265" s="18"/>
      <c r="AGD265" s="18"/>
      <c r="AGE265" s="18"/>
      <c r="AGF265" s="18"/>
      <c r="AGG265" s="18"/>
      <c r="AGH265" s="18"/>
      <c r="AGI265" s="18"/>
      <c r="AGJ265" s="18"/>
      <c r="AGK265" s="18"/>
      <c r="AGL265" s="18"/>
      <c r="AGM265" s="18"/>
      <c r="AGN265" s="18"/>
      <c r="AGO265" s="18"/>
      <c r="AGP265" s="18"/>
      <c r="AGQ265" s="18"/>
      <c r="AGR265" s="18"/>
      <c r="AGS265" s="18"/>
      <c r="AGT265" s="18"/>
      <c r="AGU265" s="18"/>
      <c r="AGV265" s="18"/>
      <c r="AGW265" s="18"/>
      <c r="AGX265" s="18"/>
      <c r="AGY265" s="18"/>
      <c r="AGZ265" s="18"/>
      <c r="AHA265" s="18"/>
      <c r="AHB265" s="18"/>
      <c r="AHC265" s="18"/>
      <c r="AHD265" s="18"/>
      <c r="AHE265" s="18"/>
      <c r="AHF265" s="18"/>
      <c r="AHG265" s="18"/>
      <c r="AHH265" s="18"/>
      <c r="AHI265" s="18"/>
      <c r="AHJ265" s="18"/>
      <c r="AHK265" s="18"/>
      <c r="AHL265" s="18"/>
      <c r="AHM265" s="18"/>
      <c r="AHN265" s="18"/>
      <c r="AHO265" s="18"/>
      <c r="AHP265" s="18"/>
      <c r="AHQ265" s="18"/>
      <c r="AHR265" s="18"/>
      <c r="AHS265" s="18"/>
      <c r="AHT265" s="18"/>
      <c r="AHU265" s="18"/>
      <c r="AHV265" s="18"/>
      <c r="AHW265" s="18"/>
      <c r="AHX265" s="18"/>
      <c r="AHY265" s="18"/>
      <c r="AHZ265" s="18"/>
      <c r="AIA265" s="18"/>
      <c r="AIB265" s="18"/>
      <c r="AIC265" s="18"/>
      <c r="AID265" s="18"/>
      <c r="AIE265" s="18"/>
      <c r="AIF265" s="18"/>
      <c r="AIG265" s="18"/>
      <c r="AIH265" s="18"/>
      <c r="AII265" s="18"/>
      <c r="AIJ265" s="18"/>
      <c r="AIK265" s="18"/>
      <c r="AIL265" s="18"/>
      <c r="AIM265" s="18"/>
      <c r="AIN265" s="18"/>
      <c r="AIO265" s="18"/>
      <c r="AIP265" s="18"/>
      <c r="AIQ265" s="18"/>
      <c r="AIR265" s="18"/>
      <c r="AIS265" s="18"/>
      <c r="AIT265" s="18"/>
      <c r="AIU265" s="18"/>
      <c r="AIV265" s="18"/>
      <c r="AIW265" s="18"/>
      <c r="AIX265" s="18"/>
      <c r="AIY265" s="18"/>
      <c r="AIZ265" s="18"/>
      <c r="AJA265" s="18"/>
      <c r="AJB265" s="18"/>
      <c r="AJC265" s="18"/>
      <c r="AJD265" s="18"/>
      <c r="AJE265" s="18"/>
      <c r="AJF265" s="18"/>
      <c r="AJG265" s="18"/>
      <c r="AJH265" s="18"/>
      <c r="AJI265" s="18"/>
      <c r="AJJ265" s="18"/>
      <c r="AJK265" s="18"/>
      <c r="AJL265" s="18"/>
      <c r="AJM265" s="18"/>
      <c r="AJN265" s="18"/>
      <c r="AJO265" s="18"/>
      <c r="AJP265" s="18"/>
      <c r="AJQ265" s="18"/>
      <c r="AJR265" s="18"/>
      <c r="AJS265" s="18"/>
      <c r="AJT265" s="18"/>
      <c r="AJU265" s="18"/>
      <c r="AJV265" s="18"/>
      <c r="AJW265" s="18"/>
      <c r="AJX265" s="18"/>
      <c r="AJY265" s="18"/>
      <c r="AJZ265" s="18"/>
      <c r="AKA265" s="18"/>
      <c r="AKB265" s="18"/>
      <c r="AKC265" s="18"/>
      <c r="AKD265" s="18"/>
      <c r="AKE265" s="18"/>
      <c r="AKF265" s="18"/>
      <c r="AKG265" s="18"/>
      <c r="AKH265" s="18"/>
      <c r="AKI265" s="18"/>
      <c r="AKJ265" s="18"/>
      <c r="AKK265" s="18"/>
      <c r="AKL265" s="18"/>
      <c r="AKM265" s="18"/>
      <c r="AKN265" s="18"/>
      <c r="AKO265" s="18"/>
      <c r="AKP265" s="18"/>
      <c r="AKQ265" s="18"/>
      <c r="AKR265" s="18"/>
      <c r="AKS265" s="18"/>
      <c r="AKT265" s="18"/>
      <c r="AKU265" s="18"/>
      <c r="AKV265" s="18"/>
      <c r="AKW265" s="18"/>
      <c r="AKX265" s="18"/>
      <c r="AKY265" s="18"/>
      <c r="AKZ265" s="18"/>
      <c r="ALA265" s="18"/>
      <c r="ALB265" s="18"/>
      <c r="ALC265" s="18"/>
      <c r="ALD265" s="18"/>
      <c r="ALE265" s="18"/>
      <c r="ALF265" s="18"/>
      <c r="ALG265" s="18"/>
      <c r="ALH265" s="18"/>
      <c r="ALI265" s="18"/>
      <c r="ALJ265" s="18"/>
      <c r="ALK265" s="18"/>
      <c r="ALL265" s="18"/>
      <c r="ALM265" s="18"/>
      <c r="ALN265" s="18"/>
      <c r="ALO265" s="18"/>
      <c r="ALP265" s="18"/>
      <c r="ALQ265" s="18"/>
      <c r="ALR265" s="18"/>
      <c r="ALS265" s="18"/>
      <c r="ALT265" s="18"/>
      <c r="ALU265" s="18"/>
      <c r="ALV265" s="18"/>
      <c r="ALW265" s="18"/>
      <c r="ALX265" s="18"/>
      <c r="ALY265" s="18"/>
      <c r="ALZ265" s="18"/>
      <c r="AMA265" s="18"/>
      <c r="AMB265" s="18"/>
      <c r="AMC265" s="18"/>
      <c r="AMD265" s="18"/>
      <c r="AME265" s="18"/>
      <c r="AMF265" s="18"/>
      <c r="AMG265" s="18"/>
      <c r="AMH265" s="18"/>
      <c r="AMI265" s="18"/>
      <c r="AMJ265" s="18"/>
      <c r="AMK265" s="18"/>
      <c r="AML265" s="18"/>
      <c r="AMM265" s="18"/>
      <c r="AMN265" s="18"/>
      <c r="AMO265" s="18"/>
      <c r="AMP265" s="18"/>
      <c r="AMQ265" s="18"/>
      <c r="AMR265" s="18"/>
      <c r="AMS265" s="18"/>
      <c r="AMT265" s="18"/>
      <c r="AMU265" s="18"/>
      <c r="AMV265" s="18"/>
      <c r="AMW265" s="18"/>
      <c r="AMX265" s="18"/>
      <c r="AMY265" s="18"/>
      <c r="AMZ265" s="18"/>
      <c r="ANA265" s="18"/>
      <c r="ANB265" s="18"/>
      <c r="ANC265" s="18"/>
      <c r="AND265" s="18"/>
      <c r="ANE265" s="18"/>
      <c r="ANF265" s="18"/>
      <c r="ANG265" s="18"/>
      <c r="ANH265" s="18"/>
      <c r="ANI265" s="18"/>
      <c r="ANJ265" s="18"/>
      <c r="ANK265" s="18"/>
      <c r="ANL265" s="18"/>
      <c r="ANM265" s="18"/>
      <c r="ANN265" s="18"/>
      <c r="ANO265" s="18"/>
      <c r="ANP265" s="18"/>
      <c r="ANQ265" s="18"/>
      <c r="ANR265" s="18"/>
      <c r="ANS265" s="18"/>
      <c r="ANT265" s="18"/>
      <c r="ANU265" s="18"/>
      <c r="ANV265" s="18"/>
      <c r="ANW265" s="18"/>
      <c r="ANX265" s="18"/>
      <c r="ANY265" s="18"/>
      <c r="ANZ265" s="18"/>
      <c r="AOA265" s="18"/>
      <c r="AOB265" s="18"/>
      <c r="AOC265" s="18"/>
      <c r="AOD265" s="18"/>
      <c r="AOE265" s="18"/>
      <c r="AOF265" s="18"/>
      <c r="AOG265" s="18"/>
      <c r="AOH265" s="18"/>
      <c r="AOI265" s="18"/>
      <c r="AOJ265" s="18"/>
      <c r="AOK265" s="18"/>
      <c r="AOL265" s="18"/>
      <c r="AOM265" s="18"/>
      <c r="AON265" s="18"/>
      <c r="AOO265" s="18"/>
      <c r="AOP265" s="18"/>
      <c r="AOQ265" s="18"/>
      <c r="AOR265" s="18"/>
      <c r="AOS265" s="18"/>
      <c r="AOT265" s="18"/>
      <c r="AOU265" s="18"/>
      <c r="AOV265" s="18"/>
      <c r="AOW265" s="18"/>
      <c r="AOX265" s="18"/>
      <c r="AOY265" s="18"/>
      <c r="AOZ265" s="18"/>
      <c r="APA265" s="18"/>
      <c r="APB265" s="18"/>
      <c r="APC265" s="18"/>
      <c r="APD265" s="18"/>
      <c r="APE265" s="18"/>
      <c r="APF265" s="18"/>
      <c r="APG265" s="18"/>
      <c r="APH265" s="18"/>
      <c r="API265" s="18"/>
      <c r="APJ265" s="18"/>
      <c r="APK265" s="18"/>
      <c r="APL265" s="18"/>
      <c r="APM265" s="18"/>
      <c r="APN265" s="18"/>
      <c r="APO265" s="18"/>
      <c r="APP265" s="18"/>
      <c r="APQ265" s="18"/>
      <c r="APR265" s="18"/>
      <c r="APS265" s="18"/>
      <c r="APT265" s="18"/>
      <c r="APU265" s="18"/>
      <c r="APV265" s="18"/>
      <c r="APW265" s="18"/>
      <c r="APX265" s="18"/>
      <c r="APY265" s="18"/>
      <c r="APZ265" s="18"/>
      <c r="AQA265" s="18"/>
      <c r="AQB265" s="18"/>
      <c r="AQC265" s="18"/>
      <c r="AQD265" s="18"/>
      <c r="AQE265" s="18"/>
      <c r="AQF265" s="18"/>
      <c r="AQG265" s="18"/>
      <c r="AQH265" s="18"/>
      <c r="AQI265" s="18"/>
      <c r="AQJ265" s="18"/>
      <c r="AQK265" s="18"/>
      <c r="AQL265" s="18"/>
      <c r="AQM265" s="18"/>
      <c r="AQN265" s="18"/>
      <c r="AQO265" s="18"/>
      <c r="AQP265" s="18"/>
      <c r="AQQ265" s="18"/>
      <c r="AQR265" s="18"/>
      <c r="AQS265" s="18"/>
      <c r="AQT265" s="18"/>
      <c r="AQU265" s="18"/>
      <c r="AQV265" s="18"/>
      <c r="AQW265" s="18"/>
      <c r="AQX265" s="18"/>
      <c r="AQY265" s="18"/>
      <c r="AQZ265" s="18"/>
      <c r="ARA265" s="18"/>
      <c r="ARB265" s="18"/>
      <c r="ARC265" s="18"/>
      <c r="ARD265" s="18"/>
      <c r="ARE265" s="18"/>
      <c r="ARF265" s="18"/>
      <c r="ARG265" s="18"/>
      <c r="ARH265" s="18"/>
      <c r="ARI265" s="18"/>
      <c r="ARJ265" s="18"/>
      <c r="ARK265" s="18"/>
      <c r="ARL265" s="18"/>
      <c r="ARM265" s="18"/>
      <c r="ARN265" s="18"/>
      <c r="ARO265" s="18"/>
      <c r="ARP265" s="18"/>
      <c r="ARQ265" s="18"/>
      <c r="ARR265" s="18"/>
      <c r="ARS265" s="18"/>
      <c r="ART265" s="18"/>
      <c r="ARU265" s="18"/>
      <c r="ARV265" s="18"/>
      <c r="ARW265" s="18"/>
      <c r="ARX265" s="18"/>
      <c r="ARY265" s="18"/>
      <c r="ARZ265" s="18"/>
      <c r="ASA265" s="18"/>
      <c r="ASB265" s="18"/>
      <c r="ASC265" s="18"/>
      <c r="ASD265" s="18"/>
      <c r="ASE265" s="18"/>
      <c r="ASF265" s="18"/>
      <c r="ASG265" s="18"/>
      <c r="ASH265" s="18"/>
      <c r="ASI265" s="18"/>
      <c r="ASJ265" s="18"/>
      <c r="ASK265" s="18"/>
      <c r="ASL265" s="18"/>
      <c r="ASM265" s="18"/>
      <c r="ASN265" s="18"/>
      <c r="ASO265" s="18"/>
      <c r="ASP265" s="18"/>
      <c r="ASQ265" s="18"/>
      <c r="ASR265" s="18"/>
      <c r="ASS265" s="18"/>
      <c r="AST265" s="18"/>
      <c r="ASU265" s="18"/>
      <c r="ASV265" s="18"/>
      <c r="ASW265" s="18"/>
      <c r="ASX265" s="18"/>
      <c r="ASY265" s="18"/>
      <c r="ASZ265" s="18"/>
      <c r="ATA265" s="18"/>
      <c r="ATB265" s="18"/>
      <c r="ATC265" s="18"/>
      <c r="ATD265" s="18"/>
      <c r="ATE265" s="18"/>
      <c r="ATF265" s="18"/>
      <c r="ATG265" s="18"/>
      <c r="ATH265" s="18"/>
      <c r="ATI265" s="18"/>
      <c r="ATJ265" s="18"/>
      <c r="ATK265" s="18"/>
      <c r="ATL265" s="18"/>
      <c r="ATM265" s="18"/>
      <c r="ATN265" s="18"/>
      <c r="ATO265" s="18"/>
      <c r="ATP265" s="18"/>
      <c r="ATQ265" s="18"/>
      <c r="ATR265" s="18"/>
      <c r="ATS265" s="18"/>
      <c r="ATT265" s="18"/>
      <c r="ATU265" s="18"/>
      <c r="ATV265" s="18"/>
      <c r="ATW265" s="18"/>
      <c r="ATX265" s="18"/>
      <c r="ATY265" s="18"/>
      <c r="ATZ265" s="18"/>
      <c r="AUA265" s="18"/>
      <c r="AUB265" s="18"/>
      <c r="AUC265" s="18"/>
      <c r="AUD265" s="18"/>
      <c r="AUE265" s="18"/>
      <c r="AUF265" s="18"/>
      <c r="AUG265" s="18"/>
      <c r="AUH265" s="18"/>
      <c r="AUI265" s="18"/>
      <c r="AUJ265" s="18"/>
      <c r="AUK265" s="18"/>
      <c r="AUL265" s="18"/>
      <c r="AUM265" s="18"/>
      <c r="AUN265" s="18"/>
      <c r="AUO265" s="18"/>
      <c r="AUP265" s="18"/>
      <c r="AUQ265" s="18"/>
      <c r="AUR265" s="18"/>
      <c r="AUS265" s="18"/>
      <c r="AUT265" s="18"/>
      <c r="AUU265" s="18"/>
      <c r="AUV265" s="18"/>
      <c r="AUW265" s="18"/>
      <c r="AUX265" s="18"/>
      <c r="AUY265" s="18"/>
      <c r="AUZ265" s="18"/>
      <c r="AVA265" s="18"/>
      <c r="AVB265" s="18"/>
      <c r="AVC265" s="18"/>
      <c r="AVD265" s="18"/>
      <c r="AVE265" s="18"/>
      <c r="AVF265" s="18"/>
      <c r="AVG265" s="18"/>
      <c r="AVH265" s="18"/>
      <c r="AVI265" s="18"/>
      <c r="AVJ265" s="18"/>
      <c r="AVK265" s="18"/>
      <c r="AVL265" s="18"/>
      <c r="AVM265" s="18"/>
      <c r="AVN265" s="18"/>
      <c r="AVO265" s="18"/>
      <c r="AVP265" s="18"/>
      <c r="AVQ265" s="18"/>
      <c r="AVR265" s="18"/>
      <c r="AVS265" s="18"/>
      <c r="AVT265" s="18"/>
      <c r="AVU265" s="18"/>
      <c r="AVV265" s="18"/>
      <c r="AVW265" s="18"/>
      <c r="AVX265" s="18"/>
      <c r="AVY265" s="18"/>
      <c r="AVZ265" s="18"/>
      <c r="AWA265" s="18"/>
      <c r="AWB265" s="18"/>
      <c r="AWC265" s="18"/>
      <c r="AWD265" s="18"/>
      <c r="AWE265" s="18"/>
      <c r="AWF265" s="18"/>
      <c r="AWG265" s="18"/>
      <c r="AWH265" s="18"/>
      <c r="AWI265" s="18"/>
      <c r="AWJ265" s="18"/>
      <c r="AWK265" s="18"/>
      <c r="AWL265" s="18"/>
      <c r="AWM265" s="18"/>
      <c r="AWN265" s="18"/>
      <c r="AWO265" s="18"/>
      <c r="AWP265" s="18"/>
      <c r="AWQ265" s="18"/>
      <c r="AWR265" s="18"/>
      <c r="AWS265" s="18"/>
      <c r="AWT265" s="18"/>
      <c r="AWU265" s="18"/>
      <c r="AWV265" s="18"/>
      <c r="AWW265" s="18"/>
      <c r="AWX265" s="18"/>
      <c r="AWY265" s="18"/>
      <c r="AWZ265" s="18"/>
      <c r="AXA265" s="18"/>
      <c r="AXB265" s="18"/>
      <c r="AXC265" s="18"/>
      <c r="AXD265" s="18"/>
      <c r="AXE265" s="18"/>
      <c r="AXF265" s="18"/>
      <c r="AXG265" s="18"/>
      <c r="AXH265" s="18"/>
      <c r="AXI265" s="18"/>
      <c r="AXJ265" s="18"/>
      <c r="AXK265" s="18"/>
      <c r="AXL265" s="18"/>
      <c r="AXM265" s="18"/>
      <c r="AXN265" s="18"/>
      <c r="AXO265" s="18"/>
      <c r="AXP265" s="18"/>
      <c r="AXQ265" s="18"/>
      <c r="AXR265" s="18"/>
      <c r="AXS265" s="18"/>
      <c r="AXT265" s="18"/>
      <c r="AXU265" s="18"/>
      <c r="AXV265" s="18"/>
      <c r="AXW265" s="18"/>
      <c r="AXX265" s="18"/>
      <c r="AXY265" s="18"/>
      <c r="AXZ265" s="18"/>
      <c r="AYA265" s="18"/>
      <c r="AYB265" s="18"/>
      <c r="AYC265" s="18"/>
      <c r="AYD265" s="18"/>
      <c r="AYE265" s="18"/>
      <c r="AYF265" s="18"/>
      <c r="AYG265" s="18"/>
      <c r="AYH265" s="18"/>
      <c r="AYI265" s="18"/>
      <c r="AYJ265" s="18"/>
      <c r="AYK265" s="18"/>
      <c r="AYL265" s="18"/>
      <c r="AYM265" s="18"/>
      <c r="AYN265" s="18"/>
      <c r="AYO265" s="18"/>
      <c r="AYP265" s="18"/>
      <c r="AYQ265" s="18"/>
      <c r="AYR265" s="18"/>
      <c r="AYS265" s="18"/>
      <c r="AYT265" s="18"/>
      <c r="AYU265" s="18"/>
      <c r="AYV265" s="18"/>
      <c r="AYW265" s="18"/>
      <c r="AYX265" s="18"/>
      <c r="AYY265" s="18"/>
      <c r="AYZ265" s="18"/>
      <c r="AZA265" s="18"/>
      <c r="AZB265" s="18"/>
      <c r="AZC265" s="18"/>
      <c r="AZD265" s="18"/>
      <c r="AZE265" s="18"/>
      <c r="AZF265" s="18"/>
      <c r="AZG265" s="18"/>
      <c r="AZH265" s="18"/>
      <c r="AZI265" s="18"/>
      <c r="AZJ265" s="18"/>
      <c r="AZK265" s="18"/>
      <c r="AZL265" s="18"/>
      <c r="AZM265" s="18"/>
      <c r="AZN265" s="18"/>
      <c r="AZO265" s="18"/>
      <c r="AZP265" s="18"/>
      <c r="AZQ265" s="18"/>
      <c r="AZR265" s="18"/>
      <c r="AZS265" s="18"/>
      <c r="AZT265" s="18"/>
      <c r="AZU265" s="18"/>
      <c r="AZV265" s="18"/>
      <c r="AZW265" s="18"/>
      <c r="AZX265" s="18"/>
      <c r="AZY265" s="18"/>
      <c r="AZZ265" s="18"/>
      <c r="BAA265" s="18"/>
      <c r="BAB265" s="18"/>
      <c r="BAC265" s="18"/>
      <c r="BAD265" s="18"/>
      <c r="BAE265" s="18"/>
      <c r="BAF265" s="18"/>
      <c r="BAG265" s="18"/>
      <c r="BAH265" s="18"/>
      <c r="BAI265" s="18"/>
      <c r="BAJ265" s="18"/>
      <c r="BAK265" s="18"/>
      <c r="BAL265" s="18"/>
      <c r="BAM265" s="18"/>
      <c r="BAN265" s="18"/>
      <c r="BAO265" s="18"/>
      <c r="BAP265" s="18"/>
      <c r="BAQ265" s="18"/>
      <c r="BAR265" s="18"/>
      <c r="BAS265" s="18"/>
      <c r="BAT265" s="18"/>
      <c r="BAU265" s="18"/>
      <c r="BAV265" s="18"/>
      <c r="BAW265" s="18"/>
      <c r="BAX265" s="18"/>
      <c r="BAY265" s="18"/>
      <c r="BAZ265" s="18"/>
      <c r="BBA265" s="18"/>
      <c r="BBB265" s="18"/>
      <c r="BBC265" s="18"/>
      <c r="BBD265" s="18"/>
      <c r="BBE265" s="18"/>
      <c r="BBF265" s="18"/>
      <c r="BBG265" s="18"/>
      <c r="BBH265" s="18"/>
      <c r="BBI265" s="18"/>
      <c r="BBJ265" s="18"/>
      <c r="BBK265" s="18"/>
      <c r="BBL265" s="18"/>
      <c r="BBM265" s="18"/>
      <c r="BBN265" s="18"/>
      <c r="BBO265" s="18"/>
      <c r="BBP265" s="18"/>
      <c r="BBQ265" s="18"/>
      <c r="BBR265" s="18"/>
      <c r="BBS265" s="18"/>
      <c r="BBT265" s="18"/>
      <c r="BBU265" s="18"/>
      <c r="BBV265" s="18"/>
      <c r="BBW265" s="18"/>
      <c r="BBX265" s="18"/>
      <c r="BBY265" s="18"/>
      <c r="BBZ265" s="18"/>
      <c r="BCA265" s="18"/>
      <c r="BCB265" s="18"/>
      <c r="BCC265" s="18"/>
      <c r="BCD265" s="18"/>
      <c r="BCE265" s="18"/>
      <c r="BCF265" s="18"/>
      <c r="BCG265" s="18"/>
      <c r="BCH265" s="18"/>
      <c r="BCI265" s="18"/>
      <c r="BCJ265" s="18"/>
      <c r="BCK265" s="18"/>
      <c r="BCL265" s="18"/>
      <c r="BCM265" s="18"/>
      <c r="BCN265" s="18"/>
      <c r="BCO265" s="18"/>
      <c r="BCP265" s="18"/>
      <c r="BCQ265" s="18"/>
      <c r="BCR265" s="18"/>
      <c r="BCS265" s="18"/>
      <c r="BCT265" s="18"/>
      <c r="BCU265" s="18"/>
      <c r="BCV265" s="18"/>
      <c r="BCW265" s="18"/>
      <c r="BCX265" s="18"/>
      <c r="BCY265" s="18"/>
      <c r="BCZ265" s="18"/>
      <c r="BDA265" s="18"/>
      <c r="BDB265" s="18"/>
      <c r="BDC265" s="18"/>
      <c r="BDD265" s="18"/>
      <c r="BDE265" s="18"/>
      <c r="BDF265" s="18"/>
      <c r="BDG265" s="18"/>
      <c r="BDH265" s="18"/>
      <c r="BDI265" s="18"/>
      <c r="BDJ265" s="18"/>
      <c r="BDK265" s="18"/>
      <c r="BDL265" s="18"/>
      <c r="BDM265" s="18"/>
      <c r="BDN265" s="18"/>
      <c r="BDO265" s="18"/>
      <c r="BDP265" s="18"/>
      <c r="BDQ265" s="18"/>
      <c r="BDR265" s="18"/>
      <c r="BDS265" s="18"/>
      <c r="BDT265" s="18"/>
      <c r="BDU265" s="18"/>
      <c r="BDV265" s="18"/>
      <c r="BDW265" s="18"/>
      <c r="BDX265" s="18"/>
      <c r="BDY265" s="18"/>
      <c r="BDZ265" s="18"/>
      <c r="BEA265" s="18"/>
      <c r="BEB265" s="18"/>
      <c r="BEC265" s="18"/>
      <c r="BED265" s="18"/>
      <c r="BEE265" s="18"/>
      <c r="BEF265" s="18"/>
      <c r="BEG265" s="18"/>
      <c r="BEH265" s="18"/>
      <c r="BEI265" s="18"/>
      <c r="BEJ265" s="18"/>
      <c r="BEK265" s="18"/>
      <c r="BEL265" s="18"/>
      <c r="BEM265" s="18"/>
      <c r="BEN265" s="18"/>
      <c r="BEO265" s="18"/>
      <c r="BEP265" s="18"/>
      <c r="BEQ265" s="18"/>
      <c r="BER265" s="18"/>
      <c r="BES265" s="18"/>
      <c r="BET265" s="18"/>
      <c r="BEU265" s="18"/>
      <c r="BEV265" s="18"/>
      <c r="BEW265" s="18"/>
      <c r="BEX265" s="18"/>
      <c r="BEY265" s="18"/>
      <c r="BEZ265" s="18"/>
      <c r="BFA265" s="18"/>
      <c r="BFB265" s="18"/>
      <c r="BFC265" s="18"/>
      <c r="BFD265" s="18"/>
      <c r="BFE265" s="18"/>
      <c r="BFF265" s="18"/>
      <c r="BFG265" s="18"/>
      <c r="BFH265" s="18"/>
      <c r="BFI265" s="18"/>
      <c r="BFJ265" s="18"/>
      <c r="BFK265" s="18"/>
      <c r="BFL265" s="18"/>
      <c r="BFM265" s="18"/>
      <c r="BFN265" s="18"/>
      <c r="BFO265" s="18"/>
      <c r="BFP265" s="18"/>
      <c r="BFQ265" s="18"/>
      <c r="BFR265" s="18"/>
      <c r="BFS265" s="18"/>
      <c r="BFT265" s="18"/>
      <c r="BFU265" s="18"/>
      <c r="BFV265" s="18"/>
      <c r="BFW265" s="18"/>
      <c r="BFX265" s="18"/>
      <c r="BFY265" s="18"/>
      <c r="BFZ265" s="18"/>
      <c r="BGA265" s="18"/>
      <c r="BGB265" s="18"/>
      <c r="BGC265" s="18"/>
      <c r="BGD265" s="18"/>
      <c r="BGE265" s="18"/>
      <c r="BGF265" s="18"/>
      <c r="BGG265" s="18"/>
      <c r="BGH265" s="18"/>
      <c r="BGI265" s="18"/>
      <c r="BGJ265" s="18"/>
      <c r="BGK265" s="18"/>
      <c r="BGL265" s="18"/>
      <c r="BGM265" s="18"/>
      <c r="BGN265" s="18"/>
      <c r="BGO265" s="18"/>
      <c r="BGP265" s="18"/>
      <c r="BGQ265" s="18"/>
      <c r="BGR265" s="18"/>
      <c r="BGS265" s="18"/>
      <c r="BGT265" s="18"/>
      <c r="BGU265" s="18"/>
      <c r="BGV265" s="18"/>
      <c r="BGW265" s="18"/>
      <c r="BGX265" s="18"/>
      <c r="BGY265" s="18"/>
      <c r="BGZ265" s="18"/>
      <c r="BHA265" s="18"/>
      <c r="BHB265" s="18"/>
      <c r="BHC265" s="18"/>
      <c r="BHD265" s="18"/>
      <c r="BHE265" s="18"/>
      <c r="BHF265" s="18"/>
      <c r="BHG265" s="18"/>
      <c r="BHH265" s="18"/>
      <c r="BHI265" s="18"/>
      <c r="BHJ265" s="18"/>
      <c r="BHK265" s="18"/>
      <c r="BHL265" s="18"/>
      <c r="BHM265" s="18"/>
      <c r="BHN265" s="18"/>
      <c r="BHO265" s="18"/>
      <c r="BHP265" s="18"/>
      <c r="BHQ265" s="18"/>
      <c r="BHR265" s="18"/>
      <c r="BHS265" s="18"/>
      <c r="BHT265" s="18"/>
      <c r="BHU265" s="18"/>
      <c r="BHV265" s="18"/>
      <c r="BHW265" s="18"/>
      <c r="BHX265" s="18"/>
      <c r="BHY265" s="18"/>
      <c r="BHZ265" s="18"/>
      <c r="BIA265" s="18"/>
      <c r="BIB265" s="18"/>
      <c r="BIC265" s="18"/>
      <c r="BID265" s="18"/>
      <c r="BIE265" s="18"/>
      <c r="BIF265" s="18"/>
      <c r="BIG265" s="18"/>
      <c r="BIH265" s="18"/>
      <c r="BII265" s="18"/>
      <c r="BIJ265" s="18"/>
      <c r="BIK265" s="18"/>
      <c r="BIL265" s="18"/>
      <c r="BIM265" s="18"/>
      <c r="BIN265" s="18"/>
      <c r="BIO265" s="18"/>
      <c r="BIP265" s="18"/>
      <c r="BIQ265" s="18"/>
      <c r="BIR265" s="18"/>
      <c r="BIS265" s="18"/>
      <c r="BIT265" s="18"/>
      <c r="BIU265" s="18"/>
      <c r="BIV265" s="18"/>
      <c r="BIW265" s="18"/>
      <c r="BIX265" s="18"/>
      <c r="BIY265" s="18"/>
      <c r="BIZ265" s="18"/>
      <c r="BJA265" s="18"/>
      <c r="BJB265" s="18"/>
      <c r="BJC265" s="18"/>
      <c r="BJD265" s="18"/>
      <c r="BJE265" s="18"/>
      <c r="BJF265" s="18"/>
      <c r="BJG265" s="18"/>
      <c r="BJH265" s="18"/>
      <c r="BJI265" s="18"/>
      <c r="BJJ265" s="18"/>
      <c r="BJK265" s="18"/>
      <c r="BJL265" s="18"/>
      <c r="BJM265" s="18"/>
      <c r="BJN265" s="18"/>
      <c r="BJO265" s="18"/>
      <c r="BJP265" s="18"/>
      <c r="BJQ265" s="18"/>
      <c r="BJR265" s="18"/>
      <c r="BJS265" s="18"/>
      <c r="BJT265" s="18"/>
      <c r="BJU265" s="18"/>
      <c r="BJV265" s="18"/>
      <c r="BJW265" s="18"/>
      <c r="BJX265" s="18"/>
      <c r="BJY265" s="18"/>
      <c r="BJZ265" s="18"/>
      <c r="BKA265" s="18"/>
      <c r="BKB265" s="18"/>
      <c r="BKC265" s="18"/>
      <c r="BKD265" s="18"/>
      <c r="BKE265" s="18"/>
      <c r="BKF265" s="18"/>
      <c r="BKG265" s="18"/>
      <c r="BKH265" s="18"/>
      <c r="BKI265" s="18"/>
      <c r="BKJ265" s="18"/>
      <c r="BKK265" s="18"/>
      <c r="BKL265" s="18"/>
      <c r="BKM265" s="18"/>
      <c r="BKN265" s="18"/>
      <c r="BKO265" s="18"/>
      <c r="BKP265" s="18"/>
      <c r="BKQ265" s="18"/>
      <c r="BKR265" s="18"/>
      <c r="BKS265" s="18"/>
      <c r="BKT265" s="18"/>
      <c r="BKU265" s="18"/>
      <c r="BKV265" s="18"/>
      <c r="BKW265" s="18"/>
      <c r="BKX265" s="18"/>
      <c r="BKY265" s="18"/>
      <c r="BKZ265" s="18"/>
      <c r="BLA265" s="18"/>
      <c r="BLB265" s="18"/>
      <c r="BLC265" s="18"/>
      <c r="BLD265" s="18"/>
      <c r="BLE265" s="18"/>
      <c r="BLF265" s="18"/>
      <c r="BLG265" s="18"/>
      <c r="BLH265" s="18"/>
      <c r="BLI265" s="18"/>
      <c r="BLJ265" s="18"/>
      <c r="BLK265" s="18"/>
      <c r="BLL265" s="18"/>
      <c r="BLM265" s="18"/>
      <c r="BLN265" s="18"/>
      <c r="BLO265" s="18"/>
      <c r="BLP265" s="18"/>
      <c r="BLQ265" s="18"/>
      <c r="BLR265" s="18"/>
      <c r="BLS265" s="18"/>
      <c r="BLT265" s="18"/>
      <c r="BLU265" s="18"/>
      <c r="BLV265" s="18"/>
      <c r="BLW265" s="18"/>
      <c r="BLX265" s="18"/>
      <c r="BLY265" s="18"/>
      <c r="BLZ265" s="18"/>
      <c r="BMA265" s="18"/>
      <c r="BMB265" s="18"/>
      <c r="BMC265" s="18"/>
      <c r="BMD265" s="18"/>
      <c r="BME265" s="18"/>
      <c r="BMF265" s="18"/>
      <c r="BMG265" s="18"/>
      <c r="BMH265" s="18"/>
      <c r="BMI265" s="18"/>
      <c r="BMJ265" s="18"/>
      <c r="BMK265" s="18"/>
      <c r="BML265" s="18"/>
      <c r="BMM265" s="18"/>
      <c r="BMN265" s="18"/>
      <c r="BMO265" s="18"/>
      <c r="BMP265" s="18"/>
      <c r="BMQ265" s="18"/>
      <c r="BMR265" s="18"/>
      <c r="BMS265" s="18"/>
      <c r="BMT265" s="18"/>
      <c r="BMU265" s="18"/>
      <c r="BMV265" s="18"/>
      <c r="BMW265" s="18"/>
      <c r="BMX265" s="18"/>
      <c r="BMY265" s="18"/>
      <c r="BMZ265" s="18"/>
      <c r="BNA265" s="18"/>
      <c r="BNB265" s="18"/>
      <c r="BNC265" s="18"/>
      <c r="BND265" s="18"/>
      <c r="BNE265" s="18"/>
      <c r="BNF265" s="18"/>
      <c r="BNG265" s="18"/>
      <c r="BNH265" s="18"/>
      <c r="BNI265" s="18"/>
      <c r="BNJ265" s="18"/>
      <c r="BNK265" s="18"/>
      <c r="BNL265" s="18"/>
      <c r="BNM265" s="18"/>
      <c r="BNN265" s="18"/>
      <c r="BNO265" s="18"/>
      <c r="BNP265" s="18"/>
      <c r="BNQ265" s="18"/>
      <c r="BNR265" s="18"/>
      <c r="BNS265" s="18"/>
      <c r="BNT265" s="18"/>
      <c r="BNU265" s="18"/>
      <c r="BNV265" s="18"/>
      <c r="BNW265" s="18"/>
      <c r="BNX265" s="18"/>
      <c r="BNY265" s="18"/>
      <c r="BNZ265" s="18"/>
      <c r="BOA265" s="18"/>
      <c r="BOB265" s="18"/>
      <c r="BOC265" s="18"/>
      <c r="BOD265" s="18"/>
      <c r="BOE265" s="18"/>
      <c r="BOF265" s="18"/>
      <c r="BOG265" s="18"/>
      <c r="BOH265" s="18"/>
      <c r="BOI265" s="18"/>
      <c r="BOJ265" s="18"/>
      <c r="BOK265" s="18"/>
      <c r="BOL265" s="18"/>
      <c r="BOM265" s="18"/>
      <c r="BON265" s="18"/>
      <c r="BOO265" s="18"/>
      <c r="BOP265" s="18"/>
      <c r="BOQ265" s="18"/>
      <c r="BOR265" s="18"/>
      <c r="BOS265" s="18"/>
      <c r="BOT265" s="18"/>
      <c r="BOU265" s="18"/>
      <c r="BOV265" s="18"/>
      <c r="BOW265" s="18"/>
      <c r="BOX265" s="18"/>
      <c r="BOY265" s="18"/>
      <c r="BOZ265" s="18"/>
      <c r="BPA265" s="18"/>
      <c r="BPB265" s="18"/>
      <c r="BPC265" s="18"/>
      <c r="BPD265" s="18"/>
      <c r="BPE265" s="18"/>
      <c r="BPF265" s="18"/>
      <c r="BPG265" s="18"/>
      <c r="BPH265" s="18"/>
      <c r="BPI265" s="18"/>
      <c r="BPJ265" s="18"/>
      <c r="BPK265" s="18"/>
      <c r="BPL265" s="18"/>
      <c r="BPM265" s="18"/>
      <c r="BPN265" s="18"/>
      <c r="BPO265" s="18"/>
      <c r="BPP265" s="18"/>
      <c r="BPQ265" s="18"/>
      <c r="BPR265" s="18"/>
      <c r="BPS265" s="18"/>
      <c r="BPT265" s="18"/>
      <c r="BPU265" s="18"/>
      <c r="BPV265" s="18"/>
      <c r="BPW265" s="18"/>
      <c r="BPX265" s="18"/>
      <c r="BPY265" s="18"/>
      <c r="BPZ265" s="18"/>
      <c r="BQA265" s="18"/>
      <c r="BQB265" s="18"/>
      <c r="BQC265" s="18"/>
      <c r="BQD265" s="18"/>
      <c r="BQE265" s="18"/>
      <c r="BQF265" s="18"/>
      <c r="BQG265" s="18"/>
      <c r="BQH265" s="18"/>
      <c r="BQI265" s="18"/>
      <c r="BQJ265" s="18"/>
      <c r="BQK265" s="18"/>
      <c r="BQL265" s="18"/>
      <c r="BQM265" s="18"/>
      <c r="BQN265" s="18"/>
      <c r="BQO265" s="18"/>
      <c r="BQP265" s="18"/>
      <c r="BQQ265" s="18"/>
      <c r="BQR265" s="18"/>
      <c r="BQS265" s="18"/>
      <c r="BQT265" s="18"/>
      <c r="BQU265" s="18"/>
      <c r="BQV265" s="18"/>
      <c r="BQW265" s="18"/>
      <c r="BQX265" s="18"/>
      <c r="BQY265" s="18"/>
      <c r="BQZ265" s="18"/>
      <c r="BRA265" s="18"/>
      <c r="BRB265" s="18"/>
      <c r="BRC265" s="18"/>
      <c r="BRD265" s="18"/>
      <c r="BRE265" s="18"/>
      <c r="BRF265" s="18"/>
      <c r="BRG265" s="18"/>
      <c r="BRH265" s="18"/>
      <c r="BRI265" s="18"/>
      <c r="BRJ265" s="18"/>
      <c r="BRK265" s="18"/>
      <c r="BRL265" s="18"/>
      <c r="BRM265" s="18"/>
      <c r="BRN265" s="18"/>
      <c r="BRO265" s="18"/>
      <c r="BRP265" s="18"/>
      <c r="BRQ265" s="18"/>
      <c r="BRR265" s="18"/>
      <c r="BRS265" s="18"/>
      <c r="BRT265" s="18"/>
      <c r="BRU265" s="18"/>
      <c r="BRV265" s="18"/>
      <c r="BRW265" s="18"/>
      <c r="BRX265" s="18"/>
      <c r="BRY265" s="18"/>
      <c r="BRZ265" s="18"/>
      <c r="BSA265" s="18"/>
      <c r="BSB265" s="18"/>
      <c r="BSC265" s="18"/>
      <c r="BSD265" s="18"/>
      <c r="BSE265" s="18"/>
      <c r="BSF265" s="18"/>
      <c r="BSG265" s="18"/>
      <c r="BSH265" s="18"/>
      <c r="BSI265" s="18"/>
      <c r="BSJ265" s="18"/>
      <c r="BSK265" s="18"/>
      <c r="BSL265" s="18"/>
      <c r="BSM265" s="18"/>
      <c r="BSN265" s="18"/>
      <c r="BSO265" s="18"/>
      <c r="BSP265" s="18"/>
      <c r="BSQ265" s="18"/>
      <c r="BSR265" s="18"/>
      <c r="BSS265" s="18"/>
      <c r="BST265" s="18"/>
      <c r="BSU265" s="18"/>
      <c r="BSV265" s="18"/>
      <c r="BSW265" s="18"/>
      <c r="BSX265" s="18"/>
      <c r="BSY265" s="18"/>
      <c r="BSZ265" s="18"/>
      <c r="BTA265" s="18"/>
      <c r="BTB265" s="18"/>
      <c r="BTC265" s="18"/>
      <c r="BTD265" s="18"/>
      <c r="BTE265" s="18"/>
      <c r="BTF265" s="18"/>
      <c r="BTG265" s="18"/>
      <c r="BTH265" s="18"/>
      <c r="BTI265" s="18"/>
    </row>
    <row r="266" spans="1:1881" s="798" customFormat="1" ht="53.25" customHeight="1" x14ac:dyDescent="0.3">
      <c r="A266" s="105">
        <v>599</v>
      </c>
      <c r="B266" s="701" t="s">
        <v>59</v>
      </c>
      <c r="C266" s="701" t="s">
        <v>529</v>
      </c>
      <c r="D266" s="29" t="s">
        <v>679</v>
      </c>
      <c r="E266" s="699" t="e">
        <f>HLOOKUP($D$2,'2020 Data(H)'!$C$1:$CZ$428,259,FALSE)</f>
        <v>#N/A</v>
      </c>
      <c r="F266" s="300">
        <v>0</v>
      </c>
      <c r="G266" s="803" t="str">
        <f>IF(ISBLANK(F266),"Please do not leave blank","")</f>
        <v/>
      </c>
      <c r="H266" s="759">
        <f>IF(F266&lt;0,"Error: Enter as positive.",)</f>
        <v>0</v>
      </c>
      <c r="I266" s="77"/>
      <c r="J266" s="796"/>
      <c r="K266" s="18"/>
      <c r="L266" s="18"/>
      <c r="M266" s="18"/>
      <c r="N266" s="302"/>
      <c r="O266" s="18"/>
      <c r="P266" s="18"/>
      <c r="Q266" s="18"/>
      <c r="R266" s="18"/>
      <c r="S266" s="18"/>
      <c r="T266" s="18"/>
      <c r="U266" s="18"/>
      <c r="V266" s="18"/>
      <c r="W266" s="18"/>
      <c r="X266" s="18"/>
      <c r="Y266" s="18"/>
      <c r="Z266" s="105"/>
      <c r="AA266" s="105"/>
      <c r="AB266" s="105"/>
      <c r="AC266" s="105"/>
      <c r="AD266" s="105"/>
      <c r="AE266" s="105"/>
      <c r="AF266" s="105"/>
      <c r="AG266" s="105"/>
      <c r="AH266" s="105"/>
      <c r="AI266" s="105"/>
      <c r="AJ266" s="105"/>
      <c r="AK266" s="105"/>
      <c r="AL266" s="105"/>
      <c r="AM266" s="105"/>
      <c r="AN266" s="105"/>
      <c r="AO266" s="105"/>
      <c r="AP266" s="105"/>
      <c r="AQ266" s="105"/>
      <c r="AR266" s="105"/>
      <c r="AS266" s="18"/>
      <c r="AT266" s="18"/>
      <c r="AU266" s="18"/>
      <c r="AV266" s="18"/>
      <c r="AW266" s="18"/>
      <c r="AX266" s="18"/>
      <c r="AY266" s="18"/>
      <c r="AZ266" s="18"/>
      <c r="BA266" s="18"/>
      <c r="BB266" s="18"/>
      <c r="BC266" s="18"/>
      <c r="BD266" s="18"/>
      <c r="BE266" s="18"/>
      <c r="BF266" s="18"/>
      <c r="BG266" s="18"/>
      <c r="BH266" s="18"/>
      <c r="BI266" s="18"/>
      <c r="BJ266" s="18"/>
      <c r="BK266" s="18"/>
      <c r="BL266" s="18"/>
      <c r="BM266" s="18"/>
      <c r="BN266" s="18"/>
      <c r="BO266" s="18"/>
      <c r="BP266" s="18"/>
      <c r="BQ266" s="18"/>
      <c r="BR266" s="18"/>
      <c r="BS266" s="18"/>
      <c r="BT266" s="18"/>
      <c r="BU266" s="18"/>
      <c r="BV266" s="18"/>
      <c r="BW266" s="18"/>
      <c r="BX266" s="18"/>
      <c r="BY266" s="18"/>
      <c r="BZ266" s="18"/>
      <c r="CA266" s="18"/>
      <c r="CB266" s="18"/>
      <c r="CC266" s="18"/>
      <c r="CD266" s="18"/>
      <c r="CE266" s="18"/>
      <c r="CF266" s="18"/>
      <c r="CG266" s="18"/>
      <c r="CH266" s="18"/>
      <c r="CI266" s="18"/>
      <c r="CJ266" s="18"/>
      <c r="CK266" s="18"/>
      <c r="CL266" s="18"/>
      <c r="CM266" s="18"/>
      <c r="CN266" s="18"/>
      <c r="CO266" s="18"/>
      <c r="CP266" s="18"/>
      <c r="CQ266" s="18"/>
      <c r="CR266" s="18"/>
      <c r="CS266" s="18"/>
      <c r="CT266" s="18"/>
      <c r="CU266" s="18"/>
      <c r="CV266" s="18"/>
      <c r="CW266" s="18"/>
      <c r="CX266" s="18"/>
      <c r="CY266" s="18"/>
      <c r="CZ266" s="18"/>
      <c r="DA266" s="18"/>
      <c r="DB266" s="18"/>
      <c r="DC266" s="18"/>
      <c r="DD266" s="18"/>
      <c r="DE266" s="18"/>
      <c r="DF266" s="18"/>
      <c r="DG266" s="18"/>
      <c r="DH266" s="18"/>
      <c r="DI266" s="18"/>
      <c r="DJ266" s="18"/>
      <c r="DK266" s="18"/>
      <c r="DL266" s="18"/>
      <c r="DM266" s="18"/>
      <c r="DN266" s="18"/>
      <c r="DO266" s="18"/>
      <c r="DP266" s="18"/>
      <c r="DQ266" s="18"/>
      <c r="DR266" s="18"/>
      <c r="DS266" s="18"/>
      <c r="DT266" s="18"/>
      <c r="DU266" s="18"/>
      <c r="DV266" s="18"/>
      <c r="DW266" s="18"/>
      <c r="DX266" s="18"/>
      <c r="DY266" s="18"/>
      <c r="DZ266" s="18"/>
      <c r="EA266" s="18"/>
      <c r="EB266" s="18"/>
      <c r="EC266" s="18"/>
      <c r="ED266" s="18"/>
      <c r="EE266" s="18"/>
      <c r="EF266" s="18"/>
      <c r="EG266" s="18"/>
      <c r="EH266" s="18"/>
      <c r="EI266" s="18"/>
      <c r="EJ266" s="18"/>
      <c r="EK266" s="18"/>
      <c r="EL266" s="18"/>
      <c r="EM266" s="18"/>
      <c r="EN266" s="18"/>
      <c r="EO266" s="18"/>
      <c r="EP266" s="18"/>
      <c r="EQ266" s="18"/>
      <c r="ER266" s="18"/>
      <c r="ES266" s="18"/>
      <c r="ET266" s="18"/>
      <c r="EU266" s="18"/>
      <c r="EV266" s="18"/>
      <c r="EW266" s="18"/>
      <c r="EX266" s="18"/>
      <c r="EY266" s="18"/>
      <c r="EZ266" s="18"/>
      <c r="FA266" s="18"/>
      <c r="FB266" s="18"/>
      <c r="FC266" s="18"/>
      <c r="FD266" s="18"/>
      <c r="FE266" s="18"/>
      <c r="FF266" s="18"/>
      <c r="FG266" s="18"/>
      <c r="FH266" s="18"/>
      <c r="FI266" s="18"/>
      <c r="FJ266" s="18"/>
      <c r="FK266" s="18"/>
      <c r="FL266" s="18"/>
      <c r="FM266" s="18"/>
      <c r="FN266" s="18"/>
      <c r="FO266" s="18"/>
      <c r="FP266" s="18"/>
      <c r="FQ266" s="18"/>
      <c r="FR266" s="18"/>
      <c r="FS266" s="18"/>
      <c r="FT266" s="18"/>
      <c r="FU266" s="18"/>
      <c r="FV266" s="18"/>
      <c r="FW266" s="18"/>
      <c r="FX266" s="18"/>
      <c r="FY266" s="18"/>
      <c r="FZ266" s="18"/>
      <c r="GA266" s="18"/>
      <c r="GB266" s="18"/>
      <c r="GC266" s="18"/>
      <c r="GD266" s="18"/>
      <c r="GE266" s="18"/>
      <c r="GF266" s="18"/>
      <c r="GG266" s="18"/>
      <c r="GH266" s="18"/>
      <c r="GI266" s="18"/>
      <c r="GJ266" s="18"/>
      <c r="GK266" s="18"/>
      <c r="GL266" s="18"/>
      <c r="GM266" s="18"/>
      <c r="GN266" s="18"/>
      <c r="GO266" s="18"/>
      <c r="GP266" s="18"/>
      <c r="GQ266" s="18"/>
      <c r="GR266" s="18"/>
      <c r="GS266" s="18"/>
      <c r="GT266" s="18"/>
      <c r="GU266" s="18"/>
      <c r="GV266" s="18"/>
      <c r="GW266" s="18"/>
      <c r="GX266" s="18"/>
      <c r="GY266" s="18"/>
      <c r="GZ266" s="18"/>
      <c r="HA266" s="18"/>
      <c r="HB266" s="18"/>
      <c r="HC266" s="18"/>
      <c r="HD266" s="18"/>
      <c r="HE266" s="18"/>
      <c r="HF266" s="18"/>
      <c r="HG266" s="18"/>
      <c r="HH266" s="18"/>
      <c r="HI266" s="18"/>
      <c r="HJ266" s="18"/>
      <c r="HK266" s="18"/>
      <c r="HL266" s="18"/>
      <c r="HM266" s="18"/>
      <c r="HN266" s="18"/>
      <c r="HO266" s="18"/>
      <c r="HP266" s="18"/>
      <c r="HQ266" s="18"/>
      <c r="HR266" s="18"/>
      <c r="HS266" s="18"/>
      <c r="HT266" s="18"/>
      <c r="HU266" s="18"/>
      <c r="HV266" s="18"/>
      <c r="HW266" s="18"/>
      <c r="HX266" s="18"/>
      <c r="HY266" s="18"/>
      <c r="HZ266" s="18"/>
      <c r="IA266" s="18"/>
      <c r="IB266" s="18"/>
      <c r="IC266" s="18"/>
      <c r="ID266" s="18"/>
      <c r="IE266" s="18"/>
      <c r="IF266" s="18"/>
      <c r="IG266" s="18"/>
      <c r="IH266" s="18"/>
      <c r="II266" s="18"/>
      <c r="IJ266" s="18"/>
      <c r="IK266" s="18"/>
      <c r="IL266" s="18"/>
      <c r="IM266" s="18"/>
      <c r="IN266" s="18"/>
      <c r="IO266" s="18"/>
      <c r="IP266" s="18"/>
      <c r="IQ266" s="18"/>
      <c r="IR266" s="18"/>
      <c r="IS266" s="18"/>
      <c r="IT266" s="18"/>
      <c r="IU266" s="18"/>
      <c r="IV266" s="18"/>
      <c r="IW266" s="18"/>
      <c r="IX266" s="18"/>
      <c r="IY266" s="18"/>
      <c r="IZ266" s="18"/>
      <c r="JA266" s="18"/>
      <c r="JB266" s="18"/>
      <c r="JC266" s="18"/>
      <c r="JD266" s="18"/>
      <c r="JE266" s="18"/>
      <c r="JF266" s="18"/>
      <c r="JG266" s="18"/>
      <c r="JH266" s="18"/>
      <c r="JI266" s="18"/>
      <c r="JJ266" s="18"/>
      <c r="JK266" s="18"/>
      <c r="JL266" s="18"/>
      <c r="JM266" s="18"/>
      <c r="JN266" s="18"/>
      <c r="JO266" s="18"/>
      <c r="JP266" s="18"/>
      <c r="JQ266" s="18"/>
      <c r="JR266" s="18"/>
      <c r="JS266" s="18"/>
      <c r="JT266" s="18"/>
      <c r="JU266" s="18"/>
      <c r="JV266" s="18"/>
      <c r="JW266" s="18"/>
      <c r="JX266" s="18"/>
      <c r="JY266" s="18"/>
      <c r="JZ266" s="18"/>
      <c r="KA266" s="18"/>
      <c r="KB266" s="18"/>
      <c r="KC266" s="18"/>
      <c r="KD266" s="18"/>
      <c r="KE266" s="18"/>
      <c r="KF266" s="18"/>
      <c r="KG266" s="18"/>
      <c r="KH266" s="18"/>
      <c r="KI266" s="18"/>
      <c r="KJ266" s="18"/>
      <c r="KK266" s="18"/>
      <c r="KL266" s="18"/>
      <c r="KM266" s="18"/>
      <c r="KN266" s="18"/>
      <c r="KO266" s="18"/>
      <c r="KP266" s="18"/>
      <c r="KQ266" s="18"/>
      <c r="KR266" s="18"/>
      <c r="KS266" s="18"/>
      <c r="KT266" s="18"/>
      <c r="KU266" s="18"/>
      <c r="KV266" s="18"/>
      <c r="KW266" s="18"/>
      <c r="KX266" s="18"/>
      <c r="KY266" s="18"/>
      <c r="KZ266" s="18"/>
      <c r="LA266" s="18"/>
      <c r="LB266" s="18"/>
      <c r="LC266" s="18"/>
      <c r="LD266" s="18"/>
      <c r="LE266" s="18"/>
      <c r="LF266" s="18"/>
      <c r="LG266" s="18"/>
      <c r="LH266" s="18"/>
      <c r="LI266" s="18"/>
      <c r="LJ266" s="18"/>
      <c r="LK266" s="18"/>
      <c r="LL266" s="18"/>
      <c r="LM266" s="18"/>
      <c r="LN266" s="18"/>
      <c r="LO266" s="18"/>
      <c r="LP266" s="18"/>
      <c r="LQ266" s="18"/>
      <c r="LR266" s="18"/>
      <c r="LS266" s="18"/>
      <c r="LT266" s="18"/>
      <c r="LU266" s="18"/>
      <c r="LV266" s="18"/>
      <c r="LW266" s="18"/>
      <c r="LX266" s="18"/>
      <c r="LY266" s="18"/>
      <c r="LZ266" s="18"/>
      <c r="MA266" s="18"/>
      <c r="MB266" s="18"/>
      <c r="MC266" s="18"/>
      <c r="MD266" s="18"/>
      <c r="ME266" s="18"/>
      <c r="MF266" s="18"/>
      <c r="MG266" s="18"/>
      <c r="MH266" s="18"/>
      <c r="MI266" s="18"/>
      <c r="MJ266" s="18"/>
      <c r="MK266" s="18"/>
      <c r="ML266" s="18"/>
      <c r="MM266" s="18"/>
      <c r="MN266" s="18"/>
      <c r="MO266" s="18"/>
      <c r="MP266" s="18"/>
      <c r="MQ266" s="18"/>
      <c r="MR266" s="18"/>
      <c r="MS266" s="18"/>
      <c r="MT266" s="18"/>
      <c r="MU266" s="18"/>
      <c r="MV266" s="18"/>
      <c r="MW266" s="18"/>
      <c r="MX266" s="18"/>
      <c r="MY266" s="18"/>
      <c r="MZ266" s="18"/>
      <c r="NA266" s="18"/>
      <c r="NB266" s="18"/>
      <c r="NC266" s="18"/>
      <c r="ND266" s="18"/>
      <c r="NE266" s="18"/>
      <c r="NF266" s="18"/>
      <c r="NG266" s="18"/>
      <c r="NH266" s="18"/>
      <c r="NI266" s="18"/>
      <c r="NJ266" s="18"/>
      <c r="NK266" s="18"/>
      <c r="NL266" s="18"/>
      <c r="NM266" s="18"/>
      <c r="NN266" s="18"/>
      <c r="NO266" s="18"/>
      <c r="NP266" s="18"/>
      <c r="NQ266" s="18"/>
      <c r="NR266" s="18"/>
      <c r="NS266" s="18"/>
      <c r="NT266" s="18"/>
      <c r="NU266" s="18"/>
      <c r="NV266" s="18"/>
      <c r="NW266" s="18"/>
      <c r="NX266" s="18"/>
      <c r="NY266" s="18"/>
      <c r="NZ266" s="18"/>
      <c r="OA266" s="18"/>
      <c r="OB266" s="18"/>
      <c r="OC266" s="18"/>
      <c r="OD266" s="18"/>
      <c r="OE266" s="18"/>
      <c r="OF266" s="18"/>
      <c r="OG266" s="18"/>
      <c r="OH266" s="18"/>
      <c r="OI266" s="18"/>
      <c r="OJ266" s="18"/>
      <c r="OK266" s="18"/>
      <c r="OL266" s="18"/>
      <c r="OM266" s="18"/>
      <c r="ON266" s="18"/>
      <c r="OO266" s="18"/>
      <c r="OP266" s="18"/>
      <c r="OQ266" s="18"/>
      <c r="OR266" s="18"/>
      <c r="OS266" s="18"/>
      <c r="OT266" s="18"/>
      <c r="OU266" s="18"/>
      <c r="OV266" s="18"/>
      <c r="OW266" s="18"/>
      <c r="OX266" s="18"/>
      <c r="OY266" s="18"/>
      <c r="OZ266" s="18"/>
      <c r="PA266" s="18"/>
      <c r="PB266" s="18"/>
      <c r="PC266" s="18"/>
      <c r="PD266" s="18"/>
      <c r="PE266" s="18"/>
      <c r="PF266" s="18"/>
      <c r="PG266" s="18"/>
      <c r="PH266" s="18"/>
      <c r="PI266" s="18"/>
      <c r="PJ266" s="18"/>
      <c r="PK266" s="18"/>
      <c r="PL266" s="18"/>
      <c r="PM266" s="18"/>
      <c r="PN266" s="18"/>
      <c r="PO266" s="18"/>
      <c r="PP266" s="18"/>
      <c r="PQ266" s="18"/>
      <c r="PR266" s="18"/>
      <c r="PS266" s="18"/>
      <c r="PT266" s="18"/>
      <c r="PU266" s="18"/>
      <c r="PV266" s="18"/>
      <c r="PW266" s="18"/>
      <c r="PX266" s="18"/>
      <c r="PY266" s="18"/>
      <c r="PZ266" s="18"/>
      <c r="QA266" s="18"/>
      <c r="QB266" s="18"/>
      <c r="QC266" s="18"/>
      <c r="QD266" s="18"/>
      <c r="QE266" s="18"/>
      <c r="QF266" s="18"/>
      <c r="QG266" s="18"/>
      <c r="QH266" s="18"/>
      <c r="QI266" s="18"/>
      <c r="QJ266" s="18"/>
      <c r="QK266" s="18"/>
      <c r="QL266" s="18"/>
      <c r="QM266" s="18"/>
      <c r="QN266" s="18"/>
      <c r="QO266" s="18"/>
      <c r="QP266" s="18"/>
      <c r="QQ266" s="18"/>
      <c r="QR266" s="18"/>
      <c r="QS266" s="18"/>
      <c r="QT266" s="18"/>
      <c r="QU266" s="18"/>
      <c r="QV266" s="18"/>
      <c r="QW266" s="18"/>
      <c r="QX266" s="18"/>
      <c r="QY266" s="18"/>
      <c r="QZ266" s="18"/>
      <c r="RA266" s="18"/>
      <c r="RB266" s="18"/>
      <c r="RC266" s="18"/>
      <c r="RD266" s="18"/>
      <c r="RE266" s="18"/>
      <c r="RF266" s="18"/>
      <c r="RG266" s="18"/>
      <c r="RH266" s="18"/>
      <c r="RI266" s="18"/>
      <c r="RJ266" s="18"/>
      <c r="RK266" s="18"/>
      <c r="RL266" s="18"/>
      <c r="RM266" s="18"/>
      <c r="RN266" s="18"/>
      <c r="RO266" s="18"/>
      <c r="RP266" s="18"/>
      <c r="RQ266" s="18"/>
      <c r="RR266" s="18"/>
      <c r="RS266" s="18"/>
      <c r="RT266" s="18"/>
      <c r="RU266" s="18"/>
      <c r="RV266" s="18"/>
      <c r="RW266" s="18"/>
      <c r="RX266" s="18"/>
      <c r="RY266" s="18"/>
      <c r="RZ266" s="18"/>
      <c r="SA266" s="18"/>
      <c r="SB266" s="18"/>
      <c r="SC266" s="18"/>
      <c r="SD266" s="18"/>
      <c r="SE266" s="18"/>
      <c r="SF266" s="18"/>
      <c r="SG266" s="18"/>
      <c r="SH266" s="18"/>
      <c r="SI266" s="18"/>
      <c r="SJ266" s="18"/>
      <c r="SK266" s="18"/>
      <c r="SL266" s="18"/>
      <c r="SM266" s="18"/>
      <c r="SN266" s="18"/>
      <c r="SO266" s="18"/>
      <c r="SP266" s="18"/>
      <c r="SQ266" s="18"/>
      <c r="SR266" s="18"/>
      <c r="SS266" s="18"/>
      <c r="ST266" s="18"/>
      <c r="SU266" s="18"/>
      <c r="SV266" s="18"/>
      <c r="SW266" s="18"/>
      <c r="SX266" s="18"/>
      <c r="SY266" s="18"/>
      <c r="SZ266" s="18"/>
      <c r="TA266" s="18"/>
      <c r="TB266" s="18"/>
      <c r="TC266" s="18"/>
      <c r="TD266" s="18"/>
      <c r="TE266" s="18"/>
      <c r="TF266" s="18"/>
      <c r="TG266" s="18"/>
      <c r="TH266" s="18"/>
      <c r="TI266" s="18"/>
      <c r="TJ266" s="18"/>
      <c r="TK266" s="18"/>
      <c r="TL266" s="18"/>
      <c r="TM266" s="18"/>
      <c r="TN266" s="18"/>
      <c r="TO266" s="18"/>
      <c r="TP266" s="18"/>
      <c r="TQ266" s="18"/>
      <c r="TR266" s="18"/>
      <c r="TS266" s="18"/>
      <c r="TT266" s="18"/>
      <c r="TU266" s="18"/>
      <c r="TV266" s="18"/>
      <c r="TW266" s="18"/>
      <c r="TX266" s="18"/>
      <c r="TY266" s="18"/>
      <c r="TZ266" s="18"/>
      <c r="UA266" s="18"/>
      <c r="UB266" s="18"/>
      <c r="UC266" s="18"/>
      <c r="UD266" s="18"/>
      <c r="UE266" s="18"/>
      <c r="UF266" s="18"/>
      <c r="UG266" s="18"/>
      <c r="UH266" s="18"/>
      <c r="UI266" s="18"/>
      <c r="UJ266" s="18"/>
      <c r="UK266" s="18"/>
      <c r="UL266" s="18"/>
      <c r="UM266" s="18"/>
      <c r="UN266" s="18"/>
      <c r="UO266" s="18"/>
      <c r="UP266" s="18"/>
      <c r="UQ266" s="18"/>
      <c r="UR266" s="18"/>
      <c r="US266" s="18"/>
      <c r="UT266" s="18"/>
      <c r="UU266" s="18"/>
      <c r="UV266" s="18"/>
      <c r="UW266" s="18"/>
      <c r="UX266" s="18"/>
      <c r="UY266" s="18"/>
      <c r="UZ266" s="18"/>
      <c r="VA266" s="18"/>
      <c r="VB266" s="18"/>
      <c r="VC266" s="18"/>
      <c r="VD266" s="18"/>
      <c r="VE266" s="18"/>
      <c r="VF266" s="18"/>
      <c r="VG266" s="18"/>
      <c r="VH266" s="18"/>
      <c r="VI266" s="18"/>
      <c r="VJ266" s="18"/>
      <c r="VK266" s="18"/>
      <c r="VL266" s="18"/>
      <c r="VM266" s="18"/>
      <c r="VN266" s="18"/>
      <c r="VO266" s="18"/>
      <c r="VP266" s="18"/>
      <c r="VQ266" s="18"/>
      <c r="VR266" s="18"/>
      <c r="VS266" s="18"/>
      <c r="VT266" s="18"/>
      <c r="VU266" s="18"/>
      <c r="VV266" s="18"/>
      <c r="VW266" s="18"/>
      <c r="VX266" s="18"/>
      <c r="VY266" s="18"/>
      <c r="VZ266" s="18"/>
      <c r="WA266" s="18"/>
      <c r="WB266" s="18"/>
      <c r="WC266" s="18"/>
      <c r="WD266" s="18"/>
      <c r="WE266" s="18"/>
      <c r="WF266" s="18"/>
      <c r="WG266" s="18"/>
      <c r="WH266" s="18"/>
      <c r="WI266" s="18"/>
      <c r="WJ266" s="18"/>
      <c r="WK266" s="18"/>
      <c r="WL266" s="18"/>
      <c r="WM266" s="18"/>
      <c r="WN266" s="18"/>
      <c r="WO266" s="18"/>
      <c r="WP266" s="18"/>
      <c r="WQ266" s="18"/>
      <c r="WR266" s="18"/>
      <c r="WS266" s="18"/>
      <c r="WT266" s="18"/>
      <c r="WU266" s="18"/>
      <c r="WV266" s="18"/>
      <c r="WW266" s="18"/>
      <c r="WX266" s="18"/>
      <c r="WY266" s="18"/>
      <c r="WZ266" s="18"/>
      <c r="XA266" s="18"/>
      <c r="XB266" s="18"/>
      <c r="XC266" s="18"/>
      <c r="XD266" s="18"/>
      <c r="XE266" s="18"/>
      <c r="XF266" s="18"/>
      <c r="XG266" s="18"/>
      <c r="XH266" s="18"/>
      <c r="XI266" s="18"/>
      <c r="XJ266" s="18"/>
      <c r="XK266" s="18"/>
      <c r="XL266" s="18"/>
      <c r="XM266" s="18"/>
      <c r="XN266" s="18"/>
      <c r="XO266" s="18"/>
      <c r="XP266" s="18"/>
      <c r="XQ266" s="18"/>
      <c r="XR266" s="18"/>
      <c r="XS266" s="18"/>
      <c r="XT266" s="18"/>
      <c r="XU266" s="18"/>
      <c r="XV266" s="18"/>
      <c r="XW266" s="18"/>
      <c r="XX266" s="18"/>
      <c r="XY266" s="18"/>
      <c r="XZ266" s="18"/>
      <c r="YA266" s="18"/>
      <c r="YB266" s="18"/>
      <c r="YC266" s="18"/>
      <c r="YD266" s="18"/>
      <c r="YE266" s="18"/>
      <c r="YF266" s="18"/>
      <c r="YG266" s="18"/>
      <c r="YH266" s="18"/>
      <c r="YI266" s="18"/>
      <c r="YJ266" s="18"/>
      <c r="YK266" s="18"/>
      <c r="YL266" s="18"/>
      <c r="YM266" s="18"/>
      <c r="YN266" s="18"/>
      <c r="YO266" s="18"/>
      <c r="YP266" s="18"/>
      <c r="YQ266" s="18"/>
      <c r="YR266" s="18"/>
      <c r="YS266" s="18"/>
      <c r="YT266" s="18"/>
      <c r="YU266" s="18"/>
      <c r="YV266" s="18"/>
      <c r="YW266" s="18"/>
      <c r="YX266" s="18"/>
      <c r="YY266" s="18"/>
      <c r="YZ266" s="18"/>
      <c r="ZA266" s="18"/>
      <c r="ZB266" s="18"/>
      <c r="ZC266" s="18"/>
      <c r="ZD266" s="18"/>
      <c r="ZE266" s="18"/>
      <c r="ZF266" s="18"/>
      <c r="ZG266" s="18"/>
      <c r="ZH266" s="18"/>
      <c r="ZI266" s="18"/>
      <c r="ZJ266" s="18"/>
      <c r="ZK266" s="18"/>
      <c r="ZL266" s="18"/>
      <c r="ZM266" s="18"/>
      <c r="ZN266" s="18"/>
      <c r="ZO266" s="18"/>
      <c r="ZP266" s="18"/>
      <c r="ZQ266" s="18"/>
      <c r="ZR266" s="18"/>
      <c r="ZS266" s="18"/>
      <c r="ZT266" s="18"/>
      <c r="ZU266" s="18"/>
      <c r="ZV266" s="18"/>
      <c r="ZW266" s="18"/>
      <c r="ZX266" s="18"/>
      <c r="ZY266" s="18"/>
      <c r="ZZ266" s="18"/>
      <c r="AAA266" s="18"/>
      <c r="AAB266" s="18"/>
      <c r="AAC266" s="18"/>
      <c r="AAD266" s="18"/>
      <c r="AAE266" s="18"/>
      <c r="AAF266" s="18"/>
      <c r="AAG266" s="18"/>
      <c r="AAH266" s="18"/>
      <c r="AAI266" s="18"/>
      <c r="AAJ266" s="18"/>
      <c r="AAK266" s="18"/>
      <c r="AAL266" s="18"/>
      <c r="AAM266" s="18"/>
      <c r="AAN266" s="18"/>
      <c r="AAO266" s="18"/>
      <c r="AAP266" s="18"/>
      <c r="AAQ266" s="18"/>
      <c r="AAR266" s="18"/>
      <c r="AAS266" s="18"/>
      <c r="AAT266" s="18"/>
      <c r="AAU266" s="18"/>
      <c r="AAV266" s="18"/>
      <c r="AAW266" s="18"/>
      <c r="AAX266" s="18"/>
      <c r="AAY266" s="18"/>
      <c r="AAZ266" s="18"/>
      <c r="ABA266" s="18"/>
      <c r="ABB266" s="18"/>
      <c r="ABC266" s="18"/>
      <c r="ABD266" s="18"/>
      <c r="ABE266" s="18"/>
      <c r="ABF266" s="18"/>
      <c r="ABG266" s="18"/>
      <c r="ABH266" s="18"/>
      <c r="ABI266" s="18"/>
      <c r="ABJ266" s="18"/>
      <c r="ABK266" s="18"/>
      <c r="ABL266" s="18"/>
      <c r="ABM266" s="18"/>
      <c r="ABN266" s="18"/>
      <c r="ABO266" s="18"/>
      <c r="ABP266" s="18"/>
      <c r="ABQ266" s="18"/>
      <c r="ABR266" s="18"/>
      <c r="ABS266" s="18"/>
      <c r="ABT266" s="18"/>
      <c r="ABU266" s="18"/>
      <c r="ABV266" s="18"/>
      <c r="ABW266" s="18"/>
      <c r="ABX266" s="18"/>
      <c r="ABY266" s="18"/>
      <c r="ABZ266" s="18"/>
      <c r="ACA266" s="18"/>
      <c r="ACB266" s="18"/>
      <c r="ACC266" s="18"/>
      <c r="ACD266" s="18"/>
      <c r="ACE266" s="18"/>
      <c r="ACF266" s="18"/>
      <c r="ACG266" s="18"/>
      <c r="ACH266" s="18"/>
      <c r="ACI266" s="18"/>
      <c r="ACJ266" s="18"/>
      <c r="ACK266" s="18"/>
      <c r="ACL266" s="18"/>
      <c r="ACM266" s="18"/>
      <c r="ACN266" s="18"/>
      <c r="ACO266" s="18"/>
      <c r="ACP266" s="18"/>
      <c r="ACQ266" s="18"/>
      <c r="ACR266" s="18"/>
      <c r="ACS266" s="18"/>
      <c r="ACT266" s="18"/>
      <c r="ACU266" s="18"/>
      <c r="ACV266" s="18"/>
      <c r="ACW266" s="18"/>
      <c r="ACX266" s="18"/>
      <c r="ACY266" s="18"/>
      <c r="ACZ266" s="18"/>
      <c r="ADA266" s="18"/>
      <c r="ADB266" s="18"/>
      <c r="ADC266" s="18"/>
      <c r="ADD266" s="18"/>
      <c r="ADE266" s="18"/>
      <c r="ADF266" s="18"/>
      <c r="ADG266" s="18"/>
      <c r="ADH266" s="18"/>
      <c r="ADI266" s="18"/>
      <c r="ADJ266" s="18"/>
      <c r="ADK266" s="18"/>
      <c r="ADL266" s="18"/>
      <c r="ADM266" s="18"/>
      <c r="ADN266" s="18"/>
      <c r="ADO266" s="18"/>
      <c r="ADP266" s="18"/>
      <c r="ADQ266" s="18"/>
      <c r="ADR266" s="18"/>
      <c r="ADS266" s="18"/>
      <c r="ADT266" s="18"/>
      <c r="ADU266" s="18"/>
      <c r="ADV266" s="18"/>
      <c r="ADW266" s="18"/>
      <c r="ADX266" s="18"/>
      <c r="ADY266" s="18"/>
      <c r="ADZ266" s="18"/>
      <c r="AEA266" s="18"/>
      <c r="AEB266" s="18"/>
      <c r="AEC266" s="18"/>
      <c r="AED266" s="18"/>
      <c r="AEE266" s="18"/>
      <c r="AEF266" s="18"/>
      <c r="AEG266" s="18"/>
      <c r="AEH266" s="18"/>
      <c r="AEI266" s="18"/>
      <c r="AEJ266" s="18"/>
      <c r="AEK266" s="18"/>
      <c r="AEL266" s="18"/>
      <c r="AEM266" s="18"/>
      <c r="AEN266" s="18"/>
      <c r="AEO266" s="18"/>
      <c r="AEP266" s="18"/>
      <c r="AEQ266" s="18"/>
      <c r="AER266" s="18"/>
      <c r="AES266" s="18"/>
      <c r="AET266" s="18"/>
      <c r="AEU266" s="18"/>
      <c r="AEV266" s="18"/>
      <c r="AEW266" s="18"/>
      <c r="AEX266" s="18"/>
      <c r="AEY266" s="18"/>
      <c r="AEZ266" s="18"/>
      <c r="AFA266" s="18"/>
      <c r="AFB266" s="18"/>
      <c r="AFC266" s="18"/>
      <c r="AFD266" s="18"/>
      <c r="AFE266" s="18"/>
      <c r="AFF266" s="18"/>
      <c r="AFG266" s="18"/>
      <c r="AFH266" s="18"/>
      <c r="AFI266" s="18"/>
      <c r="AFJ266" s="18"/>
      <c r="AFK266" s="18"/>
      <c r="AFL266" s="18"/>
      <c r="AFM266" s="18"/>
      <c r="AFN266" s="18"/>
      <c r="AFO266" s="18"/>
      <c r="AFP266" s="18"/>
      <c r="AFQ266" s="18"/>
      <c r="AFR266" s="18"/>
      <c r="AFS266" s="18"/>
      <c r="AFT266" s="18"/>
      <c r="AFU266" s="18"/>
      <c r="AFV266" s="18"/>
      <c r="AFW266" s="18"/>
      <c r="AFX266" s="18"/>
      <c r="AFY266" s="18"/>
      <c r="AFZ266" s="18"/>
      <c r="AGA266" s="18"/>
      <c r="AGB266" s="18"/>
      <c r="AGC266" s="18"/>
      <c r="AGD266" s="18"/>
      <c r="AGE266" s="18"/>
      <c r="AGF266" s="18"/>
      <c r="AGG266" s="18"/>
      <c r="AGH266" s="18"/>
      <c r="AGI266" s="18"/>
      <c r="AGJ266" s="18"/>
      <c r="AGK266" s="18"/>
      <c r="AGL266" s="18"/>
      <c r="AGM266" s="18"/>
      <c r="AGN266" s="18"/>
      <c r="AGO266" s="18"/>
      <c r="AGP266" s="18"/>
      <c r="AGQ266" s="18"/>
      <c r="AGR266" s="18"/>
      <c r="AGS266" s="18"/>
      <c r="AGT266" s="18"/>
      <c r="AGU266" s="18"/>
      <c r="AGV266" s="18"/>
      <c r="AGW266" s="18"/>
      <c r="AGX266" s="18"/>
      <c r="AGY266" s="18"/>
      <c r="AGZ266" s="18"/>
      <c r="AHA266" s="18"/>
      <c r="AHB266" s="18"/>
      <c r="AHC266" s="18"/>
      <c r="AHD266" s="18"/>
      <c r="AHE266" s="18"/>
      <c r="AHF266" s="18"/>
      <c r="AHG266" s="18"/>
      <c r="AHH266" s="18"/>
      <c r="AHI266" s="18"/>
      <c r="AHJ266" s="18"/>
      <c r="AHK266" s="18"/>
      <c r="AHL266" s="18"/>
      <c r="AHM266" s="18"/>
      <c r="AHN266" s="18"/>
      <c r="AHO266" s="18"/>
      <c r="AHP266" s="18"/>
      <c r="AHQ266" s="18"/>
      <c r="AHR266" s="18"/>
      <c r="AHS266" s="18"/>
      <c r="AHT266" s="18"/>
      <c r="AHU266" s="18"/>
      <c r="AHV266" s="18"/>
      <c r="AHW266" s="18"/>
      <c r="AHX266" s="18"/>
      <c r="AHY266" s="18"/>
      <c r="AHZ266" s="18"/>
      <c r="AIA266" s="18"/>
      <c r="AIB266" s="18"/>
      <c r="AIC266" s="18"/>
      <c r="AID266" s="18"/>
      <c r="AIE266" s="18"/>
      <c r="AIF266" s="18"/>
      <c r="AIG266" s="18"/>
      <c r="AIH266" s="18"/>
      <c r="AII266" s="18"/>
      <c r="AIJ266" s="18"/>
      <c r="AIK266" s="18"/>
      <c r="AIL266" s="18"/>
      <c r="AIM266" s="18"/>
      <c r="AIN266" s="18"/>
      <c r="AIO266" s="18"/>
      <c r="AIP266" s="18"/>
      <c r="AIQ266" s="18"/>
      <c r="AIR266" s="18"/>
      <c r="AIS266" s="18"/>
      <c r="AIT266" s="18"/>
      <c r="AIU266" s="18"/>
      <c r="AIV266" s="18"/>
      <c r="AIW266" s="18"/>
      <c r="AIX266" s="18"/>
      <c r="AIY266" s="18"/>
      <c r="AIZ266" s="18"/>
      <c r="AJA266" s="18"/>
      <c r="AJB266" s="18"/>
      <c r="AJC266" s="18"/>
      <c r="AJD266" s="18"/>
      <c r="AJE266" s="18"/>
      <c r="AJF266" s="18"/>
      <c r="AJG266" s="18"/>
      <c r="AJH266" s="18"/>
      <c r="AJI266" s="18"/>
      <c r="AJJ266" s="18"/>
      <c r="AJK266" s="18"/>
      <c r="AJL266" s="18"/>
      <c r="AJM266" s="18"/>
      <c r="AJN266" s="18"/>
      <c r="AJO266" s="18"/>
      <c r="AJP266" s="18"/>
      <c r="AJQ266" s="18"/>
      <c r="AJR266" s="18"/>
      <c r="AJS266" s="18"/>
      <c r="AJT266" s="18"/>
      <c r="AJU266" s="18"/>
      <c r="AJV266" s="18"/>
      <c r="AJW266" s="18"/>
      <c r="AJX266" s="18"/>
      <c r="AJY266" s="18"/>
      <c r="AJZ266" s="18"/>
      <c r="AKA266" s="18"/>
      <c r="AKB266" s="18"/>
      <c r="AKC266" s="18"/>
      <c r="AKD266" s="18"/>
      <c r="AKE266" s="18"/>
      <c r="AKF266" s="18"/>
      <c r="AKG266" s="18"/>
      <c r="AKH266" s="18"/>
      <c r="AKI266" s="18"/>
      <c r="AKJ266" s="18"/>
      <c r="AKK266" s="18"/>
      <c r="AKL266" s="18"/>
      <c r="AKM266" s="18"/>
      <c r="AKN266" s="18"/>
      <c r="AKO266" s="18"/>
      <c r="AKP266" s="18"/>
      <c r="AKQ266" s="18"/>
      <c r="AKR266" s="18"/>
      <c r="AKS266" s="18"/>
      <c r="AKT266" s="18"/>
      <c r="AKU266" s="18"/>
      <c r="AKV266" s="18"/>
      <c r="AKW266" s="18"/>
      <c r="AKX266" s="18"/>
      <c r="AKY266" s="18"/>
      <c r="AKZ266" s="18"/>
      <c r="ALA266" s="18"/>
      <c r="ALB266" s="18"/>
      <c r="ALC266" s="18"/>
      <c r="ALD266" s="18"/>
      <c r="ALE266" s="18"/>
      <c r="ALF266" s="18"/>
      <c r="ALG266" s="18"/>
      <c r="ALH266" s="18"/>
      <c r="ALI266" s="18"/>
      <c r="ALJ266" s="18"/>
      <c r="ALK266" s="18"/>
      <c r="ALL266" s="18"/>
      <c r="ALM266" s="18"/>
      <c r="ALN266" s="18"/>
      <c r="ALO266" s="18"/>
      <c r="ALP266" s="18"/>
      <c r="ALQ266" s="18"/>
      <c r="ALR266" s="18"/>
      <c r="ALS266" s="18"/>
      <c r="ALT266" s="18"/>
      <c r="ALU266" s="18"/>
      <c r="ALV266" s="18"/>
      <c r="ALW266" s="18"/>
      <c r="ALX266" s="18"/>
      <c r="ALY266" s="18"/>
      <c r="ALZ266" s="18"/>
      <c r="AMA266" s="18"/>
      <c r="AMB266" s="18"/>
      <c r="AMC266" s="18"/>
      <c r="AMD266" s="18"/>
      <c r="AME266" s="18"/>
      <c r="AMF266" s="18"/>
      <c r="AMG266" s="18"/>
      <c r="AMH266" s="18"/>
      <c r="AMI266" s="18"/>
      <c r="AMJ266" s="18"/>
      <c r="AMK266" s="18"/>
      <c r="AML266" s="18"/>
      <c r="AMM266" s="18"/>
      <c r="AMN266" s="18"/>
      <c r="AMO266" s="18"/>
      <c r="AMP266" s="18"/>
      <c r="AMQ266" s="18"/>
      <c r="AMR266" s="18"/>
      <c r="AMS266" s="18"/>
      <c r="AMT266" s="18"/>
      <c r="AMU266" s="18"/>
      <c r="AMV266" s="18"/>
      <c r="AMW266" s="18"/>
      <c r="AMX266" s="18"/>
      <c r="AMY266" s="18"/>
      <c r="AMZ266" s="18"/>
      <c r="ANA266" s="18"/>
      <c r="ANB266" s="18"/>
      <c r="ANC266" s="18"/>
      <c r="AND266" s="18"/>
      <c r="ANE266" s="18"/>
      <c r="ANF266" s="18"/>
      <c r="ANG266" s="18"/>
      <c r="ANH266" s="18"/>
      <c r="ANI266" s="18"/>
      <c r="ANJ266" s="18"/>
      <c r="ANK266" s="18"/>
      <c r="ANL266" s="18"/>
      <c r="ANM266" s="18"/>
      <c r="ANN266" s="18"/>
      <c r="ANO266" s="18"/>
      <c r="ANP266" s="18"/>
      <c r="ANQ266" s="18"/>
      <c r="ANR266" s="18"/>
      <c r="ANS266" s="18"/>
      <c r="ANT266" s="18"/>
      <c r="ANU266" s="18"/>
      <c r="ANV266" s="18"/>
      <c r="ANW266" s="18"/>
      <c r="ANX266" s="18"/>
      <c r="ANY266" s="18"/>
      <c r="ANZ266" s="18"/>
      <c r="AOA266" s="18"/>
      <c r="AOB266" s="18"/>
      <c r="AOC266" s="18"/>
      <c r="AOD266" s="18"/>
      <c r="AOE266" s="18"/>
      <c r="AOF266" s="18"/>
      <c r="AOG266" s="18"/>
      <c r="AOH266" s="18"/>
      <c r="AOI266" s="18"/>
      <c r="AOJ266" s="18"/>
      <c r="AOK266" s="18"/>
      <c r="AOL266" s="18"/>
      <c r="AOM266" s="18"/>
      <c r="AON266" s="18"/>
      <c r="AOO266" s="18"/>
      <c r="AOP266" s="18"/>
      <c r="AOQ266" s="18"/>
      <c r="AOR266" s="18"/>
      <c r="AOS266" s="18"/>
      <c r="AOT266" s="18"/>
      <c r="AOU266" s="18"/>
      <c r="AOV266" s="18"/>
      <c r="AOW266" s="18"/>
      <c r="AOX266" s="18"/>
      <c r="AOY266" s="18"/>
      <c r="AOZ266" s="18"/>
      <c r="APA266" s="18"/>
      <c r="APB266" s="18"/>
      <c r="APC266" s="18"/>
      <c r="APD266" s="18"/>
      <c r="APE266" s="18"/>
      <c r="APF266" s="18"/>
      <c r="APG266" s="18"/>
      <c r="APH266" s="18"/>
      <c r="API266" s="18"/>
      <c r="APJ266" s="18"/>
      <c r="APK266" s="18"/>
      <c r="APL266" s="18"/>
      <c r="APM266" s="18"/>
      <c r="APN266" s="18"/>
      <c r="APO266" s="18"/>
      <c r="APP266" s="18"/>
      <c r="APQ266" s="18"/>
      <c r="APR266" s="18"/>
      <c r="APS266" s="18"/>
      <c r="APT266" s="18"/>
      <c r="APU266" s="18"/>
      <c r="APV266" s="18"/>
      <c r="APW266" s="18"/>
      <c r="APX266" s="18"/>
      <c r="APY266" s="18"/>
      <c r="APZ266" s="18"/>
      <c r="AQA266" s="18"/>
      <c r="AQB266" s="18"/>
      <c r="AQC266" s="18"/>
      <c r="AQD266" s="18"/>
      <c r="AQE266" s="18"/>
      <c r="AQF266" s="18"/>
      <c r="AQG266" s="18"/>
      <c r="AQH266" s="18"/>
      <c r="AQI266" s="18"/>
      <c r="AQJ266" s="18"/>
      <c r="AQK266" s="18"/>
      <c r="AQL266" s="18"/>
      <c r="AQM266" s="18"/>
      <c r="AQN266" s="18"/>
      <c r="AQO266" s="18"/>
      <c r="AQP266" s="18"/>
      <c r="AQQ266" s="18"/>
      <c r="AQR266" s="18"/>
      <c r="AQS266" s="18"/>
      <c r="AQT266" s="18"/>
      <c r="AQU266" s="18"/>
      <c r="AQV266" s="18"/>
      <c r="AQW266" s="18"/>
      <c r="AQX266" s="18"/>
      <c r="AQY266" s="18"/>
      <c r="AQZ266" s="18"/>
      <c r="ARA266" s="18"/>
      <c r="ARB266" s="18"/>
      <c r="ARC266" s="18"/>
      <c r="ARD266" s="18"/>
      <c r="ARE266" s="18"/>
      <c r="ARF266" s="18"/>
      <c r="ARG266" s="18"/>
      <c r="ARH266" s="18"/>
      <c r="ARI266" s="18"/>
      <c r="ARJ266" s="18"/>
      <c r="ARK266" s="18"/>
      <c r="ARL266" s="18"/>
      <c r="ARM266" s="18"/>
      <c r="ARN266" s="18"/>
      <c r="ARO266" s="18"/>
      <c r="ARP266" s="18"/>
      <c r="ARQ266" s="18"/>
      <c r="ARR266" s="18"/>
      <c r="ARS266" s="18"/>
      <c r="ART266" s="18"/>
      <c r="ARU266" s="18"/>
      <c r="ARV266" s="18"/>
      <c r="ARW266" s="18"/>
      <c r="ARX266" s="18"/>
      <c r="ARY266" s="18"/>
      <c r="ARZ266" s="18"/>
      <c r="ASA266" s="18"/>
      <c r="ASB266" s="18"/>
      <c r="ASC266" s="18"/>
      <c r="ASD266" s="18"/>
      <c r="ASE266" s="18"/>
      <c r="ASF266" s="18"/>
      <c r="ASG266" s="18"/>
      <c r="ASH266" s="18"/>
      <c r="ASI266" s="18"/>
      <c r="ASJ266" s="18"/>
      <c r="ASK266" s="18"/>
      <c r="ASL266" s="18"/>
      <c r="ASM266" s="18"/>
      <c r="ASN266" s="18"/>
      <c r="ASO266" s="18"/>
      <c r="ASP266" s="18"/>
      <c r="ASQ266" s="18"/>
      <c r="ASR266" s="18"/>
      <c r="ASS266" s="18"/>
      <c r="AST266" s="18"/>
      <c r="ASU266" s="18"/>
      <c r="ASV266" s="18"/>
      <c r="ASW266" s="18"/>
      <c r="ASX266" s="18"/>
      <c r="ASY266" s="18"/>
      <c r="ASZ266" s="18"/>
      <c r="ATA266" s="18"/>
      <c r="ATB266" s="18"/>
      <c r="ATC266" s="18"/>
      <c r="ATD266" s="18"/>
      <c r="ATE266" s="18"/>
      <c r="ATF266" s="18"/>
      <c r="ATG266" s="18"/>
      <c r="ATH266" s="18"/>
      <c r="ATI266" s="18"/>
      <c r="ATJ266" s="18"/>
      <c r="ATK266" s="18"/>
      <c r="ATL266" s="18"/>
      <c r="ATM266" s="18"/>
      <c r="ATN266" s="18"/>
      <c r="ATO266" s="18"/>
      <c r="ATP266" s="18"/>
      <c r="ATQ266" s="18"/>
      <c r="ATR266" s="18"/>
      <c r="ATS266" s="18"/>
      <c r="ATT266" s="18"/>
      <c r="ATU266" s="18"/>
      <c r="ATV266" s="18"/>
      <c r="ATW266" s="18"/>
      <c r="ATX266" s="18"/>
      <c r="ATY266" s="18"/>
      <c r="ATZ266" s="18"/>
      <c r="AUA266" s="18"/>
      <c r="AUB266" s="18"/>
      <c r="AUC266" s="18"/>
      <c r="AUD266" s="18"/>
      <c r="AUE266" s="18"/>
      <c r="AUF266" s="18"/>
      <c r="AUG266" s="18"/>
      <c r="AUH266" s="18"/>
      <c r="AUI266" s="18"/>
      <c r="AUJ266" s="18"/>
      <c r="AUK266" s="18"/>
      <c r="AUL266" s="18"/>
      <c r="AUM266" s="18"/>
      <c r="AUN266" s="18"/>
      <c r="AUO266" s="18"/>
      <c r="AUP266" s="18"/>
      <c r="AUQ266" s="18"/>
      <c r="AUR266" s="18"/>
      <c r="AUS266" s="18"/>
      <c r="AUT266" s="18"/>
      <c r="AUU266" s="18"/>
      <c r="AUV266" s="18"/>
      <c r="AUW266" s="18"/>
      <c r="AUX266" s="18"/>
      <c r="AUY266" s="18"/>
      <c r="AUZ266" s="18"/>
      <c r="AVA266" s="18"/>
      <c r="AVB266" s="18"/>
      <c r="AVC266" s="18"/>
      <c r="AVD266" s="18"/>
      <c r="AVE266" s="18"/>
      <c r="AVF266" s="18"/>
      <c r="AVG266" s="18"/>
      <c r="AVH266" s="18"/>
      <c r="AVI266" s="18"/>
      <c r="AVJ266" s="18"/>
      <c r="AVK266" s="18"/>
      <c r="AVL266" s="18"/>
      <c r="AVM266" s="18"/>
      <c r="AVN266" s="18"/>
      <c r="AVO266" s="18"/>
      <c r="AVP266" s="18"/>
      <c r="AVQ266" s="18"/>
      <c r="AVR266" s="18"/>
      <c r="AVS266" s="18"/>
      <c r="AVT266" s="18"/>
      <c r="AVU266" s="18"/>
      <c r="AVV266" s="18"/>
      <c r="AVW266" s="18"/>
      <c r="AVX266" s="18"/>
      <c r="AVY266" s="18"/>
      <c r="AVZ266" s="18"/>
      <c r="AWA266" s="18"/>
      <c r="AWB266" s="18"/>
      <c r="AWC266" s="18"/>
      <c r="AWD266" s="18"/>
      <c r="AWE266" s="18"/>
      <c r="AWF266" s="18"/>
      <c r="AWG266" s="18"/>
      <c r="AWH266" s="18"/>
      <c r="AWI266" s="18"/>
      <c r="AWJ266" s="18"/>
      <c r="AWK266" s="18"/>
      <c r="AWL266" s="18"/>
      <c r="AWM266" s="18"/>
      <c r="AWN266" s="18"/>
      <c r="AWO266" s="18"/>
      <c r="AWP266" s="18"/>
      <c r="AWQ266" s="18"/>
      <c r="AWR266" s="18"/>
      <c r="AWS266" s="18"/>
      <c r="AWT266" s="18"/>
      <c r="AWU266" s="18"/>
      <c r="AWV266" s="18"/>
      <c r="AWW266" s="18"/>
      <c r="AWX266" s="18"/>
      <c r="AWY266" s="18"/>
      <c r="AWZ266" s="18"/>
      <c r="AXA266" s="18"/>
      <c r="AXB266" s="18"/>
      <c r="AXC266" s="18"/>
      <c r="AXD266" s="18"/>
      <c r="AXE266" s="18"/>
      <c r="AXF266" s="18"/>
      <c r="AXG266" s="18"/>
      <c r="AXH266" s="18"/>
      <c r="AXI266" s="18"/>
      <c r="AXJ266" s="18"/>
      <c r="AXK266" s="18"/>
      <c r="AXL266" s="18"/>
      <c r="AXM266" s="18"/>
      <c r="AXN266" s="18"/>
      <c r="AXO266" s="18"/>
      <c r="AXP266" s="18"/>
      <c r="AXQ266" s="18"/>
      <c r="AXR266" s="18"/>
      <c r="AXS266" s="18"/>
      <c r="AXT266" s="18"/>
      <c r="AXU266" s="18"/>
      <c r="AXV266" s="18"/>
      <c r="AXW266" s="18"/>
      <c r="AXX266" s="18"/>
      <c r="AXY266" s="18"/>
      <c r="AXZ266" s="18"/>
      <c r="AYA266" s="18"/>
      <c r="AYB266" s="18"/>
      <c r="AYC266" s="18"/>
      <c r="AYD266" s="18"/>
      <c r="AYE266" s="18"/>
      <c r="AYF266" s="18"/>
      <c r="AYG266" s="18"/>
      <c r="AYH266" s="18"/>
      <c r="AYI266" s="18"/>
      <c r="AYJ266" s="18"/>
      <c r="AYK266" s="18"/>
      <c r="AYL266" s="18"/>
      <c r="AYM266" s="18"/>
      <c r="AYN266" s="18"/>
      <c r="AYO266" s="18"/>
      <c r="AYP266" s="18"/>
      <c r="AYQ266" s="18"/>
      <c r="AYR266" s="18"/>
      <c r="AYS266" s="18"/>
      <c r="AYT266" s="18"/>
      <c r="AYU266" s="18"/>
      <c r="AYV266" s="18"/>
      <c r="AYW266" s="18"/>
      <c r="AYX266" s="18"/>
      <c r="AYY266" s="18"/>
      <c r="AYZ266" s="18"/>
      <c r="AZA266" s="18"/>
      <c r="AZB266" s="18"/>
      <c r="AZC266" s="18"/>
      <c r="AZD266" s="18"/>
      <c r="AZE266" s="18"/>
      <c r="AZF266" s="18"/>
      <c r="AZG266" s="18"/>
      <c r="AZH266" s="18"/>
      <c r="AZI266" s="18"/>
      <c r="AZJ266" s="18"/>
      <c r="AZK266" s="18"/>
      <c r="AZL266" s="18"/>
      <c r="AZM266" s="18"/>
      <c r="AZN266" s="18"/>
      <c r="AZO266" s="18"/>
      <c r="AZP266" s="18"/>
      <c r="AZQ266" s="18"/>
      <c r="AZR266" s="18"/>
      <c r="AZS266" s="18"/>
      <c r="AZT266" s="18"/>
      <c r="AZU266" s="18"/>
      <c r="AZV266" s="18"/>
      <c r="AZW266" s="18"/>
      <c r="AZX266" s="18"/>
      <c r="AZY266" s="18"/>
      <c r="AZZ266" s="18"/>
      <c r="BAA266" s="18"/>
      <c r="BAB266" s="18"/>
      <c r="BAC266" s="18"/>
      <c r="BAD266" s="18"/>
      <c r="BAE266" s="18"/>
      <c r="BAF266" s="18"/>
      <c r="BAG266" s="18"/>
      <c r="BAH266" s="18"/>
      <c r="BAI266" s="18"/>
      <c r="BAJ266" s="18"/>
      <c r="BAK266" s="18"/>
      <c r="BAL266" s="18"/>
      <c r="BAM266" s="18"/>
      <c r="BAN266" s="18"/>
      <c r="BAO266" s="18"/>
      <c r="BAP266" s="18"/>
      <c r="BAQ266" s="18"/>
      <c r="BAR266" s="18"/>
      <c r="BAS266" s="18"/>
      <c r="BAT266" s="18"/>
      <c r="BAU266" s="18"/>
      <c r="BAV266" s="18"/>
      <c r="BAW266" s="18"/>
      <c r="BAX266" s="18"/>
      <c r="BAY266" s="18"/>
      <c r="BAZ266" s="18"/>
      <c r="BBA266" s="18"/>
      <c r="BBB266" s="18"/>
      <c r="BBC266" s="18"/>
      <c r="BBD266" s="18"/>
      <c r="BBE266" s="18"/>
      <c r="BBF266" s="18"/>
      <c r="BBG266" s="18"/>
      <c r="BBH266" s="18"/>
      <c r="BBI266" s="18"/>
      <c r="BBJ266" s="18"/>
      <c r="BBK266" s="18"/>
      <c r="BBL266" s="18"/>
      <c r="BBM266" s="18"/>
      <c r="BBN266" s="18"/>
      <c r="BBO266" s="18"/>
      <c r="BBP266" s="18"/>
      <c r="BBQ266" s="18"/>
      <c r="BBR266" s="18"/>
      <c r="BBS266" s="18"/>
      <c r="BBT266" s="18"/>
      <c r="BBU266" s="18"/>
      <c r="BBV266" s="18"/>
      <c r="BBW266" s="18"/>
      <c r="BBX266" s="18"/>
      <c r="BBY266" s="18"/>
      <c r="BBZ266" s="18"/>
      <c r="BCA266" s="18"/>
      <c r="BCB266" s="18"/>
      <c r="BCC266" s="18"/>
      <c r="BCD266" s="18"/>
      <c r="BCE266" s="18"/>
      <c r="BCF266" s="18"/>
      <c r="BCG266" s="18"/>
      <c r="BCH266" s="18"/>
      <c r="BCI266" s="18"/>
      <c r="BCJ266" s="18"/>
      <c r="BCK266" s="18"/>
      <c r="BCL266" s="18"/>
      <c r="BCM266" s="18"/>
      <c r="BCN266" s="18"/>
      <c r="BCO266" s="18"/>
      <c r="BCP266" s="18"/>
      <c r="BCQ266" s="18"/>
      <c r="BCR266" s="18"/>
      <c r="BCS266" s="18"/>
      <c r="BCT266" s="18"/>
      <c r="BCU266" s="18"/>
      <c r="BCV266" s="18"/>
      <c r="BCW266" s="18"/>
      <c r="BCX266" s="18"/>
      <c r="BCY266" s="18"/>
      <c r="BCZ266" s="18"/>
      <c r="BDA266" s="18"/>
      <c r="BDB266" s="18"/>
      <c r="BDC266" s="18"/>
      <c r="BDD266" s="18"/>
      <c r="BDE266" s="18"/>
      <c r="BDF266" s="18"/>
      <c r="BDG266" s="18"/>
      <c r="BDH266" s="18"/>
      <c r="BDI266" s="18"/>
      <c r="BDJ266" s="18"/>
      <c r="BDK266" s="18"/>
      <c r="BDL266" s="18"/>
      <c r="BDM266" s="18"/>
      <c r="BDN266" s="18"/>
      <c r="BDO266" s="18"/>
      <c r="BDP266" s="18"/>
      <c r="BDQ266" s="18"/>
      <c r="BDR266" s="18"/>
      <c r="BDS266" s="18"/>
      <c r="BDT266" s="18"/>
      <c r="BDU266" s="18"/>
      <c r="BDV266" s="18"/>
      <c r="BDW266" s="18"/>
      <c r="BDX266" s="18"/>
      <c r="BDY266" s="18"/>
      <c r="BDZ266" s="18"/>
      <c r="BEA266" s="18"/>
      <c r="BEB266" s="18"/>
      <c r="BEC266" s="18"/>
      <c r="BED266" s="18"/>
      <c r="BEE266" s="18"/>
      <c r="BEF266" s="18"/>
      <c r="BEG266" s="18"/>
      <c r="BEH266" s="18"/>
      <c r="BEI266" s="18"/>
      <c r="BEJ266" s="18"/>
      <c r="BEK266" s="18"/>
      <c r="BEL266" s="18"/>
      <c r="BEM266" s="18"/>
      <c r="BEN266" s="18"/>
      <c r="BEO266" s="18"/>
      <c r="BEP266" s="18"/>
      <c r="BEQ266" s="18"/>
      <c r="BER266" s="18"/>
      <c r="BES266" s="18"/>
      <c r="BET266" s="18"/>
      <c r="BEU266" s="18"/>
      <c r="BEV266" s="18"/>
      <c r="BEW266" s="18"/>
      <c r="BEX266" s="18"/>
      <c r="BEY266" s="18"/>
      <c r="BEZ266" s="18"/>
      <c r="BFA266" s="18"/>
      <c r="BFB266" s="18"/>
      <c r="BFC266" s="18"/>
      <c r="BFD266" s="18"/>
      <c r="BFE266" s="18"/>
      <c r="BFF266" s="18"/>
      <c r="BFG266" s="18"/>
      <c r="BFH266" s="18"/>
      <c r="BFI266" s="18"/>
      <c r="BFJ266" s="18"/>
      <c r="BFK266" s="18"/>
      <c r="BFL266" s="18"/>
      <c r="BFM266" s="18"/>
      <c r="BFN266" s="18"/>
      <c r="BFO266" s="18"/>
      <c r="BFP266" s="18"/>
      <c r="BFQ266" s="18"/>
      <c r="BFR266" s="18"/>
      <c r="BFS266" s="18"/>
      <c r="BFT266" s="18"/>
      <c r="BFU266" s="18"/>
      <c r="BFV266" s="18"/>
      <c r="BFW266" s="18"/>
      <c r="BFX266" s="18"/>
      <c r="BFY266" s="18"/>
      <c r="BFZ266" s="18"/>
      <c r="BGA266" s="18"/>
      <c r="BGB266" s="18"/>
      <c r="BGC266" s="18"/>
      <c r="BGD266" s="18"/>
      <c r="BGE266" s="18"/>
      <c r="BGF266" s="18"/>
      <c r="BGG266" s="18"/>
      <c r="BGH266" s="18"/>
      <c r="BGI266" s="18"/>
      <c r="BGJ266" s="18"/>
      <c r="BGK266" s="18"/>
      <c r="BGL266" s="18"/>
      <c r="BGM266" s="18"/>
      <c r="BGN266" s="18"/>
      <c r="BGO266" s="18"/>
      <c r="BGP266" s="18"/>
      <c r="BGQ266" s="18"/>
      <c r="BGR266" s="18"/>
      <c r="BGS266" s="18"/>
      <c r="BGT266" s="18"/>
      <c r="BGU266" s="18"/>
      <c r="BGV266" s="18"/>
      <c r="BGW266" s="18"/>
      <c r="BGX266" s="18"/>
      <c r="BGY266" s="18"/>
      <c r="BGZ266" s="18"/>
      <c r="BHA266" s="18"/>
      <c r="BHB266" s="18"/>
      <c r="BHC266" s="18"/>
      <c r="BHD266" s="18"/>
      <c r="BHE266" s="18"/>
      <c r="BHF266" s="18"/>
      <c r="BHG266" s="18"/>
      <c r="BHH266" s="18"/>
      <c r="BHI266" s="18"/>
      <c r="BHJ266" s="18"/>
      <c r="BHK266" s="18"/>
      <c r="BHL266" s="18"/>
      <c r="BHM266" s="18"/>
      <c r="BHN266" s="18"/>
      <c r="BHO266" s="18"/>
      <c r="BHP266" s="18"/>
      <c r="BHQ266" s="18"/>
      <c r="BHR266" s="18"/>
      <c r="BHS266" s="18"/>
      <c r="BHT266" s="18"/>
      <c r="BHU266" s="18"/>
      <c r="BHV266" s="18"/>
      <c r="BHW266" s="18"/>
      <c r="BHX266" s="18"/>
      <c r="BHY266" s="18"/>
      <c r="BHZ266" s="18"/>
      <c r="BIA266" s="18"/>
      <c r="BIB266" s="18"/>
      <c r="BIC266" s="18"/>
      <c r="BID266" s="18"/>
      <c r="BIE266" s="18"/>
      <c r="BIF266" s="18"/>
      <c r="BIG266" s="18"/>
      <c r="BIH266" s="18"/>
      <c r="BII266" s="18"/>
      <c r="BIJ266" s="18"/>
      <c r="BIK266" s="18"/>
      <c r="BIL266" s="18"/>
      <c r="BIM266" s="18"/>
      <c r="BIN266" s="18"/>
      <c r="BIO266" s="18"/>
      <c r="BIP266" s="18"/>
      <c r="BIQ266" s="18"/>
      <c r="BIR266" s="18"/>
      <c r="BIS266" s="18"/>
      <c r="BIT266" s="18"/>
      <c r="BIU266" s="18"/>
      <c r="BIV266" s="18"/>
      <c r="BIW266" s="18"/>
      <c r="BIX266" s="18"/>
      <c r="BIY266" s="18"/>
      <c r="BIZ266" s="18"/>
      <c r="BJA266" s="18"/>
      <c r="BJB266" s="18"/>
      <c r="BJC266" s="18"/>
      <c r="BJD266" s="18"/>
      <c r="BJE266" s="18"/>
      <c r="BJF266" s="18"/>
      <c r="BJG266" s="18"/>
      <c r="BJH266" s="18"/>
      <c r="BJI266" s="18"/>
      <c r="BJJ266" s="18"/>
      <c r="BJK266" s="18"/>
      <c r="BJL266" s="18"/>
      <c r="BJM266" s="18"/>
      <c r="BJN266" s="18"/>
      <c r="BJO266" s="18"/>
      <c r="BJP266" s="18"/>
      <c r="BJQ266" s="18"/>
      <c r="BJR266" s="18"/>
      <c r="BJS266" s="18"/>
      <c r="BJT266" s="18"/>
      <c r="BJU266" s="18"/>
      <c r="BJV266" s="18"/>
      <c r="BJW266" s="18"/>
      <c r="BJX266" s="18"/>
      <c r="BJY266" s="18"/>
      <c r="BJZ266" s="18"/>
      <c r="BKA266" s="18"/>
      <c r="BKB266" s="18"/>
      <c r="BKC266" s="18"/>
      <c r="BKD266" s="18"/>
      <c r="BKE266" s="18"/>
      <c r="BKF266" s="18"/>
      <c r="BKG266" s="18"/>
      <c r="BKH266" s="18"/>
      <c r="BKI266" s="18"/>
      <c r="BKJ266" s="18"/>
      <c r="BKK266" s="18"/>
      <c r="BKL266" s="18"/>
      <c r="BKM266" s="18"/>
      <c r="BKN266" s="18"/>
      <c r="BKO266" s="18"/>
      <c r="BKP266" s="18"/>
      <c r="BKQ266" s="18"/>
      <c r="BKR266" s="18"/>
      <c r="BKS266" s="18"/>
      <c r="BKT266" s="18"/>
      <c r="BKU266" s="18"/>
      <c r="BKV266" s="18"/>
      <c r="BKW266" s="18"/>
      <c r="BKX266" s="18"/>
      <c r="BKY266" s="18"/>
      <c r="BKZ266" s="18"/>
      <c r="BLA266" s="18"/>
      <c r="BLB266" s="18"/>
      <c r="BLC266" s="18"/>
      <c r="BLD266" s="18"/>
      <c r="BLE266" s="18"/>
      <c r="BLF266" s="18"/>
      <c r="BLG266" s="18"/>
      <c r="BLH266" s="18"/>
      <c r="BLI266" s="18"/>
      <c r="BLJ266" s="18"/>
      <c r="BLK266" s="18"/>
      <c r="BLL266" s="18"/>
      <c r="BLM266" s="18"/>
      <c r="BLN266" s="18"/>
      <c r="BLO266" s="18"/>
      <c r="BLP266" s="18"/>
      <c r="BLQ266" s="18"/>
      <c r="BLR266" s="18"/>
      <c r="BLS266" s="18"/>
      <c r="BLT266" s="18"/>
      <c r="BLU266" s="18"/>
      <c r="BLV266" s="18"/>
      <c r="BLW266" s="18"/>
      <c r="BLX266" s="18"/>
      <c r="BLY266" s="18"/>
      <c r="BLZ266" s="18"/>
      <c r="BMA266" s="18"/>
      <c r="BMB266" s="18"/>
      <c r="BMC266" s="18"/>
      <c r="BMD266" s="18"/>
      <c r="BME266" s="18"/>
      <c r="BMF266" s="18"/>
      <c r="BMG266" s="18"/>
      <c r="BMH266" s="18"/>
      <c r="BMI266" s="18"/>
      <c r="BMJ266" s="18"/>
      <c r="BMK266" s="18"/>
      <c r="BML266" s="18"/>
      <c r="BMM266" s="18"/>
      <c r="BMN266" s="18"/>
      <c r="BMO266" s="18"/>
      <c r="BMP266" s="18"/>
      <c r="BMQ266" s="18"/>
      <c r="BMR266" s="18"/>
      <c r="BMS266" s="18"/>
      <c r="BMT266" s="18"/>
      <c r="BMU266" s="18"/>
      <c r="BMV266" s="18"/>
      <c r="BMW266" s="18"/>
      <c r="BMX266" s="18"/>
      <c r="BMY266" s="18"/>
      <c r="BMZ266" s="18"/>
      <c r="BNA266" s="18"/>
      <c r="BNB266" s="18"/>
      <c r="BNC266" s="18"/>
      <c r="BND266" s="18"/>
      <c r="BNE266" s="18"/>
      <c r="BNF266" s="18"/>
      <c r="BNG266" s="18"/>
      <c r="BNH266" s="18"/>
      <c r="BNI266" s="18"/>
      <c r="BNJ266" s="18"/>
      <c r="BNK266" s="18"/>
      <c r="BNL266" s="18"/>
      <c r="BNM266" s="18"/>
      <c r="BNN266" s="18"/>
      <c r="BNO266" s="18"/>
      <c r="BNP266" s="18"/>
      <c r="BNQ266" s="18"/>
      <c r="BNR266" s="18"/>
      <c r="BNS266" s="18"/>
      <c r="BNT266" s="18"/>
      <c r="BNU266" s="18"/>
      <c r="BNV266" s="18"/>
      <c r="BNW266" s="18"/>
      <c r="BNX266" s="18"/>
      <c r="BNY266" s="18"/>
      <c r="BNZ266" s="18"/>
      <c r="BOA266" s="18"/>
      <c r="BOB266" s="18"/>
      <c r="BOC266" s="18"/>
      <c r="BOD266" s="18"/>
      <c r="BOE266" s="18"/>
      <c r="BOF266" s="18"/>
      <c r="BOG266" s="18"/>
      <c r="BOH266" s="18"/>
      <c r="BOI266" s="18"/>
      <c r="BOJ266" s="18"/>
      <c r="BOK266" s="18"/>
      <c r="BOL266" s="18"/>
      <c r="BOM266" s="18"/>
      <c r="BON266" s="18"/>
      <c r="BOO266" s="18"/>
      <c r="BOP266" s="18"/>
      <c r="BOQ266" s="18"/>
      <c r="BOR266" s="18"/>
      <c r="BOS266" s="18"/>
      <c r="BOT266" s="18"/>
      <c r="BOU266" s="18"/>
      <c r="BOV266" s="18"/>
      <c r="BOW266" s="18"/>
      <c r="BOX266" s="18"/>
      <c r="BOY266" s="18"/>
      <c r="BOZ266" s="18"/>
      <c r="BPA266" s="18"/>
      <c r="BPB266" s="18"/>
      <c r="BPC266" s="18"/>
      <c r="BPD266" s="18"/>
      <c r="BPE266" s="18"/>
      <c r="BPF266" s="18"/>
      <c r="BPG266" s="18"/>
      <c r="BPH266" s="18"/>
      <c r="BPI266" s="18"/>
      <c r="BPJ266" s="18"/>
      <c r="BPK266" s="18"/>
      <c r="BPL266" s="18"/>
      <c r="BPM266" s="18"/>
      <c r="BPN266" s="18"/>
      <c r="BPO266" s="18"/>
      <c r="BPP266" s="18"/>
      <c r="BPQ266" s="18"/>
      <c r="BPR266" s="18"/>
      <c r="BPS266" s="18"/>
      <c r="BPT266" s="18"/>
      <c r="BPU266" s="18"/>
      <c r="BPV266" s="18"/>
      <c r="BPW266" s="18"/>
      <c r="BPX266" s="18"/>
      <c r="BPY266" s="18"/>
      <c r="BPZ266" s="18"/>
      <c r="BQA266" s="18"/>
      <c r="BQB266" s="18"/>
      <c r="BQC266" s="18"/>
      <c r="BQD266" s="18"/>
      <c r="BQE266" s="18"/>
      <c r="BQF266" s="18"/>
      <c r="BQG266" s="18"/>
      <c r="BQH266" s="18"/>
      <c r="BQI266" s="18"/>
      <c r="BQJ266" s="18"/>
      <c r="BQK266" s="18"/>
      <c r="BQL266" s="18"/>
      <c r="BQM266" s="18"/>
      <c r="BQN266" s="18"/>
      <c r="BQO266" s="18"/>
      <c r="BQP266" s="18"/>
      <c r="BQQ266" s="18"/>
      <c r="BQR266" s="18"/>
      <c r="BQS266" s="18"/>
      <c r="BQT266" s="18"/>
      <c r="BQU266" s="18"/>
      <c r="BQV266" s="18"/>
      <c r="BQW266" s="18"/>
      <c r="BQX266" s="18"/>
      <c r="BQY266" s="18"/>
      <c r="BQZ266" s="18"/>
      <c r="BRA266" s="18"/>
      <c r="BRB266" s="18"/>
      <c r="BRC266" s="18"/>
      <c r="BRD266" s="18"/>
      <c r="BRE266" s="18"/>
      <c r="BRF266" s="18"/>
      <c r="BRG266" s="18"/>
      <c r="BRH266" s="18"/>
      <c r="BRI266" s="18"/>
      <c r="BRJ266" s="18"/>
      <c r="BRK266" s="18"/>
      <c r="BRL266" s="18"/>
      <c r="BRM266" s="18"/>
      <c r="BRN266" s="18"/>
      <c r="BRO266" s="18"/>
      <c r="BRP266" s="18"/>
      <c r="BRQ266" s="18"/>
      <c r="BRR266" s="18"/>
      <c r="BRS266" s="18"/>
      <c r="BRT266" s="18"/>
      <c r="BRU266" s="18"/>
      <c r="BRV266" s="18"/>
      <c r="BRW266" s="18"/>
      <c r="BRX266" s="18"/>
      <c r="BRY266" s="18"/>
      <c r="BRZ266" s="18"/>
      <c r="BSA266" s="18"/>
      <c r="BSB266" s="18"/>
      <c r="BSC266" s="18"/>
      <c r="BSD266" s="18"/>
      <c r="BSE266" s="18"/>
      <c r="BSF266" s="18"/>
      <c r="BSG266" s="18"/>
      <c r="BSH266" s="18"/>
      <c r="BSI266" s="18"/>
      <c r="BSJ266" s="18"/>
      <c r="BSK266" s="18"/>
      <c r="BSL266" s="18"/>
      <c r="BSM266" s="18"/>
      <c r="BSN266" s="18"/>
      <c r="BSO266" s="18"/>
      <c r="BSP266" s="18"/>
      <c r="BSQ266" s="18"/>
      <c r="BSR266" s="18"/>
      <c r="BSS266" s="18"/>
      <c r="BST266" s="18"/>
      <c r="BSU266" s="18"/>
      <c r="BSV266" s="18"/>
      <c r="BSW266" s="18"/>
      <c r="BSX266" s="18"/>
      <c r="BSY266" s="18"/>
      <c r="BSZ266" s="18"/>
      <c r="BTA266" s="18"/>
      <c r="BTB266" s="18"/>
      <c r="BTC266" s="18"/>
      <c r="BTD266" s="18"/>
      <c r="BTE266" s="18"/>
      <c r="BTF266" s="18"/>
      <c r="BTG266" s="18"/>
      <c r="BTH266" s="18"/>
      <c r="BTI266" s="18"/>
    </row>
    <row r="267" spans="1:1881" s="798" customFormat="1" ht="78.75" customHeight="1" x14ac:dyDescent="0.3">
      <c r="A267" s="105">
        <v>602</v>
      </c>
      <c r="B267" s="701" t="s">
        <v>59</v>
      </c>
      <c r="C267" s="701" t="s">
        <v>529</v>
      </c>
      <c r="D267" s="104" t="s">
        <v>685</v>
      </c>
      <c r="E267" s="699" t="e">
        <f>HLOOKUP($D$2,'2020 Data(H)'!$C$1:$CZ$428,262,FALSE)</f>
        <v>#N/A</v>
      </c>
      <c r="F267" s="300">
        <v>0</v>
      </c>
      <c r="G267" s="803" t="str">
        <f>IF(ISBLANK(F267),"Please do not leave blank","")</f>
        <v/>
      </c>
      <c r="H267" s="759">
        <f>IF(F267&lt;0,"Note: Number is normally positive.",)</f>
        <v>0</v>
      </c>
      <c r="I267" s="77"/>
      <c r="J267" s="605"/>
      <c r="K267" s="18"/>
      <c r="L267" s="18"/>
      <c r="M267" s="18"/>
      <c r="N267" s="302"/>
      <c r="O267" s="18"/>
      <c r="P267" s="18"/>
      <c r="Q267" s="18"/>
      <c r="R267" s="18"/>
      <c r="S267" s="18"/>
      <c r="T267" s="18"/>
      <c r="U267" s="18"/>
      <c r="V267" s="18"/>
      <c r="W267" s="18"/>
      <c r="X267" s="18"/>
      <c r="Y267" s="18"/>
      <c r="Z267" s="105"/>
      <c r="AA267" s="105"/>
      <c r="AB267" s="105"/>
      <c r="AC267" s="105"/>
      <c r="AD267" s="105"/>
      <c r="AE267" s="105"/>
      <c r="AF267" s="105"/>
      <c r="AG267" s="105"/>
      <c r="AH267" s="105"/>
      <c r="AI267" s="105"/>
      <c r="AJ267" s="105"/>
      <c r="AK267" s="105"/>
      <c r="AL267" s="105"/>
      <c r="AM267" s="105"/>
      <c r="AN267" s="105"/>
      <c r="AO267" s="105"/>
      <c r="AP267" s="105"/>
      <c r="AQ267" s="105"/>
      <c r="AR267" s="105"/>
      <c r="AS267" s="18"/>
      <c r="AT267" s="18"/>
      <c r="AU267" s="18"/>
      <c r="AV267" s="18"/>
      <c r="AW267" s="18"/>
      <c r="AX267" s="18"/>
      <c r="AY267" s="18"/>
      <c r="AZ267" s="18"/>
      <c r="BA267" s="18"/>
      <c r="BB267" s="18"/>
      <c r="BC267" s="18"/>
      <c r="BD267" s="18"/>
      <c r="BE267" s="18"/>
      <c r="BF267" s="18"/>
      <c r="BG267" s="18"/>
      <c r="BH267" s="18"/>
      <c r="BI267" s="18"/>
      <c r="BJ267" s="18"/>
      <c r="BK267" s="18"/>
      <c r="BL267" s="18"/>
      <c r="BM267" s="18"/>
      <c r="BN267" s="18"/>
      <c r="BO267" s="18"/>
      <c r="BP267" s="18"/>
      <c r="BQ267" s="18"/>
      <c r="BR267" s="18"/>
      <c r="BS267" s="18"/>
      <c r="BT267" s="18"/>
      <c r="BU267" s="18"/>
      <c r="BV267" s="18"/>
      <c r="BW267" s="18"/>
      <c r="BX267" s="18"/>
      <c r="BY267" s="18"/>
      <c r="BZ267" s="18"/>
      <c r="CA267" s="18"/>
      <c r="CB267" s="18"/>
      <c r="CC267" s="18"/>
      <c r="CD267" s="18"/>
      <c r="CE267" s="18"/>
      <c r="CF267" s="18"/>
      <c r="CG267" s="18"/>
      <c r="CH267" s="18"/>
      <c r="CI267" s="18"/>
      <c r="CJ267" s="18"/>
      <c r="CK267" s="18"/>
      <c r="CL267" s="18"/>
      <c r="CM267" s="18"/>
      <c r="CN267" s="18"/>
      <c r="CO267" s="18"/>
      <c r="CP267" s="18"/>
      <c r="CQ267" s="18"/>
      <c r="CR267" s="18"/>
      <c r="CS267" s="18"/>
      <c r="CT267" s="18"/>
      <c r="CU267" s="18"/>
      <c r="CV267" s="18"/>
      <c r="CW267" s="18"/>
      <c r="CX267" s="18"/>
      <c r="CY267" s="18"/>
      <c r="CZ267" s="18"/>
      <c r="DA267" s="18"/>
      <c r="DB267" s="18"/>
      <c r="DC267" s="18"/>
      <c r="DD267" s="18"/>
      <c r="DE267" s="18"/>
      <c r="DF267" s="18"/>
      <c r="DG267" s="18"/>
      <c r="DH267" s="18"/>
      <c r="DI267" s="18"/>
      <c r="DJ267" s="18"/>
      <c r="DK267" s="18"/>
      <c r="DL267" s="18"/>
      <c r="DM267" s="18"/>
      <c r="DN267" s="18"/>
      <c r="DO267" s="18"/>
      <c r="DP267" s="18"/>
      <c r="DQ267" s="18"/>
      <c r="DR267" s="18"/>
      <c r="DS267" s="18"/>
      <c r="DT267" s="18"/>
      <c r="DU267" s="18"/>
      <c r="DV267" s="18"/>
      <c r="DW267" s="18"/>
      <c r="DX267" s="18"/>
      <c r="DY267" s="18"/>
      <c r="DZ267" s="18"/>
      <c r="EA267" s="18"/>
      <c r="EB267" s="18"/>
      <c r="EC267" s="18"/>
      <c r="ED267" s="18"/>
      <c r="EE267" s="18"/>
      <c r="EF267" s="18"/>
      <c r="EG267" s="18"/>
      <c r="EH267" s="18"/>
      <c r="EI267" s="18"/>
      <c r="EJ267" s="18"/>
      <c r="EK267" s="18"/>
      <c r="EL267" s="18"/>
      <c r="EM267" s="18"/>
      <c r="EN267" s="18"/>
      <c r="EO267" s="18"/>
      <c r="EP267" s="18"/>
      <c r="EQ267" s="18"/>
      <c r="ER267" s="18"/>
      <c r="ES267" s="18"/>
      <c r="ET267" s="18"/>
      <c r="EU267" s="18"/>
      <c r="EV267" s="18"/>
      <c r="EW267" s="18"/>
      <c r="EX267" s="18"/>
      <c r="EY267" s="18"/>
      <c r="EZ267" s="18"/>
      <c r="FA267" s="18"/>
      <c r="FB267" s="18"/>
      <c r="FC267" s="18"/>
      <c r="FD267" s="18"/>
      <c r="FE267" s="18"/>
      <c r="FF267" s="18"/>
      <c r="FG267" s="18"/>
      <c r="FH267" s="18"/>
      <c r="FI267" s="18"/>
      <c r="FJ267" s="18"/>
      <c r="FK267" s="18"/>
      <c r="FL267" s="18"/>
      <c r="FM267" s="18"/>
      <c r="FN267" s="18"/>
      <c r="FO267" s="18"/>
      <c r="FP267" s="18"/>
      <c r="FQ267" s="18"/>
      <c r="FR267" s="18"/>
      <c r="FS267" s="18"/>
      <c r="FT267" s="18"/>
      <c r="FU267" s="18"/>
      <c r="FV267" s="18"/>
      <c r="FW267" s="18"/>
      <c r="FX267" s="18"/>
      <c r="FY267" s="18"/>
      <c r="FZ267" s="18"/>
      <c r="GA267" s="18"/>
      <c r="GB267" s="18"/>
      <c r="GC267" s="18"/>
      <c r="GD267" s="18"/>
      <c r="GE267" s="18"/>
      <c r="GF267" s="18"/>
      <c r="GG267" s="18"/>
      <c r="GH267" s="18"/>
      <c r="GI267" s="18"/>
      <c r="GJ267" s="18"/>
      <c r="GK267" s="18"/>
      <c r="GL267" s="18"/>
      <c r="GM267" s="18"/>
      <c r="GN267" s="18"/>
      <c r="GO267" s="18"/>
      <c r="GP267" s="18"/>
      <c r="GQ267" s="18"/>
      <c r="GR267" s="18"/>
      <c r="GS267" s="18"/>
      <c r="GT267" s="18"/>
      <c r="GU267" s="18"/>
      <c r="GV267" s="18"/>
      <c r="GW267" s="18"/>
      <c r="GX267" s="18"/>
      <c r="GY267" s="18"/>
      <c r="GZ267" s="18"/>
      <c r="HA267" s="18"/>
      <c r="HB267" s="18"/>
      <c r="HC267" s="18"/>
      <c r="HD267" s="18"/>
      <c r="HE267" s="18"/>
      <c r="HF267" s="18"/>
      <c r="HG267" s="18"/>
      <c r="HH267" s="18"/>
      <c r="HI267" s="18"/>
      <c r="HJ267" s="18"/>
      <c r="HK267" s="18"/>
      <c r="HL267" s="18"/>
      <c r="HM267" s="18"/>
      <c r="HN267" s="18"/>
      <c r="HO267" s="18"/>
      <c r="HP267" s="18"/>
      <c r="HQ267" s="18"/>
      <c r="HR267" s="18"/>
      <c r="HS267" s="18"/>
      <c r="HT267" s="18"/>
      <c r="HU267" s="18"/>
      <c r="HV267" s="18"/>
      <c r="HW267" s="18"/>
      <c r="HX267" s="18"/>
      <c r="HY267" s="18"/>
      <c r="HZ267" s="18"/>
      <c r="IA267" s="18"/>
      <c r="IB267" s="18"/>
      <c r="IC267" s="18"/>
      <c r="ID267" s="18"/>
      <c r="IE267" s="18"/>
      <c r="IF267" s="18"/>
      <c r="IG267" s="18"/>
      <c r="IH267" s="18"/>
      <c r="II267" s="18"/>
      <c r="IJ267" s="18"/>
      <c r="IK267" s="18"/>
      <c r="IL267" s="18"/>
      <c r="IM267" s="18"/>
      <c r="IN267" s="18"/>
      <c r="IO267" s="18"/>
      <c r="IP267" s="18"/>
      <c r="IQ267" s="18"/>
      <c r="IR267" s="18"/>
      <c r="IS267" s="18"/>
      <c r="IT267" s="18"/>
      <c r="IU267" s="18"/>
      <c r="IV267" s="18"/>
      <c r="IW267" s="18"/>
      <c r="IX267" s="18"/>
      <c r="IY267" s="18"/>
      <c r="IZ267" s="18"/>
      <c r="JA267" s="18"/>
      <c r="JB267" s="18"/>
      <c r="JC267" s="18"/>
      <c r="JD267" s="18"/>
      <c r="JE267" s="18"/>
      <c r="JF267" s="18"/>
      <c r="JG267" s="18"/>
      <c r="JH267" s="18"/>
      <c r="JI267" s="18"/>
      <c r="JJ267" s="18"/>
      <c r="JK267" s="18"/>
      <c r="JL267" s="18"/>
      <c r="JM267" s="18"/>
      <c r="JN267" s="18"/>
      <c r="JO267" s="18"/>
      <c r="JP267" s="18"/>
      <c r="JQ267" s="18"/>
      <c r="JR267" s="18"/>
      <c r="JS267" s="18"/>
      <c r="JT267" s="18"/>
      <c r="JU267" s="18"/>
      <c r="JV267" s="18"/>
      <c r="JW267" s="18"/>
      <c r="JX267" s="18"/>
      <c r="JY267" s="18"/>
      <c r="JZ267" s="18"/>
      <c r="KA267" s="18"/>
      <c r="KB267" s="18"/>
      <c r="KC267" s="18"/>
      <c r="KD267" s="18"/>
      <c r="KE267" s="18"/>
      <c r="KF267" s="18"/>
      <c r="KG267" s="18"/>
      <c r="KH267" s="18"/>
      <c r="KI267" s="18"/>
      <c r="KJ267" s="18"/>
      <c r="KK267" s="18"/>
      <c r="KL267" s="18"/>
      <c r="KM267" s="18"/>
      <c r="KN267" s="18"/>
      <c r="KO267" s="18"/>
      <c r="KP267" s="18"/>
      <c r="KQ267" s="18"/>
      <c r="KR267" s="18"/>
      <c r="KS267" s="18"/>
      <c r="KT267" s="18"/>
      <c r="KU267" s="18"/>
      <c r="KV267" s="18"/>
      <c r="KW267" s="18"/>
      <c r="KX267" s="18"/>
      <c r="KY267" s="18"/>
      <c r="KZ267" s="18"/>
      <c r="LA267" s="18"/>
      <c r="LB267" s="18"/>
      <c r="LC267" s="18"/>
      <c r="LD267" s="18"/>
      <c r="LE267" s="18"/>
      <c r="LF267" s="18"/>
      <c r="LG267" s="18"/>
      <c r="LH267" s="18"/>
      <c r="LI267" s="18"/>
      <c r="LJ267" s="18"/>
      <c r="LK267" s="18"/>
      <c r="LL267" s="18"/>
      <c r="LM267" s="18"/>
      <c r="LN267" s="18"/>
      <c r="LO267" s="18"/>
      <c r="LP267" s="18"/>
      <c r="LQ267" s="18"/>
      <c r="LR267" s="18"/>
      <c r="LS267" s="18"/>
      <c r="LT267" s="18"/>
      <c r="LU267" s="18"/>
      <c r="LV267" s="18"/>
      <c r="LW267" s="18"/>
      <c r="LX267" s="18"/>
      <c r="LY267" s="18"/>
      <c r="LZ267" s="18"/>
      <c r="MA267" s="18"/>
      <c r="MB267" s="18"/>
      <c r="MC267" s="18"/>
      <c r="MD267" s="18"/>
      <c r="ME267" s="18"/>
      <c r="MF267" s="18"/>
      <c r="MG267" s="18"/>
      <c r="MH267" s="18"/>
      <c r="MI267" s="18"/>
      <c r="MJ267" s="18"/>
      <c r="MK267" s="18"/>
      <c r="ML267" s="18"/>
      <c r="MM267" s="18"/>
      <c r="MN267" s="18"/>
      <c r="MO267" s="18"/>
      <c r="MP267" s="18"/>
      <c r="MQ267" s="18"/>
      <c r="MR267" s="18"/>
      <c r="MS267" s="18"/>
      <c r="MT267" s="18"/>
      <c r="MU267" s="18"/>
      <c r="MV267" s="18"/>
      <c r="MW267" s="18"/>
      <c r="MX267" s="18"/>
      <c r="MY267" s="18"/>
      <c r="MZ267" s="18"/>
      <c r="NA267" s="18"/>
      <c r="NB267" s="18"/>
      <c r="NC267" s="18"/>
      <c r="ND267" s="18"/>
      <c r="NE267" s="18"/>
      <c r="NF267" s="18"/>
      <c r="NG267" s="18"/>
      <c r="NH267" s="18"/>
      <c r="NI267" s="18"/>
      <c r="NJ267" s="18"/>
      <c r="NK267" s="18"/>
      <c r="NL267" s="18"/>
      <c r="NM267" s="18"/>
      <c r="NN267" s="18"/>
      <c r="NO267" s="18"/>
      <c r="NP267" s="18"/>
      <c r="NQ267" s="18"/>
      <c r="NR267" s="18"/>
      <c r="NS267" s="18"/>
      <c r="NT267" s="18"/>
      <c r="NU267" s="18"/>
      <c r="NV267" s="18"/>
      <c r="NW267" s="18"/>
      <c r="NX267" s="18"/>
      <c r="NY267" s="18"/>
      <c r="NZ267" s="18"/>
      <c r="OA267" s="18"/>
      <c r="OB267" s="18"/>
      <c r="OC267" s="18"/>
      <c r="OD267" s="18"/>
      <c r="OE267" s="18"/>
      <c r="OF267" s="18"/>
      <c r="OG267" s="18"/>
      <c r="OH267" s="18"/>
      <c r="OI267" s="18"/>
      <c r="OJ267" s="18"/>
      <c r="OK267" s="18"/>
      <c r="OL267" s="18"/>
      <c r="OM267" s="18"/>
      <c r="ON267" s="18"/>
      <c r="OO267" s="18"/>
      <c r="OP267" s="18"/>
      <c r="OQ267" s="18"/>
      <c r="OR267" s="18"/>
      <c r="OS267" s="18"/>
      <c r="OT267" s="18"/>
      <c r="OU267" s="18"/>
      <c r="OV267" s="18"/>
      <c r="OW267" s="18"/>
      <c r="OX267" s="18"/>
      <c r="OY267" s="18"/>
      <c r="OZ267" s="18"/>
      <c r="PA267" s="18"/>
      <c r="PB267" s="18"/>
      <c r="PC267" s="18"/>
      <c r="PD267" s="18"/>
      <c r="PE267" s="18"/>
      <c r="PF267" s="18"/>
      <c r="PG267" s="18"/>
      <c r="PH267" s="18"/>
      <c r="PI267" s="18"/>
      <c r="PJ267" s="18"/>
      <c r="PK267" s="18"/>
      <c r="PL267" s="18"/>
      <c r="PM267" s="18"/>
      <c r="PN267" s="18"/>
      <c r="PO267" s="18"/>
      <c r="PP267" s="18"/>
      <c r="PQ267" s="18"/>
      <c r="PR267" s="18"/>
      <c r="PS267" s="18"/>
      <c r="PT267" s="18"/>
      <c r="PU267" s="18"/>
      <c r="PV267" s="18"/>
      <c r="PW267" s="18"/>
      <c r="PX267" s="18"/>
      <c r="PY267" s="18"/>
      <c r="PZ267" s="18"/>
      <c r="QA267" s="18"/>
      <c r="QB267" s="18"/>
      <c r="QC267" s="18"/>
      <c r="QD267" s="18"/>
      <c r="QE267" s="18"/>
      <c r="QF267" s="18"/>
      <c r="QG267" s="18"/>
      <c r="QH267" s="18"/>
      <c r="QI267" s="18"/>
      <c r="QJ267" s="18"/>
      <c r="QK267" s="18"/>
      <c r="QL267" s="18"/>
      <c r="QM267" s="18"/>
      <c r="QN267" s="18"/>
      <c r="QO267" s="18"/>
      <c r="QP267" s="18"/>
      <c r="QQ267" s="18"/>
      <c r="QR267" s="18"/>
      <c r="QS267" s="18"/>
      <c r="QT267" s="18"/>
      <c r="QU267" s="18"/>
      <c r="QV267" s="18"/>
      <c r="QW267" s="18"/>
      <c r="QX267" s="18"/>
      <c r="QY267" s="18"/>
      <c r="QZ267" s="18"/>
      <c r="RA267" s="18"/>
      <c r="RB267" s="18"/>
      <c r="RC267" s="18"/>
      <c r="RD267" s="18"/>
      <c r="RE267" s="18"/>
      <c r="RF267" s="18"/>
      <c r="RG267" s="18"/>
      <c r="RH267" s="18"/>
      <c r="RI267" s="18"/>
      <c r="RJ267" s="18"/>
      <c r="RK267" s="18"/>
      <c r="RL267" s="18"/>
      <c r="RM267" s="18"/>
      <c r="RN267" s="18"/>
      <c r="RO267" s="18"/>
      <c r="RP267" s="18"/>
      <c r="RQ267" s="18"/>
      <c r="RR267" s="18"/>
      <c r="RS267" s="18"/>
      <c r="RT267" s="18"/>
      <c r="RU267" s="18"/>
      <c r="RV267" s="18"/>
      <c r="RW267" s="18"/>
      <c r="RX267" s="18"/>
      <c r="RY267" s="18"/>
      <c r="RZ267" s="18"/>
      <c r="SA267" s="18"/>
      <c r="SB267" s="18"/>
      <c r="SC267" s="18"/>
      <c r="SD267" s="18"/>
      <c r="SE267" s="18"/>
      <c r="SF267" s="18"/>
      <c r="SG267" s="18"/>
      <c r="SH267" s="18"/>
      <c r="SI267" s="18"/>
      <c r="SJ267" s="18"/>
      <c r="SK267" s="18"/>
      <c r="SL267" s="18"/>
      <c r="SM267" s="18"/>
      <c r="SN267" s="18"/>
      <c r="SO267" s="18"/>
      <c r="SP267" s="18"/>
      <c r="SQ267" s="18"/>
      <c r="SR267" s="18"/>
      <c r="SS267" s="18"/>
      <c r="ST267" s="18"/>
      <c r="SU267" s="18"/>
      <c r="SV267" s="18"/>
      <c r="SW267" s="18"/>
      <c r="SX267" s="18"/>
      <c r="SY267" s="18"/>
      <c r="SZ267" s="18"/>
      <c r="TA267" s="18"/>
      <c r="TB267" s="18"/>
      <c r="TC267" s="18"/>
      <c r="TD267" s="18"/>
      <c r="TE267" s="18"/>
      <c r="TF267" s="18"/>
      <c r="TG267" s="18"/>
      <c r="TH267" s="18"/>
      <c r="TI267" s="18"/>
      <c r="TJ267" s="18"/>
      <c r="TK267" s="18"/>
      <c r="TL267" s="18"/>
      <c r="TM267" s="18"/>
      <c r="TN267" s="18"/>
      <c r="TO267" s="18"/>
      <c r="TP267" s="18"/>
      <c r="TQ267" s="18"/>
      <c r="TR267" s="18"/>
      <c r="TS267" s="18"/>
      <c r="TT267" s="18"/>
      <c r="TU267" s="18"/>
      <c r="TV267" s="18"/>
      <c r="TW267" s="18"/>
      <c r="TX267" s="18"/>
      <c r="TY267" s="18"/>
      <c r="TZ267" s="18"/>
      <c r="UA267" s="18"/>
      <c r="UB267" s="18"/>
      <c r="UC267" s="18"/>
      <c r="UD267" s="18"/>
      <c r="UE267" s="18"/>
      <c r="UF267" s="18"/>
      <c r="UG267" s="18"/>
      <c r="UH267" s="18"/>
      <c r="UI267" s="18"/>
      <c r="UJ267" s="18"/>
      <c r="UK267" s="18"/>
      <c r="UL267" s="18"/>
      <c r="UM267" s="18"/>
      <c r="UN267" s="18"/>
      <c r="UO267" s="18"/>
      <c r="UP267" s="18"/>
      <c r="UQ267" s="18"/>
      <c r="UR267" s="18"/>
      <c r="US267" s="18"/>
      <c r="UT267" s="18"/>
      <c r="UU267" s="18"/>
      <c r="UV267" s="18"/>
      <c r="UW267" s="18"/>
      <c r="UX267" s="18"/>
      <c r="UY267" s="18"/>
      <c r="UZ267" s="18"/>
      <c r="VA267" s="18"/>
      <c r="VB267" s="18"/>
      <c r="VC267" s="18"/>
      <c r="VD267" s="18"/>
      <c r="VE267" s="18"/>
      <c r="VF267" s="18"/>
      <c r="VG267" s="18"/>
      <c r="VH267" s="18"/>
      <c r="VI267" s="18"/>
      <c r="VJ267" s="18"/>
      <c r="VK267" s="18"/>
      <c r="VL267" s="18"/>
      <c r="VM267" s="18"/>
      <c r="VN267" s="18"/>
      <c r="VO267" s="18"/>
      <c r="VP267" s="18"/>
      <c r="VQ267" s="18"/>
      <c r="VR267" s="18"/>
      <c r="VS267" s="18"/>
      <c r="VT267" s="18"/>
      <c r="VU267" s="18"/>
      <c r="VV267" s="18"/>
      <c r="VW267" s="18"/>
      <c r="VX267" s="18"/>
      <c r="VY267" s="18"/>
      <c r="VZ267" s="18"/>
      <c r="WA267" s="18"/>
      <c r="WB267" s="18"/>
      <c r="WC267" s="18"/>
      <c r="WD267" s="18"/>
      <c r="WE267" s="18"/>
      <c r="WF267" s="18"/>
      <c r="WG267" s="18"/>
      <c r="WH267" s="18"/>
      <c r="WI267" s="18"/>
      <c r="WJ267" s="18"/>
      <c r="WK267" s="18"/>
      <c r="WL267" s="18"/>
      <c r="WM267" s="18"/>
      <c r="WN267" s="18"/>
      <c r="WO267" s="18"/>
      <c r="WP267" s="18"/>
      <c r="WQ267" s="18"/>
      <c r="WR267" s="18"/>
      <c r="WS267" s="18"/>
      <c r="WT267" s="18"/>
      <c r="WU267" s="18"/>
      <c r="WV267" s="18"/>
      <c r="WW267" s="18"/>
      <c r="WX267" s="18"/>
      <c r="WY267" s="18"/>
      <c r="WZ267" s="18"/>
      <c r="XA267" s="18"/>
      <c r="XB267" s="18"/>
      <c r="XC267" s="18"/>
      <c r="XD267" s="18"/>
      <c r="XE267" s="18"/>
      <c r="XF267" s="18"/>
      <c r="XG267" s="18"/>
      <c r="XH267" s="18"/>
      <c r="XI267" s="18"/>
      <c r="XJ267" s="18"/>
      <c r="XK267" s="18"/>
      <c r="XL267" s="18"/>
      <c r="XM267" s="18"/>
      <c r="XN267" s="18"/>
      <c r="XO267" s="18"/>
      <c r="XP267" s="18"/>
      <c r="XQ267" s="18"/>
      <c r="XR267" s="18"/>
      <c r="XS267" s="18"/>
      <c r="XT267" s="18"/>
      <c r="XU267" s="18"/>
      <c r="XV267" s="18"/>
      <c r="XW267" s="18"/>
      <c r="XX267" s="18"/>
      <c r="XY267" s="18"/>
      <c r="XZ267" s="18"/>
      <c r="YA267" s="18"/>
      <c r="YB267" s="18"/>
      <c r="YC267" s="18"/>
      <c r="YD267" s="18"/>
      <c r="YE267" s="18"/>
      <c r="YF267" s="18"/>
      <c r="YG267" s="18"/>
      <c r="YH267" s="18"/>
      <c r="YI267" s="18"/>
      <c r="YJ267" s="18"/>
      <c r="YK267" s="18"/>
      <c r="YL267" s="18"/>
      <c r="YM267" s="18"/>
      <c r="YN267" s="18"/>
      <c r="YO267" s="18"/>
      <c r="YP267" s="18"/>
      <c r="YQ267" s="18"/>
      <c r="YR267" s="18"/>
      <c r="YS267" s="18"/>
      <c r="YT267" s="18"/>
      <c r="YU267" s="18"/>
      <c r="YV267" s="18"/>
      <c r="YW267" s="18"/>
      <c r="YX267" s="18"/>
      <c r="YY267" s="18"/>
      <c r="YZ267" s="18"/>
      <c r="ZA267" s="18"/>
      <c r="ZB267" s="18"/>
      <c r="ZC267" s="18"/>
      <c r="ZD267" s="18"/>
      <c r="ZE267" s="18"/>
      <c r="ZF267" s="18"/>
      <c r="ZG267" s="18"/>
      <c r="ZH267" s="18"/>
      <c r="ZI267" s="18"/>
      <c r="ZJ267" s="18"/>
      <c r="ZK267" s="18"/>
      <c r="ZL267" s="18"/>
      <c r="ZM267" s="18"/>
      <c r="ZN267" s="18"/>
      <c r="ZO267" s="18"/>
      <c r="ZP267" s="18"/>
      <c r="ZQ267" s="18"/>
      <c r="ZR267" s="18"/>
      <c r="ZS267" s="18"/>
      <c r="ZT267" s="18"/>
      <c r="ZU267" s="18"/>
      <c r="ZV267" s="18"/>
      <c r="ZW267" s="18"/>
      <c r="ZX267" s="18"/>
      <c r="ZY267" s="18"/>
      <c r="ZZ267" s="18"/>
      <c r="AAA267" s="18"/>
      <c r="AAB267" s="18"/>
      <c r="AAC267" s="18"/>
      <c r="AAD267" s="18"/>
      <c r="AAE267" s="18"/>
      <c r="AAF267" s="18"/>
      <c r="AAG267" s="18"/>
      <c r="AAH267" s="18"/>
      <c r="AAI267" s="18"/>
      <c r="AAJ267" s="18"/>
      <c r="AAK267" s="18"/>
      <c r="AAL267" s="18"/>
      <c r="AAM267" s="18"/>
      <c r="AAN267" s="18"/>
      <c r="AAO267" s="18"/>
      <c r="AAP267" s="18"/>
      <c r="AAQ267" s="18"/>
      <c r="AAR267" s="18"/>
      <c r="AAS267" s="18"/>
      <c r="AAT267" s="18"/>
      <c r="AAU267" s="18"/>
      <c r="AAV267" s="18"/>
      <c r="AAW267" s="18"/>
      <c r="AAX267" s="18"/>
      <c r="AAY267" s="18"/>
      <c r="AAZ267" s="18"/>
      <c r="ABA267" s="18"/>
      <c r="ABB267" s="18"/>
      <c r="ABC267" s="18"/>
      <c r="ABD267" s="18"/>
      <c r="ABE267" s="18"/>
      <c r="ABF267" s="18"/>
      <c r="ABG267" s="18"/>
      <c r="ABH267" s="18"/>
      <c r="ABI267" s="18"/>
      <c r="ABJ267" s="18"/>
      <c r="ABK267" s="18"/>
      <c r="ABL267" s="18"/>
      <c r="ABM267" s="18"/>
      <c r="ABN267" s="18"/>
      <c r="ABO267" s="18"/>
      <c r="ABP267" s="18"/>
      <c r="ABQ267" s="18"/>
      <c r="ABR267" s="18"/>
      <c r="ABS267" s="18"/>
      <c r="ABT267" s="18"/>
      <c r="ABU267" s="18"/>
      <c r="ABV267" s="18"/>
      <c r="ABW267" s="18"/>
      <c r="ABX267" s="18"/>
      <c r="ABY267" s="18"/>
      <c r="ABZ267" s="18"/>
      <c r="ACA267" s="18"/>
      <c r="ACB267" s="18"/>
      <c r="ACC267" s="18"/>
      <c r="ACD267" s="18"/>
      <c r="ACE267" s="18"/>
      <c r="ACF267" s="18"/>
      <c r="ACG267" s="18"/>
      <c r="ACH267" s="18"/>
      <c r="ACI267" s="18"/>
      <c r="ACJ267" s="18"/>
      <c r="ACK267" s="18"/>
      <c r="ACL267" s="18"/>
      <c r="ACM267" s="18"/>
      <c r="ACN267" s="18"/>
      <c r="ACO267" s="18"/>
      <c r="ACP267" s="18"/>
      <c r="ACQ267" s="18"/>
      <c r="ACR267" s="18"/>
      <c r="ACS267" s="18"/>
      <c r="ACT267" s="18"/>
      <c r="ACU267" s="18"/>
      <c r="ACV267" s="18"/>
      <c r="ACW267" s="18"/>
      <c r="ACX267" s="18"/>
      <c r="ACY267" s="18"/>
      <c r="ACZ267" s="18"/>
      <c r="ADA267" s="18"/>
      <c r="ADB267" s="18"/>
      <c r="ADC267" s="18"/>
      <c r="ADD267" s="18"/>
      <c r="ADE267" s="18"/>
      <c r="ADF267" s="18"/>
      <c r="ADG267" s="18"/>
      <c r="ADH267" s="18"/>
      <c r="ADI267" s="18"/>
      <c r="ADJ267" s="18"/>
      <c r="ADK267" s="18"/>
      <c r="ADL267" s="18"/>
      <c r="ADM267" s="18"/>
      <c r="ADN267" s="18"/>
      <c r="ADO267" s="18"/>
      <c r="ADP267" s="18"/>
      <c r="ADQ267" s="18"/>
      <c r="ADR267" s="18"/>
      <c r="ADS267" s="18"/>
      <c r="ADT267" s="18"/>
      <c r="ADU267" s="18"/>
      <c r="ADV267" s="18"/>
      <c r="ADW267" s="18"/>
      <c r="ADX267" s="18"/>
      <c r="ADY267" s="18"/>
      <c r="ADZ267" s="18"/>
      <c r="AEA267" s="18"/>
      <c r="AEB267" s="18"/>
      <c r="AEC267" s="18"/>
      <c r="AED267" s="18"/>
      <c r="AEE267" s="18"/>
      <c r="AEF267" s="18"/>
      <c r="AEG267" s="18"/>
      <c r="AEH267" s="18"/>
      <c r="AEI267" s="18"/>
      <c r="AEJ267" s="18"/>
      <c r="AEK267" s="18"/>
      <c r="AEL267" s="18"/>
      <c r="AEM267" s="18"/>
      <c r="AEN267" s="18"/>
      <c r="AEO267" s="18"/>
      <c r="AEP267" s="18"/>
      <c r="AEQ267" s="18"/>
      <c r="AER267" s="18"/>
      <c r="AES267" s="18"/>
      <c r="AET267" s="18"/>
      <c r="AEU267" s="18"/>
      <c r="AEV267" s="18"/>
      <c r="AEW267" s="18"/>
      <c r="AEX267" s="18"/>
      <c r="AEY267" s="18"/>
      <c r="AEZ267" s="18"/>
      <c r="AFA267" s="18"/>
      <c r="AFB267" s="18"/>
      <c r="AFC267" s="18"/>
      <c r="AFD267" s="18"/>
      <c r="AFE267" s="18"/>
      <c r="AFF267" s="18"/>
      <c r="AFG267" s="18"/>
      <c r="AFH267" s="18"/>
      <c r="AFI267" s="18"/>
      <c r="AFJ267" s="18"/>
      <c r="AFK267" s="18"/>
      <c r="AFL267" s="18"/>
      <c r="AFM267" s="18"/>
      <c r="AFN267" s="18"/>
      <c r="AFO267" s="18"/>
      <c r="AFP267" s="18"/>
      <c r="AFQ267" s="18"/>
      <c r="AFR267" s="18"/>
      <c r="AFS267" s="18"/>
      <c r="AFT267" s="18"/>
      <c r="AFU267" s="18"/>
      <c r="AFV267" s="18"/>
      <c r="AFW267" s="18"/>
      <c r="AFX267" s="18"/>
      <c r="AFY267" s="18"/>
      <c r="AFZ267" s="18"/>
      <c r="AGA267" s="18"/>
      <c r="AGB267" s="18"/>
      <c r="AGC267" s="18"/>
      <c r="AGD267" s="18"/>
      <c r="AGE267" s="18"/>
      <c r="AGF267" s="18"/>
      <c r="AGG267" s="18"/>
      <c r="AGH267" s="18"/>
      <c r="AGI267" s="18"/>
      <c r="AGJ267" s="18"/>
      <c r="AGK267" s="18"/>
      <c r="AGL267" s="18"/>
      <c r="AGM267" s="18"/>
      <c r="AGN267" s="18"/>
      <c r="AGO267" s="18"/>
      <c r="AGP267" s="18"/>
      <c r="AGQ267" s="18"/>
      <c r="AGR267" s="18"/>
      <c r="AGS267" s="18"/>
      <c r="AGT267" s="18"/>
      <c r="AGU267" s="18"/>
      <c r="AGV267" s="18"/>
      <c r="AGW267" s="18"/>
      <c r="AGX267" s="18"/>
      <c r="AGY267" s="18"/>
      <c r="AGZ267" s="18"/>
      <c r="AHA267" s="18"/>
      <c r="AHB267" s="18"/>
      <c r="AHC267" s="18"/>
      <c r="AHD267" s="18"/>
      <c r="AHE267" s="18"/>
      <c r="AHF267" s="18"/>
      <c r="AHG267" s="18"/>
      <c r="AHH267" s="18"/>
      <c r="AHI267" s="18"/>
      <c r="AHJ267" s="18"/>
      <c r="AHK267" s="18"/>
      <c r="AHL267" s="18"/>
      <c r="AHM267" s="18"/>
      <c r="AHN267" s="18"/>
      <c r="AHO267" s="18"/>
      <c r="AHP267" s="18"/>
      <c r="AHQ267" s="18"/>
      <c r="AHR267" s="18"/>
      <c r="AHS267" s="18"/>
      <c r="AHT267" s="18"/>
      <c r="AHU267" s="18"/>
      <c r="AHV267" s="18"/>
      <c r="AHW267" s="18"/>
      <c r="AHX267" s="18"/>
      <c r="AHY267" s="18"/>
      <c r="AHZ267" s="18"/>
      <c r="AIA267" s="18"/>
      <c r="AIB267" s="18"/>
      <c r="AIC267" s="18"/>
      <c r="AID267" s="18"/>
      <c r="AIE267" s="18"/>
      <c r="AIF267" s="18"/>
      <c r="AIG267" s="18"/>
      <c r="AIH267" s="18"/>
      <c r="AII267" s="18"/>
      <c r="AIJ267" s="18"/>
      <c r="AIK267" s="18"/>
      <c r="AIL267" s="18"/>
      <c r="AIM267" s="18"/>
      <c r="AIN267" s="18"/>
      <c r="AIO267" s="18"/>
      <c r="AIP267" s="18"/>
      <c r="AIQ267" s="18"/>
      <c r="AIR267" s="18"/>
      <c r="AIS267" s="18"/>
      <c r="AIT267" s="18"/>
      <c r="AIU267" s="18"/>
      <c r="AIV267" s="18"/>
      <c r="AIW267" s="18"/>
      <c r="AIX267" s="18"/>
      <c r="AIY267" s="18"/>
      <c r="AIZ267" s="18"/>
      <c r="AJA267" s="18"/>
      <c r="AJB267" s="18"/>
      <c r="AJC267" s="18"/>
      <c r="AJD267" s="18"/>
      <c r="AJE267" s="18"/>
      <c r="AJF267" s="18"/>
      <c r="AJG267" s="18"/>
      <c r="AJH267" s="18"/>
      <c r="AJI267" s="18"/>
      <c r="AJJ267" s="18"/>
      <c r="AJK267" s="18"/>
      <c r="AJL267" s="18"/>
      <c r="AJM267" s="18"/>
      <c r="AJN267" s="18"/>
      <c r="AJO267" s="18"/>
      <c r="AJP267" s="18"/>
      <c r="AJQ267" s="18"/>
      <c r="AJR267" s="18"/>
      <c r="AJS267" s="18"/>
      <c r="AJT267" s="18"/>
      <c r="AJU267" s="18"/>
      <c r="AJV267" s="18"/>
      <c r="AJW267" s="18"/>
      <c r="AJX267" s="18"/>
      <c r="AJY267" s="18"/>
      <c r="AJZ267" s="18"/>
      <c r="AKA267" s="18"/>
      <c r="AKB267" s="18"/>
      <c r="AKC267" s="18"/>
      <c r="AKD267" s="18"/>
      <c r="AKE267" s="18"/>
      <c r="AKF267" s="18"/>
      <c r="AKG267" s="18"/>
      <c r="AKH267" s="18"/>
      <c r="AKI267" s="18"/>
      <c r="AKJ267" s="18"/>
      <c r="AKK267" s="18"/>
      <c r="AKL267" s="18"/>
      <c r="AKM267" s="18"/>
      <c r="AKN267" s="18"/>
      <c r="AKO267" s="18"/>
      <c r="AKP267" s="18"/>
      <c r="AKQ267" s="18"/>
      <c r="AKR267" s="18"/>
      <c r="AKS267" s="18"/>
      <c r="AKT267" s="18"/>
      <c r="AKU267" s="18"/>
      <c r="AKV267" s="18"/>
      <c r="AKW267" s="18"/>
      <c r="AKX267" s="18"/>
      <c r="AKY267" s="18"/>
      <c r="AKZ267" s="18"/>
      <c r="ALA267" s="18"/>
      <c r="ALB267" s="18"/>
      <c r="ALC267" s="18"/>
      <c r="ALD267" s="18"/>
      <c r="ALE267" s="18"/>
      <c r="ALF267" s="18"/>
      <c r="ALG267" s="18"/>
      <c r="ALH267" s="18"/>
      <c r="ALI267" s="18"/>
      <c r="ALJ267" s="18"/>
      <c r="ALK267" s="18"/>
      <c r="ALL267" s="18"/>
      <c r="ALM267" s="18"/>
      <c r="ALN267" s="18"/>
      <c r="ALO267" s="18"/>
      <c r="ALP267" s="18"/>
      <c r="ALQ267" s="18"/>
      <c r="ALR267" s="18"/>
      <c r="ALS267" s="18"/>
      <c r="ALT267" s="18"/>
      <c r="ALU267" s="18"/>
      <c r="ALV267" s="18"/>
      <c r="ALW267" s="18"/>
      <c r="ALX267" s="18"/>
      <c r="ALY267" s="18"/>
      <c r="ALZ267" s="18"/>
      <c r="AMA267" s="18"/>
      <c r="AMB267" s="18"/>
      <c r="AMC267" s="18"/>
      <c r="AMD267" s="18"/>
      <c r="AME267" s="18"/>
      <c r="AMF267" s="18"/>
      <c r="AMG267" s="18"/>
      <c r="AMH267" s="18"/>
      <c r="AMI267" s="18"/>
      <c r="AMJ267" s="18"/>
      <c r="AMK267" s="18"/>
      <c r="AML267" s="18"/>
      <c r="AMM267" s="18"/>
      <c r="AMN267" s="18"/>
      <c r="AMO267" s="18"/>
      <c r="AMP267" s="18"/>
      <c r="AMQ267" s="18"/>
      <c r="AMR267" s="18"/>
      <c r="AMS267" s="18"/>
      <c r="AMT267" s="18"/>
      <c r="AMU267" s="18"/>
      <c r="AMV267" s="18"/>
      <c r="AMW267" s="18"/>
      <c r="AMX267" s="18"/>
      <c r="AMY267" s="18"/>
      <c r="AMZ267" s="18"/>
      <c r="ANA267" s="18"/>
      <c r="ANB267" s="18"/>
      <c r="ANC267" s="18"/>
      <c r="AND267" s="18"/>
      <c r="ANE267" s="18"/>
      <c r="ANF267" s="18"/>
      <c r="ANG267" s="18"/>
      <c r="ANH267" s="18"/>
      <c r="ANI267" s="18"/>
      <c r="ANJ267" s="18"/>
      <c r="ANK267" s="18"/>
      <c r="ANL267" s="18"/>
      <c r="ANM267" s="18"/>
      <c r="ANN267" s="18"/>
      <c r="ANO267" s="18"/>
      <c r="ANP267" s="18"/>
      <c r="ANQ267" s="18"/>
      <c r="ANR267" s="18"/>
      <c r="ANS267" s="18"/>
      <c r="ANT267" s="18"/>
      <c r="ANU267" s="18"/>
      <c r="ANV267" s="18"/>
      <c r="ANW267" s="18"/>
      <c r="ANX267" s="18"/>
      <c r="ANY267" s="18"/>
      <c r="ANZ267" s="18"/>
      <c r="AOA267" s="18"/>
      <c r="AOB267" s="18"/>
      <c r="AOC267" s="18"/>
      <c r="AOD267" s="18"/>
      <c r="AOE267" s="18"/>
      <c r="AOF267" s="18"/>
      <c r="AOG267" s="18"/>
      <c r="AOH267" s="18"/>
      <c r="AOI267" s="18"/>
      <c r="AOJ267" s="18"/>
      <c r="AOK267" s="18"/>
      <c r="AOL267" s="18"/>
      <c r="AOM267" s="18"/>
      <c r="AON267" s="18"/>
      <c r="AOO267" s="18"/>
      <c r="AOP267" s="18"/>
      <c r="AOQ267" s="18"/>
      <c r="AOR267" s="18"/>
      <c r="AOS267" s="18"/>
      <c r="AOT267" s="18"/>
      <c r="AOU267" s="18"/>
      <c r="AOV267" s="18"/>
      <c r="AOW267" s="18"/>
      <c r="AOX267" s="18"/>
      <c r="AOY267" s="18"/>
      <c r="AOZ267" s="18"/>
      <c r="APA267" s="18"/>
      <c r="APB267" s="18"/>
      <c r="APC267" s="18"/>
      <c r="APD267" s="18"/>
      <c r="APE267" s="18"/>
      <c r="APF267" s="18"/>
      <c r="APG267" s="18"/>
      <c r="APH267" s="18"/>
      <c r="API267" s="18"/>
      <c r="APJ267" s="18"/>
      <c r="APK267" s="18"/>
      <c r="APL267" s="18"/>
      <c r="APM267" s="18"/>
      <c r="APN267" s="18"/>
      <c r="APO267" s="18"/>
      <c r="APP267" s="18"/>
      <c r="APQ267" s="18"/>
      <c r="APR267" s="18"/>
      <c r="APS267" s="18"/>
      <c r="APT267" s="18"/>
      <c r="APU267" s="18"/>
      <c r="APV267" s="18"/>
      <c r="APW267" s="18"/>
      <c r="APX267" s="18"/>
      <c r="APY267" s="18"/>
      <c r="APZ267" s="18"/>
      <c r="AQA267" s="18"/>
      <c r="AQB267" s="18"/>
      <c r="AQC267" s="18"/>
      <c r="AQD267" s="18"/>
      <c r="AQE267" s="18"/>
      <c r="AQF267" s="18"/>
      <c r="AQG267" s="18"/>
      <c r="AQH267" s="18"/>
      <c r="AQI267" s="18"/>
      <c r="AQJ267" s="18"/>
      <c r="AQK267" s="18"/>
      <c r="AQL267" s="18"/>
      <c r="AQM267" s="18"/>
      <c r="AQN267" s="18"/>
      <c r="AQO267" s="18"/>
      <c r="AQP267" s="18"/>
      <c r="AQQ267" s="18"/>
      <c r="AQR267" s="18"/>
      <c r="AQS267" s="18"/>
      <c r="AQT267" s="18"/>
      <c r="AQU267" s="18"/>
      <c r="AQV267" s="18"/>
      <c r="AQW267" s="18"/>
      <c r="AQX267" s="18"/>
      <c r="AQY267" s="18"/>
      <c r="AQZ267" s="18"/>
      <c r="ARA267" s="18"/>
      <c r="ARB267" s="18"/>
      <c r="ARC267" s="18"/>
      <c r="ARD267" s="18"/>
      <c r="ARE267" s="18"/>
      <c r="ARF267" s="18"/>
      <c r="ARG267" s="18"/>
      <c r="ARH267" s="18"/>
      <c r="ARI267" s="18"/>
      <c r="ARJ267" s="18"/>
      <c r="ARK267" s="18"/>
      <c r="ARL267" s="18"/>
      <c r="ARM267" s="18"/>
      <c r="ARN267" s="18"/>
      <c r="ARO267" s="18"/>
      <c r="ARP267" s="18"/>
      <c r="ARQ267" s="18"/>
      <c r="ARR267" s="18"/>
      <c r="ARS267" s="18"/>
      <c r="ART267" s="18"/>
      <c r="ARU267" s="18"/>
      <c r="ARV267" s="18"/>
      <c r="ARW267" s="18"/>
      <c r="ARX267" s="18"/>
      <c r="ARY267" s="18"/>
      <c r="ARZ267" s="18"/>
      <c r="ASA267" s="18"/>
      <c r="ASB267" s="18"/>
      <c r="ASC267" s="18"/>
      <c r="ASD267" s="18"/>
      <c r="ASE267" s="18"/>
      <c r="ASF267" s="18"/>
      <c r="ASG267" s="18"/>
      <c r="ASH267" s="18"/>
      <c r="ASI267" s="18"/>
      <c r="ASJ267" s="18"/>
      <c r="ASK267" s="18"/>
      <c r="ASL267" s="18"/>
      <c r="ASM267" s="18"/>
      <c r="ASN267" s="18"/>
      <c r="ASO267" s="18"/>
      <c r="ASP267" s="18"/>
      <c r="ASQ267" s="18"/>
      <c r="ASR267" s="18"/>
      <c r="ASS267" s="18"/>
      <c r="AST267" s="18"/>
      <c r="ASU267" s="18"/>
      <c r="ASV267" s="18"/>
      <c r="ASW267" s="18"/>
      <c r="ASX267" s="18"/>
      <c r="ASY267" s="18"/>
      <c r="ASZ267" s="18"/>
      <c r="ATA267" s="18"/>
      <c r="ATB267" s="18"/>
      <c r="ATC267" s="18"/>
      <c r="ATD267" s="18"/>
      <c r="ATE267" s="18"/>
      <c r="ATF267" s="18"/>
      <c r="ATG267" s="18"/>
      <c r="ATH267" s="18"/>
      <c r="ATI267" s="18"/>
      <c r="ATJ267" s="18"/>
      <c r="ATK267" s="18"/>
      <c r="ATL267" s="18"/>
      <c r="ATM267" s="18"/>
      <c r="ATN267" s="18"/>
      <c r="ATO267" s="18"/>
      <c r="ATP267" s="18"/>
      <c r="ATQ267" s="18"/>
      <c r="ATR267" s="18"/>
      <c r="ATS267" s="18"/>
      <c r="ATT267" s="18"/>
      <c r="ATU267" s="18"/>
      <c r="ATV267" s="18"/>
      <c r="ATW267" s="18"/>
      <c r="ATX267" s="18"/>
      <c r="ATY267" s="18"/>
      <c r="ATZ267" s="18"/>
      <c r="AUA267" s="18"/>
      <c r="AUB267" s="18"/>
      <c r="AUC267" s="18"/>
      <c r="AUD267" s="18"/>
      <c r="AUE267" s="18"/>
      <c r="AUF267" s="18"/>
      <c r="AUG267" s="18"/>
      <c r="AUH267" s="18"/>
      <c r="AUI267" s="18"/>
      <c r="AUJ267" s="18"/>
      <c r="AUK267" s="18"/>
      <c r="AUL267" s="18"/>
      <c r="AUM267" s="18"/>
      <c r="AUN267" s="18"/>
      <c r="AUO267" s="18"/>
      <c r="AUP267" s="18"/>
      <c r="AUQ267" s="18"/>
      <c r="AUR267" s="18"/>
      <c r="AUS267" s="18"/>
      <c r="AUT267" s="18"/>
      <c r="AUU267" s="18"/>
      <c r="AUV267" s="18"/>
      <c r="AUW267" s="18"/>
      <c r="AUX267" s="18"/>
      <c r="AUY267" s="18"/>
      <c r="AUZ267" s="18"/>
      <c r="AVA267" s="18"/>
      <c r="AVB267" s="18"/>
      <c r="AVC267" s="18"/>
      <c r="AVD267" s="18"/>
      <c r="AVE267" s="18"/>
      <c r="AVF267" s="18"/>
      <c r="AVG267" s="18"/>
      <c r="AVH267" s="18"/>
      <c r="AVI267" s="18"/>
      <c r="AVJ267" s="18"/>
      <c r="AVK267" s="18"/>
      <c r="AVL267" s="18"/>
      <c r="AVM267" s="18"/>
      <c r="AVN267" s="18"/>
      <c r="AVO267" s="18"/>
      <c r="AVP267" s="18"/>
      <c r="AVQ267" s="18"/>
      <c r="AVR267" s="18"/>
      <c r="AVS267" s="18"/>
      <c r="AVT267" s="18"/>
      <c r="AVU267" s="18"/>
      <c r="AVV267" s="18"/>
      <c r="AVW267" s="18"/>
      <c r="AVX267" s="18"/>
      <c r="AVY267" s="18"/>
      <c r="AVZ267" s="18"/>
      <c r="AWA267" s="18"/>
      <c r="AWB267" s="18"/>
      <c r="AWC267" s="18"/>
      <c r="AWD267" s="18"/>
      <c r="AWE267" s="18"/>
      <c r="AWF267" s="18"/>
      <c r="AWG267" s="18"/>
      <c r="AWH267" s="18"/>
      <c r="AWI267" s="18"/>
      <c r="AWJ267" s="18"/>
      <c r="AWK267" s="18"/>
      <c r="AWL267" s="18"/>
      <c r="AWM267" s="18"/>
      <c r="AWN267" s="18"/>
      <c r="AWO267" s="18"/>
      <c r="AWP267" s="18"/>
      <c r="AWQ267" s="18"/>
      <c r="AWR267" s="18"/>
      <c r="AWS267" s="18"/>
      <c r="AWT267" s="18"/>
      <c r="AWU267" s="18"/>
      <c r="AWV267" s="18"/>
      <c r="AWW267" s="18"/>
      <c r="AWX267" s="18"/>
      <c r="AWY267" s="18"/>
      <c r="AWZ267" s="18"/>
      <c r="AXA267" s="18"/>
      <c r="AXB267" s="18"/>
      <c r="AXC267" s="18"/>
      <c r="AXD267" s="18"/>
      <c r="AXE267" s="18"/>
      <c r="AXF267" s="18"/>
      <c r="AXG267" s="18"/>
      <c r="AXH267" s="18"/>
      <c r="AXI267" s="18"/>
      <c r="AXJ267" s="18"/>
      <c r="AXK267" s="18"/>
      <c r="AXL267" s="18"/>
      <c r="AXM267" s="18"/>
      <c r="AXN267" s="18"/>
      <c r="AXO267" s="18"/>
      <c r="AXP267" s="18"/>
      <c r="AXQ267" s="18"/>
      <c r="AXR267" s="18"/>
      <c r="AXS267" s="18"/>
      <c r="AXT267" s="18"/>
      <c r="AXU267" s="18"/>
      <c r="AXV267" s="18"/>
      <c r="AXW267" s="18"/>
      <c r="AXX267" s="18"/>
      <c r="AXY267" s="18"/>
      <c r="AXZ267" s="18"/>
      <c r="AYA267" s="18"/>
      <c r="AYB267" s="18"/>
      <c r="AYC267" s="18"/>
      <c r="AYD267" s="18"/>
      <c r="AYE267" s="18"/>
      <c r="AYF267" s="18"/>
      <c r="AYG267" s="18"/>
      <c r="AYH267" s="18"/>
      <c r="AYI267" s="18"/>
      <c r="AYJ267" s="18"/>
      <c r="AYK267" s="18"/>
      <c r="AYL267" s="18"/>
      <c r="AYM267" s="18"/>
      <c r="AYN267" s="18"/>
      <c r="AYO267" s="18"/>
      <c r="AYP267" s="18"/>
      <c r="AYQ267" s="18"/>
      <c r="AYR267" s="18"/>
      <c r="AYS267" s="18"/>
      <c r="AYT267" s="18"/>
      <c r="AYU267" s="18"/>
      <c r="AYV267" s="18"/>
      <c r="AYW267" s="18"/>
      <c r="AYX267" s="18"/>
      <c r="AYY267" s="18"/>
      <c r="AYZ267" s="18"/>
      <c r="AZA267" s="18"/>
      <c r="AZB267" s="18"/>
      <c r="AZC267" s="18"/>
      <c r="AZD267" s="18"/>
      <c r="AZE267" s="18"/>
      <c r="AZF267" s="18"/>
      <c r="AZG267" s="18"/>
      <c r="AZH267" s="18"/>
      <c r="AZI267" s="18"/>
      <c r="AZJ267" s="18"/>
      <c r="AZK267" s="18"/>
      <c r="AZL267" s="18"/>
      <c r="AZM267" s="18"/>
      <c r="AZN267" s="18"/>
      <c r="AZO267" s="18"/>
      <c r="AZP267" s="18"/>
      <c r="AZQ267" s="18"/>
      <c r="AZR267" s="18"/>
      <c r="AZS267" s="18"/>
      <c r="AZT267" s="18"/>
      <c r="AZU267" s="18"/>
      <c r="AZV267" s="18"/>
      <c r="AZW267" s="18"/>
      <c r="AZX267" s="18"/>
      <c r="AZY267" s="18"/>
      <c r="AZZ267" s="18"/>
      <c r="BAA267" s="18"/>
      <c r="BAB267" s="18"/>
      <c r="BAC267" s="18"/>
      <c r="BAD267" s="18"/>
      <c r="BAE267" s="18"/>
      <c r="BAF267" s="18"/>
      <c r="BAG267" s="18"/>
      <c r="BAH267" s="18"/>
      <c r="BAI267" s="18"/>
      <c r="BAJ267" s="18"/>
      <c r="BAK267" s="18"/>
      <c r="BAL267" s="18"/>
      <c r="BAM267" s="18"/>
      <c r="BAN267" s="18"/>
      <c r="BAO267" s="18"/>
      <c r="BAP267" s="18"/>
      <c r="BAQ267" s="18"/>
      <c r="BAR267" s="18"/>
      <c r="BAS267" s="18"/>
      <c r="BAT267" s="18"/>
      <c r="BAU267" s="18"/>
      <c r="BAV267" s="18"/>
      <c r="BAW267" s="18"/>
      <c r="BAX267" s="18"/>
      <c r="BAY267" s="18"/>
      <c r="BAZ267" s="18"/>
      <c r="BBA267" s="18"/>
      <c r="BBB267" s="18"/>
      <c r="BBC267" s="18"/>
      <c r="BBD267" s="18"/>
      <c r="BBE267" s="18"/>
      <c r="BBF267" s="18"/>
      <c r="BBG267" s="18"/>
      <c r="BBH267" s="18"/>
      <c r="BBI267" s="18"/>
      <c r="BBJ267" s="18"/>
      <c r="BBK267" s="18"/>
      <c r="BBL267" s="18"/>
      <c r="BBM267" s="18"/>
      <c r="BBN267" s="18"/>
      <c r="BBO267" s="18"/>
      <c r="BBP267" s="18"/>
      <c r="BBQ267" s="18"/>
      <c r="BBR267" s="18"/>
      <c r="BBS267" s="18"/>
      <c r="BBT267" s="18"/>
      <c r="BBU267" s="18"/>
      <c r="BBV267" s="18"/>
      <c r="BBW267" s="18"/>
      <c r="BBX267" s="18"/>
      <c r="BBY267" s="18"/>
      <c r="BBZ267" s="18"/>
      <c r="BCA267" s="18"/>
      <c r="BCB267" s="18"/>
      <c r="BCC267" s="18"/>
      <c r="BCD267" s="18"/>
      <c r="BCE267" s="18"/>
      <c r="BCF267" s="18"/>
      <c r="BCG267" s="18"/>
      <c r="BCH267" s="18"/>
      <c r="BCI267" s="18"/>
      <c r="BCJ267" s="18"/>
      <c r="BCK267" s="18"/>
      <c r="BCL267" s="18"/>
      <c r="BCM267" s="18"/>
      <c r="BCN267" s="18"/>
      <c r="BCO267" s="18"/>
      <c r="BCP267" s="18"/>
      <c r="BCQ267" s="18"/>
      <c r="BCR267" s="18"/>
      <c r="BCS267" s="18"/>
      <c r="BCT267" s="18"/>
      <c r="BCU267" s="18"/>
      <c r="BCV267" s="18"/>
      <c r="BCW267" s="18"/>
      <c r="BCX267" s="18"/>
      <c r="BCY267" s="18"/>
      <c r="BCZ267" s="18"/>
      <c r="BDA267" s="18"/>
      <c r="BDB267" s="18"/>
      <c r="BDC267" s="18"/>
      <c r="BDD267" s="18"/>
      <c r="BDE267" s="18"/>
      <c r="BDF267" s="18"/>
      <c r="BDG267" s="18"/>
      <c r="BDH267" s="18"/>
      <c r="BDI267" s="18"/>
      <c r="BDJ267" s="18"/>
      <c r="BDK267" s="18"/>
      <c r="BDL267" s="18"/>
      <c r="BDM267" s="18"/>
      <c r="BDN267" s="18"/>
      <c r="BDO267" s="18"/>
      <c r="BDP267" s="18"/>
      <c r="BDQ267" s="18"/>
      <c r="BDR267" s="18"/>
      <c r="BDS267" s="18"/>
      <c r="BDT267" s="18"/>
      <c r="BDU267" s="18"/>
      <c r="BDV267" s="18"/>
      <c r="BDW267" s="18"/>
      <c r="BDX267" s="18"/>
      <c r="BDY267" s="18"/>
      <c r="BDZ267" s="18"/>
      <c r="BEA267" s="18"/>
      <c r="BEB267" s="18"/>
      <c r="BEC267" s="18"/>
      <c r="BED267" s="18"/>
      <c r="BEE267" s="18"/>
      <c r="BEF267" s="18"/>
      <c r="BEG267" s="18"/>
      <c r="BEH267" s="18"/>
      <c r="BEI267" s="18"/>
      <c r="BEJ267" s="18"/>
      <c r="BEK267" s="18"/>
      <c r="BEL267" s="18"/>
      <c r="BEM267" s="18"/>
      <c r="BEN267" s="18"/>
      <c r="BEO267" s="18"/>
      <c r="BEP267" s="18"/>
      <c r="BEQ267" s="18"/>
      <c r="BER267" s="18"/>
      <c r="BES267" s="18"/>
      <c r="BET267" s="18"/>
      <c r="BEU267" s="18"/>
      <c r="BEV267" s="18"/>
      <c r="BEW267" s="18"/>
      <c r="BEX267" s="18"/>
      <c r="BEY267" s="18"/>
      <c r="BEZ267" s="18"/>
      <c r="BFA267" s="18"/>
      <c r="BFB267" s="18"/>
      <c r="BFC267" s="18"/>
      <c r="BFD267" s="18"/>
      <c r="BFE267" s="18"/>
      <c r="BFF267" s="18"/>
      <c r="BFG267" s="18"/>
      <c r="BFH267" s="18"/>
      <c r="BFI267" s="18"/>
      <c r="BFJ267" s="18"/>
      <c r="BFK267" s="18"/>
      <c r="BFL267" s="18"/>
      <c r="BFM267" s="18"/>
      <c r="BFN267" s="18"/>
      <c r="BFO267" s="18"/>
      <c r="BFP267" s="18"/>
      <c r="BFQ267" s="18"/>
      <c r="BFR267" s="18"/>
      <c r="BFS267" s="18"/>
      <c r="BFT267" s="18"/>
      <c r="BFU267" s="18"/>
      <c r="BFV267" s="18"/>
      <c r="BFW267" s="18"/>
      <c r="BFX267" s="18"/>
      <c r="BFY267" s="18"/>
      <c r="BFZ267" s="18"/>
      <c r="BGA267" s="18"/>
      <c r="BGB267" s="18"/>
      <c r="BGC267" s="18"/>
      <c r="BGD267" s="18"/>
      <c r="BGE267" s="18"/>
      <c r="BGF267" s="18"/>
      <c r="BGG267" s="18"/>
      <c r="BGH267" s="18"/>
      <c r="BGI267" s="18"/>
      <c r="BGJ267" s="18"/>
      <c r="BGK267" s="18"/>
      <c r="BGL267" s="18"/>
      <c r="BGM267" s="18"/>
      <c r="BGN267" s="18"/>
      <c r="BGO267" s="18"/>
      <c r="BGP267" s="18"/>
      <c r="BGQ267" s="18"/>
      <c r="BGR267" s="18"/>
      <c r="BGS267" s="18"/>
      <c r="BGT267" s="18"/>
      <c r="BGU267" s="18"/>
      <c r="BGV267" s="18"/>
      <c r="BGW267" s="18"/>
      <c r="BGX267" s="18"/>
      <c r="BGY267" s="18"/>
      <c r="BGZ267" s="18"/>
      <c r="BHA267" s="18"/>
      <c r="BHB267" s="18"/>
      <c r="BHC267" s="18"/>
      <c r="BHD267" s="18"/>
      <c r="BHE267" s="18"/>
      <c r="BHF267" s="18"/>
      <c r="BHG267" s="18"/>
      <c r="BHH267" s="18"/>
      <c r="BHI267" s="18"/>
      <c r="BHJ267" s="18"/>
      <c r="BHK267" s="18"/>
      <c r="BHL267" s="18"/>
      <c r="BHM267" s="18"/>
      <c r="BHN267" s="18"/>
      <c r="BHO267" s="18"/>
      <c r="BHP267" s="18"/>
      <c r="BHQ267" s="18"/>
      <c r="BHR267" s="18"/>
      <c r="BHS267" s="18"/>
      <c r="BHT267" s="18"/>
      <c r="BHU267" s="18"/>
      <c r="BHV267" s="18"/>
      <c r="BHW267" s="18"/>
      <c r="BHX267" s="18"/>
      <c r="BHY267" s="18"/>
      <c r="BHZ267" s="18"/>
      <c r="BIA267" s="18"/>
      <c r="BIB267" s="18"/>
      <c r="BIC267" s="18"/>
      <c r="BID267" s="18"/>
      <c r="BIE267" s="18"/>
      <c r="BIF267" s="18"/>
      <c r="BIG267" s="18"/>
      <c r="BIH267" s="18"/>
      <c r="BII267" s="18"/>
      <c r="BIJ267" s="18"/>
      <c r="BIK267" s="18"/>
      <c r="BIL267" s="18"/>
      <c r="BIM267" s="18"/>
      <c r="BIN267" s="18"/>
      <c r="BIO267" s="18"/>
      <c r="BIP267" s="18"/>
      <c r="BIQ267" s="18"/>
      <c r="BIR267" s="18"/>
      <c r="BIS267" s="18"/>
      <c r="BIT267" s="18"/>
      <c r="BIU267" s="18"/>
      <c r="BIV267" s="18"/>
      <c r="BIW267" s="18"/>
      <c r="BIX267" s="18"/>
      <c r="BIY267" s="18"/>
      <c r="BIZ267" s="18"/>
      <c r="BJA267" s="18"/>
      <c r="BJB267" s="18"/>
      <c r="BJC267" s="18"/>
      <c r="BJD267" s="18"/>
      <c r="BJE267" s="18"/>
      <c r="BJF267" s="18"/>
      <c r="BJG267" s="18"/>
      <c r="BJH267" s="18"/>
      <c r="BJI267" s="18"/>
      <c r="BJJ267" s="18"/>
      <c r="BJK267" s="18"/>
      <c r="BJL267" s="18"/>
      <c r="BJM267" s="18"/>
      <c r="BJN267" s="18"/>
      <c r="BJO267" s="18"/>
      <c r="BJP267" s="18"/>
      <c r="BJQ267" s="18"/>
      <c r="BJR267" s="18"/>
      <c r="BJS267" s="18"/>
      <c r="BJT267" s="18"/>
      <c r="BJU267" s="18"/>
      <c r="BJV267" s="18"/>
      <c r="BJW267" s="18"/>
      <c r="BJX267" s="18"/>
      <c r="BJY267" s="18"/>
      <c r="BJZ267" s="18"/>
      <c r="BKA267" s="18"/>
      <c r="BKB267" s="18"/>
      <c r="BKC267" s="18"/>
      <c r="BKD267" s="18"/>
      <c r="BKE267" s="18"/>
      <c r="BKF267" s="18"/>
      <c r="BKG267" s="18"/>
      <c r="BKH267" s="18"/>
      <c r="BKI267" s="18"/>
      <c r="BKJ267" s="18"/>
      <c r="BKK267" s="18"/>
      <c r="BKL267" s="18"/>
      <c r="BKM267" s="18"/>
      <c r="BKN267" s="18"/>
      <c r="BKO267" s="18"/>
      <c r="BKP267" s="18"/>
      <c r="BKQ267" s="18"/>
      <c r="BKR267" s="18"/>
      <c r="BKS267" s="18"/>
      <c r="BKT267" s="18"/>
      <c r="BKU267" s="18"/>
      <c r="BKV267" s="18"/>
      <c r="BKW267" s="18"/>
      <c r="BKX267" s="18"/>
      <c r="BKY267" s="18"/>
      <c r="BKZ267" s="18"/>
      <c r="BLA267" s="18"/>
      <c r="BLB267" s="18"/>
      <c r="BLC267" s="18"/>
      <c r="BLD267" s="18"/>
      <c r="BLE267" s="18"/>
      <c r="BLF267" s="18"/>
      <c r="BLG267" s="18"/>
      <c r="BLH267" s="18"/>
      <c r="BLI267" s="18"/>
      <c r="BLJ267" s="18"/>
      <c r="BLK267" s="18"/>
      <c r="BLL267" s="18"/>
      <c r="BLM267" s="18"/>
      <c r="BLN267" s="18"/>
      <c r="BLO267" s="18"/>
      <c r="BLP267" s="18"/>
      <c r="BLQ267" s="18"/>
      <c r="BLR267" s="18"/>
      <c r="BLS267" s="18"/>
      <c r="BLT267" s="18"/>
      <c r="BLU267" s="18"/>
      <c r="BLV267" s="18"/>
      <c r="BLW267" s="18"/>
      <c r="BLX267" s="18"/>
      <c r="BLY267" s="18"/>
      <c r="BLZ267" s="18"/>
      <c r="BMA267" s="18"/>
      <c r="BMB267" s="18"/>
      <c r="BMC267" s="18"/>
      <c r="BMD267" s="18"/>
      <c r="BME267" s="18"/>
      <c r="BMF267" s="18"/>
      <c r="BMG267" s="18"/>
      <c r="BMH267" s="18"/>
      <c r="BMI267" s="18"/>
      <c r="BMJ267" s="18"/>
      <c r="BMK267" s="18"/>
      <c r="BML267" s="18"/>
      <c r="BMM267" s="18"/>
      <c r="BMN267" s="18"/>
      <c r="BMO267" s="18"/>
      <c r="BMP267" s="18"/>
      <c r="BMQ267" s="18"/>
      <c r="BMR267" s="18"/>
      <c r="BMS267" s="18"/>
      <c r="BMT267" s="18"/>
      <c r="BMU267" s="18"/>
      <c r="BMV267" s="18"/>
      <c r="BMW267" s="18"/>
      <c r="BMX267" s="18"/>
      <c r="BMY267" s="18"/>
      <c r="BMZ267" s="18"/>
      <c r="BNA267" s="18"/>
      <c r="BNB267" s="18"/>
      <c r="BNC267" s="18"/>
      <c r="BND267" s="18"/>
      <c r="BNE267" s="18"/>
      <c r="BNF267" s="18"/>
      <c r="BNG267" s="18"/>
      <c r="BNH267" s="18"/>
      <c r="BNI267" s="18"/>
      <c r="BNJ267" s="18"/>
      <c r="BNK267" s="18"/>
      <c r="BNL267" s="18"/>
      <c r="BNM267" s="18"/>
      <c r="BNN267" s="18"/>
      <c r="BNO267" s="18"/>
      <c r="BNP267" s="18"/>
      <c r="BNQ267" s="18"/>
      <c r="BNR267" s="18"/>
      <c r="BNS267" s="18"/>
      <c r="BNT267" s="18"/>
      <c r="BNU267" s="18"/>
      <c r="BNV267" s="18"/>
      <c r="BNW267" s="18"/>
      <c r="BNX267" s="18"/>
      <c r="BNY267" s="18"/>
      <c r="BNZ267" s="18"/>
      <c r="BOA267" s="18"/>
      <c r="BOB267" s="18"/>
      <c r="BOC267" s="18"/>
      <c r="BOD267" s="18"/>
      <c r="BOE267" s="18"/>
      <c r="BOF267" s="18"/>
      <c r="BOG267" s="18"/>
      <c r="BOH267" s="18"/>
      <c r="BOI267" s="18"/>
      <c r="BOJ267" s="18"/>
      <c r="BOK267" s="18"/>
      <c r="BOL267" s="18"/>
      <c r="BOM267" s="18"/>
      <c r="BON267" s="18"/>
      <c r="BOO267" s="18"/>
      <c r="BOP267" s="18"/>
      <c r="BOQ267" s="18"/>
      <c r="BOR267" s="18"/>
      <c r="BOS267" s="18"/>
      <c r="BOT267" s="18"/>
      <c r="BOU267" s="18"/>
      <c r="BOV267" s="18"/>
      <c r="BOW267" s="18"/>
      <c r="BOX267" s="18"/>
      <c r="BOY267" s="18"/>
      <c r="BOZ267" s="18"/>
      <c r="BPA267" s="18"/>
      <c r="BPB267" s="18"/>
      <c r="BPC267" s="18"/>
      <c r="BPD267" s="18"/>
      <c r="BPE267" s="18"/>
      <c r="BPF267" s="18"/>
      <c r="BPG267" s="18"/>
      <c r="BPH267" s="18"/>
      <c r="BPI267" s="18"/>
      <c r="BPJ267" s="18"/>
      <c r="BPK267" s="18"/>
      <c r="BPL267" s="18"/>
      <c r="BPM267" s="18"/>
      <c r="BPN267" s="18"/>
      <c r="BPO267" s="18"/>
      <c r="BPP267" s="18"/>
      <c r="BPQ267" s="18"/>
      <c r="BPR267" s="18"/>
      <c r="BPS267" s="18"/>
      <c r="BPT267" s="18"/>
      <c r="BPU267" s="18"/>
      <c r="BPV267" s="18"/>
      <c r="BPW267" s="18"/>
      <c r="BPX267" s="18"/>
      <c r="BPY267" s="18"/>
      <c r="BPZ267" s="18"/>
      <c r="BQA267" s="18"/>
      <c r="BQB267" s="18"/>
      <c r="BQC267" s="18"/>
      <c r="BQD267" s="18"/>
      <c r="BQE267" s="18"/>
      <c r="BQF267" s="18"/>
      <c r="BQG267" s="18"/>
      <c r="BQH267" s="18"/>
      <c r="BQI267" s="18"/>
      <c r="BQJ267" s="18"/>
      <c r="BQK267" s="18"/>
      <c r="BQL267" s="18"/>
      <c r="BQM267" s="18"/>
      <c r="BQN267" s="18"/>
      <c r="BQO267" s="18"/>
      <c r="BQP267" s="18"/>
      <c r="BQQ267" s="18"/>
      <c r="BQR267" s="18"/>
      <c r="BQS267" s="18"/>
      <c r="BQT267" s="18"/>
      <c r="BQU267" s="18"/>
      <c r="BQV267" s="18"/>
      <c r="BQW267" s="18"/>
      <c r="BQX267" s="18"/>
      <c r="BQY267" s="18"/>
      <c r="BQZ267" s="18"/>
      <c r="BRA267" s="18"/>
      <c r="BRB267" s="18"/>
      <c r="BRC267" s="18"/>
      <c r="BRD267" s="18"/>
      <c r="BRE267" s="18"/>
      <c r="BRF267" s="18"/>
      <c r="BRG267" s="18"/>
      <c r="BRH267" s="18"/>
      <c r="BRI267" s="18"/>
      <c r="BRJ267" s="18"/>
      <c r="BRK267" s="18"/>
      <c r="BRL267" s="18"/>
      <c r="BRM267" s="18"/>
      <c r="BRN267" s="18"/>
      <c r="BRO267" s="18"/>
      <c r="BRP267" s="18"/>
      <c r="BRQ267" s="18"/>
      <c r="BRR267" s="18"/>
      <c r="BRS267" s="18"/>
      <c r="BRT267" s="18"/>
      <c r="BRU267" s="18"/>
      <c r="BRV267" s="18"/>
      <c r="BRW267" s="18"/>
      <c r="BRX267" s="18"/>
      <c r="BRY267" s="18"/>
      <c r="BRZ267" s="18"/>
      <c r="BSA267" s="18"/>
      <c r="BSB267" s="18"/>
      <c r="BSC267" s="18"/>
      <c r="BSD267" s="18"/>
      <c r="BSE267" s="18"/>
      <c r="BSF267" s="18"/>
      <c r="BSG267" s="18"/>
      <c r="BSH267" s="18"/>
      <c r="BSI267" s="18"/>
      <c r="BSJ267" s="18"/>
      <c r="BSK267" s="18"/>
      <c r="BSL267" s="18"/>
      <c r="BSM267" s="18"/>
      <c r="BSN267" s="18"/>
      <c r="BSO267" s="18"/>
      <c r="BSP267" s="18"/>
      <c r="BSQ267" s="18"/>
      <c r="BSR267" s="18"/>
      <c r="BSS267" s="18"/>
      <c r="BST267" s="18"/>
      <c r="BSU267" s="18"/>
      <c r="BSV267" s="18"/>
      <c r="BSW267" s="18"/>
      <c r="BSX267" s="18"/>
      <c r="BSY267" s="18"/>
      <c r="BSZ267" s="18"/>
      <c r="BTA267" s="18"/>
      <c r="BTB267" s="18"/>
      <c r="BTC267" s="18"/>
      <c r="BTD267" s="18"/>
      <c r="BTE267" s="18"/>
      <c r="BTF267" s="18"/>
      <c r="BTG267" s="18"/>
      <c r="BTH267" s="18"/>
      <c r="BTI267" s="18"/>
    </row>
    <row r="268" spans="1:1881" s="798" customFormat="1" ht="90" customHeight="1" x14ac:dyDescent="0.3">
      <c r="A268" s="105">
        <v>619</v>
      </c>
      <c r="B268" s="701" t="s">
        <v>59</v>
      </c>
      <c r="C268" s="701" t="s">
        <v>700</v>
      </c>
      <c r="D268" s="92" t="s">
        <v>711</v>
      </c>
      <c r="E268" s="35" t="e">
        <f>HLOOKUP($D$2,'2020 Data(H)'!$C$1:$CZ$428,279,FALSE)</f>
        <v>#N/A</v>
      </c>
      <c r="F268" s="929">
        <v>0</v>
      </c>
      <c r="G268" s="803" t="str">
        <f>IF(ISBLANK(F268),"Please do not leave blank ",IF(F268=H268,"","Please review percentage"))</f>
        <v/>
      </c>
      <c r="H268" s="804">
        <f>ROUND(IFERROR((F267/F266)*100,0),1)</f>
        <v>0</v>
      </c>
      <c r="I268" s="302"/>
      <c r="J268" s="18"/>
      <c r="K268" s="18"/>
      <c r="L268" s="18"/>
      <c r="M268" s="18"/>
      <c r="N268" s="302"/>
      <c r="O268" s="18"/>
      <c r="P268" s="18"/>
      <c r="Q268" s="18"/>
      <c r="R268" s="18"/>
      <c r="S268" s="18"/>
      <c r="T268" s="18"/>
      <c r="U268" s="18"/>
      <c r="V268" s="18"/>
      <c r="W268" s="18"/>
      <c r="X268" s="18"/>
      <c r="Y268" s="18"/>
      <c r="Z268" s="105"/>
      <c r="AA268" s="105"/>
      <c r="AB268" s="105"/>
      <c r="AC268" s="105"/>
      <c r="AD268" s="105"/>
      <c r="AE268" s="105"/>
      <c r="AF268" s="105"/>
      <c r="AG268" s="105"/>
      <c r="AH268" s="105"/>
      <c r="AI268" s="105"/>
      <c r="AJ268" s="105"/>
      <c r="AK268" s="105"/>
      <c r="AL268" s="105"/>
      <c r="AM268" s="105"/>
      <c r="AN268" s="105"/>
      <c r="AO268" s="105"/>
      <c r="AP268" s="105"/>
      <c r="AQ268" s="105"/>
      <c r="AR268" s="105"/>
      <c r="AS268" s="18"/>
      <c r="AT268" s="18"/>
      <c r="AU268" s="18"/>
      <c r="AV268" s="18"/>
      <c r="AW268" s="18"/>
      <c r="AX268" s="18"/>
      <c r="AY268" s="18"/>
      <c r="AZ268" s="18"/>
      <c r="BA268" s="18"/>
      <c r="BB268" s="18"/>
      <c r="BC268" s="18"/>
      <c r="BD268" s="18"/>
      <c r="BE268" s="18"/>
      <c r="BF268" s="18"/>
      <c r="BG268" s="18"/>
      <c r="BH268" s="18"/>
      <c r="BI268" s="18"/>
      <c r="BJ268" s="18"/>
      <c r="BK268" s="18"/>
      <c r="BL268" s="18"/>
      <c r="BM268" s="18"/>
      <c r="BN268" s="18"/>
      <c r="BO268" s="18"/>
      <c r="BP268" s="18"/>
      <c r="BQ268" s="18"/>
      <c r="BR268" s="18"/>
      <c r="BS268" s="18"/>
      <c r="BT268" s="18"/>
      <c r="BU268" s="18"/>
      <c r="BV268" s="18"/>
      <c r="BW268" s="18"/>
      <c r="BX268" s="18"/>
      <c r="BY268" s="18"/>
      <c r="BZ268" s="18"/>
      <c r="CA268" s="18"/>
      <c r="CB268" s="18"/>
      <c r="CC268" s="18"/>
      <c r="CD268" s="18"/>
      <c r="CE268" s="18"/>
      <c r="CF268" s="18"/>
      <c r="CG268" s="18"/>
      <c r="CH268" s="18"/>
      <c r="CI268" s="18"/>
      <c r="CJ268" s="18"/>
      <c r="CK268" s="18"/>
      <c r="CL268" s="18"/>
      <c r="CM268" s="18"/>
      <c r="CN268" s="18"/>
      <c r="CO268" s="18"/>
      <c r="CP268" s="18"/>
      <c r="CQ268" s="18"/>
      <c r="CR268" s="18"/>
      <c r="CS268" s="18"/>
      <c r="CT268" s="18"/>
      <c r="CU268" s="18"/>
      <c r="CV268" s="18"/>
      <c r="CW268" s="18"/>
      <c r="CX268" s="18"/>
      <c r="CY268" s="18"/>
      <c r="CZ268" s="18"/>
      <c r="DA268" s="18"/>
      <c r="DB268" s="18"/>
      <c r="DC268" s="18"/>
      <c r="DD268" s="18"/>
      <c r="DE268" s="18"/>
      <c r="DF268" s="18"/>
      <c r="DG268" s="18"/>
      <c r="DH268" s="18"/>
      <c r="DI268" s="18"/>
      <c r="DJ268" s="18"/>
      <c r="DK268" s="18"/>
      <c r="DL268" s="18"/>
      <c r="DM268" s="18"/>
      <c r="DN268" s="18"/>
      <c r="DO268" s="18"/>
      <c r="DP268" s="18"/>
      <c r="DQ268" s="18"/>
      <c r="DR268" s="18"/>
      <c r="DS268" s="18"/>
      <c r="DT268" s="18"/>
      <c r="DU268" s="18"/>
      <c r="DV268" s="18"/>
      <c r="DW268" s="18"/>
      <c r="DX268" s="18"/>
      <c r="DY268" s="18"/>
      <c r="DZ268" s="18"/>
      <c r="EA268" s="18"/>
      <c r="EB268" s="18"/>
      <c r="EC268" s="18"/>
      <c r="ED268" s="18"/>
      <c r="EE268" s="18"/>
      <c r="EF268" s="18"/>
      <c r="EG268" s="18"/>
      <c r="EH268" s="18"/>
      <c r="EI268" s="18"/>
      <c r="EJ268" s="18"/>
      <c r="EK268" s="18"/>
      <c r="EL268" s="18"/>
      <c r="EM268" s="18"/>
      <c r="EN268" s="18"/>
      <c r="EO268" s="18"/>
      <c r="EP268" s="18"/>
      <c r="EQ268" s="18"/>
      <c r="ER268" s="18"/>
      <c r="ES268" s="18"/>
      <c r="ET268" s="18"/>
      <c r="EU268" s="18"/>
      <c r="EV268" s="18"/>
      <c r="EW268" s="18"/>
      <c r="EX268" s="18"/>
      <c r="EY268" s="18"/>
      <c r="EZ268" s="18"/>
      <c r="FA268" s="18"/>
      <c r="FB268" s="18"/>
      <c r="FC268" s="18"/>
      <c r="FD268" s="18"/>
      <c r="FE268" s="18"/>
      <c r="FF268" s="18"/>
      <c r="FG268" s="18"/>
      <c r="FH268" s="18"/>
      <c r="FI268" s="18"/>
      <c r="FJ268" s="18"/>
      <c r="FK268" s="18"/>
      <c r="FL268" s="18"/>
      <c r="FM268" s="18"/>
      <c r="FN268" s="18"/>
      <c r="FO268" s="18"/>
      <c r="FP268" s="18"/>
      <c r="FQ268" s="18"/>
      <c r="FR268" s="18"/>
      <c r="FS268" s="18"/>
      <c r="FT268" s="18"/>
      <c r="FU268" s="18"/>
      <c r="FV268" s="18"/>
      <c r="FW268" s="18"/>
      <c r="FX268" s="18"/>
      <c r="FY268" s="18"/>
      <c r="FZ268" s="18"/>
      <c r="GA268" s="18"/>
      <c r="GB268" s="18"/>
      <c r="GC268" s="18"/>
      <c r="GD268" s="18"/>
      <c r="GE268" s="18"/>
      <c r="GF268" s="18"/>
      <c r="GG268" s="18"/>
      <c r="GH268" s="18"/>
      <c r="GI268" s="18"/>
      <c r="GJ268" s="18"/>
      <c r="GK268" s="18"/>
      <c r="GL268" s="18"/>
      <c r="GM268" s="18"/>
      <c r="GN268" s="18"/>
      <c r="GO268" s="18"/>
      <c r="GP268" s="18"/>
      <c r="GQ268" s="18"/>
      <c r="GR268" s="18"/>
      <c r="GS268" s="18"/>
      <c r="GT268" s="18"/>
      <c r="GU268" s="18"/>
      <c r="GV268" s="18"/>
      <c r="GW268" s="18"/>
      <c r="GX268" s="18"/>
      <c r="GY268" s="18"/>
      <c r="GZ268" s="18"/>
      <c r="HA268" s="18"/>
      <c r="HB268" s="18"/>
      <c r="HC268" s="18"/>
      <c r="HD268" s="18"/>
      <c r="HE268" s="18"/>
      <c r="HF268" s="18"/>
      <c r="HG268" s="18"/>
      <c r="HH268" s="18"/>
      <c r="HI268" s="18"/>
      <c r="HJ268" s="18"/>
      <c r="HK268" s="18"/>
      <c r="HL268" s="18"/>
      <c r="HM268" s="18"/>
      <c r="HN268" s="18"/>
      <c r="HO268" s="18"/>
      <c r="HP268" s="18"/>
      <c r="HQ268" s="18"/>
      <c r="HR268" s="18"/>
      <c r="HS268" s="18"/>
      <c r="HT268" s="18"/>
      <c r="HU268" s="18"/>
      <c r="HV268" s="18"/>
      <c r="HW268" s="18"/>
      <c r="HX268" s="18"/>
      <c r="HY268" s="18"/>
      <c r="HZ268" s="18"/>
      <c r="IA268" s="18"/>
      <c r="IB268" s="18"/>
      <c r="IC268" s="18"/>
      <c r="ID268" s="18"/>
      <c r="IE268" s="18"/>
      <c r="IF268" s="18"/>
      <c r="IG268" s="18"/>
      <c r="IH268" s="18"/>
      <c r="II268" s="18"/>
      <c r="IJ268" s="18"/>
      <c r="IK268" s="18"/>
      <c r="IL268" s="18"/>
      <c r="IM268" s="18"/>
      <c r="IN268" s="18"/>
      <c r="IO268" s="18"/>
      <c r="IP268" s="18"/>
      <c r="IQ268" s="18"/>
      <c r="IR268" s="18"/>
      <c r="IS268" s="18"/>
      <c r="IT268" s="18"/>
      <c r="IU268" s="18"/>
      <c r="IV268" s="18"/>
      <c r="IW268" s="18"/>
      <c r="IX268" s="18"/>
      <c r="IY268" s="18"/>
      <c r="IZ268" s="18"/>
      <c r="JA268" s="18"/>
      <c r="JB268" s="18"/>
      <c r="JC268" s="18"/>
      <c r="JD268" s="18"/>
      <c r="JE268" s="18"/>
      <c r="JF268" s="18"/>
      <c r="JG268" s="18"/>
      <c r="JH268" s="18"/>
      <c r="JI268" s="18"/>
      <c r="JJ268" s="18"/>
      <c r="JK268" s="18"/>
      <c r="JL268" s="18"/>
      <c r="JM268" s="18"/>
      <c r="JN268" s="18"/>
      <c r="JO268" s="18"/>
      <c r="JP268" s="18"/>
      <c r="JQ268" s="18"/>
      <c r="JR268" s="18"/>
      <c r="JS268" s="18"/>
      <c r="JT268" s="18"/>
      <c r="JU268" s="18"/>
      <c r="JV268" s="18"/>
      <c r="JW268" s="18"/>
      <c r="JX268" s="18"/>
      <c r="JY268" s="18"/>
      <c r="JZ268" s="18"/>
      <c r="KA268" s="18"/>
      <c r="KB268" s="18"/>
      <c r="KC268" s="18"/>
      <c r="KD268" s="18"/>
      <c r="KE268" s="18"/>
      <c r="KF268" s="18"/>
      <c r="KG268" s="18"/>
      <c r="KH268" s="18"/>
      <c r="KI268" s="18"/>
      <c r="KJ268" s="18"/>
      <c r="KK268" s="18"/>
      <c r="KL268" s="18"/>
      <c r="KM268" s="18"/>
      <c r="KN268" s="18"/>
      <c r="KO268" s="18"/>
      <c r="KP268" s="18"/>
      <c r="KQ268" s="18"/>
      <c r="KR268" s="18"/>
      <c r="KS268" s="18"/>
      <c r="KT268" s="18"/>
      <c r="KU268" s="18"/>
      <c r="KV268" s="18"/>
      <c r="KW268" s="18"/>
      <c r="KX268" s="18"/>
      <c r="KY268" s="18"/>
      <c r="KZ268" s="18"/>
      <c r="LA268" s="18"/>
      <c r="LB268" s="18"/>
      <c r="LC268" s="18"/>
      <c r="LD268" s="18"/>
      <c r="LE268" s="18"/>
      <c r="LF268" s="18"/>
      <c r="LG268" s="18"/>
      <c r="LH268" s="18"/>
      <c r="LI268" s="18"/>
      <c r="LJ268" s="18"/>
      <c r="LK268" s="18"/>
      <c r="LL268" s="18"/>
      <c r="LM268" s="18"/>
      <c r="LN268" s="18"/>
      <c r="LO268" s="18"/>
      <c r="LP268" s="18"/>
      <c r="LQ268" s="18"/>
      <c r="LR268" s="18"/>
      <c r="LS268" s="18"/>
      <c r="LT268" s="18"/>
      <c r="LU268" s="18"/>
      <c r="LV268" s="18"/>
      <c r="LW268" s="18"/>
      <c r="LX268" s="18"/>
      <c r="LY268" s="18"/>
      <c r="LZ268" s="18"/>
      <c r="MA268" s="18"/>
      <c r="MB268" s="18"/>
      <c r="MC268" s="18"/>
      <c r="MD268" s="18"/>
      <c r="ME268" s="18"/>
      <c r="MF268" s="18"/>
      <c r="MG268" s="18"/>
      <c r="MH268" s="18"/>
      <c r="MI268" s="18"/>
      <c r="MJ268" s="18"/>
      <c r="MK268" s="18"/>
      <c r="ML268" s="18"/>
      <c r="MM268" s="18"/>
      <c r="MN268" s="18"/>
      <c r="MO268" s="18"/>
      <c r="MP268" s="18"/>
      <c r="MQ268" s="18"/>
      <c r="MR268" s="18"/>
      <c r="MS268" s="18"/>
      <c r="MT268" s="18"/>
      <c r="MU268" s="18"/>
      <c r="MV268" s="18"/>
      <c r="MW268" s="18"/>
      <c r="MX268" s="18"/>
      <c r="MY268" s="18"/>
      <c r="MZ268" s="18"/>
      <c r="NA268" s="18"/>
      <c r="NB268" s="18"/>
      <c r="NC268" s="18"/>
      <c r="ND268" s="18"/>
      <c r="NE268" s="18"/>
      <c r="NF268" s="18"/>
      <c r="NG268" s="18"/>
      <c r="NH268" s="18"/>
      <c r="NI268" s="18"/>
      <c r="NJ268" s="18"/>
      <c r="NK268" s="18"/>
      <c r="NL268" s="18"/>
      <c r="NM268" s="18"/>
      <c r="NN268" s="18"/>
      <c r="NO268" s="18"/>
      <c r="NP268" s="18"/>
      <c r="NQ268" s="18"/>
      <c r="NR268" s="18"/>
      <c r="NS268" s="18"/>
      <c r="NT268" s="18"/>
      <c r="NU268" s="18"/>
      <c r="NV268" s="18"/>
      <c r="NW268" s="18"/>
      <c r="NX268" s="18"/>
      <c r="NY268" s="18"/>
      <c r="NZ268" s="18"/>
      <c r="OA268" s="18"/>
      <c r="OB268" s="18"/>
      <c r="OC268" s="18"/>
      <c r="OD268" s="18"/>
      <c r="OE268" s="18"/>
      <c r="OF268" s="18"/>
      <c r="OG268" s="18"/>
      <c r="OH268" s="18"/>
      <c r="OI268" s="18"/>
      <c r="OJ268" s="18"/>
      <c r="OK268" s="18"/>
      <c r="OL268" s="18"/>
      <c r="OM268" s="18"/>
      <c r="ON268" s="18"/>
      <c r="OO268" s="18"/>
      <c r="OP268" s="18"/>
      <c r="OQ268" s="18"/>
      <c r="OR268" s="18"/>
      <c r="OS268" s="18"/>
      <c r="OT268" s="18"/>
      <c r="OU268" s="18"/>
      <c r="OV268" s="18"/>
      <c r="OW268" s="18"/>
      <c r="OX268" s="18"/>
      <c r="OY268" s="18"/>
      <c r="OZ268" s="18"/>
      <c r="PA268" s="18"/>
      <c r="PB268" s="18"/>
      <c r="PC268" s="18"/>
      <c r="PD268" s="18"/>
      <c r="PE268" s="18"/>
      <c r="PF268" s="18"/>
      <c r="PG268" s="18"/>
      <c r="PH268" s="18"/>
      <c r="PI268" s="18"/>
      <c r="PJ268" s="18"/>
      <c r="PK268" s="18"/>
      <c r="PL268" s="18"/>
      <c r="PM268" s="18"/>
      <c r="PN268" s="18"/>
      <c r="PO268" s="18"/>
      <c r="PP268" s="18"/>
      <c r="PQ268" s="18"/>
      <c r="PR268" s="18"/>
      <c r="PS268" s="18"/>
      <c r="PT268" s="18"/>
      <c r="PU268" s="18"/>
      <c r="PV268" s="18"/>
      <c r="PW268" s="18"/>
      <c r="PX268" s="18"/>
      <c r="PY268" s="18"/>
      <c r="PZ268" s="18"/>
      <c r="QA268" s="18"/>
      <c r="QB268" s="18"/>
      <c r="QC268" s="18"/>
      <c r="QD268" s="18"/>
      <c r="QE268" s="18"/>
      <c r="QF268" s="18"/>
      <c r="QG268" s="18"/>
      <c r="QH268" s="18"/>
      <c r="QI268" s="18"/>
      <c r="QJ268" s="18"/>
      <c r="QK268" s="18"/>
      <c r="QL268" s="18"/>
      <c r="QM268" s="18"/>
      <c r="QN268" s="18"/>
      <c r="QO268" s="18"/>
      <c r="QP268" s="18"/>
      <c r="QQ268" s="18"/>
      <c r="QR268" s="18"/>
      <c r="QS268" s="18"/>
      <c r="QT268" s="18"/>
      <c r="QU268" s="18"/>
      <c r="QV268" s="18"/>
      <c r="QW268" s="18"/>
      <c r="QX268" s="18"/>
      <c r="QY268" s="18"/>
      <c r="QZ268" s="18"/>
      <c r="RA268" s="18"/>
      <c r="RB268" s="18"/>
      <c r="RC268" s="18"/>
      <c r="RD268" s="18"/>
      <c r="RE268" s="18"/>
      <c r="RF268" s="18"/>
      <c r="RG268" s="18"/>
      <c r="RH268" s="18"/>
      <c r="RI268" s="18"/>
      <c r="RJ268" s="18"/>
      <c r="RK268" s="18"/>
      <c r="RL268" s="18"/>
      <c r="RM268" s="18"/>
      <c r="RN268" s="18"/>
      <c r="RO268" s="18"/>
      <c r="RP268" s="18"/>
      <c r="RQ268" s="18"/>
      <c r="RR268" s="18"/>
      <c r="RS268" s="18"/>
      <c r="RT268" s="18"/>
      <c r="RU268" s="18"/>
      <c r="RV268" s="18"/>
      <c r="RW268" s="18"/>
      <c r="RX268" s="18"/>
      <c r="RY268" s="18"/>
      <c r="RZ268" s="18"/>
      <c r="SA268" s="18"/>
      <c r="SB268" s="18"/>
      <c r="SC268" s="18"/>
      <c r="SD268" s="18"/>
      <c r="SE268" s="18"/>
      <c r="SF268" s="18"/>
      <c r="SG268" s="18"/>
      <c r="SH268" s="18"/>
      <c r="SI268" s="18"/>
      <c r="SJ268" s="18"/>
      <c r="SK268" s="18"/>
      <c r="SL268" s="18"/>
      <c r="SM268" s="18"/>
      <c r="SN268" s="18"/>
      <c r="SO268" s="18"/>
      <c r="SP268" s="18"/>
      <c r="SQ268" s="18"/>
      <c r="SR268" s="18"/>
      <c r="SS268" s="18"/>
      <c r="ST268" s="18"/>
      <c r="SU268" s="18"/>
      <c r="SV268" s="18"/>
      <c r="SW268" s="18"/>
      <c r="SX268" s="18"/>
      <c r="SY268" s="18"/>
      <c r="SZ268" s="18"/>
      <c r="TA268" s="18"/>
      <c r="TB268" s="18"/>
      <c r="TC268" s="18"/>
      <c r="TD268" s="18"/>
      <c r="TE268" s="18"/>
      <c r="TF268" s="18"/>
      <c r="TG268" s="18"/>
      <c r="TH268" s="18"/>
      <c r="TI268" s="18"/>
      <c r="TJ268" s="18"/>
      <c r="TK268" s="18"/>
      <c r="TL268" s="18"/>
      <c r="TM268" s="18"/>
      <c r="TN268" s="18"/>
      <c r="TO268" s="18"/>
      <c r="TP268" s="18"/>
      <c r="TQ268" s="18"/>
      <c r="TR268" s="18"/>
      <c r="TS268" s="18"/>
      <c r="TT268" s="18"/>
      <c r="TU268" s="18"/>
      <c r="TV268" s="18"/>
      <c r="TW268" s="18"/>
      <c r="TX268" s="18"/>
      <c r="TY268" s="18"/>
      <c r="TZ268" s="18"/>
      <c r="UA268" s="18"/>
      <c r="UB268" s="18"/>
      <c r="UC268" s="18"/>
      <c r="UD268" s="18"/>
      <c r="UE268" s="18"/>
      <c r="UF268" s="18"/>
      <c r="UG268" s="18"/>
      <c r="UH268" s="18"/>
      <c r="UI268" s="18"/>
      <c r="UJ268" s="18"/>
      <c r="UK268" s="18"/>
      <c r="UL268" s="18"/>
      <c r="UM268" s="18"/>
      <c r="UN268" s="18"/>
      <c r="UO268" s="18"/>
      <c r="UP268" s="18"/>
      <c r="UQ268" s="18"/>
      <c r="UR268" s="18"/>
      <c r="US268" s="18"/>
      <c r="UT268" s="18"/>
      <c r="UU268" s="18"/>
      <c r="UV268" s="18"/>
      <c r="UW268" s="18"/>
      <c r="UX268" s="18"/>
      <c r="UY268" s="18"/>
      <c r="UZ268" s="18"/>
      <c r="VA268" s="18"/>
      <c r="VB268" s="18"/>
      <c r="VC268" s="18"/>
      <c r="VD268" s="18"/>
      <c r="VE268" s="18"/>
      <c r="VF268" s="18"/>
      <c r="VG268" s="18"/>
      <c r="VH268" s="18"/>
      <c r="VI268" s="18"/>
      <c r="VJ268" s="18"/>
      <c r="VK268" s="18"/>
      <c r="VL268" s="18"/>
      <c r="VM268" s="18"/>
      <c r="VN268" s="18"/>
      <c r="VO268" s="18"/>
      <c r="VP268" s="18"/>
      <c r="VQ268" s="18"/>
      <c r="VR268" s="18"/>
      <c r="VS268" s="18"/>
      <c r="VT268" s="18"/>
      <c r="VU268" s="18"/>
      <c r="VV268" s="18"/>
      <c r="VW268" s="18"/>
      <c r="VX268" s="18"/>
      <c r="VY268" s="18"/>
      <c r="VZ268" s="18"/>
      <c r="WA268" s="18"/>
      <c r="WB268" s="18"/>
      <c r="WC268" s="18"/>
      <c r="WD268" s="18"/>
      <c r="WE268" s="18"/>
      <c r="WF268" s="18"/>
      <c r="WG268" s="18"/>
      <c r="WH268" s="18"/>
      <c r="WI268" s="18"/>
      <c r="WJ268" s="18"/>
      <c r="WK268" s="18"/>
      <c r="WL268" s="18"/>
      <c r="WM268" s="18"/>
      <c r="WN268" s="18"/>
      <c r="WO268" s="18"/>
      <c r="WP268" s="18"/>
      <c r="WQ268" s="18"/>
      <c r="WR268" s="18"/>
      <c r="WS268" s="18"/>
      <c r="WT268" s="18"/>
      <c r="WU268" s="18"/>
      <c r="WV268" s="18"/>
      <c r="WW268" s="18"/>
      <c r="WX268" s="18"/>
      <c r="WY268" s="18"/>
      <c r="WZ268" s="18"/>
      <c r="XA268" s="18"/>
      <c r="XB268" s="18"/>
      <c r="XC268" s="18"/>
      <c r="XD268" s="18"/>
      <c r="XE268" s="18"/>
      <c r="XF268" s="18"/>
      <c r="XG268" s="18"/>
      <c r="XH268" s="18"/>
      <c r="XI268" s="18"/>
      <c r="XJ268" s="18"/>
      <c r="XK268" s="18"/>
      <c r="XL268" s="18"/>
      <c r="XM268" s="18"/>
      <c r="XN268" s="18"/>
      <c r="XO268" s="18"/>
      <c r="XP268" s="18"/>
      <c r="XQ268" s="18"/>
      <c r="XR268" s="18"/>
      <c r="XS268" s="18"/>
      <c r="XT268" s="18"/>
      <c r="XU268" s="18"/>
      <c r="XV268" s="18"/>
      <c r="XW268" s="18"/>
      <c r="XX268" s="18"/>
      <c r="XY268" s="18"/>
      <c r="XZ268" s="18"/>
      <c r="YA268" s="18"/>
      <c r="YB268" s="18"/>
      <c r="YC268" s="18"/>
      <c r="YD268" s="18"/>
      <c r="YE268" s="18"/>
      <c r="YF268" s="18"/>
      <c r="YG268" s="18"/>
      <c r="YH268" s="18"/>
      <c r="YI268" s="18"/>
      <c r="YJ268" s="18"/>
      <c r="YK268" s="18"/>
      <c r="YL268" s="18"/>
      <c r="YM268" s="18"/>
      <c r="YN268" s="18"/>
      <c r="YO268" s="18"/>
      <c r="YP268" s="18"/>
      <c r="YQ268" s="18"/>
      <c r="YR268" s="18"/>
      <c r="YS268" s="18"/>
      <c r="YT268" s="18"/>
      <c r="YU268" s="18"/>
      <c r="YV268" s="18"/>
      <c r="YW268" s="18"/>
      <c r="YX268" s="18"/>
      <c r="YY268" s="18"/>
      <c r="YZ268" s="18"/>
      <c r="ZA268" s="18"/>
      <c r="ZB268" s="18"/>
      <c r="ZC268" s="18"/>
      <c r="ZD268" s="18"/>
      <c r="ZE268" s="18"/>
      <c r="ZF268" s="18"/>
      <c r="ZG268" s="18"/>
      <c r="ZH268" s="18"/>
      <c r="ZI268" s="18"/>
      <c r="ZJ268" s="18"/>
      <c r="ZK268" s="18"/>
      <c r="ZL268" s="18"/>
      <c r="ZM268" s="18"/>
      <c r="ZN268" s="18"/>
      <c r="ZO268" s="18"/>
      <c r="ZP268" s="18"/>
      <c r="ZQ268" s="18"/>
      <c r="ZR268" s="18"/>
      <c r="ZS268" s="18"/>
      <c r="ZT268" s="18"/>
      <c r="ZU268" s="18"/>
      <c r="ZV268" s="18"/>
      <c r="ZW268" s="18"/>
      <c r="ZX268" s="18"/>
      <c r="ZY268" s="18"/>
      <c r="ZZ268" s="18"/>
      <c r="AAA268" s="18"/>
      <c r="AAB268" s="18"/>
      <c r="AAC268" s="18"/>
      <c r="AAD268" s="18"/>
      <c r="AAE268" s="18"/>
      <c r="AAF268" s="18"/>
      <c r="AAG268" s="18"/>
      <c r="AAH268" s="18"/>
      <c r="AAI268" s="18"/>
      <c r="AAJ268" s="18"/>
      <c r="AAK268" s="18"/>
      <c r="AAL268" s="18"/>
      <c r="AAM268" s="18"/>
      <c r="AAN268" s="18"/>
      <c r="AAO268" s="18"/>
      <c r="AAP268" s="18"/>
      <c r="AAQ268" s="18"/>
      <c r="AAR268" s="18"/>
      <c r="AAS268" s="18"/>
      <c r="AAT268" s="18"/>
      <c r="AAU268" s="18"/>
      <c r="AAV268" s="18"/>
      <c r="AAW268" s="18"/>
      <c r="AAX268" s="18"/>
      <c r="AAY268" s="18"/>
      <c r="AAZ268" s="18"/>
      <c r="ABA268" s="18"/>
      <c r="ABB268" s="18"/>
      <c r="ABC268" s="18"/>
      <c r="ABD268" s="18"/>
      <c r="ABE268" s="18"/>
      <c r="ABF268" s="18"/>
      <c r="ABG268" s="18"/>
      <c r="ABH268" s="18"/>
      <c r="ABI268" s="18"/>
      <c r="ABJ268" s="18"/>
      <c r="ABK268" s="18"/>
      <c r="ABL268" s="18"/>
      <c r="ABM268" s="18"/>
      <c r="ABN268" s="18"/>
      <c r="ABO268" s="18"/>
      <c r="ABP268" s="18"/>
      <c r="ABQ268" s="18"/>
      <c r="ABR268" s="18"/>
      <c r="ABS268" s="18"/>
      <c r="ABT268" s="18"/>
      <c r="ABU268" s="18"/>
      <c r="ABV268" s="18"/>
      <c r="ABW268" s="18"/>
      <c r="ABX268" s="18"/>
      <c r="ABY268" s="18"/>
      <c r="ABZ268" s="18"/>
      <c r="ACA268" s="18"/>
      <c r="ACB268" s="18"/>
      <c r="ACC268" s="18"/>
      <c r="ACD268" s="18"/>
      <c r="ACE268" s="18"/>
      <c r="ACF268" s="18"/>
      <c r="ACG268" s="18"/>
      <c r="ACH268" s="18"/>
      <c r="ACI268" s="18"/>
      <c r="ACJ268" s="18"/>
      <c r="ACK268" s="18"/>
      <c r="ACL268" s="18"/>
      <c r="ACM268" s="18"/>
      <c r="ACN268" s="18"/>
      <c r="ACO268" s="18"/>
      <c r="ACP268" s="18"/>
      <c r="ACQ268" s="18"/>
      <c r="ACR268" s="18"/>
      <c r="ACS268" s="18"/>
      <c r="ACT268" s="18"/>
      <c r="ACU268" s="18"/>
      <c r="ACV268" s="18"/>
      <c r="ACW268" s="18"/>
      <c r="ACX268" s="18"/>
      <c r="ACY268" s="18"/>
      <c r="ACZ268" s="18"/>
      <c r="ADA268" s="18"/>
      <c r="ADB268" s="18"/>
      <c r="ADC268" s="18"/>
      <c r="ADD268" s="18"/>
      <c r="ADE268" s="18"/>
      <c r="ADF268" s="18"/>
      <c r="ADG268" s="18"/>
      <c r="ADH268" s="18"/>
      <c r="ADI268" s="18"/>
      <c r="ADJ268" s="18"/>
      <c r="ADK268" s="18"/>
      <c r="ADL268" s="18"/>
      <c r="ADM268" s="18"/>
      <c r="ADN268" s="18"/>
      <c r="ADO268" s="18"/>
      <c r="ADP268" s="18"/>
      <c r="ADQ268" s="18"/>
      <c r="ADR268" s="18"/>
      <c r="ADS268" s="18"/>
      <c r="ADT268" s="18"/>
      <c r="ADU268" s="18"/>
      <c r="ADV268" s="18"/>
      <c r="ADW268" s="18"/>
      <c r="ADX268" s="18"/>
      <c r="ADY268" s="18"/>
      <c r="ADZ268" s="18"/>
      <c r="AEA268" s="18"/>
      <c r="AEB268" s="18"/>
      <c r="AEC268" s="18"/>
      <c r="AED268" s="18"/>
      <c r="AEE268" s="18"/>
      <c r="AEF268" s="18"/>
      <c r="AEG268" s="18"/>
      <c r="AEH268" s="18"/>
      <c r="AEI268" s="18"/>
      <c r="AEJ268" s="18"/>
      <c r="AEK268" s="18"/>
      <c r="AEL268" s="18"/>
      <c r="AEM268" s="18"/>
      <c r="AEN268" s="18"/>
      <c r="AEO268" s="18"/>
      <c r="AEP268" s="18"/>
      <c r="AEQ268" s="18"/>
      <c r="AER268" s="18"/>
      <c r="AES268" s="18"/>
      <c r="AET268" s="18"/>
      <c r="AEU268" s="18"/>
      <c r="AEV268" s="18"/>
      <c r="AEW268" s="18"/>
      <c r="AEX268" s="18"/>
      <c r="AEY268" s="18"/>
      <c r="AEZ268" s="18"/>
      <c r="AFA268" s="18"/>
      <c r="AFB268" s="18"/>
      <c r="AFC268" s="18"/>
      <c r="AFD268" s="18"/>
      <c r="AFE268" s="18"/>
      <c r="AFF268" s="18"/>
      <c r="AFG268" s="18"/>
      <c r="AFH268" s="18"/>
      <c r="AFI268" s="18"/>
      <c r="AFJ268" s="18"/>
      <c r="AFK268" s="18"/>
      <c r="AFL268" s="18"/>
      <c r="AFM268" s="18"/>
      <c r="AFN268" s="18"/>
      <c r="AFO268" s="18"/>
      <c r="AFP268" s="18"/>
      <c r="AFQ268" s="18"/>
      <c r="AFR268" s="18"/>
      <c r="AFS268" s="18"/>
      <c r="AFT268" s="18"/>
      <c r="AFU268" s="18"/>
      <c r="AFV268" s="18"/>
      <c r="AFW268" s="18"/>
      <c r="AFX268" s="18"/>
      <c r="AFY268" s="18"/>
      <c r="AFZ268" s="18"/>
      <c r="AGA268" s="18"/>
      <c r="AGB268" s="18"/>
      <c r="AGC268" s="18"/>
      <c r="AGD268" s="18"/>
      <c r="AGE268" s="18"/>
      <c r="AGF268" s="18"/>
      <c r="AGG268" s="18"/>
      <c r="AGH268" s="18"/>
      <c r="AGI268" s="18"/>
      <c r="AGJ268" s="18"/>
      <c r="AGK268" s="18"/>
      <c r="AGL268" s="18"/>
      <c r="AGM268" s="18"/>
      <c r="AGN268" s="18"/>
      <c r="AGO268" s="18"/>
      <c r="AGP268" s="18"/>
      <c r="AGQ268" s="18"/>
      <c r="AGR268" s="18"/>
      <c r="AGS268" s="18"/>
      <c r="AGT268" s="18"/>
      <c r="AGU268" s="18"/>
      <c r="AGV268" s="18"/>
      <c r="AGW268" s="18"/>
      <c r="AGX268" s="18"/>
      <c r="AGY268" s="18"/>
      <c r="AGZ268" s="18"/>
      <c r="AHA268" s="18"/>
      <c r="AHB268" s="18"/>
      <c r="AHC268" s="18"/>
      <c r="AHD268" s="18"/>
      <c r="AHE268" s="18"/>
      <c r="AHF268" s="18"/>
      <c r="AHG268" s="18"/>
      <c r="AHH268" s="18"/>
      <c r="AHI268" s="18"/>
      <c r="AHJ268" s="18"/>
      <c r="AHK268" s="18"/>
      <c r="AHL268" s="18"/>
      <c r="AHM268" s="18"/>
      <c r="AHN268" s="18"/>
      <c r="AHO268" s="18"/>
      <c r="AHP268" s="18"/>
      <c r="AHQ268" s="18"/>
      <c r="AHR268" s="18"/>
      <c r="AHS268" s="18"/>
      <c r="AHT268" s="18"/>
      <c r="AHU268" s="18"/>
      <c r="AHV268" s="18"/>
      <c r="AHW268" s="18"/>
      <c r="AHX268" s="18"/>
      <c r="AHY268" s="18"/>
      <c r="AHZ268" s="18"/>
      <c r="AIA268" s="18"/>
      <c r="AIB268" s="18"/>
      <c r="AIC268" s="18"/>
      <c r="AID268" s="18"/>
      <c r="AIE268" s="18"/>
      <c r="AIF268" s="18"/>
      <c r="AIG268" s="18"/>
      <c r="AIH268" s="18"/>
      <c r="AII268" s="18"/>
      <c r="AIJ268" s="18"/>
      <c r="AIK268" s="18"/>
      <c r="AIL268" s="18"/>
      <c r="AIM268" s="18"/>
      <c r="AIN268" s="18"/>
      <c r="AIO268" s="18"/>
      <c r="AIP268" s="18"/>
      <c r="AIQ268" s="18"/>
      <c r="AIR268" s="18"/>
      <c r="AIS268" s="18"/>
      <c r="AIT268" s="18"/>
      <c r="AIU268" s="18"/>
      <c r="AIV268" s="18"/>
      <c r="AIW268" s="18"/>
      <c r="AIX268" s="18"/>
      <c r="AIY268" s="18"/>
      <c r="AIZ268" s="18"/>
      <c r="AJA268" s="18"/>
      <c r="AJB268" s="18"/>
      <c r="AJC268" s="18"/>
      <c r="AJD268" s="18"/>
      <c r="AJE268" s="18"/>
      <c r="AJF268" s="18"/>
      <c r="AJG268" s="18"/>
      <c r="AJH268" s="18"/>
      <c r="AJI268" s="18"/>
      <c r="AJJ268" s="18"/>
      <c r="AJK268" s="18"/>
      <c r="AJL268" s="18"/>
      <c r="AJM268" s="18"/>
      <c r="AJN268" s="18"/>
      <c r="AJO268" s="18"/>
      <c r="AJP268" s="18"/>
      <c r="AJQ268" s="18"/>
      <c r="AJR268" s="18"/>
      <c r="AJS268" s="18"/>
      <c r="AJT268" s="18"/>
      <c r="AJU268" s="18"/>
      <c r="AJV268" s="18"/>
      <c r="AJW268" s="18"/>
      <c r="AJX268" s="18"/>
      <c r="AJY268" s="18"/>
      <c r="AJZ268" s="18"/>
      <c r="AKA268" s="18"/>
      <c r="AKB268" s="18"/>
      <c r="AKC268" s="18"/>
      <c r="AKD268" s="18"/>
      <c r="AKE268" s="18"/>
      <c r="AKF268" s="18"/>
      <c r="AKG268" s="18"/>
      <c r="AKH268" s="18"/>
      <c r="AKI268" s="18"/>
      <c r="AKJ268" s="18"/>
      <c r="AKK268" s="18"/>
      <c r="AKL268" s="18"/>
      <c r="AKM268" s="18"/>
      <c r="AKN268" s="18"/>
      <c r="AKO268" s="18"/>
      <c r="AKP268" s="18"/>
      <c r="AKQ268" s="18"/>
      <c r="AKR268" s="18"/>
      <c r="AKS268" s="18"/>
      <c r="AKT268" s="18"/>
      <c r="AKU268" s="18"/>
      <c r="AKV268" s="18"/>
      <c r="AKW268" s="18"/>
      <c r="AKX268" s="18"/>
      <c r="AKY268" s="18"/>
      <c r="AKZ268" s="18"/>
      <c r="ALA268" s="18"/>
      <c r="ALB268" s="18"/>
      <c r="ALC268" s="18"/>
      <c r="ALD268" s="18"/>
      <c r="ALE268" s="18"/>
      <c r="ALF268" s="18"/>
      <c r="ALG268" s="18"/>
      <c r="ALH268" s="18"/>
      <c r="ALI268" s="18"/>
      <c r="ALJ268" s="18"/>
      <c r="ALK268" s="18"/>
      <c r="ALL268" s="18"/>
      <c r="ALM268" s="18"/>
      <c r="ALN268" s="18"/>
      <c r="ALO268" s="18"/>
      <c r="ALP268" s="18"/>
      <c r="ALQ268" s="18"/>
      <c r="ALR268" s="18"/>
      <c r="ALS268" s="18"/>
      <c r="ALT268" s="18"/>
      <c r="ALU268" s="18"/>
      <c r="ALV268" s="18"/>
      <c r="ALW268" s="18"/>
      <c r="ALX268" s="18"/>
      <c r="ALY268" s="18"/>
      <c r="ALZ268" s="18"/>
      <c r="AMA268" s="18"/>
      <c r="AMB268" s="18"/>
      <c r="AMC268" s="18"/>
      <c r="AMD268" s="18"/>
      <c r="AME268" s="18"/>
      <c r="AMF268" s="18"/>
      <c r="AMG268" s="18"/>
      <c r="AMH268" s="18"/>
      <c r="AMI268" s="18"/>
      <c r="AMJ268" s="18"/>
      <c r="AMK268" s="18"/>
      <c r="AML268" s="18"/>
      <c r="AMM268" s="18"/>
      <c r="AMN268" s="18"/>
      <c r="AMO268" s="18"/>
      <c r="AMP268" s="18"/>
      <c r="AMQ268" s="18"/>
      <c r="AMR268" s="18"/>
      <c r="AMS268" s="18"/>
      <c r="AMT268" s="18"/>
      <c r="AMU268" s="18"/>
      <c r="AMV268" s="18"/>
      <c r="AMW268" s="18"/>
      <c r="AMX268" s="18"/>
      <c r="AMY268" s="18"/>
      <c r="AMZ268" s="18"/>
      <c r="ANA268" s="18"/>
      <c r="ANB268" s="18"/>
      <c r="ANC268" s="18"/>
      <c r="AND268" s="18"/>
      <c r="ANE268" s="18"/>
      <c r="ANF268" s="18"/>
      <c r="ANG268" s="18"/>
      <c r="ANH268" s="18"/>
      <c r="ANI268" s="18"/>
      <c r="ANJ268" s="18"/>
      <c r="ANK268" s="18"/>
      <c r="ANL268" s="18"/>
      <c r="ANM268" s="18"/>
      <c r="ANN268" s="18"/>
      <c r="ANO268" s="18"/>
      <c r="ANP268" s="18"/>
      <c r="ANQ268" s="18"/>
      <c r="ANR268" s="18"/>
      <c r="ANS268" s="18"/>
      <c r="ANT268" s="18"/>
      <c r="ANU268" s="18"/>
      <c r="ANV268" s="18"/>
      <c r="ANW268" s="18"/>
      <c r="ANX268" s="18"/>
      <c r="ANY268" s="18"/>
      <c r="ANZ268" s="18"/>
      <c r="AOA268" s="18"/>
      <c r="AOB268" s="18"/>
      <c r="AOC268" s="18"/>
      <c r="AOD268" s="18"/>
      <c r="AOE268" s="18"/>
      <c r="AOF268" s="18"/>
      <c r="AOG268" s="18"/>
      <c r="AOH268" s="18"/>
      <c r="AOI268" s="18"/>
      <c r="AOJ268" s="18"/>
      <c r="AOK268" s="18"/>
      <c r="AOL268" s="18"/>
      <c r="AOM268" s="18"/>
      <c r="AON268" s="18"/>
      <c r="AOO268" s="18"/>
      <c r="AOP268" s="18"/>
      <c r="AOQ268" s="18"/>
      <c r="AOR268" s="18"/>
      <c r="AOS268" s="18"/>
      <c r="AOT268" s="18"/>
      <c r="AOU268" s="18"/>
      <c r="AOV268" s="18"/>
      <c r="AOW268" s="18"/>
      <c r="AOX268" s="18"/>
      <c r="AOY268" s="18"/>
      <c r="AOZ268" s="18"/>
      <c r="APA268" s="18"/>
      <c r="APB268" s="18"/>
      <c r="APC268" s="18"/>
      <c r="APD268" s="18"/>
      <c r="APE268" s="18"/>
      <c r="APF268" s="18"/>
      <c r="APG268" s="18"/>
      <c r="APH268" s="18"/>
      <c r="API268" s="18"/>
      <c r="APJ268" s="18"/>
      <c r="APK268" s="18"/>
      <c r="APL268" s="18"/>
      <c r="APM268" s="18"/>
      <c r="APN268" s="18"/>
      <c r="APO268" s="18"/>
      <c r="APP268" s="18"/>
      <c r="APQ268" s="18"/>
      <c r="APR268" s="18"/>
      <c r="APS268" s="18"/>
      <c r="APT268" s="18"/>
      <c r="APU268" s="18"/>
      <c r="APV268" s="18"/>
      <c r="APW268" s="18"/>
      <c r="APX268" s="18"/>
      <c r="APY268" s="18"/>
      <c r="APZ268" s="18"/>
      <c r="AQA268" s="18"/>
      <c r="AQB268" s="18"/>
      <c r="AQC268" s="18"/>
      <c r="AQD268" s="18"/>
      <c r="AQE268" s="18"/>
      <c r="AQF268" s="18"/>
      <c r="AQG268" s="18"/>
      <c r="AQH268" s="18"/>
      <c r="AQI268" s="18"/>
      <c r="AQJ268" s="18"/>
      <c r="AQK268" s="18"/>
      <c r="AQL268" s="18"/>
      <c r="AQM268" s="18"/>
      <c r="AQN268" s="18"/>
      <c r="AQO268" s="18"/>
      <c r="AQP268" s="18"/>
      <c r="AQQ268" s="18"/>
      <c r="AQR268" s="18"/>
      <c r="AQS268" s="18"/>
      <c r="AQT268" s="18"/>
      <c r="AQU268" s="18"/>
      <c r="AQV268" s="18"/>
      <c r="AQW268" s="18"/>
      <c r="AQX268" s="18"/>
      <c r="AQY268" s="18"/>
      <c r="AQZ268" s="18"/>
      <c r="ARA268" s="18"/>
      <c r="ARB268" s="18"/>
      <c r="ARC268" s="18"/>
      <c r="ARD268" s="18"/>
      <c r="ARE268" s="18"/>
      <c r="ARF268" s="18"/>
      <c r="ARG268" s="18"/>
      <c r="ARH268" s="18"/>
      <c r="ARI268" s="18"/>
      <c r="ARJ268" s="18"/>
      <c r="ARK268" s="18"/>
      <c r="ARL268" s="18"/>
      <c r="ARM268" s="18"/>
      <c r="ARN268" s="18"/>
      <c r="ARO268" s="18"/>
      <c r="ARP268" s="18"/>
      <c r="ARQ268" s="18"/>
      <c r="ARR268" s="18"/>
      <c r="ARS268" s="18"/>
      <c r="ART268" s="18"/>
      <c r="ARU268" s="18"/>
      <c r="ARV268" s="18"/>
      <c r="ARW268" s="18"/>
      <c r="ARX268" s="18"/>
      <c r="ARY268" s="18"/>
      <c r="ARZ268" s="18"/>
      <c r="ASA268" s="18"/>
      <c r="ASB268" s="18"/>
      <c r="ASC268" s="18"/>
      <c r="ASD268" s="18"/>
      <c r="ASE268" s="18"/>
      <c r="ASF268" s="18"/>
      <c r="ASG268" s="18"/>
      <c r="ASH268" s="18"/>
      <c r="ASI268" s="18"/>
      <c r="ASJ268" s="18"/>
      <c r="ASK268" s="18"/>
      <c r="ASL268" s="18"/>
      <c r="ASM268" s="18"/>
      <c r="ASN268" s="18"/>
      <c r="ASO268" s="18"/>
      <c r="ASP268" s="18"/>
      <c r="ASQ268" s="18"/>
      <c r="ASR268" s="18"/>
      <c r="ASS268" s="18"/>
      <c r="AST268" s="18"/>
      <c r="ASU268" s="18"/>
      <c r="ASV268" s="18"/>
      <c r="ASW268" s="18"/>
      <c r="ASX268" s="18"/>
      <c r="ASY268" s="18"/>
      <c r="ASZ268" s="18"/>
      <c r="ATA268" s="18"/>
      <c r="ATB268" s="18"/>
      <c r="ATC268" s="18"/>
      <c r="ATD268" s="18"/>
      <c r="ATE268" s="18"/>
      <c r="ATF268" s="18"/>
      <c r="ATG268" s="18"/>
      <c r="ATH268" s="18"/>
      <c r="ATI268" s="18"/>
      <c r="ATJ268" s="18"/>
      <c r="ATK268" s="18"/>
      <c r="ATL268" s="18"/>
      <c r="ATM268" s="18"/>
      <c r="ATN268" s="18"/>
      <c r="ATO268" s="18"/>
      <c r="ATP268" s="18"/>
      <c r="ATQ268" s="18"/>
      <c r="ATR268" s="18"/>
      <c r="ATS268" s="18"/>
      <c r="ATT268" s="18"/>
      <c r="ATU268" s="18"/>
      <c r="ATV268" s="18"/>
      <c r="ATW268" s="18"/>
      <c r="ATX268" s="18"/>
      <c r="ATY268" s="18"/>
      <c r="ATZ268" s="18"/>
      <c r="AUA268" s="18"/>
      <c r="AUB268" s="18"/>
      <c r="AUC268" s="18"/>
      <c r="AUD268" s="18"/>
      <c r="AUE268" s="18"/>
      <c r="AUF268" s="18"/>
      <c r="AUG268" s="18"/>
      <c r="AUH268" s="18"/>
      <c r="AUI268" s="18"/>
      <c r="AUJ268" s="18"/>
      <c r="AUK268" s="18"/>
      <c r="AUL268" s="18"/>
      <c r="AUM268" s="18"/>
      <c r="AUN268" s="18"/>
      <c r="AUO268" s="18"/>
      <c r="AUP268" s="18"/>
      <c r="AUQ268" s="18"/>
      <c r="AUR268" s="18"/>
      <c r="AUS268" s="18"/>
      <c r="AUT268" s="18"/>
      <c r="AUU268" s="18"/>
      <c r="AUV268" s="18"/>
      <c r="AUW268" s="18"/>
      <c r="AUX268" s="18"/>
      <c r="AUY268" s="18"/>
      <c r="AUZ268" s="18"/>
      <c r="AVA268" s="18"/>
      <c r="AVB268" s="18"/>
      <c r="AVC268" s="18"/>
      <c r="AVD268" s="18"/>
      <c r="AVE268" s="18"/>
      <c r="AVF268" s="18"/>
      <c r="AVG268" s="18"/>
      <c r="AVH268" s="18"/>
      <c r="AVI268" s="18"/>
      <c r="AVJ268" s="18"/>
      <c r="AVK268" s="18"/>
      <c r="AVL268" s="18"/>
      <c r="AVM268" s="18"/>
      <c r="AVN268" s="18"/>
      <c r="AVO268" s="18"/>
      <c r="AVP268" s="18"/>
      <c r="AVQ268" s="18"/>
      <c r="AVR268" s="18"/>
      <c r="AVS268" s="18"/>
      <c r="AVT268" s="18"/>
      <c r="AVU268" s="18"/>
      <c r="AVV268" s="18"/>
      <c r="AVW268" s="18"/>
      <c r="AVX268" s="18"/>
      <c r="AVY268" s="18"/>
      <c r="AVZ268" s="18"/>
      <c r="AWA268" s="18"/>
      <c r="AWB268" s="18"/>
      <c r="AWC268" s="18"/>
      <c r="AWD268" s="18"/>
      <c r="AWE268" s="18"/>
      <c r="AWF268" s="18"/>
      <c r="AWG268" s="18"/>
      <c r="AWH268" s="18"/>
      <c r="AWI268" s="18"/>
      <c r="AWJ268" s="18"/>
      <c r="AWK268" s="18"/>
      <c r="AWL268" s="18"/>
      <c r="AWM268" s="18"/>
      <c r="AWN268" s="18"/>
      <c r="AWO268" s="18"/>
      <c r="AWP268" s="18"/>
      <c r="AWQ268" s="18"/>
      <c r="AWR268" s="18"/>
      <c r="AWS268" s="18"/>
      <c r="AWT268" s="18"/>
      <c r="AWU268" s="18"/>
      <c r="AWV268" s="18"/>
      <c r="AWW268" s="18"/>
      <c r="AWX268" s="18"/>
      <c r="AWY268" s="18"/>
      <c r="AWZ268" s="18"/>
      <c r="AXA268" s="18"/>
      <c r="AXB268" s="18"/>
      <c r="AXC268" s="18"/>
      <c r="AXD268" s="18"/>
      <c r="AXE268" s="18"/>
      <c r="AXF268" s="18"/>
      <c r="AXG268" s="18"/>
      <c r="AXH268" s="18"/>
      <c r="AXI268" s="18"/>
      <c r="AXJ268" s="18"/>
      <c r="AXK268" s="18"/>
      <c r="AXL268" s="18"/>
      <c r="AXM268" s="18"/>
      <c r="AXN268" s="18"/>
      <c r="AXO268" s="18"/>
      <c r="AXP268" s="18"/>
      <c r="AXQ268" s="18"/>
      <c r="AXR268" s="18"/>
      <c r="AXS268" s="18"/>
      <c r="AXT268" s="18"/>
      <c r="AXU268" s="18"/>
      <c r="AXV268" s="18"/>
      <c r="AXW268" s="18"/>
      <c r="AXX268" s="18"/>
      <c r="AXY268" s="18"/>
      <c r="AXZ268" s="18"/>
      <c r="AYA268" s="18"/>
      <c r="AYB268" s="18"/>
      <c r="AYC268" s="18"/>
      <c r="AYD268" s="18"/>
      <c r="AYE268" s="18"/>
      <c r="AYF268" s="18"/>
      <c r="AYG268" s="18"/>
      <c r="AYH268" s="18"/>
      <c r="AYI268" s="18"/>
      <c r="AYJ268" s="18"/>
      <c r="AYK268" s="18"/>
      <c r="AYL268" s="18"/>
      <c r="AYM268" s="18"/>
      <c r="AYN268" s="18"/>
      <c r="AYO268" s="18"/>
      <c r="AYP268" s="18"/>
      <c r="AYQ268" s="18"/>
      <c r="AYR268" s="18"/>
      <c r="AYS268" s="18"/>
      <c r="AYT268" s="18"/>
      <c r="AYU268" s="18"/>
      <c r="AYV268" s="18"/>
      <c r="AYW268" s="18"/>
      <c r="AYX268" s="18"/>
      <c r="AYY268" s="18"/>
      <c r="AYZ268" s="18"/>
      <c r="AZA268" s="18"/>
      <c r="AZB268" s="18"/>
      <c r="AZC268" s="18"/>
      <c r="AZD268" s="18"/>
      <c r="AZE268" s="18"/>
      <c r="AZF268" s="18"/>
      <c r="AZG268" s="18"/>
      <c r="AZH268" s="18"/>
      <c r="AZI268" s="18"/>
      <c r="AZJ268" s="18"/>
      <c r="AZK268" s="18"/>
      <c r="AZL268" s="18"/>
      <c r="AZM268" s="18"/>
      <c r="AZN268" s="18"/>
      <c r="AZO268" s="18"/>
      <c r="AZP268" s="18"/>
      <c r="AZQ268" s="18"/>
      <c r="AZR268" s="18"/>
      <c r="AZS268" s="18"/>
      <c r="AZT268" s="18"/>
      <c r="AZU268" s="18"/>
      <c r="AZV268" s="18"/>
      <c r="AZW268" s="18"/>
      <c r="AZX268" s="18"/>
      <c r="AZY268" s="18"/>
      <c r="AZZ268" s="18"/>
      <c r="BAA268" s="18"/>
      <c r="BAB268" s="18"/>
      <c r="BAC268" s="18"/>
      <c r="BAD268" s="18"/>
      <c r="BAE268" s="18"/>
      <c r="BAF268" s="18"/>
      <c r="BAG268" s="18"/>
      <c r="BAH268" s="18"/>
      <c r="BAI268" s="18"/>
      <c r="BAJ268" s="18"/>
      <c r="BAK268" s="18"/>
      <c r="BAL268" s="18"/>
      <c r="BAM268" s="18"/>
      <c r="BAN268" s="18"/>
      <c r="BAO268" s="18"/>
      <c r="BAP268" s="18"/>
      <c r="BAQ268" s="18"/>
      <c r="BAR268" s="18"/>
      <c r="BAS268" s="18"/>
      <c r="BAT268" s="18"/>
      <c r="BAU268" s="18"/>
      <c r="BAV268" s="18"/>
      <c r="BAW268" s="18"/>
      <c r="BAX268" s="18"/>
      <c r="BAY268" s="18"/>
      <c r="BAZ268" s="18"/>
      <c r="BBA268" s="18"/>
      <c r="BBB268" s="18"/>
      <c r="BBC268" s="18"/>
      <c r="BBD268" s="18"/>
      <c r="BBE268" s="18"/>
      <c r="BBF268" s="18"/>
      <c r="BBG268" s="18"/>
      <c r="BBH268" s="18"/>
      <c r="BBI268" s="18"/>
      <c r="BBJ268" s="18"/>
      <c r="BBK268" s="18"/>
      <c r="BBL268" s="18"/>
      <c r="BBM268" s="18"/>
      <c r="BBN268" s="18"/>
      <c r="BBO268" s="18"/>
      <c r="BBP268" s="18"/>
      <c r="BBQ268" s="18"/>
      <c r="BBR268" s="18"/>
      <c r="BBS268" s="18"/>
      <c r="BBT268" s="18"/>
      <c r="BBU268" s="18"/>
      <c r="BBV268" s="18"/>
      <c r="BBW268" s="18"/>
      <c r="BBX268" s="18"/>
      <c r="BBY268" s="18"/>
      <c r="BBZ268" s="18"/>
      <c r="BCA268" s="18"/>
      <c r="BCB268" s="18"/>
      <c r="BCC268" s="18"/>
      <c r="BCD268" s="18"/>
      <c r="BCE268" s="18"/>
      <c r="BCF268" s="18"/>
      <c r="BCG268" s="18"/>
      <c r="BCH268" s="18"/>
      <c r="BCI268" s="18"/>
      <c r="BCJ268" s="18"/>
      <c r="BCK268" s="18"/>
      <c r="BCL268" s="18"/>
      <c r="BCM268" s="18"/>
      <c r="BCN268" s="18"/>
      <c r="BCO268" s="18"/>
      <c r="BCP268" s="18"/>
      <c r="BCQ268" s="18"/>
      <c r="BCR268" s="18"/>
      <c r="BCS268" s="18"/>
      <c r="BCT268" s="18"/>
      <c r="BCU268" s="18"/>
      <c r="BCV268" s="18"/>
      <c r="BCW268" s="18"/>
      <c r="BCX268" s="18"/>
      <c r="BCY268" s="18"/>
      <c r="BCZ268" s="18"/>
      <c r="BDA268" s="18"/>
      <c r="BDB268" s="18"/>
      <c r="BDC268" s="18"/>
      <c r="BDD268" s="18"/>
      <c r="BDE268" s="18"/>
      <c r="BDF268" s="18"/>
      <c r="BDG268" s="18"/>
      <c r="BDH268" s="18"/>
      <c r="BDI268" s="18"/>
      <c r="BDJ268" s="18"/>
      <c r="BDK268" s="18"/>
      <c r="BDL268" s="18"/>
      <c r="BDM268" s="18"/>
      <c r="BDN268" s="18"/>
      <c r="BDO268" s="18"/>
      <c r="BDP268" s="18"/>
      <c r="BDQ268" s="18"/>
      <c r="BDR268" s="18"/>
      <c r="BDS268" s="18"/>
      <c r="BDT268" s="18"/>
      <c r="BDU268" s="18"/>
      <c r="BDV268" s="18"/>
      <c r="BDW268" s="18"/>
      <c r="BDX268" s="18"/>
      <c r="BDY268" s="18"/>
      <c r="BDZ268" s="18"/>
      <c r="BEA268" s="18"/>
      <c r="BEB268" s="18"/>
      <c r="BEC268" s="18"/>
      <c r="BED268" s="18"/>
      <c r="BEE268" s="18"/>
      <c r="BEF268" s="18"/>
      <c r="BEG268" s="18"/>
      <c r="BEH268" s="18"/>
      <c r="BEI268" s="18"/>
      <c r="BEJ268" s="18"/>
      <c r="BEK268" s="18"/>
      <c r="BEL268" s="18"/>
      <c r="BEM268" s="18"/>
      <c r="BEN268" s="18"/>
      <c r="BEO268" s="18"/>
      <c r="BEP268" s="18"/>
      <c r="BEQ268" s="18"/>
      <c r="BER268" s="18"/>
      <c r="BES268" s="18"/>
      <c r="BET268" s="18"/>
      <c r="BEU268" s="18"/>
      <c r="BEV268" s="18"/>
      <c r="BEW268" s="18"/>
      <c r="BEX268" s="18"/>
      <c r="BEY268" s="18"/>
      <c r="BEZ268" s="18"/>
      <c r="BFA268" s="18"/>
      <c r="BFB268" s="18"/>
      <c r="BFC268" s="18"/>
      <c r="BFD268" s="18"/>
      <c r="BFE268" s="18"/>
      <c r="BFF268" s="18"/>
      <c r="BFG268" s="18"/>
      <c r="BFH268" s="18"/>
      <c r="BFI268" s="18"/>
      <c r="BFJ268" s="18"/>
      <c r="BFK268" s="18"/>
      <c r="BFL268" s="18"/>
      <c r="BFM268" s="18"/>
      <c r="BFN268" s="18"/>
      <c r="BFO268" s="18"/>
      <c r="BFP268" s="18"/>
      <c r="BFQ268" s="18"/>
      <c r="BFR268" s="18"/>
      <c r="BFS268" s="18"/>
      <c r="BFT268" s="18"/>
      <c r="BFU268" s="18"/>
      <c r="BFV268" s="18"/>
      <c r="BFW268" s="18"/>
      <c r="BFX268" s="18"/>
      <c r="BFY268" s="18"/>
      <c r="BFZ268" s="18"/>
      <c r="BGA268" s="18"/>
      <c r="BGB268" s="18"/>
      <c r="BGC268" s="18"/>
      <c r="BGD268" s="18"/>
      <c r="BGE268" s="18"/>
      <c r="BGF268" s="18"/>
      <c r="BGG268" s="18"/>
      <c r="BGH268" s="18"/>
      <c r="BGI268" s="18"/>
      <c r="BGJ268" s="18"/>
      <c r="BGK268" s="18"/>
      <c r="BGL268" s="18"/>
      <c r="BGM268" s="18"/>
      <c r="BGN268" s="18"/>
      <c r="BGO268" s="18"/>
      <c r="BGP268" s="18"/>
      <c r="BGQ268" s="18"/>
      <c r="BGR268" s="18"/>
      <c r="BGS268" s="18"/>
      <c r="BGT268" s="18"/>
      <c r="BGU268" s="18"/>
      <c r="BGV268" s="18"/>
      <c r="BGW268" s="18"/>
      <c r="BGX268" s="18"/>
      <c r="BGY268" s="18"/>
      <c r="BGZ268" s="18"/>
      <c r="BHA268" s="18"/>
      <c r="BHB268" s="18"/>
      <c r="BHC268" s="18"/>
      <c r="BHD268" s="18"/>
      <c r="BHE268" s="18"/>
      <c r="BHF268" s="18"/>
      <c r="BHG268" s="18"/>
      <c r="BHH268" s="18"/>
      <c r="BHI268" s="18"/>
      <c r="BHJ268" s="18"/>
      <c r="BHK268" s="18"/>
      <c r="BHL268" s="18"/>
      <c r="BHM268" s="18"/>
      <c r="BHN268" s="18"/>
      <c r="BHO268" s="18"/>
      <c r="BHP268" s="18"/>
      <c r="BHQ268" s="18"/>
      <c r="BHR268" s="18"/>
      <c r="BHS268" s="18"/>
      <c r="BHT268" s="18"/>
      <c r="BHU268" s="18"/>
      <c r="BHV268" s="18"/>
      <c r="BHW268" s="18"/>
      <c r="BHX268" s="18"/>
      <c r="BHY268" s="18"/>
      <c r="BHZ268" s="18"/>
      <c r="BIA268" s="18"/>
      <c r="BIB268" s="18"/>
      <c r="BIC268" s="18"/>
      <c r="BID268" s="18"/>
      <c r="BIE268" s="18"/>
      <c r="BIF268" s="18"/>
      <c r="BIG268" s="18"/>
      <c r="BIH268" s="18"/>
      <c r="BII268" s="18"/>
      <c r="BIJ268" s="18"/>
      <c r="BIK268" s="18"/>
      <c r="BIL268" s="18"/>
      <c r="BIM268" s="18"/>
      <c r="BIN268" s="18"/>
      <c r="BIO268" s="18"/>
      <c r="BIP268" s="18"/>
      <c r="BIQ268" s="18"/>
      <c r="BIR268" s="18"/>
      <c r="BIS268" s="18"/>
      <c r="BIT268" s="18"/>
      <c r="BIU268" s="18"/>
      <c r="BIV268" s="18"/>
      <c r="BIW268" s="18"/>
      <c r="BIX268" s="18"/>
      <c r="BIY268" s="18"/>
      <c r="BIZ268" s="18"/>
      <c r="BJA268" s="18"/>
      <c r="BJB268" s="18"/>
      <c r="BJC268" s="18"/>
      <c r="BJD268" s="18"/>
      <c r="BJE268" s="18"/>
      <c r="BJF268" s="18"/>
      <c r="BJG268" s="18"/>
      <c r="BJH268" s="18"/>
      <c r="BJI268" s="18"/>
      <c r="BJJ268" s="18"/>
      <c r="BJK268" s="18"/>
      <c r="BJL268" s="18"/>
      <c r="BJM268" s="18"/>
      <c r="BJN268" s="18"/>
      <c r="BJO268" s="18"/>
      <c r="BJP268" s="18"/>
      <c r="BJQ268" s="18"/>
      <c r="BJR268" s="18"/>
      <c r="BJS268" s="18"/>
      <c r="BJT268" s="18"/>
      <c r="BJU268" s="18"/>
      <c r="BJV268" s="18"/>
      <c r="BJW268" s="18"/>
      <c r="BJX268" s="18"/>
      <c r="BJY268" s="18"/>
      <c r="BJZ268" s="18"/>
      <c r="BKA268" s="18"/>
      <c r="BKB268" s="18"/>
      <c r="BKC268" s="18"/>
      <c r="BKD268" s="18"/>
      <c r="BKE268" s="18"/>
      <c r="BKF268" s="18"/>
      <c r="BKG268" s="18"/>
      <c r="BKH268" s="18"/>
      <c r="BKI268" s="18"/>
      <c r="BKJ268" s="18"/>
      <c r="BKK268" s="18"/>
      <c r="BKL268" s="18"/>
      <c r="BKM268" s="18"/>
      <c r="BKN268" s="18"/>
      <c r="BKO268" s="18"/>
      <c r="BKP268" s="18"/>
      <c r="BKQ268" s="18"/>
      <c r="BKR268" s="18"/>
      <c r="BKS268" s="18"/>
      <c r="BKT268" s="18"/>
      <c r="BKU268" s="18"/>
      <c r="BKV268" s="18"/>
      <c r="BKW268" s="18"/>
      <c r="BKX268" s="18"/>
      <c r="BKY268" s="18"/>
      <c r="BKZ268" s="18"/>
      <c r="BLA268" s="18"/>
      <c r="BLB268" s="18"/>
      <c r="BLC268" s="18"/>
      <c r="BLD268" s="18"/>
      <c r="BLE268" s="18"/>
      <c r="BLF268" s="18"/>
      <c r="BLG268" s="18"/>
      <c r="BLH268" s="18"/>
      <c r="BLI268" s="18"/>
      <c r="BLJ268" s="18"/>
      <c r="BLK268" s="18"/>
      <c r="BLL268" s="18"/>
      <c r="BLM268" s="18"/>
      <c r="BLN268" s="18"/>
      <c r="BLO268" s="18"/>
      <c r="BLP268" s="18"/>
      <c r="BLQ268" s="18"/>
      <c r="BLR268" s="18"/>
      <c r="BLS268" s="18"/>
      <c r="BLT268" s="18"/>
      <c r="BLU268" s="18"/>
      <c r="BLV268" s="18"/>
      <c r="BLW268" s="18"/>
      <c r="BLX268" s="18"/>
      <c r="BLY268" s="18"/>
      <c r="BLZ268" s="18"/>
      <c r="BMA268" s="18"/>
      <c r="BMB268" s="18"/>
      <c r="BMC268" s="18"/>
      <c r="BMD268" s="18"/>
      <c r="BME268" s="18"/>
      <c r="BMF268" s="18"/>
      <c r="BMG268" s="18"/>
      <c r="BMH268" s="18"/>
      <c r="BMI268" s="18"/>
      <c r="BMJ268" s="18"/>
      <c r="BMK268" s="18"/>
      <c r="BML268" s="18"/>
      <c r="BMM268" s="18"/>
      <c r="BMN268" s="18"/>
      <c r="BMO268" s="18"/>
      <c r="BMP268" s="18"/>
      <c r="BMQ268" s="18"/>
      <c r="BMR268" s="18"/>
      <c r="BMS268" s="18"/>
      <c r="BMT268" s="18"/>
      <c r="BMU268" s="18"/>
      <c r="BMV268" s="18"/>
      <c r="BMW268" s="18"/>
      <c r="BMX268" s="18"/>
      <c r="BMY268" s="18"/>
      <c r="BMZ268" s="18"/>
      <c r="BNA268" s="18"/>
      <c r="BNB268" s="18"/>
      <c r="BNC268" s="18"/>
      <c r="BND268" s="18"/>
      <c r="BNE268" s="18"/>
      <c r="BNF268" s="18"/>
      <c r="BNG268" s="18"/>
      <c r="BNH268" s="18"/>
      <c r="BNI268" s="18"/>
      <c r="BNJ268" s="18"/>
      <c r="BNK268" s="18"/>
      <c r="BNL268" s="18"/>
      <c r="BNM268" s="18"/>
      <c r="BNN268" s="18"/>
      <c r="BNO268" s="18"/>
      <c r="BNP268" s="18"/>
      <c r="BNQ268" s="18"/>
      <c r="BNR268" s="18"/>
      <c r="BNS268" s="18"/>
      <c r="BNT268" s="18"/>
      <c r="BNU268" s="18"/>
      <c r="BNV268" s="18"/>
      <c r="BNW268" s="18"/>
      <c r="BNX268" s="18"/>
      <c r="BNY268" s="18"/>
      <c r="BNZ268" s="18"/>
      <c r="BOA268" s="18"/>
      <c r="BOB268" s="18"/>
      <c r="BOC268" s="18"/>
      <c r="BOD268" s="18"/>
      <c r="BOE268" s="18"/>
      <c r="BOF268" s="18"/>
      <c r="BOG268" s="18"/>
      <c r="BOH268" s="18"/>
      <c r="BOI268" s="18"/>
      <c r="BOJ268" s="18"/>
      <c r="BOK268" s="18"/>
      <c r="BOL268" s="18"/>
      <c r="BOM268" s="18"/>
      <c r="BON268" s="18"/>
      <c r="BOO268" s="18"/>
      <c r="BOP268" s="18"/>
      <c r="BOQ268" s="18"/>
      <c r="BOR268" s="18"/>
      <c r="BOS268" s="18"/>
      <c r="BOT268" s="18"/>
      <c r="BOU268" s="18"/>
      <c r="BOV268" s="18"/>
      <c r="BOW268" s="18"/>
      <c r="BOX268" s="18"/>
      <c r="BOY268" s="18"/>
      <c r="BOZ268" s="18"/>
      <c r="BPA268" s="18"/>
      <c r="BPB268" s="18"/>
      <c r="BPC268" s="18"/>
      <c r="BPD268" s="18"/>
      <c r="BPE268" s="18"/>
      <c r="BPF268" s="18"/>
      <c r="BPG268" s="18"/>
      <c r="BPH268" s="18"/>
      <c r="BPI268" s="18"/>
      <c r="BPJ268" s="18"/>
      <c r="BPK268" s="18"/>
      <c r="BPL268" s="18"/>
      <c r="BPM268" s="18"/>
      <c r="BPN268" s="18"/>
      <c r="BPO268" s="18"/>
      <c r="BPP268" s="18"/>
      <c r="BPQ268" s="18"/>
      <c r="BPR268" s="18"/>
      <c r="BPS268" s="18"/>
      <c r="BPT268" s="18"/>
      <c r="BPU268" s="18"/>
      <c r="BPV268" s="18"/>
      <c r="BPW268" s="18"/>
      <c r="BPX268" s="18"/>
      <c r="BPY268" s="18"/>
      <c r="BPZ268" s="18"/>
      <c r="BQA268" s="18"/>
      <c r="BQB268" s="18"/>
      <c r="BQC268" s="18"/>
      <c r="BQD268" s="18"/>
      <c r="BQE268" s="18"/>
      <c r="BQF268" s="18"/>
      <c r="BQG268" s="18"/>
      <c r="BQH268" s="18"/>
      <c r="BQI268" s="18"/>
      <c r="BQJ268" s="18"/>
      <c r="BQK268" s="18"/>
      <c r="BQL268" s="18"/>
      <c r="BQM268" s="18"/>
      <c r="BQN268" s="18"/>
      <c r="BQO268" s="18"/>
      <c r="BQP268" s="18"/>
      <c r="BQQ268" s="18"/>
      <c r="BQR268" s="18"/>
      <c r="BQS268" s="18"/>
      <c r="BQT268" s="18"/>
      <c r="BQU268" s="18"/>
      <c r="BQV268" s="18"/>
      <c r="BQW268" s="18"/>
      <c r="BQX268" s="18"/>
      <c r="BQY268" s="18"/>
      <c r="BQZ268" s="18"/>
      <c r="BRA268" s="18"/>
      <c r="BRB268" s="18"/>
      <c r="BRC268" s="18"/>
      <c r="BRD268" s="18"/>
      <c r="BRE268" s="18"/>
      <c r="BRF268" s="18"/>
      <c r="BRG268" s="18"/>
      <c r="BRH268" s="18"/>
      <c r="BRI268" s="18"/>
      <c r="BRJ268" s="18"/>
      <c r="BRK268" s="18"/>
      <c r="BRL268" s="18"/>
      <c r="BRM268" s="18"/>
      <c r="BRN268" s="18"/>
      <c r="BRO268" s="18"/>
      <c r="BRP268" s="18"/>
      <c r="BRQ268" s="18"/>
      <c r="BRR268" s="18"/>
      <c r="BRS268" s="18"/>
      <c r="BRT268" s="18"/>
      <c r="BRU268" s="18"/>
      <c r="BRV268" s="18"/>
      <c r="BRW268" s="18"/>
      <c r="BRX268" s="18"/>
      <c r="BRY268" s="18"/>
      <c r="BRZ268" s="18"/>
      <c r="BSA268" s="18"/>
      <c r="BSB268" s="18"/>
      <c r="BSC268" s="18"/>
      <c r="BSD268" s="18"/>
      <c r="BSE268" s="18"/>
      <c r="BSF268" s="18"/>
      <c r="BSG268" s="18"/>
      <c r="BSH268" s="18"/>
      <c r="BSI268" s="18"/>
      <c r="BSJ268" s="18"/>
      <c r="BSK268" s="18"/>
      <c r="BSL268" s="18"/>
      <c r="BSM268" s="18"/>
      <c r="BSN268" s="18"/>
      <c r="BSO268" s="18"/>
      <c r="BSP268" s="18"/>
      <c r="BSQ268" s="18"/>
      <c r="BSR268" s="18"/>
      <c r="BSS268" s="18"/>
      <c r="BST268" s="18"/>
      <c r="BSU268" s="18"/>
      <c r="BSV268" s="18"/>
      <c r="BSW268" s="18"/>
      <c r="BSX268" s="18"/>
      <c r="BSY268" s="18"/>
      <c r="BSZ268" s="18"/>
      <c r="BTA268" s="18"/>
      <c r="BTB268" s="18"/>
      <c r="BTC268" s="18"/>
      <c r="BTD268" s="18"/>
      <c r="BTE268" s="18"/>
      <c r="BTF268" s="18"/>
      <c r="BTG268" s="18"/>
      <c r="BTH268" s="18"/>
      <c r="BTI268" s="18"/>
    </row>
    <row r="269" spans="1:1881" ht="35.25" customHeight="1" x14ac:dyDescent="0.3">
      <c r="A269" s="105"/>
      <c r="B269" s="894" t="s">
        <v>25</v>
      </c>
      <c r="C269" s="895"/>
      <c r="D269" s="897"/>
      <c r="E269" s="911"/>
      <c r="F269" s="912"/>
      <c r="G269" s="879"/>
      <c r="H269" s="17"/>
      <c r="I269" s="77"/>
      <c r="J269" s="605"/>
      <c r="Z269" s="105"/>
      <c r="AA269" s="105"/>
      <c r="AB269" s="105"/>
      <c r="AC269" s="105"/>
      <c r="AD269" s="105"/>
      <c r="AE269" s="105"/>
      <c r="AF269" s="105"/>
      <c r="AG269" s="105"/>
      <c r="AH269" s="105"/>
      <c r="AI269" s="105"/>
      <c r="AJ269" s="105"/>
      <c r="AK269" s="105"/>
      <c r="AL269" s="105"/>
      <c r="AM269" s="105"/>
      <c r="AN269" s="105"/>
      <c r="AO269" s="105"/>
      <c r="AP269" s="105"/>
      <c r="AQ269" s="105"/>
      <c r="AR269" s="105"/>
    </row>
    <row r="270" spans="1:1881" ht="168" customHeight="1" x14ac:dyDescent="0.3">
      <c r="A270" s="122">
        <v>621</v>
      </c>
      <c r="B270" s="122" t="s">
        <v>607</v>
      </c>
      <c r="C270" s="121" t="s">
        <v>718</v>
      </c>
      <c r="D270" s="121" t="s">
        <v>1422</v>
      </c>
      <c r="E270" s="699" t="e">
        <f>HLOOKUP($D$2,'2020 Data(H)'!$C$1:$CZ$428,281,FALSE)</f>
        <v>#N/A</v>
      </c>
      <c r="F270" s="300">
        <v>0</v>
      </c>
      <c r="G270" s="803" t="s">
        <v>1423</v>
      </c>
      <c r="Z270" s="122"/>
      <c r="AA270" s="122"/>
      <c r="AB270" s="122"/>
      <c r="AC270" s="122"/>
      <c r="AD270" s="122"/>
      <c r="AE270" s="122"/>
      <c r="AF270" s="122"/>
      <c r="AG270" s="122"/>
      <c r="AH270" s="122"/>
      <c r="AI270" s="122"/>
      <c r="AJ270" s="122"/>
      <c r="AK270" s="122"/>
      <c r="AL270" s="122"/>
      <c r="AM270" s="122"/>
      <c r="AN270" s="122"/>
      <c r="AO270" s="122"/>
      <c r="AP270" s="122"/>
      <c r="AQ270" s="122"/>
      <c r="AR270" s="122"/>
    </row>
    <row r="271" spans="1:1881" ht="176.25" customHeight="1" x14ac:dyDescent="0.3">
      <c r="A271" s="105">
        <v>547</v>
      </c>
      <c r="B271" s="701"/>
      <c r="C271" s="701" t="s">
        <v>167</v>
      </c>
      <c r="D271" s="698" t="s">
        <v>532</v>
      </c>
      <c r="E271" s="699" t="e">
        <f>HLOOKUP($D$2,'2020 Data(H)'!$C$1:$CZ$428,197,FALSE)</f>
        <v>#N/A</v>
      </c>
      <c r="F271" s="767"/>
      <c r="G271" s="802" t="str">
        <f>IF(F271&lt;1,"Please answer this question","")</f>
        <v>Please answer this question</v>
      </c>
      <c r="H271" s="760"/>
      <c r="I271" s="761"/>
      <c r="Z271" s="105"/>
      <c r="AA271" s="105"/>
      <c r="AB271" s="105"/>
      <c r="AC271" s="105"/>
      <c r="AD271" s="105"/>
      <c r="AE271" s="105"/>
      <c r="AF271" s="105"/>
      <c r="AG271" s="105"/>
      <c r="AH271" s="105"/>
      <c r="AI271" s="105"/>
      <c r="AJ271" s="105"/>
      <c r="AK271" s="105"/>
      <c r="AL271" s="105"/>
      <c r="AM271" s="105"/>
      <c r="AN271" s="105"/>
      <c r="AO271" s="105"/>
      <c r="AP271" s="105"/>
      <c r="AQ271" s="105"/>
      <c r="AR271" s="105"/>
    </row>
    <row r="272" spans="1:1881" s="18" customFormat="1" ht="221.25" customHeight="1" x14ac:dyDescent="0.3">
      <c r="A272" s="314">
        <v>659</v>
      </c>
      <c r="B272" s="854" t="s">
        <v>59</v>
      </c>
      <c r="C272" s="854" t="s">
        <v>695</v>
      </c>
      <c r="D272" s="317" t="s">
        <v>1424</v>
      </c>
      <c r="E272" s="699" t="e">
        <f>HLOOKUP($D$2,'2020 Data(H)'!$C$1:$CZ$428,312,FALSE)</f>
        <v>#N/A</v>
      </c>
      <c r="F272" s="301">
        <v>0</v>
      </c>
      <c r="G272" s="803" t="s">
        <v>1425</v>
      </c>
      <c r="H272" s="759">
        <f>IF(F269&lt;0,"Error: Enter as positive.",)</f>
        <v>0</v>
      </c>
      <c r="I272" s="379"/>
      <c r="N272" s="302"/>
      <c r="Z272" s="314"/>
      <c r="AA272" s="314"/>
      <c r="AB272" s="314"/>
      <c r="AC272" s="314"/>
      <c r="AD272" s="314"/>
      <c r="AE272" s="314"/>
      <c r="AF272" s="314"/>
      <c r="AG272" s="314"/>
      <c r="AH272" s="314"/>
      <c r="AI272" s="314"/>
      <c r="AJ272" s="314"/>
      <c r="AK272" s="314"/>
      <c r="AL272" s="314"/>
      <c r="AM272" s="314"/>
      <c r="AN272" s="314"/>
      <c r="AO272" s="314"/>
      <c r="AP272" s="314"/>
      <c r="AQ272" s="314"/>
      <c r="AR272" s="314"/>
    </row>
    <row r="273" spans="1:44" ht="65.25" customHeight="1" x14ac:dyDescent="0.3">
      <c r="A273" s="314">
        <v>660</v>
      </c>
      <c r="B273" s="854" t="s">
        <v>59</v>
      </c>
      <c r="C273" s="854" t="s">
        <v>695</v>
      </c>
      <c r="D273" s="317" t="s">
        <v>1426</v>
      </c>
      <c r="E273" s="699" t="e">
        <f>HLOOKUP($D$2,'2020 Data(H)'!$C$1:$CZ$428,313,FALSE)</f>
        <v>#N/A</v>
      </c>
      <c r="F273" s="301">
        <v>0</v>
      </c>
      <c r="G273" s="803" t="str">
        <f>IF(ISBLANK(F273),"Please do not leave blank","")</f>
        <v/>
      </c>
      <c r="H273" s="759">
        <f>IF(F270&lt;0,"Note: Number is normally positive.",)</f>
        <v>0</v>
      </c>
      <c r="I273" s="17"/>
      <c r="Z273" s="314"/>
      <c r="AA273" s="314"/>
      <c r="AB273" s="314"/>
      <c r="AC273" s="314"/>
      <c r="AD273" s="314"/>
      <c r="AE273" s="314"/>
      <c r="AF273" s="314"/>
      <c r="AG273" s="314"/>
      <c r="AH273" s="314"/>
      <c r="AI273" s="314"/>
      <c r="AJ273" s="314"/>
      <c r="AK273" s="314"/>
      <c r="AL273" s="314"/>
      <c r="AM273" s="314"/>
      <c r="AN273" s="314"/>
      <c r="AO273" s="314"/>
      <c r="AP273" s="314"/>
      <c r="AQ273" s="314"/>
      <c r="AR273" s="314"/>
    </row>
    <row r="274" spans="1:44" ht="94.5" customHeight="1" x14ac:dyDescent="0.3">
      <c r="A274" s="314">
        <v>661</v>
      </c>
      <c r="B274" s="854" t="s">
        <v>59</v>
      </c>
      <c r="C274" s="854" t="s">
        <v>699</v>
      </c>
      <c r="D274" s="666" t="s">
        <v>1427</v>
      </c>
      <c r="E274" s="382" t="e">
        <f>HLOOKUP($D$2,'2020 Data(H)'!$C$1:$CZ$428,314,FALSE)</f>
        <v>#N/A</v>
      </c>
      <c r="F274" s="270">
        <v>0</v>
      </c>
      <c r="G274" s="803" t="str">
        <f>IF(ISBLANK(F274),"Please do not leave blank ",IF(F274=H274,"","Please review percentage"))</f>
        <v/>
      </c>
      <c r="H274" s="804">
        <f>ROUND(IFERROR((F273/F272)*100,0),1)</f>
        <v>0</v>
      </c>
      <c r="I274" s="804"/>
      <c r="Z274" s="314"/>
      <c r="AA274" s="314"/>
      <c r="AB274" s="314"/>
      <c r="AC274" s="314"/>
      <c r="AD274" s="314"/>
      <c r="AE274" s="314"/>
      <c r="AF274" s="314"/>
      <c r="AG274" s="314"/>
      <c r="AH274" s="314"/>
      <c r="AI274" s="314"/>
      <c r="AJ274" s="314"/>
      <c r="AK274" s="314"/>
      <c r="AL274" s="314"/>
      <c r="AM274" s="314"/>
      <c r="AN274" s="314"/>
      <c r="AO274" s="314"/>
      <c r="AP274" s="314"/>
      <c r="AQ274" s="314"/>
      <c r="AR274" s="314"/>
    </row>
    <row r="275" spans="1:44" ht="111.75" customHeight="1" x14ac:dyDescent="0.3">
      <c r="A275" s="105"/>
      <c r="B275" s="701"/>
      <c r="C275" s="701"/>
      <c r="D275" s="27" t="s">
        <v>26</v>
      </c>
      <c r="E275" s="703"/>
      <c r="F275" s="706"/>
      <c r="G275" s="803"/>
      <c r="H275" s="804"/>
      <c r="I275" s="805"/>
      <c r="Z275" s="105"/>
      <c r="AA275" s="105"/>
      <c r="AB275" s="105"/>
      <c r="AC275" s="105"/>
      <c r="AD275" s="105"/>
      <c r="AE275" s="105"/>
      <c r="AF275" s="105"/>
      <c r="AG275" s="105"/>
      <c r="AH275" s="105"/>
      <c r="AI275" s="105"/>
      <c r="AJ275" s="105"/>
      <c r="AK275" s="105"/>
      <c r="AL275" s="105"/>
      <c r="AM275" s="105"/>
      <c r="AN275" s="105"/>
      <c r="AO275" s="105"/>
      <c r="AP275" s="105"/>
      <c r="AQ275" s="105"/>
      <c r="AR275" s="105"/>
    </row>
    <row r="276" spans="1:44" ht="32.25" customHeight="1" x14ac:dyDescent="0.3">
      <c r="A276" s="105"/>
      <c r="B276" s="894" t="s">
        <v>27</v>
      </c>
      <c r="C276" s="895"/>
      <c r="D276" s="897"/>
      <c r="E276" s="911"/>
      <c r="F276" s="911"/>
      <c r="G276" s="879"/>
      <c r="H276" s="17"/>
      <c r="I276" s="77"/>
      <c r="Z276" s="105"/>
      <c r="AA276" s="105"/>
      <c r="AB276" s="105"/>
      <c r="AC276" s="105"/>
      <c r="AD276" s="105"/>
      <c r="AE276" s="105"/>
      <c r="AF276" s="105"/>
      <c r="AG276" s="105"/>
      <c r="AH276" s="105"/>
      <c r="AI276" s="105"/>
      <c r="AJ276" s="105"/>
      <c r="AK276" s="105"/>
      <c r="AL276" s="105"/>
      <c r="AM276" s="105"/>
      <c r="AN276" s="105"/>
      <c r="AO276" s="105"/>
      <c r="AP276" s="105"/>
      <c r="AQ276" s="105"/>
      <c r="AR276" s="105"/>
    </row>
    <row r="277" spans="1:44" ht="63.75" customHeight="1" x14ac:dyDescent="0.3">
      <c r="A277" s="33">
        <v>371</v>
      </c>
      <c r="B277" s="4" t="s">
        <v>56</v>
      </c>
      <c r="C277" s="4" t="s">
        <v>168</v>
      </c>
      <c r="D277" s="24" t="s">
        <v>1529</v>
      </c>
      <c r="E277" s="699" t="e">
        <f>HLOOKUP($D$2,'2020 Data(H)'!$C$1:$CZ$428,132,FALSE)</f>
        <v>#N/A</v>
      </c>
      <c r="F277" s="301">
        <v>0</v>
      </c>
      <c r="G277" s="759">
        <f>IF(F277&lt;0,"Error: Enter as positive.",)</f>
        <v>0</v>
      </c>
      <c r="H277" s="17"/>
      <c r="I277" s="77"/>
      <c r="Z277" s="33"/>
      <c r="AA277" s="33"/>
      <c r="AB277" s="33"/>
      <c r="AC277" s="33"/>
      <c r="AD277" s="33"/>
      <c r="AE277" s="33"/>
      <c r="AF277" s="33"/>
      <c r="AG277" s="33"/>
      <c r="AH277" s="33"/>
      <c r="AI277" s="33"/>
      <c r="AJ277" s="33"/>
      <c r="AK277" s="33"/>
      <c r="AL277" s="33"/>
      <c r="AM277" s="33"/>
      <c r="AN277" s="33"/>
      <c r="AO277" s="33"/>
      <c r="AP277" s="33"/>
      <c r="AQ277" s="33"/>
      <c r="AR277" s="33"/>
    </row>
    <row r="278" spans="1:44" ht="70.5" customHeight="1" x14ac:dyDescent="0.3">
      <c r="A278" s="105">
        <v>513</v>
      </c>
      <c r="B278" s="852" t="s">
        <v>58</v>
      </c>
      <c r="C278" s="4" t="s">
        <v>168</v>
      </c>
      <c r="D278" s="24" t="s">
        <v>1530</v>
      </c>
      <c r="E278" s="699" t="e">
        <f>HLOOKUP($D$2,'2020 Data(H)'!$C$1:$CZ$428,163,FALSE)</f>
        <v>#N/A</v>
      </c>
      <c r="F278" s="301">
        <v>0</v>
      </c>
      <c r="G278" s="759">
        <f>IF(F278&lt;0,"Error: Enter as positive.",)</f>
        <v>0</v>
      </c>
      <c r="H278" s="760"/>
      <c r="I278" s="761"/>
      <c r="Z278" s="105"/>
      <c r="AA278" s="105"/>
      <c r="AB278" s="105"/>
      <c r="AC278" s="105"/>
      <c r="AD278" s="105"/>
      <c r="AE278" s="105"/>
      <c r="AF278" s="105"/>
      <c r="AG278" s="105"/>
      <c r="AH278" s="105"/>
      <c r="AI278" s="105"/>
      <c r="AJ278" s="105"/>
      <c r="AK278" s="105"/>
      <c r="AL278" s="105"/>
      <c r="AM278" s="105"/>
      <c r="AN278" s="105"/>
      <c r="AO278" s="105"/>
      <c r="AP278" s="105"/>
      <c r="AQ278" s="105"/>
      <c r="AR278" s="105"/>
    </row>
    <row r="279" spans="1:44" ht="80.25" customHeight="1" x14ac:dyDescent="0.3">
      <c r="A279" s="105">
        <v>514</v>
      </c>
      <c r="B279" s="852" t="s">
        <v>58</v>
      </c>
      <c r="C279" s="4" t="s">
        <v>168</v>
      </c>
      <c r="D279" s="24" t="s">
        <v>1531</v>
      </c>
      <c r="E279" s="699" t="e">
        <f>HLOOKUP($D$2,'2020 Data(H)'!$C$1:$CZ$428,164,FALSE)</f>
        <v>#N/A</v>
      </c>
      <c r="F279" s="301">
        <v>0</v>
      </c>
      <c r="G279" s="759">
        <f>IF(F279&lt;0,"Error: Enter as positive.",)</f>
        <v>0</v>
      </c>
      <c r="H279" s="17"/>
      <c r="I279" s="761"/>
      <c r="Z279" s="105"/>
      <c r="AA279" s="105"/>
      <c r="AB279" s="105"/>
      <c r="AC279" s="105"/>
      <c r="AD279" s="105"/>
      <c r="AE279" s="105"/>
      <c r="AF279" s="105"/>
      <c r="AG279" s="105"/>
      <c r="AH279" s="105"/>
      <c r="AI279" s="105"/>
      <c r="AJ279" s="105"/>
      <c r="AK279" s="105"/>
      <c r="AL279" s="105"/>
      <c r="AM279" s="105"/>
      <c r="AN279" s="105"/>
      <c r="AO279" s="105"/>
      <c r="AP279" s="105"/>
      <c r="AQ279" s="105"/>
      <c r="AR279" s="105"/>
    </row>
    <row r="280" spans="1:44" ht="80.25" customHeight="1" x14ac:dyDescent="0.3">
      <c r="A280" s="105">
        <v>990</v>
      </c>
      <c r="B280" s="861" t="s">
        <v>1039</v>
      </c>
      <c r="C280" s="858" t="s">
        <v>168</v>
      </c>
      <c r="D280" s="786" t="s">
        <v>1040</v>
      </c>
      <c r="E280" s="701" t="s">
        <v>1016</v>
      </c>
      <c r="F280" s="301">
        <v>0</v>
      </c>
      <c r="G280" s="759"/>
      <c r="H280" s="17"/>
      <c r="I280" s="761"/>
      <c r="Z280" s="105"/>
      <c r="AA280" s="105"/>
      <c r="AB280" s="105"/>
      <c r="AC280" s="105"/>
      <c r="AD280" s="105"/>
      <c r="AE280" s="105"/>
      <c r="AF280" s="105"/>
      <c r="AG280" s="105"/>
      <c r="AH280" s="105"/>
      <c r="AI280" s="105"/>
      <c r="AJ280" s="105"/>
      <c r="AK280" s="105"/>
      <c r="AL280" s="105"/>
      <c r="AM280" s="105"/>
      <c r="AN280" s="105"/>
      <c r="AO280" s="105"/>
      <c r="AP280" s="105"/>
      <c r="AQ280" s="105"/>
      <c r="AR280" s="105"/>
    </row>
    <row r="281" spans="1:44" ht="32.25" customHeight="1" x14ac:dyDescent="0.3">
      <c r="A281" s="105"/>
      <c r="B281" s="894" t="s">
        <v>28</v>
      </c>
      <c r="C281" s="895"/>
      <c r="D281" s="897"/>
      <c r="E281" s="911"/>
      <c r="F281" s="879"/>
      <c r="G281" s="879"/>
      <c r="H281" s="17"/>
      <c r="I281" s="77"/>
      <c r="Z281" s="105"/>
      <c r="AA281" s="105"/>
      <c r="AB281" s="105"/>
      <c r="AC281" s="105"/>
      <c r="AD281" s="105"/>
      <c r="AE281" s="105"/>
      <c r="AF281" s="105"/>
      <c r="AG281" s="105"/>
      <c r="AH281" s="105"/>
      <c r="AI281" s="105"/>
      <c r="AJ281" s="105"/>
      <c r="AK281" s="105"/>
      <c r="AL281" s="105"/>
      <c r="AM281" s="105"/>
      <c r="AN281" s="105"/>
      <c r="AO281" s="105"/>
      <c r="AP281" s="105"/>
      <c r="AQ281" s="105"/>
      <c r="AR281" s="105"/>
    </row>
    <row r="282" spans="1:44" ht="68.25" customHeight="1" x14ac:dyDescent="0.3">
      <c r="A282" s="105">
        <v>6</v>
      </c>
      <c r="B282" s="4" t="s">
        <v>55</v>
      </c>
      <c r="C282" s="4" t="s">
        <v>169</v>
      </c>
      <c r="D282" s="24" t="s">
        <v>1532</v>
      </c>
      <c r="E282" s="699" t="e">
        <f>HLOOKUP($D$2,'2020 Data(H)'!$C$1:$CZ$428,5,FALSE)</f>
        <v>#N/A</v>
      </c>
      <c r="F282" s="301">
        <v>0</v>
      </c>
      <c r="G282" s="759">
        <f>IF(F282&lt;0,"Error: Enter as positive.",)</f>
        <v>0</v>
      </c>
      <c r="H282" s="17"/>
      <c r="I282" s="77"/>
      <c r="J282" s="605"/>
      <c r="Z282" s="105"/>
      <c r="AA282" s="105"/>
      <c r="AB282" s="105"/>
      <c r="AC282" s="105"/>
      <c r="AD282" s="105"/>
      <c r="AE282" s="105"/>
      <c r="AF282" s="105"/>
      <c r="AG282" s="105"/>
      <c r="AH282" s="105"/>
      <c r="AI282" s="105"/>
      <c r="AJ282" s="105"/>
      <c r="AK282" s="105"/>
      <c r="AL282" s="105"/>
      <c r="AM282" s="105"/>
      <c r="AN282" s="105"/>
      <c r="AO282" s="105"/>
      <c r="AP282" s="105"/>
      <c r="AQ282" s="105"/>
      <c r="AR282" s="105"/>
    </row>
    <row r="283" spans="1:44" ht="33" customHeight="1" x14ac:dyDescent="0.3">
      <c r="A283" s="105"/>
      <c r="B283" s="894" t="s">
        <v>180</v>
      </c>
      <c r="C283" s="895"/>
      <c r="D283" s="897"/>
      <c r="E283" s="913"/>
      <c r="F283" s="889"/>
      <c r="G283" s="889"/>
      <c r="H283" s="760"/>
      <c r="I283" s="761"/>
      <c r="J283" s="605"/>
      <c r="Z283" s="105"/>
      <c r="AA283" s="105"/>
      <c r="AB283" s="105"/>
      <c r="AC283" s="105"/>
      <c r="AD283" s="105"/>
      <c r="AE283" s="105"/>
      <c r="AF283" s="105"/>
      <c r="AG283" s="105"/>
      <c r="AH283" s="105"/>
      <c r="AI283" s="105"/>
      <c r="AJ283" s="105"/>
      <c r="AK283" s="105"/>
      <c r="AL283" s="105"/>
      <c r="AM283" s="105"/>
      <c r="AN283" s="105"/>
      <c r="AO283" s="105"/>
      <c r="AP283" s="105"/>
      <c r="AQ283" s="105"/>
      <c r="AR283" s="105"/>
    </row>
    <row r="284" spans="1:44" ht="141" customHeight="1" x14ac:dyDescent="0.3">
      <c r="A284" s="105">
        <v>541</v>
      </c>
      <c r="B284" s="701" t="s">
        <v>59</v>
      </c>
      <c r="C284" s="701" t="s">
        <v>1533</v>
      </c>
      <c r="D284" s="698" t="s">
        <v>1534</v>
      </c>
      <c r="E284" s="699" t="e">
        <f>HLOOKUP($D$2,'2020 Data(H)'!$C$1:$CZ$428,191,FALSE)</f>
        <v>#N/A</v>
      </c>
      <c r="F284" s="301">
        <v>0</v>
      </c>
      <c r="G284" s="759"/>
      <c r="H284" s="760"/>
      <c r="I284" s="761"/>
      <c r="J284" s="605"/>
      <c r="Z284" s="105"/>
      <c r="AA284" s="105"/>
      <c r="AB284" s="105"/>
      <c r="AC284" s="105"/>
      <c r="AD284" s="105"/>
      <c r="AE284" s="105"/>
      <c r="AF284" s="105"/>
      <c r="AG284" s="105"/>
      <c r="AH284" s="105"/>
      <c r="AI284" s="105"/>
      <c r="AJ284" s="105"/>
      <c r="AK284" s="105"/>
      <c r="AL284" s="105"/>
      <c r="AM284" s="105"/>
      <c r="AN284" s="105"/>
      <c r="AO284" s="105"/>
      <c r="AP284" s="105"/>
      <c r="AQ284" s="105"/>
      <c r="AR284" s="105"/>
    </row>
    <row r="285" spans="1:44" ht="28.5" customHeight="1" x14ac:dyDescent="0.3">
      <c r="A285" s="105"/>
      <c r="B285" s="895" t="s">
        <v>50</v>
      </c>
      <c r="C285" s="895"/>
      <c r="D285" s="897"/>
      <c r="E285" s="913"/>
      <c r="F285" s="909"/>
      <c r="G285" s="909"/>
      <c r="H285" s="760"/>
      <c r="I285" s="761"/>
      <c r="Z285" s="105"/>
      <c r="AA285" s="105"/>
      <c r="AB285" s="105"/>
      <c r="AC285" s="105"/>
      <c r="AD285" s="105"/>
      <c r="AE285" s="105"/>
      <c r="AF285" s="105"/>
      <c r="AG285" s="105"/>
      <c r="AH285" s="105"/>
      <c r="AI285" s="105"/>
      <c r="AJ285" s="105"/>
      <c r="AK285" s="105"/>
      <c r="AL285" s="105"/>
      <c r="AM285" s="105"/>
      <c r="AN285" s="105"/>
      <c r="AO285" s="105"/>
      <c r="AP285" s="105"/>
      <c r="AQ285" s="105"/>
      <c r="AR285" s="105"/>
    </row>
    <row r="286" spans="1:44" ht="77.25" customHeight="1" x14ac:dyDescent="0.3">
      <c r="A286" s="105">
        <v>542</v>
      </c>
      <c r="B286" s="701" t="s">
        <v>59</v>
      </c>
      <c r="C286" s="862" t="s">
        <v>1535</v>
      </c>
      <c r="D286" s="29" t="s">
        <v>170</v>
      </c>
      <c r="E286" s="699" t="e">
        <f>HLOOKUP($D$2,'2020 Data(H)'!$C$1:$CZ$428,192,FALSE)</f>
        <v>#N/A</v>
      </c>
      <c r="F286" s="301">
        <v>0</v>
      </c>
      <c r="G286" s="759"/>
      <c r="H286" s="760"/>
      <c r="I286" s="806"/>
      <c r="Z286" s="105"/>
      <c r="AA286" s="105"/>
      <c r="AB286" s="105"/>
      <c r="AC286" s="105"/>
      <c r="AD286" s="105"/>
      <c r="AE286" s="105"/>
      <c r="AF286" s="105"/>
      <c r="AG286" s="105"/>
      <c r="AH286" s="105"/>
      <c r="AI286" s="105"/>
      <c r="AJ286" s="105"/>
      <c r="AK286" s="105"/>
      <c r="AL286" s="105"/>
      <c r="AM286" s="105"/>
      <c r="AN286" s="105"/>
      <c r="AO286" s="105"/>
      <c r="AP286" s="105"/>
      <c r="AQ286" s="105"/>
      <c r="AR286" s="105"/>
    </row>
    <row r="287" spans="1:44" ht="24.75" customHeight="1" x14ac:dyDescent="0.3">
      <c r="A287" s="105"/>
      <c r="B287" s="894" t="s">
        <v>1536</v>
      </c>
      <c r="C287" s="894"/>
      <c r="D287" s="870"/>
      <c r="E287" s="871"/>
      <c r="F287" s="891"/>
      <c r="G287" s="891"/>
      <c r="H287" s="17"/>
      <c r="I287" s="77"/>
      <c r="Z287" s="105"/>
      <c r="AA287" s="105"/>
      <c r="AB287" s="105"/>
      <c r="AC287" s="105"/>
      <c r="AD287" s="105"/>
      <c r="AE287" s="105"/>
      <c r="AF287" s="105"/>
      <c r="AG287" s="105"/>
      <c r="AH287" s="105"/>
      <c r="AI287" s="105"/>
      <c r="AJ287" s="105"/>
      <c r="AK287" s="105"/>
      <c r="AL287" s="105"/>
      <c r="AM287" s="105"/>
      <c r="AN287" s="105"/>
      <c r="AO287" s="105"/>
      <c r="AP287" s="105"/>
      <c r="AQ287" s="105"/>
      <c r="AR287" s="105"/>
    </row>
    <row r="288" spans="1:44" ht="25.5" customHeight="1" x14ac:dyDescent="0.3">
      <c r="A288" s="105"/>
      <c r="B288" s="914" t="s">
        <v>12</v>
      </c>
      <c r="C288" s="914"/>
      <c r="D288" s="870"/>
      <c r="E288" s="871"/>
      <c r="F288" s="915"/>
      <c r="G288" s="891"/>
      <c r="H288" s="17"/>
      <c r="I288" s="77"/>
      <c r="Z288" s="105"/>
      <c r="AA288" s="105"/>
      <c r="AB288" s="105"/>
      <c r="AC288" s="105"/>
      <c r="AD288" s="105"/>
      <c r="AE288" s="105"/>
      <c r="AF288" s="105"/>
      <c r="AG288" s="105"/>
      <c r="AH288" s="105"/>
      <c r="AI288" s="105"/>
      <c r="AJ288" s="105"/>
      <c r="AK288" s="105"/>
      <c r="AL288" s="105"/>
      <c r="AM288" s="105"/>
      <c r="AN288" s="105"/>
      <c r="AO288" s="105"/>
      <c r="AP288" s="105"/>
      <c r="AQ288" s="105"/>
      <c r="AR288" s="105"/>
    </row>
    <row r="289" spans="1:44" ht="77.25" customHeight="1" x14ac:dyDescent="0.3">
      <c r="A289" s="34">
        <v>528</v>
      </c>
      <c r="B289" s="701" t="s">
        <v>55</v>
      </c>
      <c r="C289" s="4" t="s">
        <v>171</v>
      </c>
      <c r="D289" s="638" t="s">
        <v>1573</v>
      </c>
      <c r="E289" s="699" t="e">
        <f>HLOOKUP($D$2,'2020 Data(H)'!$C$1:$CZ$428,178,FALSE)</f>
        <v>#N/A</v>
      </c>
      <c r="F289" s="301">
        <v>0</v>
      </c>
      <c r="G289" s="759">
        <f>IF(F289="","Error: Unit must enter this information if they levy taxes.",)</f>
        <v>0</v>
      </c>
      <c r="H289" s="807"/>
      <c r="I289" s="77"/>
      <c r="J289" s="808"/>
      <c r="Z289" s="34"/>
      <c r="AA289" s="34"/>
      <c r="AB289" s="34"/>
      <c r="AC289" s="34"/>
      <c r="AD289" s="34"/>
      <c r="AE289" s="34"/>
      <c r="AF289" s="34"/>
      <c r="AG289" s="34"/>
      <c r="AH289" s="34"/>
      <c r="AI289" s="34"/>
      <c r="AJ289" s="34"/>
      <c r="AK289" s="34"/>
      <c r="AL289" s="34"/>
      <c r="AM289" s="34"/>
      <c r="AN289" s="34"/>
      <c r="AO289" s="34"/>
      <c r="AP289" s="34"/>
      <c r="AQ289" s="34"/>
      <c r="AR289" s="34"/>
    </row>
    <row r="290" spans="1:44" ht="69" customHeight="1" x14ac:dyDescent="0.3">
      <c r="A290" s="34">
        <v>529</v>
      </c>
      <c r="B290" s="701" t="s">
        <v>55</v>
      </c>
      <c r="C290" s="4" t="s">
        <v>171</v>
      </c>
      <c r="D290" s="638" t="s">
        <v>1537</v>
      </c>
      <c r="E290" s="699" t="e">
        <f>HLOOKUP($D$2,'2020 Data(H)'!$C$1:$CZ$428,179,FALSE)</f>
        <v>#N/A</v>
      </c>
      <c r="F290" s="301">
        <v>0</v>
      </c>
      <c r="G290" s="759">
        <f>IF(F290="","Error: Unit must enter this information if they levy taxes.",)</f>
        <v>0</v>
      </c>
      <c r="H290" s="17"/>
      <c r="I290" s="77"/>
      <c r="Z290" s="34"/>
      <c r="AA290" s="34"/>
      <c r="AB290" s="34"/>
      <c r="AC290" s="34"/>
      <c r="AD290" s="34"/>
      <c r="AE290" s="34"/>
      <c r="AF290" s="34"/>
      <c r="AG290" s="34"/>
      <c r="AH290" s="34"/>
      <c r="AI290" s="34"/>
      <c r="AJ290" s="34"/>
      <c r="AK290" s="34"/>
      <c r="AL290" s="34"/>
      <c r="AM290" s="34"/>
      <c r="AN290" s="34"/>
      <c r="AO290" s="34"/>
      <c r="AP290" s="34"/>
      <c r="AQ290" s="34"/>
      <c r="AR290" s="34"/>
    </row>
    <row r="291" spans="1:44" ht="69" customHeight="1" x14ac:dyDescent="0.3">
      <c r="A291" s="34">
        <v>530</v>
      </c>
      <c r="B291" s="701" t="s">
        <v>55</v>
      </c>
      <c r="C291" s="4" t="s">
        <v>171</v>
      </c>
      <c r="D291" s="863" t="s">
        <v>1538</v>
      </c>
      <c r="E291" s="699" t="e">
        <f>HLOOKUP($D$2,'2020 Data(H)'!$C$1:$CZ$428,180,FALSE)</f>
        <v>#N/A</v>
      </c>
      <c r="F291" s="301">
        <v>0</v>
      </c>
      <c r="G291" s="759">
        <f>IF(F291="","Error: Unit must enter this information if they levy taxes.",)</f>
        <v>0</v>
      </c>
      <c r="H291" s="17"/>
      <c r="I291" s="77"/>
      <c r="Z291" s="34"/>
      <c r="AA291" s="34"/>
      <c r="AB291" s="34"/>
      <c r="AC291" s="34"/>
      <c r="AD291" s="34"/>
      <c r="AE291" s="34"/>
      <c r="AF291" s="34"/>
      <c r="AG291" s="34"/>
      <c r="AH291" s="34"/>
      <c r="AI291" s="34"/>
      <c r="AJ291" s="34"/>
      <c r="AK291" s="34"/>
      <c r="AL291" s="34"/>
      <c r="AM291" s="34"/>
      <c r="AN291" s="34"/>
      <c r="AO291" s="34"/>
      <c r="AP291" s="34"/>
      <c r="AQ291" s="34"/>
      <c r="AR291" s="34"/>
    </row>
    <row r="292" spans="1:44" ht="55.5" customHeight="1" x14ac:dyDescent="0.3">
      <c r="A292" s="34">
        <v>531</v>
      </c>
      <c r="B292" s="701" t="s">
        <v>55</v>
      </c>
      <c r="C292" s="4" t="s">
        <v>171</v>
      </c>
      <c r="D292" s="863" t="s">
        <v>1539</v>
      </c>
      <c r="E292" s="699" t="e">
        <f>HLOOKUP($D$2,'2020 Data(H)'!$C$1:$CZ$428,181,FALSE)</f>
        <v>#N/A</v>
      </c>
      <c r="F292" s="301">
        <v>0</v>
      </c>
      <c r="G292" s="759">
        <f>IF(F292="","Error: Unit must enter this information if they levy taxes.",)</f>
        <v>0</v>
      </c>
      <c r="H292" s="17"/>
      <c r="I292" s="77"/>
      <c r="Z292" s="34"/>
      <c r="AA292" s="34"/>
      <c r="AB292" s="34"/>
      <c r="AC292" s="34"/>
      <c r="AD292" s="34"/>
      <c r="AE292" s="34"/>
      <c r="AF292" s="34"/>
      <c r="AG292" s="34"/>
      <c r="AH292" s="34"/>
      <c r="AI292" s="34"/>
      <c r="AJ292" s="34"/>
      <c r="AK292" s="34"/>
      <c r="AL292" s="34"/>
      <c r="AM292" s="34"/>
      <c r="AN292" s="34"/>
      <c r="AO292" s="34"/>
      <c r="AP292" s="34"/>
      <c r="AQ292" s="34"/>
      <c r="AR292" s="34"/>
    </row>
    <row r="293" spans="1:44" ht="69" customHeight="1" x14ac:dyDescent="0.3">
      <c r="A293" s="105">
        <v>61</v>
      </c>
      <c r="B293" s="4" t="s">
        <v>59</v>
      </c>
      <c r="C293" s="4" t="s">
        <v>171</v>
      </c>
      <c r="D293" s="29" t="s">
        <v>1540</v>
      </c>
      <c r="E293" s="35" t="e">
        <f>HLOOKUP($D$2,'2020 Data(H)'!$C$1:$CZ$428,43,FALSE)</f>
        <v>#N/A</v>
      </c>
      <c r="F293" s="281">
        <v>0</v>
      </c>
      <c r="G293" s="759" t="e">
        <f>IF(F293=H293," ","Please check values in account 528, 529, 530 and  531.")</f>
        <v>#DIV/0!</v>
      </c>
      <c r="H293" s="809" t="e">
        <f>ROUND((F289+F290-F291-F292)/(F289+F290)*100,2)</f>
        <v>#DIV/0!</v>
      </c>
      <c r="I293" s="77"/>
      <c r="Z293" s="105"/>
      <c r="AA293" s="105"/>
      <c r="AB293" s="105"/>
      <c r="AC293" s="105"/>
      <c r="AD293" s="105"/>
      <c r="AE293" s="105"/>
      <c r="AF293" s="105"/>
      <c r="AG293" s="105"/>
      <c r="AH293" s="105"/>
      <c r="AI293" s="105"/>
      <c r="AJ293" s="105"/>
      <c r="AK293" s="105"/>
      <c r="AL293" s="105"/>
      <c r="AM293" s="105"/>
      <c r="AN293" s="105"/>
      <c r="AO293" s="105"/>
      <c r="AP293" s="105"/>
      <c r="AQ293" s="105"/>
      <c r="AR293" s="105"/>
    </row>
    <row r="294" spans="1:44" ht="69" customHeight="1" x14ac:dyDescent="0.3">
      <c r="A294" s="105">
        <v>102</v>
      </c>
      <c r="B294" s="4" t="s">
        <v>59</v>
      </c>
      <c r="C294" s="4" t="s">
        <v>171</v>
      </c>
      <c r="D294" s="58" t="s">
        <v>1541</v>
      </c>
      <c r="E294" s="35" t="e">
        <f>HLOOKUP($D$2,'2020 Data(H)'!$C$1:$CZ$428,62,FALSE)</f>
        <v>#N/A</v>
      </c>
      <c r="F294" s="281">
        <v>0</v>
      </c>
      <c r="G294" s="759" t="e">
        <f>IF(F294=H294," ","Please check values in account 528 and 530.")</f>
        <v>#DIV/0!</v>
      </c>
      <c r="H294" s="809" t="e">
        <f>ROUND((F289-F291)/(F289)*100,2)</f>
        <v>#DIV/0!</v>
      </c>
      <c r="I294" s="77"/>
      <c r="Z294" s="105"/>
      <c r="AA294" s="105"/>
      <c r="AB294" s="105"/>
      <c r="AC294" s="105"/>
      <c r="AD294" s="105"/>
      <c r="AE294" s="105"/>
      <c r="AF294" s="105"/>
      <c r="AG294" s="105"/>
      <c r="AH294" s="105"/>
      <c r="AI294" s="105"/>
      <c r="AJ294" s="105"/>
      <c r="AK294" s="105"/>
      <c r="AL294" s="105"/>
      <c r="AM294" s="105"/>
      <c r="AN294" s="105"/>
      <c r="AO294" s="105"/>
      <c r="AP294" s="105"/>
      <c r="AQ294" s="105"/>
      <c r="AR294" s="105"/>
    </row>
    <row r="295" spans="1:44" ht="63.75" customHeight="1" x14ac:dyDescent="0.3">
      <c r="A295" s="105">
        <v>103</v>
      </c>
      <c r="B295" s="4" t="s">
        <v>59</v>
      </c>
      <c r="C295" s="4" t="s">
        <v>171</v>
      </c>
      <c r="D295" s="29" t="s">
        <v>1542</v>
      </c>
      <c r="E295" s="35" t="e">
        <f>HLOOKUP($D$2,'2020 Data(H)'!$C$1:$CZ$428,63,FALSE)</f>
        <v>#N/A</v>
      </c>
      <c r="F295" s="281">
        <v>0</v>
      </c>
      <c r="G295" s="759" t="e">
        <f>IF(F295=H295," ","Please check values in account 529 and 531.")</f>
        <v>#DIV/0!</v>
      </c>
      <c r="H295" s="809" t="e">
        <f>ROUND((F290-F292)/F290*100,2)</f>
        <v>#DIV/0!</v>
      </c>
      <c r="I295" s="77"/>
      <c r="M295" s="18" t="s">
        <v>1017</v>
      </c>
      <c r="Z295" s="105"/>
      <c r="AA295" s="105"/>
      <c r="AB295" s="105"/>
      <c r="AC295" s="105"/>
      <c r="AD295" s="105"/>
      <c r="AE295" s="105"/>
      <c r="AF295" s="105"/>
      <c r="AG295" s="105"/>
      <c r="AH295" s="105"/>
      <c r="AI295" s="105"/>
      <c r="AJ295" s="105"/>
      <c r="AK295" s="105"/>
      <c r="AL295" s="105"/>
      <c r="AM295" s="105"/>
      <c r="AN295" s="105"/>
      <c r="AO295" s="105"/>
      <c r="AP295" s="105"/>
      <c r="AQ295" s="105"/>
      <c r="AR295" s="105"/>
    </row>
    <row r="296" spans="1:44" ht="72" customHeight="1" x14ac:dyDescent="0.3">
      <c r="A296" s="105">
        <v>544</v>
      </c>
      <c r="B296" s="701" t="s">
        <v>59</v>
      </c>
      <c r="C296" s="701" t="s">
        <v>171</v>
      </c>
      <c r="D296" s="24" t="s">
        <v>1543</v>
      </c>
      <c r="E296" s="36" t="e">
        <f>HLOOKUP($D$2,'2020 Data(H)'!$C$1:$CZ$428,194,FALSE)</f>
        <v>#N/A</v>
      </c>
      <c r="F296" s="370">
        <v>0</v>
      </c>
      <c r="G296" s="759"/>
      <c r="H296" s="17"/>
      <c r="I296" s="105"/>
      <c r="J296" s="864"/>
      <c r="M296" s="18" t="s">
        <v>51</v>
      </c>
      <c r="Z296" s="105"/>
      <c r="AA296" s="105"/>
      <c r="AB296" s="105"/>
      <c r="AC296" s="105"/>
      <c r="AD296" s="105"/>
      <c r="AE296" s="105"/>
      <c r="AF296" s="105"/>
      <c r="AG296" s="105"/>
      <c r="AH296" s="105"/>
      <c r="AI296" s="105"/>
      <c r="AJ296" s="105"/>
      <c r="AK296" s="105"/>
      <c r="AL296" s="105"/>
      <c r="AM296" s="105"/>
      <c r="AN296" s="105"/>
      <c r="AO296" s="105"/>
      <c r="AP296" s="105"/>
      <c r="AQ296" s="105"/>
      <c r="AR296" s="105"/>
    </row>
    <row r="297" spans="1:44" ht="73.5" customHeight="1" x14ac:dyDescent="0.3">
      <c r="A297" s="105">
        <v>545</v>
      </c>
      <c r="B297" s="701" t="s">
        <v>59</v>
      </c>
      <c r="C297" s="701" t="s">
        <v>171</v>
      </c>
      <c r="D297" s="24" t="s">
        <v>1544</v>
      </c>
      <c r="E297" s="1225"/>
      <c r="F297" s="370">
        <v>0</v>
      </c>
      <c r="G297" s="759"/>
      <c r="H297" s="17"/>
      <c r="I297" s="134"/>
      <c r="J297" s="864"/>
      <c r="M297" s="18" t="s">
        <v>52</v>
      </c>
      <c r="Z297" s="105"/>
      <c r="AA297" s="105"/>
      <c r="AB297" s="105"/>
      <c r="AC297" s="105"/>
      <c r="AD297" s="105"/>
      <c r="AE297" s="105"/>
      <c r="AF297" s="105"/>
      <c r="AG297" s="105"/>
      <c r="AH297" s="105"/>
      <c r="AI297" s="105"/>
      <c r="AJ297" s="105"/>
      <c r="AK297" s="105"/>
      <c r="AL297" s="105"/>
      <c r="AM297" s="105"/>
      <c r="AN297" s="105"/>
      <c r="AO297" s="105"/>
      <c r="AP297" s="105"/>
      <c r="AQ297" s="105"/>
      <c r="AR297" s="105"/>
    </row>
    <row r="298" spans="1:44" ht="51.75" customHeight="1" x14ac:dyDescent="0.3">
      <c r="A298" s="122">
        <v>624</v>
      </c>
      <c r="B298" s="121" t="s">
        <v>59</v>
      </c>
      <c r="C298" s="121"/>
      <c r="D298" s="121" t="s">
        <v>719</v>
      </c>
      <c r="E298" s="1225"/>
      <c r="F298" s="269"/>
      <c r="G298" s="802" t="str">
        <f>IF(+F298&lt;1,"Please answer this question","")</f>
        <v>Please answer this question</v>
      </c>
      <c r="H298" s="17"/>
      <c r="I298" s="105"/>
      <c r="J298" s="864"/>
      <c r="M298" s="18" t="s">
        <v>1018</v>
      </c>
      <c r="Z298" s="122"/>
      <c r="AA298" s="122"/>
      <c r="AB298" s="122"/>
      <c r="AC298" s="122"/>
      <c r="AD298" s="122"/>
      <c r="AE298" s="122"/>
      <c r="AF298" s="122"/>
      <c r="AG298" s="122"/>
      <c r="AH298" s="122"/>
      <c r="AI298" s="122"/>
      <c r="AJ298" s="122"/>
      <c r="AK298" s="122"/>
      <c r="AL298" s="122"/>
      <c r="AM298" s="122"/>
      <c r="AN298" s="122"/>
      <c r="AO298" s="122"/>
      <c r="AP298" s="122"/>
      <c r="AQ298" s="122"/>
      <c r="AR298" s="122"/>
    </row>
    <row r="299" spans="1:44" ht="70.5" customHeight="1" x14ac:dyDescent="0.3">
      <c r="A299" s="702">
        <v>648</v>
      </c>
      <c r="B299" s="320" t="s">
        <v>1125</v>
      </c>
      <c r="C299" s="858" t="s">
        <v>171</v>
      </c>
      <c r="D299" s="320" t="s">
        <v>1406</v>
      </c>
      <c r="E299" s="701" t="s">
        <v>1016</v>
      </c>
      <c r="F299" s="370">
        <v>0</v>
      </c>
      <c r="G299" s="802"/>
      <c r="H299" s="17"/>
      <c r="I299" s="105"/>
      <c r="J299" s="864"/>
      <c r="Z299" s="702"/>
      <c r="AA299" s="702"/>
      <c r="AB299" s="702"/>
      <c r="AC299" s="702"/>
      <c r="AD299" s="702"/>
      <c r="AE299" s="702"/>
      <c r="AF299" s="702"/>
      <c r="AG299" s="702"/>
      <c r="AH299" s="702"/>
      <c r="AI299" s="702"/>
      <c r="AJ299" s="702"/>
      <c r="AK299" s="702"/>
      <c r="AL299" s="702"/>
      <c r="AM299" s="702"/>
      <c r="AN299" s="702"/>
      <c r="AO299" s="702"/>
      <c r="AP299" s="702"/>
      <c r="AQ299" s="702"/>
      <c r="AR299" s="702"/>
    </row>
    <row r="300" spans="1:44" ht="171" customHeight="1" x14ac:dyDescent="0.3">
      <c r="A300" s="702">
        <v>991</v>
      </c>
      <c r="B300" s="319" t="s">
        <v>1046</v>
      </c>
      <c r="C300" s="320"/>
      <c r="D300" s="810" t="s">
        <v>1323</v>
      </c>
      <c r="E300" s="701" t="s">
        <v>1016</v>
      </c>
      <c r="F300" s="269"/>
      <c r="G300" s="802"/>
      <c r="H300" s="811" t="s">
        <v>1042</v>
      </c>
      <c r="I300" s="251" t="s">
        <v>1048</v>
      </c>
      <c r="J300" s="864"/>
      <c r="M300" s="18" t="s">
        <v>1043</v>
      </c>
      <c r="Z300" s="702"/>
      <c r="AA300" s="702"/>
      <c r="AB300" s="702"/>
      <c r="AC300" s="702"/>
      <c r="AD300" s="702"/>
      <c r="AE300" s="702"/>
      <c r="AF300" s="702"/>
      <c r="AG300" s="702"/>
      <c r="AH300" s="702"/>
      <c r="AI300" s="702"/>
      <c r="AJ300" s="702"/>
      <c r="AK300" s="702"/>
      <c r="AL300" s="702"/>
      <c r="AM300" s="702"/>
      <c r="AN300" s="702"/>
      <c r="AO300" s="702"/>
      <c r="AP300" s="702"/>
      <c r="AQ300" s="702"/>
      <c r="AR300" s="702"/>
    </row>
    <row r="301" spans="1:44" ht="27.75" customHeight="1" x14ac:dyDescent="0.3">
      <c r="A301" s="105"/>
      <c r="B301" s="894" t="s">
        <v>703</v>
      </c>
      <c r="C301" s="894"/>
      <c r="D301" s="894"/>
      <c r="E301" s="916"/>
      <c r="F301" s="916"/>
      <c r="G301" s="917"/>
      <c r="H301" s="17"/>
      <c r="I301" s="105"/>
      <c r="J301" s="864"/>
      <c r="M301" s="18" t="s">
        <v>1044</v>
      </c>
      <c r="Z301" s="105"/>
      <c r="AA301" s="105"/>
      <c r="AB301" s="105"/>
      <c r="AC301" s="105"/>
      <c r="AD301" s="105"/>
      <c r="AE301" s="105"/>
      <c r="AF301" s="105"/>
      <c r="AG301" s="105"/>
      <c r="AH301" s="105"/>
      <c r="AI301" s="105"/>
      <c r="AJ301" s="105"/>
      <c r="AK301" s="105"/>
      <c r="AL301" s="105"/>
      <c r="AM301" s="105"/>
      <c r="AN301" s="105"/>
      <c r="AO301" s="105"/>
      <c r="AP301" s="105"/>
      <c r="AQ301" s="105"/>
      <c r="AR301" s="105"/>
    </row>
    <row r="302" spans="1:44" ht="68.25" customHeight="1" x14ac:dyDescent="0.3">
      <c r="A302" s="105">
        <v>620</v>
      </c>
      <c r="B302" s="701" t="s">
        <v>59</v>
      </c>
      <c r="C302" s="701"/>
      <c r="D302" s="24" t="s">
        <v>702</v>
      </c>
      <c r="E302" s="937"/>
      <c r="F302" s="269"/>
      <c r="G302" s="802" t="str">
        <f>IF(F302&lt;1,"Please answer this question","")</f>
        <v>Please answer this question</v>
      </c>
      <c r="H302" s="17"/>
      <c r="I302" s="105"/>
      <c r="J302" s="864"/>
      <c r="M302" s="18" t="s">
        <v>1045</v>
      </c>
      <c r="Z302" s="105"/>
      <c r="AA302" s="105"/>
      <c r="AB302" s="105"/>
      <c r="AC302" s="105"/>
      <c r="AD302" s="105"/>
      <c r="AE302" s="105"/>
      <c r="AF302" s="105"/>
      <c r="AG302" s="105"/>
      <c r="AH302" s="105"/>
      <c r="AI302" s="105"/>
      <c r="AJ302" s="105"/>
      <c r="AK302" s="105"/>
      <c r="AL302" s="105"/>
      <c r="AM302" s="105"/>
      <c r="AN302" s="105"/>
      <c r="AO302" s="105"/>
      <c r="AP302" s="105"/>
      <c r="AQ302" s="105"/>
      <c r="AR302" s="105"/>
    </row>
    <row r="303" spans="1:44" ht="123.75" customHeight="1" x14ac:dyDescent="0.3">
      <c r="A303" s="865"/>
      <c r="B303" s="1281" t="s">
        <v>879</v>
      </c>
      <c r="C303" s="1281"/>
      <c r="D303" s="1281"/>
      <c r="E303" s="930"/>
      <c r="F303" s="930"/>
      <c r="G303" s="930"/>
      <c r="H303" s="17"/>
      <c r="I303" s="105"/>
      <c r="J303" s="864"/>
      <c r="M303" s="18" t="s">
        <v>887</v>
      </c>
      <c r="Z303" s="865"/>
      <c r="AA303" s="865"/>
      <c r="AB303" s="865"/>
      <c r="AC303" s="865"/>
      <c r="AD303" s="865"/>
      <c r="AE303" s="865"/>
      <c r="AF303" s="865"/>
      <c r="AG303" s="865"/>
      <c r="AH303" s="865"/>
      <c r="AI303" s="865"/>
      <c r="AJ303" s="865"/>
      <c r="AK303" s="865"/>
      <c r="AL303" s="865"/>
      <c r="AM303" s="865"/>
      <c r="AN303" s="865"/>
      <c r="AO303" s="865"/>
      <c r="AP303" s="865"/>
      <c r="AQ303" s="865"/>
      <c r="AR303" s="865"/>
    </row>
    <row r="304" spans="1:44" ht="63" customHeight="1" x14ac:dyDescent="0.3">
      <c r="A304" s="314">
        <v>947</v>
      </c>
      <c r="B304" s="866"/>
      <c r="C304" s="866"/>
      <c r="D304" s="171" t="s">
        <v>819</v>
      </c>
      <c r="E304" s="704"/>
      <c r="F304" s="812"/>
      <c r="G304" s="802" t="str">
        <f>IF(ISBLANK(F304),"Please do not leave blank","")</f>
        <v>Please do not leave blank</v>
      </c>
      <c r="H304" s="17"/>
      <c r="I304" s="302"/>
      <c r="J304" s="738"/>
      <c r="K304" s="302"/>
      <c r="L304" s="302"/>
      <c r="M304" s="302"/>
      <c r="O304" s="302"/>
      <c r="Z304" s="314"/>
      <c r="AA304" s="314"/>
      <c r="AB304" s="314"/>
      <c r="AC304" s="314"/>
      <c r="AD304" s="314"/>
      <c r="AE304" s="314"/>
      <c r="AF304" s="314"/>
      <c r="AG304" s="314"/>
      <c r="AH304" s="314"/>
      <c r="AI304" s="314"/>
      <c r="AJ304" s="314"/>
      <c r="AK304" s="314"/>
      <c r="AL304" s="314"/>
      <c r="AM304" s="314"/>
      <c r="AN304" s="314"/>
      <c r="AO304" s="314"/>
      <c r="AP304" s="314"/>
      <c r="AQ304" s="314"/>
      <c r="AR304" s="314"/>
    </row>
    <row r="305" spans="1:44" ht="65.25" customHeight="1" x14ac:dyDescent="0.3">
      <c r="A305" s="314">
        <v>948</v>
      </c>
      <c r="B305" s="866"/>
      <c r="C305" s="866"/>
      <c r="D305" s="171" t="s">
        <v>820</v>
      </c>
      <c r="E305" s="704"/>
      <c r="F305" s="812"/>
      <c r="G305" s="802" t="str">
        <f t="shared" ref="G305:G311" si="3">IF(ISBLANK(F305),"Please do not leave blank","")</f>
        <v>Please do not leave blank</v>
      </c>
      <c r="H305" s="17"/>
      <c r="I305" s="302"/>
      <c r="J305" s="738"/>
      <c r="K305" s="302"/>
      <c r="L305" s="302"/>
      <c r="M305" s="302"/>
      <c r="O305" s="302"/>
      <c r="Z305" s="314"/>
      <c r="AA305" s="314"/>
      <c r="AB305" s="314"/>
      <c r="AC305" s="314"/>
      <c r="AD305" s="314"/>
      <c r="AE305" s="314"/>
      <c r="AF305" s="314"/>
      <c r="AG305" s="314"/>
      <c r="AH305" s="314"/>
      <c r="AI305" s="314"/>
      <c r="AJ305" s="314"/>
      <c r="AK305" s="314"/>
      <c r="AL305" s="314"/>
      <c r="AM305" s="314"/>
      <c r="AN305" s="314"/>
      <c r="AO305" s="314"/>
      <c r="AP305" s="314"/>
      <c r="AQ305" s="314"/>
      <c r="AR305" s="314"/>
    </row>
    <row r="306" spans="1:44" ht="76.5" customHeight="1" x14ac:dyDescent="0.3">
      <c r="A306" s="314">
        <v>949</v>
      </c>
      <c r="B306" s="866"/>
      <c r="C306" s="866"/>
      <c r="D306" s="171" t="s">
        <v>821</v>
      </c>
      <c r="E306" s="704"/>
      <c r="F306" s="812"/>
      <c r="G306" s="802" t="str">
        <f t="shared" si="3"/>
        <v>Please do not leave blank</v>
      </c>
      <c r="H306" s="17"/>
      <c r="I306" s="302"/>
      <c r="J306" s="738"/>
      <c r="K306" s="302"/>
      <c r="L306" s="302"/>
      <c r="M306" s="302"/>
      <c r="O306" s="302"/>
      <c r="Z306" s="314"/>
      <c r="AA306" s="314"/>
      <c r="AB306" s="314"/>
      <c r="AC306" s="314"/>
      <c r="AD306" s="314"/>
      <c r="AE306" s="314"/>
      <c r="AF306" s="314"/>
      <c r="AG306" s="314"/>
      <c r="AH306" s="314"/>
      <c r="AI306" s="314"/>
      <c r="AJ306" s="314"/>
      <c r="AK306" s="314"/>
      <c r="AL306" s="314"/>
      <c r="AM306" s="314"/>
      <c r="AN306" s="314"/>
      <c r="AO306" s="314"/>
      <c r="AP306" s="314"/>
      <c r="AQ306" s="314"/>
      <c r="AR306" s="314"/>
    </row>
    <row r="307" spans="1:44" ht="60" customHeight="1" x14ac:dyDescent="0.3">
      <c r="A307" s="314">
        <v>950</v>
      </c>
      <c r="B307" s="866"/>
      <c r="C307" s="866"/>
      <c r="D307" s="171" t="s">
        <v>805</v>
      </c>
      <c r="E307" s="704"/>
      <c r="F307" s="812"/>
      <c r="G307" s="802" t="str">
        <f t="shared" si="3"/>
        <v>Please do not leave blank</v>
      </c>
      <c r="H307" s="17"/>
      <c r="I307" s="302"/>
      <c r="J307" s="738"/>
      <c r="K307" s="302"/>
      <c r="L307" s="302"/>
      <c r="M307" s="302"/>
      <c r="O307" s="302"/>
      <c r="Z307" s="314"/>
      <c r="AA307" s="314"/>
      <c r="AB307" s="314"/>
      <c r="AC307" s="314"/>
      <c r="AD307" s="314"/>
      <c r="AE307" s="314"/>
      <c r="AF307" s="314"/>
      <c r="AG307" s="314"/>
      <c r="AH307" s="314"/>
      <c r="AI307" s="314"/>
      <c r="AJ307" s="314"/>
      <c r="AK307" s="314"/>
      <c r="AL307" s="314"/>
      <c r="AM307" s="314"/>
      <c r="AN307" s="314"/>
      <c r="AO307" s="314"/>
      <c r="AP307" s="314"/>
      <c r="AQ307" s="314"/>
      <c r="AR307" s="314"/>
    </row>
    <row r="308" spans="1:44" ht="72" x14ac:dyDescent="0.3">
      <c r="A308" s="314">
        <v>952</v>
      </c>
      <c r="B308" s="866"/>
      <c r="C308" s="866"/>
      <c r="D308" s="813" t="s">
        <v>1428</v>
      </c>
      <c r="E308" s="704"/>
      <c r="F308" s="814"/>
      <c r="G308" s="802" t="s">
        <v>1574</v>
      </c>
      <c r="H308" s="17"/>
      <c r="I308" s="815"/>
      <c r="J308" s="738"/>
      <c r="K308" s="302"/>
      <c r="L308" s="302"/>
      <c r="M308" s="302"/>
      <c r="O308" s="302"/>
      <c r="Z308" s="314"/>
      <c r="AA308" s="314"/>
      <c r="AB308" s="314"/>
      <c r="AC308" s="314"/>
      <c r="AD308" s="314"/>
      <c r="AE308" s="314"/>
      <c r="AF308" s="314"/>
      <c r="AG308" s="314"/>
      <c r="AH308" s="314"/>
      <c r="AI308" s="314"/>
      <c r="AJ308" s="314"/>
      <c r="AK308" s="314"/>
      <c r="AL308" s="314"/>
      <c r="AM308" s="314"/>
      <c r="AN308" s="314"/>
      <c r="AO308" s="314"/>
      <c r="AP308" s="314"/>
      <c r="AQ308" s="314"/>
      <c r="AR308" s="314"/>
    </row>
    <row r="309" spans="1:44" ht="93" customHeight="1" x14ac:dyDescent="0.3">
      <c r="A309" s="314">
        <v>954</v>
      </c>
      <c r="B309" s="866"/>
      <c r="C309" s="866"/>
      <c r="D309" s="813" t="s">
        <v>806</v>
      </c>
      <c r="E309" s="704"/>
      <c r="F309" s="812"/>
      <c r="G309" s="802" t="str">
        <f t="shared" si="3"/>
        <v>Please do not leave blank</v>
      </c>
      <c r="H309" s="17"/>
      <c r="I309" s="302"/>
      <c r="J309" s="738"/>
      <c r="K309" s="302"/>
      <c r="L309" s="302"/>
      <c r="M309" s="302"/>
      <c r="O309" s="302"/>
      <c r="Z309" s="314"/>
      <c r="AA309" s="314"/>
      <c r="AB309" s="314"/>
      <c r="AC309" s="314"/>
      <c r="AD309" s="314"/>
      <c r="AE309" s="314"/>
      <c r="AF309" s="314"/>
      <c r="AG309" s="314"/>
      <c r="AH309" s="314"/>
      <c r="AI309" s="314"/>
      <c r="AJ309" s="314"/>
      <c r="AK309" s="314"/>
      <c r="AL309" s="314"/>
      <c r="AM309" s="314"/>
      <c r="AN309" s="314"/>
      <c r="AO309" s="314"/>
      <c r="AP309" s="314"/>
      <c r="AQ309" s="314"/>
      <c r="AR309" s="314"/>
    </row>
    <row r="310" spans="1:44" ht="98.25" customHeight="1" x14ac:dyDescent="0.3">
      <c r="A310" s="314">
        <v>956</v>
      </c>
      <c r="B310" s="866"/>
      <c r="C310" s="866"/>
      <c r="D310" s="813" t="s">
        <v>807</v>
      </c>
      <c r="E310" s="704"/>
      <c r="F310" s="812"/>
      <c r="G310" s="802" t="str">
        <f t="shared" si="3"/>
        <v>Please do not leave blank</v>
      </c>
      <c r="H310" s="17"/>
      <c r="I310" s="302"/>
      <c r="J310" s="306"/>
      <c r="K310" s="302"/>
      <c r="L310" s="302"/>
      <c r="M310" s="302"/>
      <c r="O310" s="302"/>
      <c r="Z310" s="314"/>
      <c r="AA310" s="314"/>
      <c r="AB310" s="314"/>
      <c r="AC310" s="314"/>
      <c r="AD310" s="314"/>
      <c r="AE310" s="314"/>
      <c r="AF310" s="314"/>
      <c r="AG310" s="314"/>
      <c r="AH310" s="314"/>
      <c r="AI310" s="314"/>
      <c r="AJ310" s="314"/>
      <c r="AK310" s="314"/>
      <c r="AL310" s="314"/>
      <c r="AM310" s="314"/>
      <c r="AN310" s="314"/>
      <c r="AO310" s="314"/>
      <c r="AP310" s="314"/>
      <c r="AQ310" s="314"/>
      <c r="AR310" s="314"/>
    </row>
    <row r="311" spans="1:44" ht="218.25" customHeight="1" x14ac:dyDescent="0.3">
      <c r="A311" s="314">
        <v>958</v>
      </c>
      <c r="B311" s="866"/>
      <c r="C311" s="866"/>
      <c r="D311" s="810" t="s">
        <v>1261</v>
      </c>
      <c r="E311" s="704"/>
      <c r="F311" s="812"/>
      <c r="G311" s="802" t="str">
        <f t="shared" si="3"/>
        <v>Please do not leave blank</v>
      </c>
      <c r="H311" s="17"/>
      <c r="I311" s="302"/>
      <c r="J311" s="302"/>
      <c r="K311" s="302"/>
      <c r="L311" s="302"/>
      <c r="M311" s="302"/>
      <c r="O311" s="302"/>
      <c r="Z311" s="314"/>
      <c r="AA311" s="314"/>
      <c r="AB311" s="314"/>
      <c r="AC311" s="314"/>
      <c r="AD311" s="314"/>
      <c r="AE311" s="314"/>
      <c r="AF311" s="314"/>
      <c r="AG311" s="314"/>
      <c r="AH311" s="314"/>
      <c r="AI311" s="314"/>
      <c r="AJ311" s="314"/>
      <c r="AK311" s="314"/>
      <c r="AL311" s="314"/>
      <c r="AM311" s="314"/>
      <c r="AN311" s="314"/>
      <c r="AO311" s="314"/>
      <c r="AP311" s="314"/>
      <c r="AQ311" s="314"/>
      <c r="AR311" s="314"/>
    </row>
    <row r="312" spans="1:44" ht="15" thickBot="1" x14ac:dyDescent="0.35">
      <c r="A312" s="105"/>
      <c r="B312" s="918"/>
      <c r="C312" s="919"/>
      <c r="D312" s="920" t="s">
        <v>809</v>
      </c>
      <c r="E312" s="904"/>
      <c r="F312" s="921"/>
      <c r="G312" s="922"/>
      <c r="H312" s="923"/>
      <c r="I312" s="302"/>
      <c r="J312" s="302"/>
      <c r="K312" s="302"/>
      <c r="L312" s="302"/>
      <c r="M312" s="302"/>
      <c r="O312" s="302"/>
      <c r="Z312" s="105"/>
      <c r="AA312" s="105"/>
      <c r="AB312" s="105"/>
      <c r="AC312" s="105"/>
      <c r="AD312" s="105"/>
      <c r="AE312" s="105"/>
      <c r="AF312" s="105"/>
      <c r="AG312" s="105"/>
      <c r="AH312" s="105"/>
      <c r="AI312" s="105"/>
      <c r="AJ312" s="105"/>
      <c r="AK312" s="105"/>
      <c r="AL312" s="105"/>
      <c r="AM312" s="105"/>
      <c r="AN312" s="105"/>
      <c r="AO312" s="105"/>
      <c r="AP312" s="105"/>
      <c r="AQ312" s="105"/>
      <c r="AR312" s="105"/>
    </row>
    <row r="313" spans="1:44" ht="15" thickBot="1" x14ac:dyDescent="0.35">
      <c r="B313" s="1278" t="s">
        <v>880</v>
      </c>
      <c r="C313" s="1279"/>
      <c r="D313" s="1279"/>
      <c r="E313" s="1280"/>
      <c r="F313" s="77"/>
      <c r="G313" s="802"/>
      <c r="H313" s="17"/>
      <c r="I313" s="105"/>
      <c r="Z313" s="18"/>
    </row>
    <row r="314" spans="1:44" ht="75.75" customHeight="1" x14ac:dyDescent="0.3">
      <c r="B314" s="1282" t="s">
        <v>881</v>
      </c>
      <c r="C314" s="1282"/>
      <c r="D314" s="1282"/>
      <c r="E314" s="1282"/>
      <c r="F314" s="77"/>
      <c r="G314" s="802"/>
      <c r="H314" s="17"/>
      <c r="I314" s="105"/>
      <c r="Z314" s="18"/>
    </row>
    <row r="315" spans="1:44" ht="15" thickBot="1" x14ac:dyDescent="0.35">
      <c r="A315" s="816"/>
      <c r="B315" s="817"/>
      <c r="C315" s="817"/>
      <c r="D315" s="818"/>
      <c r="E315" s="699"/>
      <c r="F315" s="77"/>
      <c r="G315" s="802"/>
      <c r="H315" s="17"/>
      <c r="I315" s="105"/>
      <c r="Z315" s="816"/>
      <c r="AA315" s="816"/>
      <c r="AB315" s="816"/>
      <c r="AC315" s="816"/>
      <c r="AD315" s="816"/>
      <c r="AE315" s="816"/>
      <c r="AF315" s="816"/>
      <c r="AG315" s="816"/>
      <c r="AH315" s="816"/>
      <c r="AI315" s="816"/>
      <c r="AJ315" s="816"/>
      <c r="AK315" s="816"/>
      <c r="AL315" s="816"/>
      <c r="AM315" s="816"/>
      <c r="AN315" s="816"/>
      <c r="AO315" s="816"/>
      <c r="AP315" s="816"/>
      <c r="AQ315" s="816"/>
      <c r="AR315" s="816"/>
    </row>
    <row r="316" spans="1:44" ht="15" thickBot="1" x14ac:dyDescent="0.35">
      <c r="B316" s="156" t="s">
        <v>783</v>
      </c>
      <c r="C316" s="157" t="s">
        <v>784</v>
      </c>
      <c r="D316" s="819"/>
      <c r="E316" s="820"/>
      <c r="F316" s="97"/>
      <c r="G316" s="802"/>
      <c r="H316" s="17"/>
      <c r="I316" s="105"/>
      <c r="Z316" s="18"/>
    </row>
    <row r="317" spans="1:44" ht="44.25" customHeight="1" thickBot="1" x14ac:dyDescent="0.35">
      <c r="B317" s="160" t="s">
        <v>825</v>
      </c>
      <c r="C317" s="159"/>
      <c r="D317" s="158"/>
      <c r="E317" s="705"/>
      <c r="F317" s="821"/>
      <c r="G317" s="802"/>
      <c r="H317" s="17"/>
      <c r="I317" s="105"/>
      <c r="Z317" s="18"/>
    </row>
    <row r="318" spans="1:44" ht="44.25" customHeight="1" thickBot="1" x14ac:dyDescent="0.35">
      <c r="B318" s="160"/>
      <c r="C318" s="170"/>
      <c r="D318" s="822" t="s">
        <v>869</v>
      </c>
      <c r="E318" s="823"/>
      <c r="F318" s="824"/>
      <c r="G318" s="824"/>
      <c r="H318" s="17"/>
      <c r="I318" s="105"/>
      <c r="Z318" s="18"/>
    </row>
    <row r="319" spans="1:44" ht="64.5" customHeight="1" thickBot="1" x14ac:dyDescent="0.35">
      <c r="A319" s="589">
        <v>960</v>
      </c>
      <c r="B319" s="1287" t="s">
        <v>826</v>
      </c>
      <c r="C319" s="1288"/>
      <c r="D319" s="825"/>
      <c r="E319" s="931" t="str">
        <f>IF(ISBLANK($D319),"&lt;&lt;&lt;&lt;&lt;&lt;&lt;&lt;&lt;&lt;&lt;&lt;&lt;&lt;&lt;","")</f>
        <v>&lt;&lt;&lt;&lt;&lt;&lt;&lt;&lt;&lt;&lt;&lt;&lt;&lt;&lt;&lt;</v>
      </c>
      <c r="F319" s="932" t="str">
        <f>IF(ISBLANK($D319),"Required","")</f>
        <v>Required</v>
      </c>
      <c r="G319" s="934"/>
      <c r="H319" s="760"/>
      <c r="I319" s="105"/>
      <c r="Z319" s="589"/>
      <c r="AA319" s="589"/>
      <c r="AB319" s="589"/>
      <c r="AC319" s="589"/>
      <c r="AD319" s="589"/>
      <c r="AE319" s="589"/>
      <c r="AF319" s="589"/>
      <c r="AG319" s="589"/>
      <c r="AH319" s="589"/>
      <c r="AI319" s="589"/>
      <c r="AJ319" s="589"/>
      <c r="AK319" s="589"/>
      <c r="AL319" s="589"/>
      <c r="AM319" s="589"/>
      <c r="AN319" s="589"/>
      <c r="AO319" s="589"/>
      <c r="AP319" s="589"/>
      <c r="AQ319" s="589"/>
      <c r="AR319" s="589"/>
    </row>
    <row r="320" spans="1:44" ht="30.75" customHeight="1" thickBot="1" x14ac:dyDescent="0.35">
      <c r="A320" s="589">
        <v>962</v>
      </c>
      <c r="B320" s="1283" t="s">
        <v>785</v>
      </c>
      <c r="C320" s="1284"/>
      <c r="D320" s="825"/>
      <c r="E320" s="931" t="str">
        <f>IF(ISBLANK($D320),"&lt;&lt;&lt;&lt;&lt;&lt;&lt;&lt;&lt;&lt;&lt;&lt;&lt;&lt;&lt;","")</f>
        <v>&lt;&lt;&lt;&lt;&lt;&lt;&lt;&lt;&lt;&lt;&lt;&lt;&lt;&lt;&lt;</v>
      </c>
      <c r="F320" s="932" t="str">
        <f>IF(ISBLANK($D320),"Required","")</f>
        <v>Required</v>
      </c>
      <c r="H320" s="17"/>
      <c r="I320" s="105"/>
      <c r="Z320" s="589"/>
      <c r="AA320" s="589"/>
      <c r="AB320" s="589"/>
      <c r="AC320" s="589"/>
      <c r="AD320" s="589"/>
      <c r="AE320" s="589"/>
      <c r="AF320" s="589"/>
      <c r="AG320" s="589"/>
      <c r="AH320" s="589"/>
      <c r="AI320" s="589"/>
      <c r="AJ320" s="589"/>
      <c r="AK320" s="589"/>
      <c r="AL320" s="589"/>
      <c r="AM320" s="589"/>
      <c r="AN320" s="589"/>
      <c r="AO320" s="589"/>
      <c r="AP320" s="589"/>
      <c r="AQ320" s="589"/>
      <c r="AR320" s="589"/>
    </row>
    <row r="321" spans="1:44" ht="30.75" customHeight="1" thickBot="1" x14ac:dyDescent="0.35">
      <c r="A321" s="589">
        <v>964</v>
      </c>
      <c r="B321" s="1283" t="s">
        <v>786</v>
      </c>
      <c r="C321" s="1284"/>
      <c r="D321" s="826"/>
      <c r="E321" s="931" t="str">
        <f>IF(ISBLANK($D321),"&lt;&lt;&lt;&lt;&lt;&lt;&lt;&lt;&lt;&lt;&lt;&lt;&lt;&lt;&lt;","")</f>
        <v>&lt;&lt;&lt;&lt;&lt;&lt;&lt;&lt;&lt;&lt;&lt;&lt;&lt;&lt;&lt;</v>
      </c>
      <c r="F321" s="932" t="str">
        <f>IF(ISBLANK($D321),"Required","")</f>
        <v>Required</v>
      </c>
      <c r="H321" s="17"/>
      <c r="I321" s="371"/>
      <c r="Z321" s="589"/>
      <c r="AA321" s="589"/>
      <c r="AB321" s="589"/>
      <c r="AC321" s="589"/>
      <c r="AD321" s="589"/>
      <c r="AE321" s="589"/>
      <c r="AF321" s="589"/>
      <c r="AG321" s="589"/>
      <c r="AH321" s="589"/>
      <c r="AI321" s="589"/>
      <c r="AJ321" s="589"/>
      <c r="AK321" s="589"/>
      <c r="AL321" s="589"/>
      <c r="AM321" s="589"/>
      <c r="AN321" s="589"/>
      <c r="AO321" s="589"/>
      <c r="AP321" s="589"/>
      <c r="AQ321" s="589"/>
      <c r="AR321" s="589"/>
    </row>
    <row r="322" spans="1:44" ht="30.75" customHeight="1" thickBot="1" x14ac:dyDescent="0.35">
      <c r="A322" s="589">
        <v>966</v>
      </c>
      <c r="B322" s="1283" t="s">
        <v>787</v>
      </c>
      <c r="C322" s="1284"/>
      <c r="D322" s="825"/>
      <c r="E322" s="931" t="str">
        <f>IF(ISBLANK($D322),"&lt;&lt;&lt;&lt;&lt;&lt;&lt;&lt;&lt;&lt;&lt;&lt;&lt;&lt;&lt;","")</f>
        <v>&lt;&lt;&lt;&lt;&lt;&lt;&lt;&lt;&lt;&lt;&lt;&lt;&lt;&lt;&lt;</v>
      </c>
      <c r="F322" s="932" t="str">
        <f>IF(ISBLANK($D322),"Required","")</f>
        <v>Required</v>
      </c>
      <c r="H322" s="17"/>
      <c r="I322" s="105"/>
      <c r="Z322" s="589"/>
      <c r="AA322" s="589"/>
      <c r="AB322" s="589"/>
      <c r="AC322" s="589"/>
      <c r="AD322" s="589"/>
      <c r="AE322" s="589"/>
      <c r="AF322" s="589"/>
      <c r="AG322" s="589"/>
      <c r="AH322" s="589"/>
      <c r="AI322" s="589"/>
      <c r="AJ322" s="589"/>
      <c r="AK322" s="589"/>
      <c r="AL322" s="589"/>
      <c r="AM322" s="589"/>
      <c r="AN322" s="589"/>
      <c r="AO322" s="589"/>
      <c r="AP322" s="589"/>
      <c r="AQ322" s="589"/>
      <c r="AR322" s="589"/>
    </row>
    <row r="323" spans="1:44" ht="30.75" customHeight="1" thickBot="1" x14ac:dyDescent="0.35">
      <c r="A323" s="589">
        <v>968</v>
      </c>
      <c r="B323" s="1285" t="s">
        <v>788</v>
      </c>
      <c r="C323" s="1286"/>
      <c r="D323" s="827"/>
      <c r="E323" s="933" t="str">
        <f>IF(ISBLANK($D323),"&lt;&lt;&lt;&lt;&lt;&lt;&lt;&lt;&lt;&lt;&lt;&lt;&lt;&lt;&lt;","")</f>
        <v>&lt;&lt;&lt;&lt;&lt;&lt;&lt;&lt;&lt;&lt;&lt;&lt;&lt;&lt;&lt;</v>
      </c>
      <c r="F323" s="932" t="str">
        <f>IF(ISBLANK($D323),"Required","")</f>
        <v>Required</v>
      </c>
      <c r="H323" s="17"/>
      <c r="I323" s="105"/>
      <c r="Z323" s="589"/>
      <c r="AA323" s="589"/>
      <c r="AB323" s="589"/>
      <c r="AC323" s="589"/>
      <c r="AD323" s="589"/>
      <c r="AE323" s="589"/>
      <c r="AF323" s="589"/>
      <c r="AG323" s="589"/>
      <c r="AH323" s="589"/>
      <c r="AI323" s="589"/>
      <c r="AJ323" s="589"/>
      <c r="AK323" s="589"/>
      <c r="AL323" s="589"/>
      <c r="AM323" s="589"/>
      <c r="AN323" s="589"/>
      <c r="AO323" s="589"/>
      <c r="AP323" s="589"/>
      <c r="AQ323" s="589"/>
      <c r="AR323" s="589"/>
    </row>
    <row r="324" spans="1:44" x14ac:dyDescent="0.3">
      <c r="A324" s="105"/>
      <c r="B324" s="924"/>
      <c r="C324" s="924"/>
      <c r="D324" s="935" t="s">
        <v>46</v>
      </c>
      <c r="E324" s="925"/>
      <c r="F324" s="925"/>
      <c r="G324" s="925"/>
      <c r="H324" s="926"/>
      <c r="I324" s="105"/>
    </row>
    <row r="325" spans="1:44" x14ac:dyDescent="0.3">
      <c r="A325" s="105"/>
      <c r="B325" s="701"/>
      <c r="C325" s="701"/>
      <c r="D325" s="168"/>
      <c r="E325" s="304"/>
      <c r="F325" s="828"/>
      <c r="G325" s="828"/>
      <c r="H325" s="17"/>
      <c r="I325" s="105"/>
    </row>
    <row r="326" spans="1:44" x14ac:dyDescent="0.3">
      <c r="A326" s="105"/>
      <c r="B326" s="701"/>
      <c r="C326" s="701"/>
      <c r="D326" s="24"/>
      <c r="E326" s="699"/>
      <c r="F326" s="828"/>
      <c r="G326" s="828"/>
      <c r="H326" s="17"/>
      <c r="I326" s="105"/>
    </row>
    <row r="327" spans="1:44" x14ac:dyDescent="0.3">
      <c r="A327" s="18">
        <f>SUBTOTAL(109,A7:A323)</f>
        <v>96734</v>
      </c>
    </row>
    <row r="328" spans="1:44" x14ac:dyDescent="0.3">
      <c r="A328" s="105"/>
      <c r="B328" s="867"/>
      <c r="C328" s="867"/>
      <c r="D328" s="829"/>
      <c r="E328" s="411"/>
      <c r="F328" s="18"/>
      <c r="G328" s="830"/>
      <c r="H328" s="17"/>
      <c r="I328" s="105"/>
    </row>
    <row r="329" spans="1:44" x14ac:dyDescent="0.3">
      <c r="A329" s="589"/>
      <c r="B329" s="589"/>
      <c r="C329" s="589"/>
      <c r="D329" s="829"/>
      <c r="E329" s="411"/>
      <c r="F329" s="302"/>
      <c r="G329" s="830"/>
      <c r="H329" s="17"/>
      <c r="I329" s="105"/>
    </row>
    <row r="330" spans="1:44" x14ac:dyDescent="0.3">
      <c r="A330" s="589"/>
      <c r="B330" s="589"/>
      <c r="C330" s="589"/>
      <c r="D330" s="831"/>
      <c r="E330" s="411"/>
      <c r="F330" s="302"/>
      <c r="G330" s="830"/>
      <c r="H330" s="17"/>
      <c r="I330" s="105"/>
    </row>
    <row r="331" spans="1:44" x14ac:dyDescent="0.3">
      <c r="A331" s="589"/>
      <c r="B331" s="589"/>
      <c r="C331" s="589"/>
      <c r="D331" s="831"/>
      <c r="E331" s="411"/>
      <c r="F331" s="302"/>
      <c r="G331" s="830"/>
      <c r="H331" s="17"/>
      <c r="I331" s="105"/>
    </row>
    <row r="332" spans="1:44" x14ac:dyDescent="0.3">
      <c r="A332" s="589"/>
      <c r="B332" s="589"/>
      <c r="C332" s="589"/>
      <c r="D332" s="831"/>
      <c r="E332" s="411"/>
      <c r="F332" s="302"/>
      <c r="G332" s="830"/>
      <c r="H332" s="17"/>
      <c r="I332" s="105"/>
    </row>
    <row r="333" spans="1:44" x14ac:dyDescent="0.3">
      <c r="A333" s="589"/>
      <c r="B333" s="589"/>
      <c r="C333" s="589"/>
      <c r="D333" s="831"/>
      <c r="E333" s="411"/>
      <c r="F333" s="302"/>
      <c r="G333" s="830"/>
      <c r="H333" s="17"/>
      <c r="I333" s="105"/>
    </row>
    <row r="334" spans="1:44" x14ac:dyDescent="0.3">
      <c r="A334" s="589"/>
      <c r="D334" s="629"/>
      <c r="E334" s="411"/>
      <c r="F334" s="302"/>
      <c r="H334" s="17"/>
      <c r="I334" s="105"/>
    </row>
    <row r="335" spans="1:44" x14ac:dyDescent="0.3">
      <c r="D335" s="629"/>
      <c r="E335" s="412"/>
      <c r="F335" s="302"/>
      <c r="H335" s="17"/>
      <c r="I335" s="105"/>
    </row>
    <row r="336" spans="1:44" x14ac:dyDescent="0.3">
      <c r="D336" s="629"/>
      <c r="E336" s="411"/>
      <c r="F336" s="302"/>
      <c r="H336" s="17"/>
      <c r="I336" s="105"/>
    </row>
    <row r="337" spans="4:12" x14ac:dyDescent="0.3">
      <c r="D337" s="629"/>
      <c r="E337" s="304"/>
      <c r="F337" s="302"/>
      <c r="I337" s="105"/>
    </row>
    <row r="338" spans="4:12" x14ac:dyDescent="0.3">
      <c r="E338" s="1220"/>
      <c r="F338" s="302"/>
      <c r="G338" s="833"/>
      <c r="I338" s="105"/>
    </row>
    <row r="339" spans="4:12" x14ac:dyDescent="0.3">
      <c r="E339" s="304"/>
      <c r="F339" s="302"/>
      <c r="I339" s="105"/>
    </row>
    <row r="340" spans="4:12" x14ac:dyDescent="0.3">
      <c r="E340" s="1224"/>
      <c r="F340" s="302"/>
      <c r="I340" s="105"/>
    </row>
    <row r="341" spans="4:12" x14ac:dyDescent="0.3">
      <c r="E341" s="304"/>
      <c r="F341" s="302"/>
      <c r="I341" s="105"/>
    </row>
    <row r="342" spans="4:12" x14ac:dyDescent="0.3">
      <c r="I342" s="105"/>
    </row>
    <row r="343" spans="4:12" x14ac:dyDescent="0.3">
      <c r="I343" s="105"/>
    </row>
    <row r="344" spans="4:12" x14ac:dyDescent="0.3">
      <c r="I344" s="105"/>
    </row>
    <row r="345" spans="4:12" x14ac:dyDescent="0.3">
      <c r="I345" s="105"/>
    </row>
    <row r="346" spans="4:12" x14ac:dyDescent="0.3">
      <c r="I346" s="105"/>
    </row>
    <row r="347" spans="4:12" x14ac:dyDescent="0.3">
      <c r="I347" s="105"/>
    </row>
    <row r="348" spans="4:12" x14ac:dyDescent="0.3">
      <c r="I348" s="105"/>
    </row>
    <row r="349" spans="4:12" x14ac:dyDescent="0.3">
      <c r="I349" s="302"/>
    </row>
    <row r="350" spans="4:12" x14ac:dyDescent="0.3">
      <c r="I350" s="302"/>
      <c r="K350" s="304"/>
      <c r="L350" s="304"/>
    </row>
    <row r="351" spans="4:12" x14ac:dyDescent="0.3">
      <c r="I351" s="302"/>
      <c r="K351" s="304"/>
      <c r="L351" s="304"/>
    </row>
    <row r="352" spans="4:12" x14ac:dyDescent="0.3">
      <c r="I352" s="302"/>
      <c r="K352" s="304"/>
      <c r="L352" s="304"/>
    </row>
    <row r="353" spans="9:12" x14ac:dyDescent="0.3">
      <c r="I353" s="302"/>
      <c r="K353" s="304"/>
      <c r="L353" s="304"/>
    </row>
    <row r="354" spans="9:12" x14ac:dyDescent="0.3">
      <c r="I354" s="302"/>
      <c r="K354" s="304"/>
      <c r="L354" s="304"/>
    </row>
    <row r="355" spans="9:12" x14ac:dyDescent="0.3">
      <c r="I355" s="302"/>
      <c r="K355" s="304"/>
      <c r="L355" s="304"/>
    </row>
    <row r="356" spans="9:12" x14ac:dyDescent="0.3">
      <c r="I356" s="105"/>
      <c r="K356" s="304"/>
      <c r="L356" s="304"/>
    </row>
    <row r="357" spans="9:12" x14ac:dyDescent="0.3">
      <c r="I357" s="105"/>
      <c r="K357" s="304"/>
      <c r="L357" s="304"/>
    </row>
    <row r="358" spans="9:12" x14ac:dyDescent="0.3">
      <c r="I358" s="105"/>
      <c r="J358" s="304"/>
      <c r="K358" s="304"/>
      <c r="L358" s="304"/>
    </row>
    <row r="359" spans="9:12" x14ac:dyDescent="0.3">
      <c r="I359" s="105"/>
      <c r="J359" s="304"/>
      <c r="K359" s="304"/>
      <c r="L359" s="304"/>
    </row>
    <row r="360" spans="9:12" x14ac:dyDescent="0.3">
      <c r="I360" s="105"/>
      <c r="J360" s="304"/>
      <c r="K360" s="304"/>
      <c r="L360" s="304"/>
    </row>
    <row r="361" spans="9:12" x14ac:dyDescent="0.3">
      <c r="I361" s="105"/>
      <c r="J361" s="304"/>
      <c r="K361" s="304"/>
      <c r="L361" s="304"/>
    </row>
    <row r="362" spans="9:12" x14ac:dyDescent="0.3">
      <c r="I362" s="105"/>
      <c r="J362" s="304"/>
      <c r="K362" s="304"/>
      <c r="L362" s="304"/>
    </row>
    <row r="363" spans="9:12" x14ac:dyDescent="0.3">
      <c r="I363" s="105"/>
      <c r="J363" s="304"/>
      <c r="K363" s="304"/>
      <c r="L363" s="304"/>
    </row>
    <row r="364" spans="9:12" x14ac:dyDescent="0.3">
      <c r="I364" s="105"/>
      <c r="J364" s="304"/>
      <c r="K364" s="304"/>
      <c r="L364" s="304"/>
    </row>
    <row r="365" spans="9:12" x14ac:dyDescent="0.3">
      <c r="I365" s="302"/>
      <c r="J365" s="304"/>
      <c r="K365" s="304"/>
      <c r="L365" s="304"/>
    </row>
    <row r="366" spans="9:12" x14ac:dyDescent="0.3">
      <c r="I366" s="302"/>
      <c r="J366" s="304"/>
      <c r="K366" s="304"/>
      <c r="L366" s="304"/>
    </row>
    <row r="367" spans="9:12" x14ac:dyDescent="0.3">
      <c r="I367" s="302"/>
      <c r="J367" s="304"/>
      <c r="K367" s="304"/>
      <c r="L367" s="304"/>
    </row>
    <row r="368" spans="9:12" x14ac:dyDescent="0.3">
      <c r="I368" s="302"/>
      <c r="J368" s="304"/>
      <c r="K368" s="304"/>
      <c r="L368" s="304"/>
    </row>
    <row r="369" spans="9:12" x14ac:dyDescent="0.3">
      <c r="I369" s="302"/>
      <c r="J369" s="304"/>
      <c r="K369" s="304"/>
      <c r="L369" s="304"/>
    </row>
    <row r="370" spans="9:12" x14ac:dyDescent="0.3">
      <c r="I370" s="302"/>
      <c r="J370" s="304"/>
      <c r="K370" s="304"/>
      <c r="L370" s="304"/>
    </row>
    <row r="371" spans="9:12" x14ac:dyDescent="0.3">
      <c r="I371" s="302"/>
      <c r="J371" s="304"/>
      <c r="K371" s="304"/>
      <c r="L371" s="304"/>
    </row>
    <row r="372" spans="9:12" x14ac:dyDescent="0.3">
      <c r="I372" s="302"/>
      <c r="J372" s="304"/>
      <c r="K372" s="304"/>
      <c r="L372" s="304"/>
    </row>
    <row r="373" spans="9:12" x14ac:dyDescent="0.3">
      <c r="I373" s="302"/>
      <c r="J373" s="304"/>
      <c r="K373" s="304"/>
      <c r="L373" s="304"/>
    </row>
    <row r="374" spans="9:12" x14ac:dyDescent="0.3">
      <c r="I374" s="302"/>
      <c r="J374" s="304"/>
      <c r="K374" s="304"/>
      <c r="L374" s="304"/>
    </row>
    <row r="375" spans="9:12" x14ac:dyDescent="0.3">
      <c r="I375" s="302"/>
      <c r="J375" s="304"/>
      <c r="K375" s="304"/>
      <c r="L375" s="304"/>
    </row>
    <row r="376" spans="9:12" x14ac:dyDescent="0.3">
      <c r="I376" s="302"/>
      <c r="J376" s="304"/>
      <c r="K376" s="304"/>
      <c r="L376" s="304"/>
    </row>
    <row r="377" spans="9:12" x14ac:dyDescent="0.3">
      <c r="I377" s="302"/>
      <c r="J377" s="304"/>
      <c r="K377" s="304"/>
      <c r="L377" s="304"/>
    </row>
    <row r="378" spans="9:12" x14ac:dyDescent="0.3">
      <c r="I378" s="302"/>
      <c r="J378" s="304"/>
      <c r="K378" s="304"/>
      <c r="L378" s="304"/>
    </row>
    <row r="379" spans="9:12" x14ac:dyDescent="0.3">
      <c r="I379" s="302"/>
      <c r="J379" s="304"/>
      <c r="K379" s="304"/>
      <c r="L379" s="304"/>
    </row>
    <row r="380" spans="9:12" x14ac:dyDescent="0.3">
      <c r="I380" s="302"/>
      <c r="J380" s="304"/>
      <c r="K380" s="304"/>
      <c r="L380" s="304"/>
    </row>
    <row r="381" spans="9:12" x14ac:dyDescent="0.3">
      <c r="I381" s="302"/>
      <c r="J381" s="304"/>
      <c r="K381" s="304"/>
      <c r="L381" s="304"/>
    </row>
    <row r="382" spans="9:12" x14ac:dyDescent="0.3">
      <c r="I382" s="302"/>
      <c r="J382" s="304"/>
      <c r="K382" s="304"/>
      <c r="L382" s="304"/>
    </row>
    <row r="383" spans="9:12" x14ac:dyDescent="0.3">
      <c r="I383" s="302"/>
      <c r="J383" s="304"/>
      <c r="K383" s="304"/>
      <c r="L383" s="304"/>
    </row>
    <row r="384" spans="9:12" x14ac:dyDescent="0.3">
      <c r="I384" s="302"/>
      <c r="J384" s="304"/>
      <c r="K384" s="304"/>
      <c r="L384" s="304"/>
    </row>
    <row r="385" spans="9:12" x14ac:dyDescent="0.3">
      <c r="I385" s="302"/>
      <c r="J385" s="304"/>
      <c r="K385" s="304"/>
      <c r="L385" s="304"/>
    </row>
    <row r="386" spans="9:12" x14ac:dyDescent="0.3">
      <c r="I386" s="302"/>
      <c r="J386" s="304"/>
      <c r="K386" s="304"/>
      <c r="L386" s="304"/>
    </row>
    <row r="387" spans="9:12" x14ac:dyDescent="0.3">
      <c r="I387" s="302"/>
      <c r="J387" s="304"/>
      <c r="K387" s="304"/>
      <c r="L387" s="304"/>
    </row>
    <row r="388" spans="9:12" x14ac:dyDescent="0.3">
      <c r="I388" s="302"/>
      <c r="J388" s="304"/>
      <c r="K388" s="304"/>
      <c r="L388" s="304"/>
    </row>
    <row r="389" spans="9:12" x14ac:dyDescent="0.3">
      <c r="I389" s="302"/>
      <c r="J389" s="304"/>
      <c r="K389" s="304"/>
      <c r="L389" s="304"/>
    </row>
    <row r="390" spans="9:12" x14ac:dyDescent="0.3">
      <c r="I390" s="302"/>
      <c r="J390" s="304"/>
      <c r="K390" s="304"/>
      <c r="L390" s="304"/>
    </row>
    <row r="391" spans="9:12" x14ac:dyDescent="0.3">
      <c r="I391" s="302"/>
      <c r="J391" s="304"/>
      <c r="K391" s="304"/>
      <c r="L391" s="304"/>
    </row>
    <row r="392" spans="9:12" x14ac:dyDescent="0.3">
      <c r="I392" s="302"/>
      <c r="J392" s="304"/>
      <c r="K392" s="304"/>
      <c r="L392" s="304"/>
    </row>
    <row r="393" spans="9:12" x14ac:dyDescent="0.3">
      <c r="I393" s="302"/>
      <c r="J393" s="304"/>
      <c r="K393" s="304"/>
      <c r="L393" s="304"/>
    </row>
    <row r="394" spans="9:12" x14ac:dyDescent="0.3">
      <c r="I394" s="302"/>
      <c r="J394" s="304"/>
      <c r="K394" s="304"/>
      <c r="L394" s="304"/>
    </row>
    <row r="395" spans="9:12" x14ac:dyDescent="0.3">
      <c r="I395" s="302"/>
      <c r="J395" s="304"/>
      <c r="K395" s="304"/>
      <c r="L395" s="304"/>
    </row>
    <row r="396" spans="9:12" x14ac:dyDescent="0.3">
      <c r="I396" s="302"/>
      <c r="J396" s="304"/>
      <c r="K396" s="304"/>
      <c r="L396" s="304"/>
    </row>
    <row r="397" spans="9:12" x14ac:dyDescent="0.3">
      <c r="I397" s="302"/>
      <c r="J397" s="304"/>
      <c r="K397" s="304"/>
      <c r="L397" s="304"/>
    </row>
    <row r="398" spans="9:12" x14ac:dyDescent="0.3">
      <c r="I398" s="302"/>
      <c r="J398" s="304"/>
      <c r="K398" s="304"/>
      <c r="L398" s="304"/>
    </row>
    <row r="399" spans="9:12" x14ac:dyDescent="0.3">
      <c r="I399" s="302"/>
      <c r="J399" s="304"/>
      <c r="K399" s="304"/>
      <c r="L399" s="304"/>
    </row>
    <row r="400" spans="9:12" x14ac:dyDescent="0.3">
      <c r="I400" s="302"/>
      <c r="J400" s="304"/>
      <c r="K400" s="304"/>
      <c r="L400" s="304"/>
    </row>
    <row r="401" spans="9:12" x14ac:dyDescent="0.3">
      <c r="I401" s="302"/>
      <c r="J401" s="304"/>
      <c r="K401" s="304"/>
      <c r="L401" s="304"/>
    </row>
    <row r="402" spans="9:12" x14ac:dyDescent="0.3">
      <c r="I402" s="302"/>
      <c r="J402" s="304"/>
      <c r="K402" s="304"/>
      <c r="L402" s="304"/>
    </row>
    <row r="403" spans="9:12" x14ac:dyDescent="0.3">
      <c r="I403" s="302"/>
      <c r="J403" s="304"/>
      <c r="K403" s="304"/>
      <c r="L403" s="304"/>
    </row>
    <row r="404" spans="9:12" x14ac:dyDescent="0.3">
      <c r="I404" s="302"/>
      <c r="J404" s="304"/>
      <c r="K404" s="304"/>
      <c r="L404" s="304"/>
    </row>
    <row r="405" spans="9:12" x14ac:dyDescent="0.3">
      <c r="I405" s="302"/>
      <c r="J405" s="304"/>
      <c r="K405" s="304"/>
      <c r="L405" s="304"/>
    </row>
    <row r="406" spans="9:12" x14ac:dyDescent="0.3">
      <c r="I406" s="302"/>
      <c r="J406" s="304"/>
      <c r="K406" s="304"/>
      <c r="L406" s="304"/>
    </row>
    <row r="407" spans="9:12" x14ac:dyDescent="0.3">
      <c r="I407" s="302"/>
      <c r="J407" s="304"/>
      <c r="K407" s="304"/>
      <c r="L407" s="304"/>
    </row>
    <row r="408" spans="9:12" x14ac:dyDescent="0.3">
      <c r="I408" s="302"/>
      <c r="J408" s="304"/>
      <c r="K408" s="304"/>
      <c r="L408" s="304"/>
    </row>
    <row r="409" spans="9:12" x14ac:dyDescent="0.3">
      <c r="I409" s="302"/>
      <c r="J409" s="304"/>
      <c r="K409" s="304"/>
      <c r="L409" s="304"/>
    </row>
    <row r="410" spans="9:12" x14ac:dyDescent="0.3">
      <c r="I410" s="302"/>
      <c r="J410" s="304"/>
      <c r="K410" s="304"/>
      <c r="L410" s="304"/>
    </row>
    <row r="411" spans="9:12" x14ac:dyDescent="0.3">
      <c r="I411" s="302"/>
      <c r="J411" s="304"/>
      <c r="K411" s="304"/>
      <c r="L411" s="304"/>
    </row>
    <row r="412" spans="9:12" x14ac:dyDescent="0.3">
      <c r="I412" s="302"/>
      <c r="J412" s="304"/>
      <c r="K412" s="304"/>
      <c r="L412" s="304"/>
    </row>
    <row r="413" spans="9:12" x14ac:dyDescent="0.3">
      <c r="I413" s="302"/>
      <c r="J413" s="304"/>
      <c r="K413" s="304"/>
      <c r="L413" s="304"/>
    </row>
    <row r="414" spans="9:12" x14ac:dyDescent="0.3">
      <c r="I414" s="302"/>
      <c r="J414" s="304"/>
      <c r="K414" s="304"/>
      <c r="L414" s="304"/>
    </row>
    <row r="415" spans="9:12" x14ac:dyDescent="0.3">
      <c r="I415" s="302"/>
      <c r="J415" s="304"/>
      <c r="K415" s="304"/>
      <c r="L415" s="304"/>
    </row>
    <row r="416" spans="9:12" x14ac:dyDescent="0.3">
      <c r="I416" s="302"/>
      <c r="J416" s="304"/>
      <c r="K416" s="304"/>
      <c r="L416" s="304"/>
    </row>
    <row r="417" spans="9:12" x14ac:dyDescent="0.3">
      <c r="I417" s="302"/>
      <c r="J417" s="304"/>
      <c r="K417" s="304"/>
      <c r="L417" s="304"/>
    </row>
    <row r="418" spans="9:12" x14ac:dyDescent="0.3">
      <c r="I418" s="302"/>
      <c r="J418" s="304"/>
      <c r="K418" s="304"/>
      <c r="L418" s="304"/>
    </row>
    <row r="419" spans="9:12" x14ac:dyDescent="0.3">
      <c r="I419" s="302"/>
      <c r="J419" s="304"/>
    </row>
    <row r="420" spans="9:12" x14ac:dyDescent="0.3">
      <c r="I420" s="302"/>
      <c r="J420" s="304"/>
    </row>
    <row r="421" spans="9:12" x14ac:dyDescent="0.3">
      <c r="I421" s="302"/>
      <c r="J421" s="304"/>
    </row>
    <row r="422" spans="9:12" x14ac:dyDescent="0.3">
      <c r="I422" s="302"/>
      <c r="J422" s="304"/>
    </row>
    <row r="423" spans="9:12" x14ac:dyDescent="0.3">
      <c r="I423" s="302"/>
      <c r="J423" s="304"/>
    </row>
    <row r="424" spans="9:12" x14ac:dyDescent="0.3">
      <c r="I424" s="302"/>
      <c r="J424" s="304"/>
    </row>
    <row r="425" spans="9:12" x14ac:dyDescent="0.3">
      <c r="I425" s="302"/>
      <c r="J425" s="304"/>
    </row>
    <row r="426" spans="9:12" x14ac:dyDescent="0.3">
      <c r="I426" s="302"/>
      <c r="J426" s="304"/>
    </row>
    <row r="427" spans="9:12" x14ac:dyDescent="0.3">
      <c r="I427" s="302"/>
    </row>
    <row r="428" spans="9:12" x14ac:dyDescent="0.3">
      <c r="I428" s="302"/>
    </row>
    <row r="429" spans="9:12" x14ac:dyDescent="0.3">
      <c r="I429" s="302"/>
    </row>
    <row r="430" spans="9:12" x14ac:dyDescent="0.3">
      <c r="I430" s="302"/>
    </row>
    <row r="431" spans="9:12" x14ac:dyDescent="0.3">
      <c r="I431" s="302"/>
    </row>
    <row r="432" spans="9:12" x14ac:dyDescent="0.3">
      <c r="I432" s="302"/>
    </row>
    <row r="433" spans="9:9" x14ac:dyDescent="0.3">
      <c r="I433" s="302"/>
    </row>
    <row r="434" spans="9:9" x14ac:dyDescent="0.3">
      <c r="I434" s="105"/>
    </row>
    <row r="435" spans="9:9" x14ac:dyDescent="0.3">
      <c r="I435" s="105"/>
    </row>
    <row r="436" spans="9:9" x14ac:dyDescent="0.3">
      <c r="I436" s="105"/>
    </row>
    <row r="437" spans="9:9" x14ac:dyDescent="0.3">
      <c r="I437" s="105"/>
    </row>
    <row r="438" spans="9:9" x14ac:dyDescent="0.3">
      <c r="I438" s="105"/>
    </row>
    <row r="439" spans="9:9" x14ac:dyDescent="0.3">
      <c r="I439" s="105"/>
    </row>
    <row r="440" spans="9:9" x14ac:dyDescent="0.3">
      <c r="I440" s="105"/>
    </row>
    <row r="441" spans="9:9" x14ac:dyDescent="0.3">
      <c r="I441" s="105"/>
    </row>
    <row r="442" spans="9:9" x14ac:dyDescent="0.3">
      <c r="I442" s="105"/>
    </row>
    <row r="443" spans="9:9" x14ac:dyDescent="0.3">
      <c r="I443" s="105"/>
    </row>
  </sheetData>
  <sheetProtection algorithmName="SHA-512" hashValue="4GKYvkRVngTnALTlNuu9V5Wlqqszv10U4BN9YCRWeyZfnEoZpnHHgsZ2jtnluA+WMnb0G8w0bpAdb24eSwm2Rw==" saltValue="FyrcbvVRh2YVIBr+o/d/KQ==" spinCount="100000" sheet="1" formatCells="0"/>
  <dataConsolidate link="1"/>
  <mergeCells count="11">
    <mergeCell ref="B314:E314"/>
    <mergeCell ref="B322:C322"/>
    <mergeCell ref="B323:C323"/>
    <mergeCell ref="B321:C321"/>
    <mergeCell ref="B319:C319"/>
    <mergeCell ref="B320:C320"/>
    <mergeCell ref="E2:G2"/>
    <mergeCell ref="B2:C2"/>
    <mergeCell ref="B170:D170"/>
    <mergeCell ref="B313:E313"/>
    <mergeCell ref="B303:D303"/>
  </mergeCells>
  <phoneticPr fontId="57" type="noConversion"/>
  <conditionalFormatting sqref="H198 H87:H98">
    <cfRule type="cellIs" dxfId="149" priority="107" stopIfTrue="1" operator="notEqual">
      <formula>0</formula>
    </cfRule>
  </conditionalFormatting>
  <conditionalFormatting sqref="H199">
    <cfRule type="cellIs" dxfId="148" priority="105" stopIfTrue="1" operator="notEqual">
      <formula>0</formula>
    </cfRule>
  </conditionalFormatting>
  <conditionalFormatting sqref="G289:G292 G296:G297">
    <cfRule type="cellIs" dxfId="147" priority="104" stopIfTrue="1" operator="notEqual">
      <formula>0</formula>
    </cfRule>
  </conditionalFormatting>
  <conditionalFormatting sqref="H23">
    <cfRule type="cellIs" dxfId="146" priority="103" stopIfTrue="1" operator="notEqual">
      <formula>0</formula>
    </cfRule>
  </conditionalFormatting>
  <conditionalFormatting sqref="H37:H38">
    <cfRule type="cellIs" dxfId="145" priority="102" stopIfTrue="1" operator="notEqual">
      <formula>0</formula>
    </cfRule>
  </conditionalFormatting>
  <conditionalFormatting sqref="H72">
    <cfRule type="cellIs" dxfId="144" priority="101" stopIfTrue="1" operator="notEqual">
      <formula>0</formula>
    </cfRule>
  </conditionalFormatting>
  <conditionalFormatting sqref="H149">
    <cfRule type="cellIs" dxfId="143" priority="99" stopIfTrue="1" operator="notEqual">
      <formula>0</formula>
    </cfRule>
  </conditionalFormatting>
  <conditionalFormatting sqref="H168">
    <cfRule type="cellIs" dxfId="142" priority="98" stopIfTrue="1" operator="notEqual">
      <formula>0</formula>
    </cfRule>
  </conditionalFormatting>
  <conditionalFormatting sqref="H182">
    <cfRule type="cellIs" dxfId="141" priority="97" stopIfTrue="1" operator="notEqual">
      <formula>0</formula>
    </cfRule>
  </conditionalFormatting>
  <conditionalFormatting sqref="H183">
    <cfRule type="cellIs" dxfId="140" priority="96" stopIfTrue="1" operator="notEqual">
      <formula>0</formula>
    </cfRule>
  </conditionalFormatting>
  <conditionalFormatting sqref="L260 G275">
    <cfRule type="cellIs" priority="68" stopIfTrue="1" operator="equal">
      <formula>";;;"</formula>
    </cfRule>
  </conditionalFormatting>
  <conditionalFormatting sqref="L260 G275">
    <cfRule type="cellIs" dxfId="139" priority="67" stopIfTrue="1" operator="equal">
      <formula>0</formula>
    </cfRule>
  </conditionalFormatting>
  <conditionalFormatting sqref="L260">
    <cfRule type="cellIs" dxfId="138" priority="66" stopIfTrue="1" operator="equal">
      <formula>0</formula>
    </cfRule>
  </conditionalFormatting>
  <conditionalFormatting sqref="G274">
    <cfRule type="cellIs" priority="65" stopIfTrue="1" operator="equal">
      <formula>";;;"</formula>
    </cfRule>
  </conditionalFormatting>
  <conditionalFormatting sqref="G274">
    <cfRule type="cellIs" dxfId="137" priority="64" stopIfTrue="1" operator="equal">
      <formula>0</formula>
    </cfRule>
  </conditionalFormatting>
  <conditionalFormatting sqref="G274">
    <cfRule type="cellIs" dxfId="136" priority="63" stopIfTrue="1" operator="equal">
      <formula>0</formula>
    </cfRule>
  </conditionalFormatting>
  <conditionalFormatting sqref="G273">
    <cfRule type="cellIs" priority="53" stopIfTrue="1" operator="equal">
      <formula>";;;"</formula>
    </cfRule>
  </conditionalFormatting>
  <conditionalFormatting sqref="G273">
    <cfRule type="cellIs" dxfId="135" priority="52" stopIfTrue="1" operator="equal">
      <formula>0</formula>
    </cfRule>
  </conditionalFormatting>
  <conditionalFormatting sqref="G273">
    <cfRule type="cellIs" dxfId="134" priority="51" stopIfTrue="1" operator="equal">
      <formula>0</formula>
    </cfRule>
  </conditionalFormatting>
  <conditionalFormatting sqref="J266">
    <cfRule type="cellIs" priority="50" stopIfTrue="1" operator="equal">
      <formula>";;;"</formula>
    </cfRule>
  </conditionalFormatting>
  <conditionalFormatting sqref="J266">
    <cfRule type="cellIs" dxfId="133" priority="49" stopIfTrue="1" operator="equal">
      <formula>0</formula>
    </cfRule>
  </conditionalFormatting>
  <conditionalFormatting sqref="J266">
    <cfRule type="cellIs" dxfId="132" priority="48" stopIfTrue="1" operator="equal">
      <formula>0</formula>
    </cfRule>
  </conditionalFormatting>
  <conditionalFormatting sqref="G268">
    <cfRule type="cellIs" priority="20" stopIfTrue="1" operator="equal">
      <formula>";;;"</formula>
    </cfRule>
  </conditionalFormatting>
  <conditionalFormatting sqref="G268">
    <cfRule type="cellIs" dxfId="131" priority="19" stopIfTrue="1" operator="equal">
      <formula>0</formula>
    </cfRule>
  </conditionalFormatting>
  <conditionalFormatting sqref="G268">
    <cfRule type="cellIs" dxfId="130" priority="18" stopIfTrue="1" operator="equal">
      <formula>0</formula>
    </cfRule>
  </conditionalFormatting>
  <conditionalFormatting sqref="G266">
    <cfRule type="cellIs" priority="17" stopIfTrue="1" operator="equal">
      <formula>";;;"</formula>
    </cfRule>
  </conditionalFormatting>
  <conditionalFormatting sqref="G266">
    <cfRule type="cellIs" dxfId="129" priority="16" stopIfTrue="1" operator="equal">
      <formula>0</formula>
    </cfRule>
  </conditionalFormatting>
  <conditionalFormatting sqref="G266">
    <cfRule type="cellIs" dxfId="128" priority="15" stopIfTrue="1" operator="equal">
      <formula>0</formula>
    </cfRule>
  </conditionalFormatting>
  <conditionalFormatting sqref="G267">
    <cfRule type="cellIs" priority="14" stopIfTrue="1" operator="equal">
      <formula>";;;"</formula>
    </cfRule>
  </conditionalFormatting>
  <conditionalFormatting sqref="G267">
    <cfRule type="cellIs" dxfId="127" priority="13" stopIfTrue="1" operator="equal">
      <formula>0</formula>
    </cfRule>
  </conditionalFormatting>
  <conditionalFormatting sqref="G267">
    <cfRule type="cellIs" dxfId="126" priority="12" stopIfTrue="1" operator="equal">
      <formula>0</formula>
    </cfRule>
  </conditionalFormatting>
  <conditionalFormatting sqref="G270">
    <cfRule type="cellIs" priority="11" stopIfTrue="1" operator="equal">
      <formula>";;;"</formula>
    </cfRule>
  </conditionalFormatting>
  <conditionalFormatting sqref="G270">
    <cfRule type="cellIs" dxfId="125" priority="10" stopIfTrue="1" operator="equal">
      <formula>0</formula>
    </cfRule>
  </conditionalFormatting>
  <conditionalFormatting sqref="G270">
    <cfRule type="cellIs" dxfId="124" priority="9" stopIfTrue="1" operator="equal">
      <formula>0</formula>
    </cfRule>
  </conditionalFormatting>
  <conditionalFormatting sqref="G272">
    <cfRule type="cellIs" priority="3" stopIfTrue="1" operator="equal">
      <formula>";;;"</formula>
    </cfRule>
  </conditionalFormatting>
  <conditionalFormatting sqref="G272">
    <cfRule type="cellIs" dxfId="123" priority="2" stopIfTrue="1" operator="equal">
      <formula>0</formula>
    </cfRule>
  </conditionalFormatting>
  <conditionalFormatting sqref="G272">
    <cfRule type="cellIs" dxfId="122" priority="1" stopIfTrue="1" operator="equal">
      <formula>0</formula>
    </cfRule>
  </conditionalFormatting>
  <dataValidations xWindow="829" yWindow="690" count="23">
    <dataValidation type="list" allowBlank="1" showInputMessage="1" showErrorMessage="1" prompt="Please select the appropriate number value from the drop-down box." sqref="F131" xr:uid="{00000000-0002-0000-0100-000005000000}">
      <formula1>$N$2:$N$4</formula1>
    </dataValidation>
    <dataValidation type="list" allowBlank="1" showInputMessage="1" showErrorMessage="1" sqref="F88" xr:uid="{A85FF889-D99F-45B3-A284-6701B76512B6}">
      <formula1>$M$4:$M$5</formula1>
    </dataValidation>
    <dataValidation type="list" allowBlank="1" showInputMessage="1" showErrorMessage="1" sqref="F309:F311 F263 F307" xr:uid="{9CC5535C-800A-4D03-A86E-273A5BC3EBB6}">
      <formula1>$M$1:$M$2</formula1>
    </dataValidation>
    <dataValidation type="list" allowBlank="1" showInputMessage="1" showErrorMessage="1" sqref="F298" xr:uid="{FCE57F22-20D9-4CFA-AFE5-1751E216D3C1}">
      <formula1>$O$1:$O$2</formula1>
    </dataValidation>
    <dataValidation type="list" allowBlank="1" showInputMessage="1" showErrorMessage="1" sqref="F271" xr:uid="{2CD3BDAD-30EF-425F-BB01-D3FF43CDAA81}">
      <formula1>$O$1:$O$4</formula1>
    </dataValidation>
    <dataValidation type="list" allowBlank="1" showInputMessage="1" showErrorMessage="1" prompt="Please select from the drop down box the most appropriate answer" sqref="F302" xr:uid="{7584867B-76E5-42C2-B404-3B1B6C94E6E2}">
      <formula1>$O$1:$O$2</formula1>
    </dataValidation>
    <dataValidation type="list" allowBlank="1" showInputMessage="1" showErrorMessage="1" sqref="F306" xr:uid="{DB0EB8F5-2DE0-4833-AFDF-F7BB7A8D56E1}">
      <formula1>$M$6:$M$8</formula1>
    </dataValidation>
    <dataValidation type="list" allowBlank="1" showErrorMessage="1" prompt="Please select from the drop down box the most appropriate answer" sqref="F300" xr:uid="{7FCE12A8-B6A0-48F9-9BA0-C3D89D188CEE}">
      <formula1>"20,21,22,23"</formula1>
    </dataValidation>
    <dataValidation type="list" operator="greaterThan" allowBlank="1" showErrorMessage="1" prompt="Please select appropriate answer from drop down list." sqref="F224" xr:uid="{D9A20B08-5895-4736-8659-042438D0E620}">
      <formula1>"1,2,3"</formula1>
    </dataValidation>
    <dataValidation type="custom" allowBlank="1" showInputMessage="1" showErrorMessage="1" error="Please enter a numeric value.  If this data is not applicable to your unit of government, the cell should be populated with zero." sqref="F216 F212 F201 F28:F39 F41:F57 F59:F73 F75:F87 F25:F26 F132:F149 F151:F168 F171:F183 F187:F199 F204:F210 F220:F222 F18:F23 F100:F101 F89:F98 F103:F120 F123:F127" xr:uid="{B5815DCD-160E-4CA9-A461-76D5F396E4F1}">
      <formula1>ISNUMBER(F18)</formula1>
    </dataValidation>
    <dataValidation type="custom" allowBlank="1" showErrorMessage="1" error="Please enter a numeric value.  If this data is not applicable to your unit of government, the cell should be populated with zero." prompt="_x000a__x000a_" sqref="F233:F236 F239:F242 F245:F248 F253:F255 F257:F260 F228:F229" xr:uid="{DA17F63A-7740-447E-B0DD-1FD94F0BE4C8}">
      <formula1>ISNUMBER(F228)</formula1>
    </dataValidation>
    <dataValidation type="custom" allowBlank="1" showErrorMessage="1" error="Please enter a numeric value.  If this data is not applicable to your unit of government, the cell should be populated with zero." sqref="F299 F289:F297 F286 F284 F277:F280 F282 F272:F274 F265:F268" xr:uid="{6656F482-2030-43E8-B669-24F0F4187CE8}">
      <formula1>ISNUMBER(F265)</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269" xr:uid="{8DAFED68-C7CC-4E4B-B0DE-1B3BA6E17585}">
      <formula1>-ISNUMBER(221)</formula1>
    </dataValidation>
    <dataValidation type="list" allowBlank="1" showErrorMessage="1" prompt="Please select appropriate answer from drop down list." sqref="F223" xr:uid="{15C60609-2D17-4E28-A2AB-41834F9A09EE}">
      <formula1>"1,2"</formula1>
    </dataValidation>
    <dataValidation type="custom" allowBlank="1" showInputMessage="1" showErrorMessage="1" error="Please enter a numeric value.  If this data is not applicable to your unit of government, please enter zero." prompt="_x000a_" sqref="Q21:Q23" xr:uid="{9CBC3A0A-ED2F-4189-A811-9F7E91132699}">
      <formula1>ISNUMBER(Q21)</formula1>
    </dataValidation>
    <dataValidation type="custom" allowBlank="1" showInputMessage="1" showErrorMessage="1" error="Please enter a numeric value. " sqref="Q7" xr:uid="{CB95FD3C-B04D-4711-9116-7A469E0AAB1B}">
      <formula1>ISNUMBER(Q7)</formula1>
    </dataValidation>
    <dataValidation type="custom" allowBlank="1" showInputMessage="1" showErrorMessage="1" error="Please enter a numeric value. If this data is not applicable to your unit of government, the cell should be populated with zero." sqref="Q8:Q17 F7:F17" xr:uid="{2B8A4F99-9CD2-4D02-A062-E988EF3799E5}">
      <formula1>ISNUMBER(F7)</formula1>
    </dataValidation>
    <dataValidation allowBlank="1" showInputMessage="1" showErrorMessage="1" error="Please enter a numeric value. If this data is not applicable to your unit of government, the cell should be populated with zero." sqref="Q18:Q19" xr:uid="{74AB16B8-397F-4D3E-B798-0C4CD86D1B10}"/>
    <dataValidation type="custom" allowBlank="1" showInputMessage="1" showErrorMessage="1" error="Please enter a numeric value. If this data is not applicable to your unit of government, the cell should be populated with zero." prompt="_x000a_" sqref="Q20" xr:uid="{ECAB93E3-7E39-4615-8FE4-6276528C897F}">
      <formula1>ISNUMBER(Q20)</formula1>
    </dataValidation>
    <dataValidation type="list" allowBlank="1" showErrorMessage="1" prompt="Please select appropriate answer from drop down list." sqref="F184:F185" xr:uid="{B28A4ED8-9280-4348-99A1-3B99F5248D33}">
      <formula1>$M$1:$M$2</formula1>
    </dataValidation>
    <dataValidation type="list" allowBlank="1" showInputMessage="1" showErrorMessage="1" prompt="Please select appropriate answer from drop down list." sqref="F214" xr:uid="{CE840982-6377-4DDA-A117-91D0B30682FD}">
      <formula1>$O$1:$O$2</formula1>
    </dataValidation>
    <dataValidation type="custom" allowBlank="1" showErrorMessage="1" error="Please enter a numeric value.  If this data is not applicable to your unit of government the cell should be populated with zero." sqref="F262" xr:uid="{CB641EB2-3894-4A74-BBEC-CDF7A3E8D5D8}">
      <formula1>ISNUMBER(F262)</formula1>
    </dataValidation>
    <dataValidation type="custom" allowBlank="1" showErrorMessage="1" error="Please enter a numeric value.  If this data is not applicable to your unit of government, the cell should be populated wih zero." sqref="F270" xr:uid="{EE3DADAD-5656-406D-A714-9D6C22BCD542}">
      <formula1>ISNUMBER(F270)</formula1>
    </dataValidation>
  </dataValidations>
  <printOptions headings="1" gridLines="1"/>
  <pageMargins left="0.25" right="0.25" top="0.25" bottom="0.75" header="0.3" footer="0.3"/>
  <pageSetup fitToHeight="0" orientation="portrait" r:id="rId1"/>
  <headerFooter>
    <oddFooter>&amp;LPage &amp;P&amp;R&amp;Z&amp;F</oddFooter>
  </headerFooter>
  <ignoredErrors>
    <ignoredError sqref="H293:H295" unlockedFormula="1"/>
  </ignoredErrors>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Names(H)'!$A$1:$A$116</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AF871-8D58-4B43-B608-BEB0D5AB7735}">
  <sheetPr codeName="Sheet3">
    <tabColor theme="3" tint="0.79998168889431442"/>
    <pageSetUpPr fitToPage="1"/>
  </sheetPr>
  <dimension ref="A1:AQ96"/>
  <sheetViews>
    <sheetView showGridLines="0" zoomScaleNormal="100" workbookViewId="0">
      <selection activeCell="G41" sqref="G41"/>
    </sheetView>
  </sheetViews>
  <sheetFormatPr defaultColWidth="9.33203125" defaultRowHeight="14.4" x14ac:dyDescent="0.3"/>
  <cols>
    <col min="1" max="1" width="2.6640625" style="191" customWidth="1"/>
    <col min="2" max="3" width="2.33203125" style="191" customWidth="1"/>
    <col min="4" max="4" width="7.44140625" style="258" customWidth="1"/>
    <col min="5" max="5" width="43.6640625" style="246" customWidth="1"/>
    <col min="6" max="6" width="53.33203125" style="246" customWidth="1"/>
    <col min="7" max="7" width="18.6640625" style="191" customWidth="1"/>
    <col min="8" max="8" width="44.44140625" style="191" customWidth="1"/>
    <col min="9" max="9" width="9.44140625" style="191" customWidth="1"/>
    <col min="10" max="10" width="9.33203125" style="246" customWidth="1"/>
    <col min="11" max="12" width="16.6640625" customWidth="1"/>
    <col min="13" max="13" width="15.109375" customWidth="1"/>
    <col min="14" max="14" width="2.6640625" customWidth="1"/>
    <col min="15" max="15" width="61.109375" customWidth="1"/>
    <col min="16" max="16" width="77.6640625" customWidth="1"/>
    <col min="17" max="17" width="30.6640625" customWidth="1"/>
    <col min="18" max="18" width="10.44140625" customWidth="1"/>
    <col min="19" max="19" width="10.6640625" customWidth="1"/>
    <col min="20" max="20" width="11.109375" customWidth="1"/>
    <col min="21" max="21" width="14" customWidth="1"/>
    <col min="22" max="22" width="17.6640625" customWidth="1"/>
    <col min="23" max="23" width="11.33203125" customWidth="1"/>
    <col min="24" max="24" width="57.33203125" customWidth="1"/>
    <col min="25" max="25" width="13.109375" customWidth="1"/>
    <col min="26" max="26" width="31.109375" customWidth="1"/>
    <col min="27" max="27" width="4.6640625" customWidth="1"/>
    <col min="28" max="36" width="9.33203125" customWidth="1"/>
    <col min="37" max="37" width="36.44140625" customWidth="1"/>
    <col min="38" max="38" width="9.33203125" customWidth="1"/>
    <col min="42" max="43" width="9.33203125" style="192"/>
    <col min="44" max="16384" width="9.33203125" style="191"/>
  </cols>
  <sheetData>
    <row r="1" spans="1:43" ht="85.2" customHeight="1" thickBot="1" x14ac:dyDescent="0.35">
      <c r="B1" s="1313" t="s">
        <v>1829</v>
      </c>
      <c r="C1" s="1314"/>
      <c r="D1" s="1314"/>
      <c r="E1" s="1314"/>
      <c r="F1" s="1314"/>
      <c r="G1" s="1314"/>
      <c r="H1" s="1314"/>
      <c r="I1" s="1314"/>
      <c r="J1" s="1315"/>
    </row>
    <row r="2" spans="1:43" s="193" customFormat="1" ht="16.8" hidden="1" thickBot="1" x14ac:dyDescent="0.35">
      <c r="B2" s="1316" t="s">
        <v>888</v>
      </c>
      <c r="C2" s="1317"/>
      <c r="D2" s="1317"/>
      <c r="E2" s="1317"/>
      <c r="F2" s="1317"/>
      <c r="G2" s="1317"/>
      <c r="H2" s="1317"/>
      <c r="I2" s="1317"/>
      <c r="J2" s="1318"/>
      <c r="K2"/>
      <c r="L2"/>
      <c r="M2"/>
      <c r="N2"/>
      <c r="O2"/>
      <c r="P2"/>
      <c r="Q2"/>
      <c r="R2"/>
      <c r="S2"/>
      <c r="T2"/>
      <c r="U2"/>
      <c r="V2"/>
      <c r="W2"/>
      <c r="X2"/>
      <c r="Y2"/>
      <c r="Z2"/>
      <c r="AA2"/>
      <c r="AB2"/>
      <c r="AC2"/>
      <c r="AD2"/>
      <c r="AE2"/>
      <c r="AF2"/>
      <c r="AG2"/>
      <c r="AH2"/>
      <c r="AI2"/>
      <c r="AJ2"/>
      <c r="AK2"/>
      <c r="AL2"/>
      <c r="AM2"/>
      <c r="AN2"/>
      <c r="AO2"/>
      <c r="AP2" s="192"/>
      <c r="AQ2" s="192"/>
    </row>
    <row r="3" spans="1:43" s="195" customFormat="1" ht="39" hidden="1" customHeight="1" thickBot="1" x14ac:dyDescent="0.35">
      <c r="A3" s="191"/>
      <c r="B3" s="1319" t="s">
        <v>889</v>
      </c>
      <c r="C3" s="1320"/>
      <c r="D3" s="1320"/>
      <c r="E3" s="1320"/>
      <c r="F3" s="1320"/>
      <c r="G3" s="1320"/>
      <c r="H3" s="1320"/>
      <c r="I3" s="1320"/>
      <c r="J3" s="1321"/>
      <c r="K3"/>
      <c r="L3"/>
      <c r="M3"/>
      <c r="N3"/>
      <c r="O3"/>
      <c r="P3"/>
      <c r="Q3"/>
      <c r="R3"/>
      <c r="S3"/>
      <c r="T3"/>
      <c r="U3"/>
      <c r="V3"/>
      <c r="W3"/>
      <c r="X3"/>
      <c r="Y3"/>
      <c r="Z3"/>
      <c r="AA3"/>
      <c r="AB3"/>
      <c r="AC3"/>
      <c r="AD3"/>
      <c r="AE3"/>
      <c r="AF3"/>
      <c r="AG3"/>
      <c r="AH3"/>
      <c r="AI3"/>
      <c r="AJ3"/>
      <c r="AK3"/>
      <c r="AL3"/>
      <c r="AM3"/>
      <c r="AN3"/>
      <c r="AO3"/>
      <c r="AP3" s="194"/>
      <c r="AQ3" s="194"/>
    </row>
    <row r="4" spans="1:43" ht="25.35" customHeight="1" x14ac:dyDescent="0.3">
      <c r="B4" s="1259" t="s">
        <v>890</v>
      </c>
      <c r="C4" s="1261"/>
      <c r="D4" s="1260"/>
      <c r="E4" s="1260"/>
      <c r="F4" s="1322"/>
      <c r="G4" s="1322"/>
      <c r="H4" s="1322"/>
      <c r="I4" s="1322"/>
      <c r="J4" s="1323"/>
    </row>
    <row r="5" spans="1:43" ht="27" hidden="1" customHeight="1" x14ac:dyDescent="0.3">
      <c r="B5" s="1308" t="s">
        <v>1599</v>
      </c>
      <c r="C5" s="1309"/>
      <c r="D5" s="1309"/>
      <c r="E5" s="1309"/>
      <c r="F5" s="1309"/>
      <c r="G5" s="1309"/>
      <c r="H5" s="1309"/>
      <c r="I5" s="1309"/>
      <c r="J5" s="1310"/>
    </row>
    <row r="6" spans="1:43" ht="27" hidden="1" customHeight="1" x14ac:dyDescent="0.3">
      <c r="B6" s="1237"/>
      <c r="C6" s="1238"/>
      <c r="D6" s="1238"/>
      <c r="E6" s="1238"/>
      <c r="F6" s="1238"/>
      <c r="G6" s="1238"/>
      <c r="H6" s="1238"/>
      <c r="I6" s="1238"/>
      <c r="J6" s="1239"/>
    </row>
    <row r="7" spans="1:43" ht="25.35" customHeight="1" thickBot="1" x14ac:dyDescent="0.35">
      <c r="B7" s="1262" t="s">
        <v>891</v>
      </c>
      <c r="C7" s="1263"/>
      <c r="D7" s="1263"/>
      <c r="E7" s="1263"/>
      <c r="F7" s="1263"/>
      <c r="G7" s="1263"/>
      <c r="H7" s="1263"/>
      <c r="I7" s="1263"/>
      <c r="J7" s="1264"/>
    </row>
    <row r="8" spans="1:43" ht="39" hidden="1" customHeight="1" thickBot="1" x14ac:dyDescent="0.35">
      <c r="B8" s="196"/>
      <c r="C8" s="197"/>
      <c r="D8" s="198" t="s">
        <v>892</v>
      </c>
      <c r="E8" s="199"/>
      <c r="F8" s="200"/>
      <c r="G8" s="200"/>
      <c r="H8" s="200"/>
      <c r="I8" s="200"/>
      <c r="J8" s="201"/>
    </row>
    <row r="9" spans="1:43" s="202" customFormat="1" ht="15" hidden="1" thickBot="1" x14ac:dyDescent="0.35">
      <c r="B9" s="203"/>
      <c r="C9" s="204"/>
      <c r="D9" s="253" t="s">
        <v>754</v>
      </c>
      <c r="E9" s="205"/>
      <c r="F9" s="205"/>
      <c r="G9" s="205"/>
      <c r="H9" s="206"/>
      <c r="I9" s="206"/>
      <c r="J9" s="207"/>
      <c r="K9"/>
      <c r="L9"/>
      <c r="M9"/>
      <c r="N9"/>
      <c r="O9"/>
      <c r="P9"/>
      <c r="Q9"/>
      <c r="R9"/>
      <c r="S9"/>
      <c r="T9"/>
      <c r="U9"/>
      <c r="V9"/>
      <c r="W9"/>
      <c r="X9"/>
      <c r="Y9"/>
      <c r="Z9"/>
      <c r="AA9"/>
      <c r="AB9"/>
      <c r="AC9"/>
      <c r="AD9"/>
      <c r="AE9"/>
      <c r="AF9"/>
      <c r="AG9"/>
      <c r="AH9"/>
      <c r="AI9"/>
      <c r="AJ9"/>
      <c r="AK9"/>
      <c r="AL9"/>
      <c r="AM9"/>
      <c r="AN9"/>
      <c r="AO9"/>
      <c r="AP9" s="192"/>
      <c r="AQ9" s="192"/>
    </row>
    <row r="10" spans="1:43" ht="19.5" hidden="1" customHeight="1" thickBot="1" x14ac:dyDescent="0.35">
      <c r="B10" s="208"/>
      <c r="C10" s="209"/>
      <c r="D10" s="311" t="s">
        <v>1131</v>
      </c>
      <c r="E10" s="1295" t="s">
        <v>893</v>
      </c>
      <c r="F10" s="1295"/>
      <c r="G10" s="1289"/>
      <c r="H10" s="1290"/>
      <c r="I10" s="1291"/>
      <c r="J10" s="210"/>
    </row>
    <row r="11" spans="1:43" ht="14.25" hidden="1" customHeight="1" thickBot="1" x14ac:dyDescent="0.35">
      <c r="B11" s="208"/>
      <c r="C11" s="209"/>
      <c r="D11" s="253"/>
      <c r="E11" s="205"/>
      <c r="F11" s="205"/>
      <c r="G11" s="211" t="str">
        <f>IF(U9&gt;0,"PLEASE SEE INSTRUCTIONS REGARDING NAME","")</f>
        <v/>
      </c>
      <c r="H11" s="212"/>
      <c r="I11" s="212"/>
      <c r="J11" s="210"/>
    </row>
    <row r="12" spans="1:43" ht="21" hidden="1" customHeight="1" thickBot="1" x14ac:dyDescent="0.35">
      <c r="B12" s="208"/>
      <c r="C12" s="209"/>
      <c r="D12" s="312" t="s">
        <v>1132</v>
      </c>
      <c r="E12" s="1295" t="s">
        <v>1328</v>
      </c>
      <c r="F12" s="1295"/>
      <c r="G12" s="213"/>
      <c r="H12" s="212"/>
      <c r="I12" s="212"/>
      <c r="J12" s="210"/>
    </row>
    <row r="13" spans="1:43" ht="6.75" hidden="1" customHeight="1" thickBot="1" x14ac:dyDescent="0.35">
      <c r="B13" s="208"/>
      <c r="C13" s="209"/>
      <c r="D13" s="253"/>
      <c r="E13" s="214"/>
      <c r="F13" s="214"/>
      <c r="G13" s="212"/>
      <c r="H13" s="212"/>
      <c r="I13" s="212"/>
      <c r="J13" s="210"/>
    </row>
    <row r="14" spans="1:43" ht="26.25" hidden="1" customHeight="1" thickBot="1" x14ac:dyDescent="0.35">
      <c r="B14" s="208"/>
      <c r="C14" s="209"/>
      <c r="D14" s="259">
        <v>900</v>
      </c>
      <c r="E14" s="1295" t="s">
        <v>894</v>
      </c>
      <c r="F14" s="1295"/>
      <c r="G14" s="215"/>
      <c r="H14" s="212"/>
      <c r="I14" s="212"/>
      <c r="J14" s="210"/>
    </row>
    <row r="15" spans="1:43" ht="6.75" hidden="1" customHeight="1" thickBot="1" x14ac:dyDescent="0.35">
      <c r="B15" s="208"/>
      <c r="C15" s="209"/>
      <c r="D15" s="259"/>
      <c r="E15" s="214"/>
      <c r="F15" s="214"/>
      <c r="G15" s="212"/>
      <c r="H15" s="212"/>
      <c r="I15" s="212"/>
      <c r="J15" s="210"/>
    </row>
    <row r="16" spans="1:43" ht="26.25" hidden="1" customHeight="1" thickBot="1" x14ac:dyDescent="0.35">
      <c r="B16" s="208"/>
      <c r="C16" s="209"/>
      <c r="D16" s="259" t="s">
        <v>1063</v>
      </c>
      <c r="E16" s="1311" t="s">
        <v>895</v>
      </c>
      <c r="F16" s="1311"/>
      <c r="G16" s="1312"/>
      <c r="H16" s="1290"/>
      <c r="I16" s="1291"/>
      <c r="J16" s="210"/>
    </row>
    <row r="17" spans="2:10" ht="6.75" hidden="1" customHeight="1" thickBot="1" x14ac:dyDescent="0.35">
      <c r="B17" s="208"/>
      <c r="C17" s="209"/>
      <c r="D17" s="259"/>
      <c r="E17" s="214"/>
      <c r="F17" s="214"/>
      <c r="G17" s="212"/>
      <c r="H17" s="212"/>
      <c r="I17" s="212"/>
      <c r="J17" s="210"/>
    </row>
    <row r="18" spans="2:10" ht="24" hidden="1" customHeight="1" thickBot="1" x14ac:dyDescent="0.35">
      <c r="B18" s="208"/>
      <c r="C18" s="209"/>
      <c r="D18" s="259" t="s">
        <v>1064</v>
      </c>
      <c r="E18" s="1311" t="s">
        <v>896</v>
      </c>
      <c r="F18" s="1311"/>
      <c r="G18" s="1289"/>
      <c r="H18" s="1290"/>
      <c r="I18" s="1291"/>
      <c r="J18" s="210"/>
    </row>
    <row r="19" spans="2:10" ht="6.75" hidden="1" customHeight="1" thickBot="1" x14ac:dyDescent="0.35">
      <c r="B19" s="208"/>
      <c r="C19" s="209"/>
      <c r="D19" s="259"/>
      <c r="E19" s="214"/>
      <c r="F19" s="214"/>
      <c r="G19" s="212"/>
      <c r="H19" s="212"/>
      <c r="I19" s="212"/>
      <c r="J19" s="210"/>
    </row>
    <row r="20" spans="2:10" ht="24" hidden="1" customHeight="1" thickBot="1" x14ac:dyDescent="0.35">
      <c r="B20" s="208"/>
      <c r="C20" s="209"/>
      <c r="D20" s="259" t="s">
        <v>1065</v>
      </c>
      <c r="E20" s="1311" t="s">
        <v>897</v>
      </c>
      <c r="F20" s="1311"/>
      <c r="G20" s="1289"/>
      <c r="H20" s="1290"/>
      <c r="I20" s="1291"/>
      <c r="J20" s="210"/>
    </row>
    <row r="21" spans="2:10" ht="6.75" hidden="1" customHeight="1" thickBot="1" x14ac:dyDescent="0.35">
      <c r="B21" s="208"/>
      <c r="C21" s="209"/>
      <c r="D21" s="259"/>
      <c r="E21" s="214"/>
      <c r="F21" s="214"/>
      <c r="G21" s="212"/>
      <c r="H21" s="212"/>
      <c r="I21" s="212"/>
      <c r="J21" s="210"/>
    </row>
    <row r="22" spans="2:10" ht="24" hidden="1" customHeight="1" thickBot="1" x14ac:dyDescent="0.35">
      <c r="B22" s="208"/>
      <c r="C22" s="209"/>
      <c r="D22" s="259" t="s">
        <v>1066</v>
      </c>
      <c r="E22" s="1311" t="s">
        <v>898</v>
      </c>
      <c r="F22" s="1311"/>
      <c r="G22" s="1312"/>
      <c r="H22" s="1290"/>
      <c r="I22" s="1291"/>
      <c r="J22" s="210"/>
    </row>
    <row r="23" spans="2:10" ht="6.75" hidden="1" customHeight="1" thickBot="1" x14ac:dyDescent="0.35">
      <c r="B23" s="208"/>
      <c r="C23" s="209"/>
      <c r="D23" s="259"/>
      <c r="E23" s="214"/>
      <c r="F23" s="214"/>
      <c r="G23" s="212"/>
      <c r="H23" s="212"/>
      <c r="I23" s="212"/>
      <c r="J23" s="210"/>
    </row>
    <row r="24" spans="2:10" ht="24" hidden="1" customHeight="1" thickBot="1" x14ac:dyDescent="0.35">
      <c r="B24" s="208"/>
      <c r="C24" s="209"/>
      <c r="D24" s="259" t="s">
        <v>1067</v>
      </c>
      <c r="E24" s="1311" t="s">
        <v>899</v>
      </c>
      <c r="F24" s="1311"/>
      <c r="G24" s="1312"/>
      <c r="H24" s="1290"/>
      <c r="I24" s="1291"/>
      <c r="J24" s="210"/>
    </row>
    <row r="25" spans="2:10" ht="6.75" hidden="1" customHeight="1" thickBot="1" x14ac:dyDescent="0.35">
      <c r="B25" s="208"/>
      <c r="C25" s="209"/>
      <c r="D25" s="260"/>
      <c r="E25" s="205"/>
      <c r="F25" s="205"/>
      <c r="G25" s="209"/>
      <c r="H25" s="209"/>
      <c r="I25" s="209"/>
      <c r="J25" s="210"/>
    </row>
    <row r="26" spans="2:10" ht="18.75" hidden="1" customHeight="1" thickBot="1" x14ac:dyDescent="0.35">
      <c r="B26" s="208"/>
      <c r="C26" s="209"/>
      <c r="D26" s="259" t="s">
        <v>1133</v>
      </c>
      <c r="E26" s="1295" t="s">
        <v>900</v>
      </c>
      <c r="F26" s="1295"/>
      <c r="G26" s="1327"/>
      <c r="H26" s="1328"/>
      <c r="I26" s="216"/>
      <c r="J26" s="210"/>
    </row>
    <row r="27" spans="2:10" ht="28.5" hidden="1" customHeight="1" thickBot="1" x14ac:dyDescent="0.35">
      <c r="B27" s="208"/>
      <c r="C27" s="209"/>
      <c r="D27" s="259"/>
      <c r="E27" s="1329" t="str">
        <f>IF(G26="Housing Authority", CONCATENATE("SKIP Questions ",D28,"-",D66),"")</f>
        <v/>
      </c>
      <c r="F27" s="1329"/>
      <c r="G27" s="1329"/>
      <c r="H27" s="1329"/>
      <c r="I27" s="216"/>
      <c r="J27" s="210"/>
    </row>
    <row r="28" spans="2:10" ht="28.5" hidden="1" customHeight="1" thickBot="1" x14ac:dyDescent="0.35">
      <c r="B28" s="208"/>
      <c r="C28" s="209"/>
      <c r="D28" s="259" t="s">
        <v>1069</v>
      </c>
      <c r="E28" s="1295" t="s">
        <v>901</v>
      </c>
      <c r="F28" s="1295"/>
      <c r="G28" s="217"/>
      <c r="H28" s="1330">
        <f>+O28</f>
        <v>0</v>
      </c>
      <c r="I28" s="1331"/>
      <c r="J28" s="210"/>
    </row>
    <row r="29" spans="2:10" ht="6.75" hidden="1" customHeight="1" thickBot="1" x14ac:dyDescent="0.35">
      <c r="B29" s="208"/>
      <c r="C29" s="209"/>
      <c r="D29" s="260"/>
      <c r="E29" s="205"/>
      <c r="F29" s="205"/>
      <c r="G29" s="218"/>
      <c r="H29" s="205"/>
      <c r="I29" s="219"/>
      <c r="J29" s="210"/>
    </row>
    <row r="30" spans="2:10" ht="18.75" hidden="1" customHeight="1" thickBot="1" x14ac:dyDescent="0.35">
      <c r="B30" s="208"/>
      <c r="C30" s="209"/>
      <c r="D30" s="259" t="s">
        <v>1068</v>
      </c>
      <c r="E30" s="1295" t="s">
        <v>902</v>
      </c>
      <c r="F30" s="1295"/>
      <c r="G30" s="220"/>
      <c r="H30" s="1332"/>
      <c r="I30" s="1332"/>
      <c r="J30" s="210"/>
    </row>
    <row r="31" spans="2:10" ht="6.75" hidden="1" customHeight="1" thickBot="1" x14ac:dyDescent="0.35">
      <c r="B31" s="208"/>
      <c r="C31" s="209"/>
      <c r="D31" s="260"/>
      <c r="E31" s="205"/>
      <c r="F31" s="205"/>
      <c r="G31" s="209"/>
      <c r="H31" s="209"/>
      <c r="I31" s="209"/>
      <c r="J31" s="210"/>
    </row>
    <row r="32" spans="2:10" ht="27.75" hidden="1" customHeight="1" thickBot="1" x14ac:dyDescent="0.35">
      <c r="B32" s="208"/>
      <c r="C32" s="209"/>
      <c r="D32" s="259" t="s">
        <v>1070</v>
      </c>
      <c r="E32" s="1306" t="s">
        <v>903</v>
      </c>
      <c r="F32" s="1307"/>
      <c r="G32" s="1324"/>
      <c r="H32" s="1325"/>
      <c r="I32" s="1326"/>
      <c r="J32" s="210"/>
    </row>
    <row r="33" spans="2:10" ht="6.75" hidden="1" customHeight="1" thickBot="1" x14ac:dyDescent="0.35">
      <c r="B33" s="208"/>
      <c r="C33" s="209"/>
      <c r="D33" s="260"/>
      <c r="E33" s="205"/>
      <c r="F33" s="205"/>
      <c r="G33" s="209"/>
      <c r="H33" s="209"/>
      <c r="I33" s="209"/>
      <c r="J33" s="210"/>
    </row>
    <row r="34" spans="2:10" ht="17.25" hidden="1" customHeight="1" thickBot="1" x14ac:dyDescent="0.35">
      <c r="B34" s="208"/>
      <c r="C34" s="209"/>
      <c r="D34" s="259" t="s">
        <v>1071</v>
      </c>
      <c r="E34" s="214" t="s">
        <v>904</v>
      </c>
      <c r="F34" s="214"/>
      <c r="G34" s="1289"/>
      <c r="H34" s="1290"/>
      <c r="I34" s="1291"/>
      <c r="J34" s="210"/>
    </row>
    <row r="35" spans="2:10" ht="6.75" hidden="1" customHeight="1" thickBot="1" x14ac:dyDescent="0.35">
      <c r="B35" s="208"/>
      <c r="C35" s="209"/>
      <c r="D35" s="260"/>
      <c r="E35" s="205"/>
      <c r="F35" s="205"/>
      <c r="G35" s="209"/>
      <c r="H35" s="209"/>
      <c r="I35" s="209"/>
      <c r="J35" s="210"/>
    </row>
    <row r="36" spans="2:10" ht="18" hidden="1" customHeight="1" thickBot="1" x14ac:dyDescent="0.35">
      <c r="B36" s="208"/>
      <c r="C36" s="209"/>
      <c r="D36" s="259" t="s">
        <v>1072</v>
      </c>
      <c r="E36" s="1295" t="s">
        <v>905</v>
      </c>
      <c r="F36" s="1301"/>
      <c r="G36" s="1289"/>
      <c r="H36" s="1290"/>
      <c r="I36" s="1291"/>
      <c r="J36" s="210"/>
    </row>
    <row r="37" spans="2:10" ht="8.25" hidden="1" customHeight="1" thickBot="1" x14ac:dyDescent="0.35">
      <c r="B37" s="208"/>
      <c r="C37" s="209"/>
      <c r="D37" s="253"/>
      <c r="E37" s="1302"/>
      <c r="F37" s="1302"/>
      <c r="G37" s="1302"/>
      <c r="H37" s="1302"/>
      <c r="I37" s="216"/>
      <c r="J37" s="210"/>
    </row>
    <row r="38" spans="2:10" ht="39" customHeight="1" thickBot="1" x14ac:dyDescent="0.35">
      <c r="B38" s="1303" t="s">
        <v>1598</v>
      </c>
      <c r="C38" s="1304"/>
      <c r="D38" s="1304"/>
      <c r="E38" s="1304"/>
      <c r="F38" s="1304"/>
      <c r="G38" s="1304"/>
      <c r="H38" s="1304"/>
      <c r="I38" s="1304"/>
      <c r="J38" s="1305"/>
    </row>
    <row r="39" spans="2:10" ht="4.5" customHeight="1" x14ac:dyDescent="0.3">
      <c r="B39" s="208"/>
      <c r="C39" s="209"/>
      <c r="D39" s="254"/>
      <c r="E39" s="205"/>
      <c r="F39" s="205"/>
      <c r="G39" s="209"/>
      <c r="H39" s="209"/>
      <c r="I39" s="209"/>
      <c r="J39" s="210"/>
    </row>
    <row r="40" spans="2:10" ht="4.5" customHeight="1" thickBot="1" x14ac:dyDescent="0.35">
      <c r="B40" s="208"/>
      <c r="C40" s="209"/>
      <c r="D40" s="254"/>
      <c r="E40" s="205"/>
      <c r="F40" s="205"/>
      <c r="G40" s="209"/>
      <c r="H40" s="209"/>
      <c r="I40" s="209"/>
      <c r="J40" s="210"/>
    </row>
    <row r="41" spans="2:10" ht="30.75" customHeight="1" thickBot="1" x14ac:dyDescent="0.35">
      <c r="B41" s="208"/>
      <c r="C41" s="209"/>
      <c r="D41" s="253">
        <v>906</v>
      </c>
      <c r="E41" s="1295" t="s">
        <v>906</v>
      </c>
      <c r="F41" s="1295"/>
      <c r="G41" s="217"/>
      <c r="H41" s="308" t="str">
        <f>IF(G41="","This Question must be answered before uploading, the report will not be processed if left blank","")</f>
        <v>This Question must be answered before uploading, the report will not be processed if left blank</v>
      </c>
      <c r="I41" s="209"/>
      <c r="J41" s="210"/>
    </row>
    <row r="42" spans="2:10" ht="6.75" customHeight="1" thickBot="1" x14ac:dyDescent="0.35">
      <c r="B42" s="208"/>
      <c r="C42" s="209"/>
      <c r="D42" s="253"/>
      <c r="E42" s="214"/>
      <c r="F42" s="214"/>
      <c r="G42" s="218"/>
      <c r="H42" s="209"/>
      <c r="I42" s="209"/>
      <c r="J42" s="210"/>
    </row>
    <row r="43" spans="2:10" ht="32.25" customHeight="1" thickBot="1" x14ac:dyDescent="0.35">
      <c r="B43" s="208"/>
      <c r="C43" s="209"/>
      <c r="D43" s="253">
        <v>907</v>
      </c>
      <c r="E43" s="1295" t="s">
        <v>907</v>
      </c>
      <c r="F43" s="1295"/>
      <c r="G43" s="217"/>
      <c r="H43" s="308" t="str">
        <f>IF(G43="","This Question must be answered before uploading, the report will not be processed if left blank","")</f>
        <v>This Question must be answered before uploading, the report will not be processed if left blank</v>
      </c>
      <c r="I43" s="209"/>
      <c r="J43" s="210"/>
    </row>
    <row r="44" spans="2:10" ht="6.75" customHeight="1" thickBot="1" x14ac:dyDescent="0.35">
      <c r="B44" s="208"/>
      <c r="C44" s="209"/>
      <c r="D44" s="253"/>
      <c r="E44" s="214"/>
      <c r="F44" s="214"/>
      <c r="G44" s="218"/>
      <c r="H44" s="209"/>
      <c r="I44" s="209"/>
      <c r="J44" s="210"/>
    </row>
    <row r="45" spans="2:10" ht="32.25" customHeight="1" thickBot="1" x14ac:dyDescent="0.35">
      <c r="B45" s="208"/>
      <c r="C45" s="209"/>
      <c r="D45" s="253">
        <v>951</v>
      </c>
      <c r="E45" s="1295" t="s">
        <v>908</v>
      </c>
      <c r="F45" s="1295"/>
      <c r="G45" s="217"/>
      <c r="H45" s="308" t="str">
        <f>IF(G45="","This Question must be answered before uploading, the report will not be processed if left blank","")</f>
        <v>This Question must be answered before uploading, the report will not be processed if left blank</v>
      </c>
      <c r="I45" s="205"/>
      <c r="J45" s="210"/>
    </row>
    <row r="46" spans="2:10" ht="6.75" customHeight="1" thickBot="1" x14ac:dyDescent="0.35">
      <c r="B46" s="208"/>
      <c r="C46" s="209"/>
      <c r="D46" s="253"/>
      <c r="E46" s="214"/>
      <c r="F46" s="214"/>
      <c r="G46" s="218"/>
      <c r="H46" s="209"/>
      <c r="I46" s="209"/>
      <c r="J46" s="210"/>
    </row>
    <row r="47" spans="2:10" ht="33" customHeight="1" thickBot="1" x14ac:dyDescent="0.35">
      <c r="B47" s="208"/>
      <c r="C47" s="209"/>
      <c r="D47" s="253">
        <v>953</v>
      </c>
      <c r="E47" s="1295" t="s">
        <v>909</v>
      </c>
      <c r="F47" s="1295"/>
      <c r="G47" s="217"/>
      <c r="H47" s="308" t="str">
        <f>IF(G47="","This Question must be answered before uploading, the report will not be processed if left blank","")</f>
        <v>This Question must be answered before uploading, the report will not be processed if left blank</v>
      </c>
      <c r="I47" s="205"/>
      <c r="J47" s="210"/>
    </row>
    <row r="48" spans="2:10" ht="6.75" customHeight="1" thickBot="1" x14ac:dyDescent="0.35">
      <c r="B48" s="208"/>
      <c r="C48" s="209"/>
      <c r="D48" s="255"/>
      <c r="E48" s="214"/>
      <c r="F48" s="214"/>
      <c r="G48" s="218"/>
      <c r="H48" s="209"/>
      <c r="I48" s="209"/>
      <c r="J48" s="210"/>
    </row>
    <row r="49" spans="2:43" ht="32.25" customHeight="1" thickBot="1" x14ac:dyDescent="0.35">
      <c r="B49" s="208"/>
      <c r="C49" s="209"/>
      <c r="D49" s="253">
        <v>955</v>
      </c>
      <c r="E49" s="1295" t="s">
        <v>910</v>
      </c>
      <c r="F49" s="1295"/>
      <c r="G49" s="222"/>
      <c r="H49" s="308" t="str">
        <f>IF(G49="","This Question must be answered before uploading, the report will not be processed if left blank","")</f>
        <v>This Question must be answered before uploading, the report will not be processed if left blank</v>
      </c>
      <c r="I49" s="223"/>
      <c r="J49" s="224"/>
    </row>
    <row r="50" spans="2:43" ht="6.75" customHeight="1" thickBot="1" x14ac:dyDescent="0.35">
      <c r="B50" s="208"/>
      <c r="C50" s="209"/>
      <c r="D50" s="253"/>
      <c r="E50" s="214"/>
      <c r="F50" s="214"/>
      <c r="G50" s="218"/>
      <c r="H50" s="223"/>
      <c r="I50" s="223"/>
      <c r="J50" s="224"/>
    </row>
    <row r="51" spans="2:43" ht="39.75" customHeight="1" thickBot="1" x14ac:dyDescent="0.35">
      <c r="B51" s="208"/>
      <c r="C51" s="209"/>
      <c r="D51" s="253">
        <v>957</v>
      </c>
      <c r="E51" s="1295" t="s">
        <v>911</v>
      </c>
      <c r="F51" s="1295"/>
      <c r="G51" s="222"/>
      <c r="H51" s="308" t="str">
        <f>IF(G51="","This Question must be answered before uploading, the report will not be processed if left blank","")</f>
        <v>This Question must be answered before uploading, the report will not be processed if left blank</v>
      </c>
      <c r="I51" s="223"/>
      <c r="J51" s="224"/>
    </row>
    <row r="52" spans="2:43" ht="9.75" customHeight="1" thickBot="1" x14ac:dyDescent="0.35">
      <c r="B52" s="208"/>
      <c r="C52" s="209"/>
      <c r="D52" s="254"/>
      <c r="E52" s="205"/>
      <c r="F52" s="205"/>
      <c r="G52" s="209"/>
      <c r="H52" s="209"/>
      <c r="I52" s="209"/>
      <c r="J52" s="210"/>
    </row>
    <row r="53" spans="2:43" ht="35.1" customHeight="1" thickBot="1" x14ac:dyDescent="0.35">
      <c r="B53" s="208"/>
      <c r="C53" s="209"/>
      <c r="D53" s="253">
        <v>959</v>
      </c>
      <c r="E53" s="1300" t="s">
        <v>1320</v>
      </c>
      <c r="F53" s="1300"/>
      <c r="G53" s="217"/>
      <c r="H53" s="308" t="str">
        <f>IF(G53="","This Question must be answered before uploading, the report will not be processed if left blank","")</f>
        <v>This Question must be answered before uploading, the report will not be processed if left blank</v>
      </c>
      <c r="I53" s="209"/>
      <c r="J53" s="210"/>
    </row>
    <row r="54" spans="2:43" ht="8.25" customHeight="1" thickBot="1" x14ac:dyDescent="0.35">
      <c r="B54" s="208"/>
      <c r="C54" s="209"/>
      <c r="D54" s="253"/>
      <c r="E54" s="387"/>
      <c r="F54" s="387"/>
      <c r="G54" s="209"/>
      <c r="H54" s="209"/>
      <c r="I54" s="209"/>
      <c r="J54" s="210"/>
    </row>
    <row r="55" spans="2:43" ht="67.5" customHeight="1" thickBot="1" x14ac:dyDescent="0.35">
      <c r="B55" s="208"/>
      <c r="C55" s="225"/>
      <c r="D55" s="253">
        <v>973</v>
      </c>
      <c r="E55" s="1300" t="s">
        <v>1405</v>
      </c>
      <c r="F55" s="1300"/>
      <c r="G55" s="394"/>
      <c r="H55" s="308" t="str">
        <f>IF(G55="","This Question must be answered before uploading, the report will not be processed if left blank","")</f>
        <v>This Question must be answered before uploading, the report will not be processed if left blank</v>
      </c>
      <c r="I55" s="280"/>
      <c r="J55" s="210"/>
    </row>
    <row r="56" spans="2:43" ht="7.5" customHeight="1" thickBot="1" x14ac:dyDescent="0.35">
      <c r="B56" s="208"/>
      <c r="C56" s="209"/>
      <c r="D56" s="253"/>
      <c r="E56" s="309"/>
      <c r="F56" s="309"/>
      <c r="G56" s="218"/>
      <c r="H56" s="209"/>
      <c r="I56" s="209"/>
      <c r="J56" s="210"/>
    </row>
    <row r="57" spans="2:43" ht="69" customHeight="1" thickBot="1" x14ac:dyDescent="0.35">
      <c r="B57" s="208"/>
      <c r="C57" s="209"/>
      <c r="D57" s="253">
        <v>974</v>
      </c>
      <c r="E57" s="1295" t="s">
        <v>1324</v>
      </c>
      <c r="F57" s="1296"/>
      <c r="G57" s="217"/>
      <c r="H57" s="307" t="str">
        <f>IF(G57="","This Question must be answered before uploading, the report will not be processed if left blank","")</f>
        <v>This Question must be answered before uploading, the report will not be processed if left blank</v>
      </c>
      <c r="I57" s="226"/>
      <c r="J57" s="210"/>
    </row>
    <row r="58" spans="2:43" ht="15.6" hidden="1" customHeight="1" x14ac:dyDescent="0.3">
      <c r="B58" s="208"/>
      <c r="C58" s="209"/>
      <c r="D58" s="253"/>
      <c r="E58" s="214"/>
      <c r="F58" s="214"/>
      <c r="G58" s="218"/>
      <c r="H58" s="209"/>
      <c r="I58" s="209"/>
      <c r="J58" s="210"/>
    </row>
    <row r="59" spans="2:43" ht="27" hidden="1" customHeight="1" thickBot="1" x14ac:dyDescent="0.35">
      <c r="B59" s="208"/>
      <c r="C59" s="209"/>
      <c r="D59" s="253"/>
      <c r="E59" s="214"/>
      <c r="F59" s="214"/>
      <c r="G59" s="218"/>
      <c r="H59" s="205"/>
      <c r="I59" s="209"/>
      <c r="J59" s="210"/>
    </row>
    <row r="60" spans="2:43" ht="27" hidden="1" customHeight="1" thickBot="1" x14ac:dyDescent="0.35">
      <c r="B60" s="208"/>
      <c r="C60" s="209"/>
      <c r="D60" s="253">
        <v>965</v>
      </c>
      <c r="E60" s="1295" t="s">
        <v>912</v>
      </c>
      <c r="F60" s="1295"/>
      <c r="G60" s="220"/>
      <c r="H60" s="308" t="str">
        <f>IF(G60="","This Question must be answered before uploading, the report will not be processed if left blank","")</f>
        <v>This Question must be answered before uploading, the report will not be processed if left blank</v>
      </c>
      <c r="I60" s="219"/>
      <c r="J60" s="210"/>
    </row>
    <row r="61" spans="2:43" ht="12.6" customHeight="1" thickBot="1" x14ac:dyDescent="0.35">
      <c r="B61" s="208"/>
      <c r="C61" s="209"/>
      <c r="D61" s="254"/>
      <c r="E61" s="205"/>
      <c r="F61" s="205"/>
      <c r="G61" s="218"/>
      <c r="H61" s="205"/>
      <c r="I61" s="219"/>
      <c r="J61" s="210"/>
    </row>
    <row r="62" spans="2:43" s="231" customFormat="1" ht="27" customHeight="1" thickBot="1" x14ac:dyDescent="0.35">
      <c r="B62" s="227"/>
      <c r="C62" s="228"/>
      <c r="D62" s="253" t="s">
        <v>1134</v>
      </c>
      <c r="E62" s="229" t="s">
        <v>913</v>
      </c>
      <c r="F62" s="230" t="str">
        <f>IF(G62="Yes", "Please Submit Management Letter","")</f>
        <v/>
      </c>
      <c r="G62" s="217"/>
      <c r="H62" s="308" t="str">
        <f>IF(G62="","This Question must be answered before uploading, the report will not be processed if left blank","")</f>
        <v>This Question must be answered before uploading, the report will not be processed if left blank</v>
      </c>
      <c r="I62" s="279"/>
      <c r="J62" s="210"/>
      <c r="K62"/>
      <c r="L62"/>
      <c r="M62"/>
      <c r="N62"/>
      <c r="O62"/>
      <c r="P62"/>
      <c r="Q62"/>
      <c r="R62"/>
      <c r="S62"/>
      <c r="T62"/>
      <c r="U62"/>
      <c r="V62"/>
      <c r="W62"/>
      <c r="X62"/>
      <c r="Y62"/>
      <c r="Z62"/>
      <c r="AA62"/>
      <c r="AB62"/>
      <c r="AC62"/>
      <c r="AD62"/>
      <c r="AE62"/>
      <c r="AF62"/>
      <c r="AG62"/>
      <c r="AH62"/>
      <c r="AI62"/>
      <c r="AJ62"/>
      <c r="AK62"/>
      <c r="AL62"/>
      <c r="AM62"/>
      <c r="AN62"/>
      <c r="AO62"/>
      <c r="AP62" s="221"/>
      <c r="AQ62" s="221"/>
    </row>
    <row r="63" spans="2:43" s="231" customFormat="1" ht="9.75" customHeight="1" thickBot="1" x14ac:dyDescent="0.35">
      <c r="B63" s="227"/>
      <c r="C63" s="228"/>
      <c r="D63" s="254"/>
      <c r="E63" s="232"/>
      <c r="F63" s="233"/>
      <c r="G63" s="218"/>
      <c r="H63" s="205"/>
      <c r="I63" s="219"/>
      <c r="J63" s="210"/>
      <c r="K63"/>
      <c r="L63"/>
      <c r="M63"/>
      <c r="N63"/>
      <c r="O63"/>
      <c r="P63"/>
      <c r="Q63"/>
      <c r="R63"/>
      <c r="S63"/>
      <c r="T63"/>
      <c r="U63"/>
      <c r="V63"/>
      <c r="W63"/>
      <c r="X63"/>
      <c r="Y63"/>
      <c r="Z63"/>
      <c r="AA63"/>
      <c r="AB63"/>
      <c r="AC63"/>
      <c r="AD63"/>
      <c r="AE63"/>
      <c r="AF63"/>
      <c r="AG63"/>
      <c r="AH63"/>
      <c r="AI63"/>
      <c r="AJ63"/>
      <c r="AK63"/>
      <c r="AL63"/>
      <c r="AM63"/>
      <c r="AN63"/>
      <c r="AO63"/>
      <c r="AP63" s="221"/>
      <c r="AQ63" s="221"/>
    </row>
    <row r="64" spans="2:43" s="231" customFormat="1" ht="31.5" customHeight="1" thickBot="1" x14ac:dyDescent="0.35">
      <c r="B64" s="227"/>
      <c r="C64" s="228"/>
      <c r="D64" s="253" t="s">
        <v>1135</v>
      </c>
      <c r="E64" s="229" t="s">
        <v>914</v>
      </c>
      <c r="F64" s="230" t="str">
        <f>IF(G64="Yes", "Please Submit AU-C 260 Letter","")</f>
        <v/>
      </c>
      <c r="G64" s="217"/>
      <c r="H64" s="308" t="str">
        <f>IF(G64="","This Question must be answered before uploading, the report will not be processed if left blank","")</f>
        <v>This Question must be answered before uploading, the report will not be processed if left blank</v>
      </c>
      <c r="I64" s="279"/>
      <c r="J64" s="210"/>
      <c r="K64"/>
      <c r="L64"/>
      <c r="M64"/>
      <c r="N64"/>
      <c r="O64"/>
      <c r="P64"/>
      <c r="Q64"/>
      <c r="R64"/>
      <c r="S64"/>
      <c r="T64"/>
      <c r="U64"/>
      <c r="V64"/>
      <c r="W64"/>
      <c r="X64"/>
      <c r="Y64"/>
      <c r="Z64"/>
      <c r="AA64"/>
      <c r="AB64"/>
      <c r="AC64"/>
      <c r="AD64"/>
      <c r="AE64"/>
      <c r="AF64"/>
      <c r="AG64"/>
      <c r="AH64"/>
      <c r="AI64"/>
      <c r="AJ64"/>
      <c r="AK64"/>
      <c r="AL64"/>
      <c r="AM64"/>
      <c r="AN64"/>
      <c r="AO64"/>
      <c r="AP64" s="221"/>
      <c r="AQ64" s="221"/>
    </row>
    <row r="65" spans="2:43" s="231" customFormat="1" ht="8.25" customHeight="1" thickBot="1" x14ac:dyDescent="0.35">
      <c r="B65" s="227"/>
      <c r="C65" s="228"/>
      <c r="D65" s="254"/>
      <c r="E65" s="234"/>
      <c r="F65" s="233"/>
      <c r="G65" s="218"/>
      <c r="H65" s="205"/>
      <c r="I65" s="219"/>
      <c r="J65" s="210"/>
      <c r="K65"/>
      <c r="L65"/>
      <c r="M65"/>
      <c r="N65"/>
      <c r="O65"/>
      <c r="P65"/>
      <c r="Q65"/>
      <c r="R65"/>
      <c r="S65"/>
      <c r="T65"/>
      <c r="U65"/>
      <c r="V65"/>
      <c r="W65"/>
      <c r="X65"/>
      <c r="Y65"/>
      <c r="Z65"/>
      <c r="AA65"/>
      <c r="AB65"/>
      <c r="AC65"/>
      <c r="AD65"/>
      <c r="AE65"/>
      <c r="AF65"/>
      <c r="AG65"/>
      <c r="AH65"/>
      <c r="AI65"/>
      <c r="AJ65"/>
      <c r="AK65"/>
      <c r="AL65"/>
      <c r="AM65"/>
      <c r="AN65"/>
      <c r="AO65"/>
      <c r="AP65" s="221"/>
      <c r="AQ65" s="221"/>
    </row>
    <row r="66" spans="2:43" s="231" customFormat="1" ht="33.75" customHeight="1" thickBot="1" x14ac:dyDescent="0.35">
      <c r="B66" s="227"/>
      <c r="C66" s="228"/>
      <c r="D66" s="253" t="s">
        <v>1136</v>
      </c>
      <c r="E66" s="229" t="s">
        <v>915</v>
      </c>
      <c r="F66" s="230" t="str">
        <f>IF(G66="Yes", "Please Submit AU-C 265 Letter","")</f>
        <v/>
      </c>
      <c r="G66" s="217"/>
      <c r="H66" s="308" t="str">
        <f>IF(G66="","This Question must be answered before uploading, the report will not be processed if left blank","")</f>
        <v>This Question must be answered before uploading, the report will not be processed if left blank</v>
      </c>
      <c r="I66" s="279"/>
      <c r="J66" s="210"/>
      <c r="K66"/>
      <c r="L66"/>
      <c r="M66"/>
      <c r="N66"/>
      <c r="O66"/>
      <c r="P66"/>
      <c r="Q66"/>
      <c r="R66"/>
      <c r="S66"/>
      <c r="T66"/>
      <c r="U66"/>
      <c r="V66"/>
      <c r="W66"/>
      <c r="X66"/>
      <c r="Y66"/>
      <c r="Z66"/>
      <c r="AA66"/>
      <c r="AB66"/>
      <c r="AC66"/>
      <c r="AD66"/>
      <c r="AE66"/>
      <c r="AF66"/>
      <c r="AG66"/>
      <c r="AH66"/>
      <c r="AI66"/>
      <c r="AJ66"/>
      <c r="AK66"/>
      <c r="AL66"/>
      <c r="AM66"/>
      <c r="AN66"/>
      <c r="AO66"/>
      <c r="AP66" s="221"/>
      <c r="AQ66" s="221"/>
    </row>
    <row r="67" spans="2:43" ht="6.75" customHeight="1" thickBot="1" x14ac:dyDescent="0.35">
      <c r="B67" s="208"/>
      <c r="C67" s="209"/>
      <c r="D67" s="254"/>
      <c r="E67" s="235"/>
      <c r="F67" s="235"/>
      <c r="G67" s="212"/>
      <c r="H67" s="205"/>
      <c r="I67" s="205"/>
      <c r="J67" s="210"/>
    </row>
    <row r="68" spans="2:43" s="231" customFormat="1" ht="35.25" customHeight="1" thickBot="1" x14ac:dyDescent="0.35">
      <c r="B68" s="227"/>
      <c r="C68" s="212"/>
      <c r="D68" s="397">
        <v>977</v>
      </c>
      <c r="E68" s="1297" t="s">
        <v>1305</v>
      </c>
      <c r="F68" s="1298"/>
      <c r="G68" s="395"/>
      <c r="H68" s="308" t="str">
        <f>IF(G68="","This Question must be answered before uploading, the report will not be processed if left blank","")</f>
        <v>This Question must be answered before uploading, the report will not be processed if left blank</v>
      </c>
      <c r="I68" s="219"/>
      <c r="J68" s="210"/>
      <c r="K68"/>
      <c r="L68"/>
      <c r="M68"/>
      <c r="N68"/>
      <c r="O68"/>
      <c r="P68"/>
      <c r="Q68"/>
      <c r="R68"/>
      <c r="S68"/>
      <c r="T68"/>
      <c r="U68"/>
      <c r="V68"/>
      <c r="W68"/>
      <c r="X68"/>
      <c r="Y68"/>
      <c r="Z68"/>
      <c r="AA68"/>
      <c r="AB68"/>
      <c r="AC68"/>
      <c r="AD68"/>
      <c r="AE68"/>
      <c r="AF68"/>
      <c r="AG68"/>
      <c r="AH68"/>
      <c r="AI68"/>
      <c r="AJ68"/>
      <c r="AK68"/>
      <c r="AL68"/>
      <c r="AM68"/>
      <c r="AN68"/>
      <c r="AO68"/>
      <c r="AP68" s="221"/>
      <c r="AQ68" s="221"/>
    </row>
    <row r="69" spans="2:43" s="231" customFormat="1" ht="8.25" customHeight="1" thickBot="1" x14ac:dyDescent="0.35">
      <c r="B69" s="227"/>
      <c r="C69" s="212"/>
      <c r="D69" s="253"/>
      <c r="E69" s="261"/>
      <c r="F69" s="262"/>
      <c r="G69" s="218"/>
      <c r="H69" s="205"/>
      <c r="I69" s="219"/>
      <c r="J69" s="210"/>
      <c r="K69"/>
      <c r="L69"/>
      <c r="M69"/>
      <c r="N69"/>
      <c r="O69"/>
      <c r="P69"/>
      <c r="Q69"/>
      <c r="R69"/>
      <c r="S69"/>
      <c r="T69"/>
      <c r="U69"/>
      <c r="V69"/>
      <c r="W69"/>
      <c r="X69"/>
      <c r="Y69"/>
      <c r="Z69"/>
      <c r="AA69"/>
      <c r="AB69"/>
      <c r="AC69"/>
      <c r="AD69"/>
      <c r="AE69"/>
      <c r="AF69"/>
      <c r="AG69"/>
      <c r="AH69"/>
      <c r="AI69"/>
      <c r="AJ69"/>
      <c r="AK69"/>
      <c r="AL69"/>
      <c r="AM69"/>
      <c r="AN69"/>
      <c r="AO69"/>
      <c r="AP69" s="221"/>
      <c r="AQ69" s="221"/>
    </row>
    <row r="70" spans="2:43" s="231" customFormat="1" ht="30" customHeight="1" thickBot="1" x14ac:dyDescent="0.35">
      <c r="B70" s="227"/>
      <c r="C70" s="212"/>
      <c r="D70" s="397">
        <v>978</v>
      </c>
      <c r="E70" s="1297" t="s">
        <v>1074</v>
      </c>
      <c r="F70" s="1298"/>
      <c r="G70" s="395"/>
      <c r="H70" s="308" t="str">
        <f>IF(G70="","This Question must be answered before uploading, the report will not be processed if left blank","")</f>
        <v>This Question must be answered before uploading, the report will not be processed if left blank</v>
      </c>
      <c r="I70" s="219"/>
      <c r="J70" s="210"/>
      <c r="K70"/>
      <c r="L70"/>
      <c r="M70"/>
      <c r="N70"/>
      <c r="O70"/>
      <c r="P70"/>
      <c r="Q70"/>
      <c r="R70"/>
      <c r="S70"/>
      <c r="T70"/>
      <c r="U70"/>
      <c r="V70"/>
      <c r="W70"/>
      <c r="X70"/>
      <c r="Y70"/>
      <c r="Z70"/>
      <c r="AA70"/>
      <c r="AB70"/>
      <c r="AC70"/>
      <c r="AD70"/>
      <c r="AE70"/>
      <c r="AF70"/>
      <c r="AG70"/>
      <c r="AH70"/>
      <c r="AI70"/>
      <c r="AJ70"/>
      <c r="AK70"/>
      <c r="AL70"/>
      <c r="AM70"/>
      <c r="AN70"/>
      <c r="AO70"/>
      <c r="AP70" s="221"/>
      <c r="AQ70" s="221"/>
    </row>
    <row r="71" spans="2:43" s="231" customFormat="1" ht="8.25" customHeight="1" thickBot="1" x14ac:dyDescent="0.35">
      <c r="B71" s="227"/>
      <c r="C71" s="212"/>
      <c r="D71" s="397"/>
      <c r="E71" s="261"/>
      <c r="F71" s="262"/>
      <c r="G71" s="218"/>
      <c r="H71" s="205"/>
      <c r="I71" s="219"/>
      <c r="J71" s="210"/>
      <c r="K71"/>
      <c r="L71"/>
      <c r="M71"/>
      <c r="N71"/>
      <c r="O71"/>
      <c r="P71"/>
      <c r="Q71"/>
      <c r="R71"/>
      <c r="S71"/>
      <c r="T71"/>
      <c r="U71"/>
      <c r="V71"/>
      <c r="W71"/>
      <c r="X71"/>
      <c r="Y71"/>
      <c r="Z71"/>
      <c r="AA71"/>
      <c r="AB71"/>
      <c r="AC71"/>
      <c r="AD71"/>
      <c r="AE71"/>
      <c r="AF71"/>
      <c r="AG71"/>
      <c r="AH71"/>
      <c r="AI71"/>
      <c r="AJ71"/>
      <c r="AK71"/>
      <c r="AL71"/>
      <c r="AM71"/>
      <c r="AN71"/>
      <c r="AO71"/>
      <c r="AP71" s="221"/>
      <c r="AQ71" s="221"/>
    </row>
    <row r="72" spans="2:43" s="231" customFormat="1" ht="36.75" customHeight="1" thickBot="1" x14ac:dyDescent="0.35">
      <c r="B72" s="227"/>
      <c r="C72" s="212"/>
      <c r="D72" s="397">
        <v>979</v>
      </c>
      <c r="E72" s="1297" t="s">
        <v>1075</v>
      </c>
      <c r="F72" s="1298"/>
      <c r="G72" s="395"/>
      <c r="H72" s="308" t="str">
        <f>IF(G72="","This Question must be answered before uploading, the report will not be processed if left blank","")</f>
        <v>This Question must be answered before uploading, the report will not be processed if left blank</v>
      </c>
      <c r="I72" s="219"/>
      <c r="J72" s="210"/>
      <c r="K72"/>
      <c r="L72"/>
      <c r="M72"/>
      <c r="N72"/>
      <c r="O72"/>
      <c r="P72"/>
      <c r="Q72"/>
      <c r="R72"/>
      <c r="S72"/>
      <c r="T72"/>
      <c r="U72"/>
      <c r="V72"/>
      <c r="W72"/>
      <c r="X72"/>
      <c r="Y72"/>
      <c r="Z72"/>
      <c r="AA72"/>
      <c r="AB72"/>
      <c r="AC72"/>
      <c r="AD72"/>
      <c r="AE72"/>
      <c r="AF72"/>
      <c r="AG72"/>
      <c r="AH72"/>
      <c r="AI72"/>
      <c r="AJ72"/>
      <c r="AK72"/>
      <c r="AL72"/>
      <c r="AM72"/>
      <c r="AN72"/>
      <c r="AO72"/>
      <c r="AP72" s="221"/>
      <c r="AQ72" s="221"/>
    </row>
    <row r="73" spans="2:43" ht="11.25" customHeight="1" thickBot="1" x14ac:dyDescent="0.35">
      <c r="B73" s="208"/>
      <c r="C73" s="225"/>
      <c r="D73" s="256"/>
      <c r="E73" s="1295"/>
      <c r="F73" s="1295"/>
      <c r="G73" s="274"/>
      <c r="H73" s="223"/>
      <c r="I73" s="209"/>
      <c r="J73" s="224"/>
    </row>
    <row r="74" spans="2:43" s="231" customFormat="1" ht="39" customHeight="1" thickBot="1" x14ac:dyDescent="0.35">
      <c r="B74" s="227"/>
      <c r="C74" s="212"/>
      <c r="D74" s="397">
        <v>980</v>
      </c>
      <c r="E74" s="1299" t="s">
        <v>1073</v>
      </c>
      <c r="F74" s="1299"/>
      <c r="G74" s="396"/>
      <c r="H74" s="308" t="str">
        <f>IF(G74="","This Question must be answered before uploading, the report will not be processed if left blank","")</f>
        <v>This Question must be answered before uploading, the report will not be processed if left blank</v>
      </c>
      <c r="I74" s="219"/>
      <c r="J74" s="210"/>
      <c r="K74"/>
      <c r="L74"/>
      <c r="M74"/>
      <c r="N74"/>
      <c r="O74"/>
      <c r="P74"/>
      <c r="Q74"/>
      <c r="R74"/>
      <c r="S74"/>
      <c r="T74"/>
      <c r="U74"/>
      <c r="V74"/>
      <c r="W74"/>
      <c r="X74"/>
      <c r="Y74"/>
      <c r="Z74"/>
      <c r="AA74"/>
      <c r="AB74"/>
      <c r="AC74"/>
      <c r="AD74"/>
      <c r="AE74"/>
      <c r="AF74"/>
      <c r="AG74"/>
      <c r="AH74"/>
      <c r="AI74"/>
      <c r="AJ74"/>
      <c r="AK74"/>
      <c r="AL74"/>
      <c r="AM74"/>
      <c r="AN74"/>
      <c r="AO74"/>
      <c r="AP74" s="221"/>
      <c r="AQ74" s="221"/>
    </row>
    <row r="75" spans="2:43" s="263" customFormat="1" ht="6.75" customHeight="1" thickBot="1" x14ac:dyDescent="0.35">
      <c r="B75" s="227"/>
      <c r="C75" s="212"/>
      <c r="D75" s="253"/>
      <c r="E75" s="261"/>
      <c r="F75" s="262"/>
      <c r="G75" s="218"/>
      <c r="H75" s="205"/>
      <c r="I75" s="219"/>
      <c r="J75" s="210"/>
      <c r="K75"/>
      <c r="L75"/>
      <c r="M75"/>
      <c r="N75"/>
      <c r="O75"/>
      <c r="P75"/>
      <c r="Q75"/>
      <c r="R75"/>
      <c r="S75"/>
      <c r="T75"/>
      <c r="U75"/>
      <c r="V75"/>
      <c r="W75"/>
      <c r="X75"/>
      <c r="Y75"/>
      <c r="Z75"/>
      <c r="AA75"/>
      <c r="AB75"/>
      <c r="AC75"/>
      <c r="AD75"/>
      <c r="AE75"/>
      <c r="AF75"/>
      <c r="AG75"/>
      <c r="AH75"/>
      <c r="AI75"/>
      <c r="AJ75"/>
      <c r="AK75"/>
      <c r="AL75"/>
      <c r="AM75"/>
      <c r="AN75"/>
      <c r="AO75"/>
      <c r="AP75" s="264"/>
      <c r="AQ75" s="264"/>
    </row>
    <row r="76" spans="2:43" ht="32.25" customHeight="1" thickBot="1" x14ac:dyDescent="0.35">
      <c r="B76" s="208"/>
      <c r="C76" s="225"/>
      <c r="D76" s="253">
        <v>975</v>
      </c>
      <c r="E76" s="1295" t="s">
        <v>1076</v>
      </c>
      <c r="F76" s="1296"/>
      <c r="G76" s="217"/>
      <c r="H76" s="307" t="str">
        <f>IF(G76="","This Question must be answered before uploading, the report will not be processed if left blank","")</f>
        <v>This Question must be answered before uploading, the report will not be processed if left blank</v>
      </c>
      <c r="I76" s="223"/>
      <c r="J76" s="224"/>
    </row>
    <row r="77" spans="2:43" ht="6.75" customHeight="1" thickBot="1" x14ac:dyDescent="0.35">
      <c r="B77" s="208"/>
      <c r="C77" s="225"/>
      <c r="D77" s="256"/>
      <c r="E77" s="205"/>
      <c r="F77" s="205"/>
      <c r="G77" s="252"/>
      <c r="H77" s="209"/>
      <c r="I77" s="209"/>
      <c r="J77" s="210"/>
    </row>
    <row r="78" spans="2:43" ht="61.5" customHeight="1" thickBot="1" x14ac:dyDescent="0.35">
      <c r="B78" s="208"/>
      <c r="C78" s="225"/>
      <c r="D78" s="253">
        <v>976</v>
      </c>
      <c r="E78" s="1295" t="s">
        <v>1274</v>
      </c>
      <c r="F78" s="1296"/>
      <c r="G78" s="217"/>
      <c r="H78" s="307" t="str">
        <f>IF(G78="","This Question must be answered before uploading, the report will not be processed if left blank","")</f>
        <v>This Question must be answered before uploading, the report will not be processed if left blank</v>
      </c>
      <c r="I78" s="223"/>
      <c r="J78" s="224"/>
    </row>
    <row r="79" spans="2:43" ht="39" customHeight="1" thickBot="1" x14ac:dyDescent="0.35">
      <c r="B79" s="196"/>
      <c r="C79" s="197"/>
      <c r="D79" s="198"/>
      <c r="E79" s="199"/>
      <c r="F79" s="200"/>
      <c r="G79" s="273"/>
      <c r="H79" s="200"/>
      <c r="I79" s="200"/>
      <c r="J79" s="201"/>
    </row>
    <row r="80" spans="2:43" ht="10.5" customHeight="1" thickBot="1" x14ac:dyDescent="0.35">
      <c r="B80" s="208"/>
      <c r="C80" s="209"/>
      <c r="D80" s="254"/>
      <c r="E80" s="205"/>
      <c r="F80" s="205"/>
      <c r="G80" s="212"/>
      <c r="H80" s="209"/>
      <c r="I80" s="209"/>
      <c r="J80" s="210"/>
    </row>
    <row r="81" spans="1:10" ht="37.200000000000003" customHeight="1" thickBot="1" x14ac:dyDescent="0.35">
      <c r="B81" s="208"/>
      <c r="C81" s="209"/>
      <c r="D81" s="254" t="s">
        <v>1137</v>
      </c>
      <c r="E81" s="1270" t="str">
        <f>IF(G81="","This Question must be answered before uploading, the report will not be processed if left blank","")</f>
        <v>This Question must be answered before uploading, the report will not be processed if left blank</v>
      </c>
      <c r="F81" s="1269" t="s">
        <v>916</v>
      </c>
      <c r="G81" s="1289"/>
      <c r="H81" s="1290"/>
      <c r="I81" s="1291"/>
      <c r="J81" s="210"/>
    </row>
    <row r="82" spans="1:10" ht="6.75" customHeight="1" thickBot="1" x14ac:dyDescent="0.35">
      <c r="B82" s="208"/>
      <c r="C82" s="209"/>
      <c r="D82" s="254"/>
      <c r="E82" s="235"/>
      <c r="F82" s="235"/>
      <c r="G82" s="212"/>
      <c r="H82" s="212"/>
      <c r="I82" s="212"/>
      <c r="J82" s="210"/>
    </row>
    <row r="83" spans="1:10" ht="36.6" customHeight="1" thickBot="1" x14ac:dyDescent="0.35">
      <c r="B83" s="208"/>
      <c r="C83" s="209"/>
      <c r="D83" s="254" t="s">
        <v>1138</v>
      </c>
      <c r="E83" s="1270" t="str">
        <f>IF(G83="","This Question must be answered before uploading, the report will not be processed if left blank","")</f>
        <v>This Question must be answered before uploading, the report will not be processed if left blank</v>
      </c>
      <c r="F83" s="1269" t="s">
        <v>917</v>
      </c>
      <c r="G83" s="1289"/>
      <c r="H83" s="1290"/>
      <c r="I83" s="1291"/>
      <c r="J83" s="210"/>
    </row>
    <row r="84" spans="1:10" ht="6.75" customHeight="1" thickBot="1" x14ac:dyDescent="0.35">
      <c r="B84" s="208"/>
      <c r="C84" s="209"/>
      <c r="D84" s="254"/>
      <c r="E84" s="235"/>
      <c r="F84" s="235"/>
      <c r="G84" s="236"/>
      <c r="H84" s="212"/>
      <c r="I84" s="212"/>
      <c r="J84" s="210"/>
    </row>
    <row r="85" spans="1:10" ht="40.950000000000003" customHeight="1" thickBot="1" x14ac:dyDescent="0.35">
      <c r="B85" s="208"/>
      <c r="C85" s="209"/>
      <c r="D85" s="254" t="s">
        <v>1802</v>
      </c>
      <c r="E85" s="1270" t="str">
        <f>IF(G85="","This Question must be answered before uploading, the report will not be processed if left blank","")</f>
        <v>This Question must be answered before uploading, the report will not be processed if left blank</v>
      </c>
      <c r="F85" s="1269" t="s">
        <v>1329</v>
      </c>
      <c r="G85" s="213"/>
      <c r="H85" s="212"/>
      <c r="I85" s="212"/>
      <c r="J85" s="210"/>
    </row>
    <row r="86" spans="1:10" ht="6.75" customHeight="1" x14ac:dyDescent="0.3">
      <c r="B86" s="208"/>
      <c r="C86" s="209"/>
      <c r="D86" s="254"/>
      <c r="E86" s="235"/>
      <c r="F86" s="235"/>
      <c r="G86" s="212"/>
      <c r="H86" s="212"/>
      <c r="I86" s="212"/>
      <c r="J86" s="210"/>
    </row>
    <row r="87" spans="1:10" ht="30" hidden="1" customHeight="1" x14ac:dyDescent="0.3">
      <c r="B87" s="208"/>
      <c r="C87" s="209"/>
      <c r="D87" s="254"/>
      <c r="E87" s="1292"/>
      <c r="F87" s="1292"/>
      <c r="G87" s="237" t="str">
        <f>CONCATENATE(G10," 2021 TD.xlsx")</f>
        <v xml:space="preserve"> 2021 TD.xlsx</v>
      </c>
      <c r="H87" s="237"/>
      <c r="I87" s="238"/>
      <c r="J87" s="210"/>
    </row>
    <row r="88" spans="1:10" ht="12" customHeight="1" x14ac:dyDescent="0.3">
      <c r="B88" s="208"/>
      <c r="C88" s="209"/>
      <c r="D88" s="1293"/>
      <c r="E88" s="1293"/>
      <c r="F88" s="1293"/>
      <c r="G88" s="1294" t="str">
        <f>IF(G11="","","Please review the Transmittal Instructions and your answer to Question 1")</f>
        <v/>
      </c>
      <c r="H88" s="1294"/>
      <c r="I88" s="1294"/>
      <c r="J88" s="210"/>
    </row>
    <row r="89" spans="1:10" ht="36" hidden="1" customHeight="1" x14ac:dyDescent="0.3">
      <c r="B89" s="208"/>
      <c r="C89" s="209"/>
      <c r="D89" s="1293"/>
      <c r="E89" s="1293"/>
      <c r="F89" s="1293"/>
      <c r="G89" s="1294" t="str">
        <f>IF(G88="Currently the file name is incorrect, please correct before uploading",CONCATENATE("File current name is ",O89),"")</f>
        <v/>
      </c>
      <c r="H89" s="1294"/>
      <c r="I89" s="239"/>
      <c r="J89" s="240"/>
    </row>
    <row r="90" spans="1:10" ht="6.75" customHeight="1" thickBot="1" x14ac:dyDescent="0.35">
      <c r="B90" s="241"/>
      <c r="C90" s="242"/>
      <c r="D90" s="257"/>
      <c r="E90" s="243"/>
      <c r="F90" s="243"/>
      <c r="G90" s="244"/>
      <c r="H90" s="244"/>
      <c r="I90" s="244"/>
      <c r="J90" s="245"/>
    </row>
    <row r="93" spans="1:10" x14ac:dyDescent="0.3">
      <c r="B93" s="191" t="s">
        <v>918</v>
      </c>
      <c r="D93" s="195"/>
      <c r="E93" s="247">
        <v>1.01</v>
      </c>
      <c r="F93" s="248"/>
    </row>
    <row r="94" spans="1:10" x14ac:dyDescent="0.3">
      <c r="A94" s="195"/>
      <c r="B94" s="191" t="s">
        <v>919</v>
      </c>
      <c r="D94" s="195"/>
      <c r="E94" s="249">
        <v>44425</v>
      </c>
      <c r="F94" s="250"/>
    </row>
    <row r="95" spans="1:10" x14ac:dyDescent="0.3">
      <c r="E95" s="248"/>
      <c r="F95" s="248"/>
    </row>
    <row r="96" spans="1:10" x14ac:dyDescent="0.3">
      <c r="E96" s="246">
        <f>SUBTOTAL(109,D3:D89)</f>
        <v>14400</v>
      </c>
    </row>
  </sheetData>
  <sheetProtection algorithmName="SHA-512" hashValue="W0Hnt5ORuoIhlDQOb95NM/kWXG+SMWGXuAEiQv6jLRogRDlixnshdNAEnKDcdUp9s5SCaHsDZQmqCGybAJyAXQ==" saltValue="WtoVB4DV1tcp6rMZsnuW9g==" spinCount="100000" sheet="1" selectLockedCells="1"/>
  <mergeCells count="56">
    <mergeCell ref="B1:J1"/>
    <mergeCell ref="B2:J2"/>
    <mergeCell ref="B3:J3"/>
    <mergeCell ref="F4:J4"/>
    <mergeCell ref="G32:I32"/>
    <mergeCell ref="E22:F22"/>
    <mergeCell ref="G22:I22"/>
    <mergeCell ref="E24:F24"/>
    <mergeCell ref="G24:I24"/>
    <mergeCell ref="E26:F26"/>
    <mergeCell ref="G26:H26"/>
    <mergeCell ref="E27:H27"/>
    <mergeCell ref="E28:F28"/>
    <mergeCell ref="H28:I28"/>
    <mergeCell ref="E30:F30"/>
    <mergeCell ref="H30:I30"/>
    <mergeCell ref="E32:F32"/>
    <mergeCell ref="E10:F10"/>
    <mergeCell ref="G10:I10"/>
    <mergeCell ref="B5:J5"/>
    <mergeCell ref="E20:F20"/>
    <mergeCell ref="G20:I20"/>
    <mergeCell ref="E12:F12"/>
    <mergeCell ref="E14:F14"/>
    <mergeCell ref="E16:F16"/>
    <mergeCell ref="G16:I16"/>
    <mergeCell ref="E18:F18"/>
    <mergeCell ref="G18:I18"/>
    <mergeCell ref="E55:F55"/>
    <mergeCell ref="G34:I34"/>
    <mergeCell ref="E36:F36"/>
    <mergeCell ref="G36:I36"/>
    <mergeCell ref="E37:H37"/>
    <mergeCell ref="B38:J38"/>
    <mergeCell ref="E41:F41"/>
    <mergeCell ref="E43:F43"/>
    <mergeCell ref="E45:F45"/>
    <mergeCell ref="E47:F47"/>
    <mergeCell ref="E49:F49"/>
    <mergeCell ref="E51:F51"/>
    <mergeCell ref="E53:F53"/>
    <mergeCell ref="G81:I81"/>
    <mergeCell ref="E76:F76"/>
    <mergeCell ref="E78:F78"/>
    <mergeCell ref="E57:F57"/>
    <mergeCell ref="E60:F60"/>
    <mergeCell ref="E68:F68"/>
    <mergeCell ref="E70:F70"/>
    <mergeCell ref="E72:F72"/>
    <mergeCell ref="E73:F73"/>
    <mergeCell ref="E74:F74"/>
    <mergeCell ref="G83:I83"/>
    <mergeCell ref="E87:F87"/>
    <mergeCell ref="D88:F89"/>
    <mergeCell ref="G88:I88"/>
    <mergeCell ref="G89:H89"/>
  </mergeCells>
  <conditionalFormatting sqref="G10 G41 G43 G45 G47 G49 G57 G66 G60 G51 G78 G76">
    <cfRule type="expression" dxfId="121" priority="43">
      <formula>$T10</formula>
    </cfRule>
  </conditionalFormatting>
  <conditionalFormatting sqref="G10">
    <cfRule type="containsText" priority="42" operator="containsText" text="The, City,Village,of">
      <formula>NOT(ISERROR(SEARCH("The, City,Village,of",G10)))</formula>
    </cfRule>
  </conditionalFormatting>
  <conditionalFormatting sqref="G26">
    <cfRule type="expression" dxfId="120" priority="41">
      <formula>$T26</formula>
    </cfRule>
  </conditionalFormatting>
  <conditionalFormatting sqref="G41 G43 G45 G47 G49 G57 G60 G62 G64 G66 G30 G32 G51:G55 G76:G78">
    <cfRule type="expression" dxfId="119" priority="40">
      <formula>$G$26="Housing Authority"</formula>
    </cfRule>
  </conditionalFormatting>
  <conditionalFormatting sqref="G14">
    <cfRule type="expression" dxfId="118" priority="39">
      <formula>$T14</formula>
    </cfRule>
  </conditionalFormatting>
  <conditionalFormatting sqref="G12">
    <cfRule type="expression" dxfId="117" priority="38">
      <formula>$T12</formula>
    </cfRule>
  </conditionalFormatting>
  <conditionalFormatting sqref="G85">
    <cfRule type="expression" dxfId="116" priority="37">
      <formula>$T85</formula>
    </cfRule>
  </conditionalFormatting>
  <conditionalFormatting sqref="G81">
    <cfRule type="expression" dxfId="115" priority="36">
      <formula>$T81</formula>
    </cfRule>
  </conditionalFormatting>
  <conditionalFormatting sqref="G81">
    <cfRule type="containsText" priority="35" operator="containsText" text="The, City,Village,of">
      <formula>NOT(ISERROR(SEARCH("The, City,Village,of",G81)))</formula>
    </cfRule>
  </conditionalFormatting>
  <conditionalFormatting sqref="G83">
    <cfRule type="expression" dxfId="114" priority="34">
      <formula>$T83</formula>
    </cfRule>
  </conditionalFormatting>
  <conditionalFormatting sqref="G83">
    <cfRule type="containsText" priority="33" operator="containsText" text="The, City,Village,of">
      <formula>NOT(ISERROR(SEARCH("The, City,Village,of",G83)))</formula>
    </cfRule>
  </conditionalFormatting>
  <conditionalFormatting sqref="G18">
    <cfRule type="expression" dxfId="113" priority="32">
      <formula>$T18</formula>
    </cfRule>
  </conditionalFormatting>
  <conditionalFormatting sqref="G18">
    <cfRule type="containsText" priority="31" operator="containsText" text="The, City,Village,of">
      <formula>NOT(ISERROR(SEARCH("The, City,Village,of",G18)))</formula>
    </cfRule>
  </conditionalFormatting>
  <conditionalFormatting sqref="G60">
    <cfRule type="expression" dxfId="112" priority="25">
      <formula>$G$26="Housing Authority"</formula>
    </cfRule>
  </conditionalFormatting>
  <conditionalFormatting sqref="G64">
    <cfRule type="expression" dxfId="111" priority="30">
      <formula>$T64</formula>
    </cfRule>
  </conditionalFormatting>
  <conditionalFormatting sqref="G64">
    <cfRule type="expression" dxfId="110" priority="29">
      <formula>$G$26="Housing Authority"</formula>
    </cfRule>
  </conditionalFormatting>
  <conditionalFormatting sqref="G66">
    <cfRule type="expression" dxfId="109" priority="28">
      <formula>$G$26="Housing Authority"</formula>
    </cfRule>
  </conditionalFormatting>
  <conditionalFormatting sqref="G62">
    <cfRule type="expression" dxfId="108" priority="27">
      <formula>$T62</formula>
    </cfRule>
  </conditionalFormatting>
  <conditionalFormatting sqref="G62">
    <cfRule type="expression" dxfId="107" priority="26">
      <formula>$G$26="Housing Authority"</formula>
    </cfRule>
  </conditionalFormatting>
  <conditionalFormatting sqref="G31">
    <cfRule type="expression" dxfId="106" priority="24">
      <formula>$T31</formula>
    </cfRule>
  </conditionalFormatting>
  <conditionalFormatting sqref="G28">
    <cfRule type="expression" dxfId="105" priority="23">
      <formula>$T28</formula>
    </cfRule>
  </conditionalFormatting>
  <conditionalFormatting sqref="G28">
    <cfRule type="expression" dxfId="104" priority="22">
      <formula>$G$26="Housing Authority"</formula>
    </cfRule>
  </conditionalFormatting>
  <conditionalFormatting sqref="G30">
    <cfRule type="expression" dxfId="103" priority="21">
      <formula>$T30</formula>
    </cfRule>
  </conditionalFormatting>
  <conditionalFormatting sqref="G16">
    <cfRule type="expression" dxfId="102" priority="19">
      <formula>$T16</formula>
    </cfRule>
  </conditionalFormatting>
  <conditionalFormatting sqref="G16">
    <cfRule type="containsText" priority="18" operator="containsText" text="The, City,Village,of">
      <formula>NOT(ISERROR(SEARCH("The, City,Village,of",G16)))</formula>
    </cfRule>
  </conditionalFormatting>
  <conditionalFormatting sqref="G20">
    <cfRule type="expression" dxfId="101" priority="17">
      <formula>$T20</formula>
    </cfRule>
  </conditionalFormatting>
  <conditionalFormatting sqref="G20">
    <cfRule type="containsText" priority="16" operator="containsText" text="The, City,Village,of">
      <formula>NOT(ISERROR(SEARCH("The, City,Village,of",G20)))</formula>
    </cfRule>
  </conditionalFormatting>
  <conditionalFormatting sqref="G22">
    <cfRule type="expression" dxfId="100" priority="15">
      <formula>$T22</formula>
    </cfRule>
  </conditionalFormatting>
  <conditionalFormatting sqref="G22">
    <cfRule type="containsText" priority="14" operator="containsText" text="The, City,Village,of">
      <formula>NOT(ISERROR(SEARCH("The, City,Village,of",G22)))</formula>
    </cfRule>
  </conditionalFormatting>
  <conditionalFormatting sqref="G28">
    <cfRule type="expression" dxfId="99" priority="12">
      <formula>$G$26="Housing Authority"</formula>
    </cfRule>
  </conditionalFormatting>
  <conditionalFormatting sqref="G32">
    <cfRule type="expression" dxfId="98" priority="13">
      <formula>$P$32</formula>
    </cfRule>
    <cfRule type="expression" dxfId="97" priority="20">
      <formula>$T32</formula>
    </cfRule>
  </conditionalFormatting>
  <conditionalFormatting sqref="G36">
    <cfRule type="expression" dxfId="96" priority="9">
      <formula>$G$26="Housing Authority"</formula>
    </cfRule>
  </conditionalFormatting>
  <conditionalFormatting sqref="G36">
    <cfRule type="expression" dxfId="95" priority="10">
      <formula>$P$32</formula>
    </cfRule>
    <cfRule type="expression" dxfId="94" priority="11">
      <formula>$T36</formula>
    </cfRule>
  </conditionalFormatting>
  <conditionalFormatting sqref="G34">
    <cfRule type="expression" dxfId="93" priority="6">
      <formula>$G$26="Housing Authority"</formula>
    </cfRule>
  </conditionalFormatting>
  <conditionalFormatting sqref="G34">
    <cfRule type="expression" dxfId="92" priority="7">
      <formula>$P$32</formula>
    </cfRule>
    <cfRule type="expression" dxfId="91" priority="8">
      <formula>$T34</formula>
    </cfRule>
  </conditionalFormatting>
  <conditionalFormatting sqref="G24">
    <cfRule type="expression" dxfId="90" priority="5">
      <formula>$T24</formula>
    </cfRule>
  </conditionalFormatting>
  <conditionalFormatting sqref="G24">
    <cfRule type="containsText" priority="4" operator="containsText" text="The, City,Village,of">
      <formula>NOT(ISERROR(SEARCH("The, City,Village,of",G24)))</formula>
    </cfRule>
  </conditionalFormatting>
  <conditionalFormatting sqref="G53">
    <cfRule type="expression" dxfId="89" priority="3">
      <formula>$T53</formula>
    </cfRule>
  </conditionalFormatting>
  <conditionalFormatting sqref="G73">
    <cfRule type="expression" dxfId="88" priority="2">
      <formula>$T73</formula>
    </cfRule>
  </conditionalFormatting>
  <conditionalFormatting sqref="G73">
    <cfRule type="expression" dxfId="87" priority="1">
      <formula>$G$26="Housing Authority"</formula>
    </cfRule>
  </conditionalFormatting>
  <dataValidations xWindow="873" yWindow="799" count="27">
    <dataValidation type="list" allowBlank="1" showInputMessage="1" showErrorMessage="1" prompt="Chose Unit Type" sqref="G26:H26" xr:uid="{0F10F559-8F23-44EB-987B-C924C826D337}">
      <formula1>"Municipality, County, Charter School, Tourism Development Authority, Housing Authority, Other"</formula1>
    </dataValidation>
    <dataValidation type="date" operator="greaterThan" allowBlank="1" showInputMessage="1" showErrorMessage="1" sqref="G63 G71 G89:G90 G65 G79:G80 G85:G86 G67 G69 G75 G73" xr:uid="{4BF7E2BE-68E4-4EDC-9705-A6DBFAEB7B90}">
      <formula1>44012</formula1>
    </dataValidation>
    <dataValidation type="list" allowBlank="1" showInputMessage="1" showErrorMessage="1" prompt="Please select Yes or No from the drop down list" sqref="G30" xr:uid="{53DB461E-98F8-470D-9081-CDE7B5E62384}">
      <formula1>"Financial Only, Yellow Book, Single Audit"</formula1>
    </dataValidation>
    <dataValidation allowBlank="1" showInputMessage="1" showErrorMessage="1" error="Cannot be blank" sqref="G24:I24 G20:I20 G22:I22" xr:uid="{4F77B4D1-7320-4937-BC6C-3C85879203C8}"/>
    <dataValidation type="list" operator="greaterThan" showInputMessage="1" showErrorMessage="1" promptTitle="Cannot be blank" prompt="This cannot be blank - please complete before uploading to the portal" sqref="G69 G80 G71 G67 G75 G73" xr:uid="{D198A47C-CDFA-4D46-B722-9DA3FB2EB984}">
      <formula1>"N/A, 1,2,3,4"</formula1>
    </dataValidation>
    <dataValidation type="list" allowBlank="1" showInputMessage="1" showErrorMessage="1" prompt="Chose Unit Type" sqref="G31:H31 H33" xr:uid="{75E505E4-60F6-4743-B472-20907ABD52A6}">
      <formula1>"Municipality, County, Tourism Development Authority, Housing Authority, Other"</formula1>
    </dataValidation>
    <dataValidation type="textLength" operator="greaterThan" showInputMessage="1" showErrorMessage="1" errorTitle="Blank Field" error="Check the name entered for length" promptTitle="Cannot be blank" prompt="This cannot be blank - please complete before uploading to the portal" sqref="G10 G18 G16" xr:uid="{7C48D2AE-CF0B-4E23-BD0B-A4168116C962}">
      <formula1>3</formula1>
    </dataValidation>
    <dataValidation type="date" showDropDown="1" showInputMessage="1" showErrorMessage="1" errorTitle="FYE date error" error="FYE must be 06/30/21 or after to use this form." prompt="For Fiscal Year ends prior to 06/30/21, please use the  2020 Transmittal Document_x000a_" sqref="G12" xr:uid="{BCAA93FC-8B8A-41A3-AB91-C0CDA25B87BA}">
      <formula1>44287</formula1>
      <formula2>44712</formula2>
    </dataValidation>
    <dataValidation type="list" allowBlank="1" showInputMessage="1" showErrorMessage="1" prompt="Please select Yes, No or N/A from the drop down list" sqref="G57" xr:uid="{740F9C53-B8A7-483C-B384-B0DCDA2D2BCB}">
      <formula1>"Yes, No, N/A"</formula1>
    </dataValidation>
    <dataValidation type="whole" operator="greaterThan" allowBlank="1" showInputMessage="1" showErrorMessage="1" prompt="Please enter a whole number.  If there are no findings please enter 0" sqref="G49 G51:G52 G77 G54:G55" xr:uid="{1A2CB230-B6DB-4036-94B3-6FD2E784AB33}">
      <formula1>-1</formula1>
    </dataValidation>
    <dataValidation type="textLength" operator="greaterThan" allowBlank="1" showInputMessage="1" showErrorMessage="1" errorTitle="File Name Error" error="Check that you have not left the Primary Government Name blank...see Question 1" sqref="G87" xr:uid="{653B8F25-9FF3-4457-86FF-093169F7B39F}">
      <formula1>10</formula1>
    </dataValidation>
    <dataValidation type="textLength" operator="greaterThan" showInputMessage="1" showErrorMessage="1" errorTitle="Blank Field" error="Check the name entered for length" promptTitle="Cannot be blank" prompt="This cannot be blank - please complete before uploading to the portal" sqref="H11" xr:uid="{D1874534-B18B-445D-9D56-8708CFB0B431}">
      <formula1>4</formula1>
    </dataValidation>
    <dataValidation type="list" showInputMessage="1" showErrorMessage="1" errorTitle="Cannot be blank" error="This cell cannot be left blank" prompt="Please select Yes or No from the drop down list" sqref="G14" xr:uid="{FA0A92A0-CFAB-49D4-8608-8D1DB740CB36}">
      <formula1>"Yes, No"</formula1>
    </dataValidation>
    <dataValidation type="textLength" operator="greaterThan" showInputMessage="1" showErrorMessage="1" promptTitle="Cannot be blank" prompt="This cannot be blank - please complete before uploading to the portal" sqref="H89:I90 I63 H85:I87 H65:I65 H69 H71 G81 H75:H80 H73 I68:I80" xr:uid="{970B9B41-3DA6-49D9-8538-915E33C95C98}">
      <formula1>5</formula1>
    </dataValidation>
    <dataValidation type="list" allowBlank="1" showInputMessage="1" showErrorMessage="1" prompt="Please select Yes or No from the drop down list" sqref="G47 G60 G43 G45 G66 G62 G64 G28 G41" xr:uid="{F8DAA637-067A-4445-87D8-12A58F77F0A2}">
      <formula1>"Yes, No"</formula1>
    </dataValidation>
    <dataValidation type="date" operator="greaterThan" showInputMessage="1" showErrorMessage="1" promptTitle="MM/DD/YYYY" prompt="This cannot be blank" sqref="G74:G75" xr:uid="{FA296981-A236-46B7-9FFE-5DC3167CFD46}">
      <formula1>44377</formula1>
    </dataValidation>
    <dataValidation type="date" operator="greaterThan" allowBlank="1" showInputMessage="1" showErrorMessage="1" prompt="MM/DD/YYYY" sqref="G74:G75" xr:uid="{362B854A-1333-435D-A562-CD0AC3D0CBDC}">
      <formula1>44012</formula1>
    </dataValidation>
    <dataValidation type="list" operator="greaterThan" allowBlank="1" showInputMessage="1" showErrorMessage="1" sqref="G70" xr:uid="{05F2F645-3F7B-4EB6-A09F-034934497E3E}">
      <formula1>"Yes, No"</formula1>
    </dataValidation>
    <dataValidation type="list" operator="greaterThan" allowBlank="1" showInputMessage="1" showErrorMessage="1" prompt="Please select Yes or No from drop down list" sqref="G68" xr:uid="{E971EE97-C595-4AA1-9573-23EDB218A969}">
      <formula1>"yes, No"</formula1>
    </dataValidation>
    <dataValidation type="list" allowBlank="1" showInputMessage="1" showErrorMessage="1" prompt="Please select Yes, No or N/A from drop down list" sqref="G78 G53" xr:uid="{AD8CBEC4-23F6-4F06-B268-46366C73CF32}">
      <formula1>"Yes, No,N/A"</formula1>
    </dataValidation>
    <dataValidation type="list" allowBlank="1" showInputMessage="1" showErrorMessage="1" prompt="Please select Yes or No from the drop down list" sqref="G73 G76:G78" xr:uid="{0BEC721E-0D27-4077-8790-03D91092BB64}">
      <formula1>"Yes,No"</formula1>
    </dataValidation>
    <dataValidation type="list" operator="greaterThan" allowBlank="1" showInputMessage="1" showErrorMessage="1" prompt="Please select Yes or No from drop down list" sqref="G72" xr:uid="{80B217B5-9DCE-4043-A1B7-D1BB209B176F}">
      <formula1>"Yes, No"</formula1>
    </dataValidation>
    <dataValidation type="date" operator="greaterThan" allowBlank="1" showInputMessage="1" showErrorMessage="1" sqref="G87" xr:uid="{1CB4710E-81E8-4DA8-BB55-72CEC5ACBD8A}">
      <formula1>44377</formula1>
    </dataValidation>
    <dataValidation type="list" operator="greaterThan" allowBlank="1" showInputMessage="1" showErrorMessage="1" sqref="G76:G78" xr:uid="{C44059AB-BB8C-4610-9AA3-4BC5E2373D77}">
      <formula1>"6/30/2020"</formula1>
    </dataValidation>
    <dataValidation type="list" showInputMessage="1" showErrorMessage="1" sqref="G76:G78" xr:uid="{540B186B-35A9-4EE0-B17E-915973DA074C}">
      <formula1>"Yes,No"</formula1>
    </dataValidation>
    <dataValidation type="date" operator="greaterThan" showInputMessage="1" showErrorMessage="1" prompt="This cannot be blank" sqref="G76:G78" xr:uid="{EC122BA4-D2AE-4846-9850-3CB69C12CE75}">
      <formula1>44377</formula1>
    </dataValidation>
    <dataValidation type="list" allowBlank="1" showInputMessage="1" showErrorMessage="1" sqref="G76:G78" xr:uid="{E0A2EDBB-9715-4EA0-9648-C72238CEAFD4}">
      <formula1>"Yes,No"</formula1>
    </dataValidation>
  </dataValidations>
  <printOptions horizontalCentered="1" verticalCentered="1"/>
  <pageMargins left="0" right="0" top="0" bottom="1" header="0.3" footer="0.3"/>
  <pageSetup scale="50" fitToWidth="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A744"/>
  <sheetViews>
    <sheetView zoomScaleNormal="100" workbookViewId="0">
      <pane xSplit="3" ySplit="3" topLeftCell="D4" activePane="bottomRight" state="frozen"/>
      <selection activeCell="K179" sqref="K179"/>
      <selection pane="topRight" activeCell="K179" sqref="K179"/>
      <selection pane="bottomLeft" activeCell="K179" sqref="K179"/>
      <selection pane="bottomRight" activeCell="E111" sqref="E111"/>
    </sheetView>
  </sheetViews>
  <sheetFormatPr defaultColWidth="9.109375" defaultRowHeight="14.4" x14ac:dyDescent="0.3"/>
  <cols>
    <col min="1" max="1" width="8.88671875" style="3" customWidth="1"/>
    <col min="2" max="2" width="17.5546875" style="52" bestFit="1" customWidth="1"/>
    <col min="3" max="3" width="36.6640625" style="689" customWidth="1"/>
    <col min="4" max="4" width="20.88671875" style="3" bestFit="1" customWidth="1"/>
    <col min="5" max="5" width="17.5546875" style="3" customWidth="1"/>
    <col min="6" max="6" width="22.6640625" style="3" customWidth="1"/>
    <col min="7" max="7" width="17.44140625" style="586" bestFit="1" customWidth="1"/>
    <col min="8" max="8" width="9.6640625" style="3" bestFit="1" customWidth="1"/>
    <col min="9" max="9" width="1" style="620" customWidth="1"/>
    <col min="10" max="10" width="18.109375" style="5" customWidth="1"/>
    <col min="11" max="11" width="36.88671875" style="9" customWidth="1"/>
    <col min="12" max="12" width="15.44140625" style="697" bestFit="1" customWidth="1"/>
    <col min="13" max="13" width="1.44140625" style="3" customWidth="1"/>
    <col min="14" max="14" width="18.109375" style="3" customWidth="1"/>
    <col min="15" max="15" width="17.88671875" style="3" customWidth="1"/>
    <col min="16" max="16" width="8.6640625" style="304"/>
    <col min="17" max="17" width="10.33203125" style="589" hidden="1" customWidth="1"/>
    <col min="18" max="18" width="7.109375" style="3" hidden="1" customWidth="1"/>
    <col min="19" max="19" width="6" style="3" hidden="1" customWidth="1"/>
    <col min="20" max="20" width="6.6640625" style="3" hidden="1" customWidth="1"/>
    <col min="21" max="21" width="7.5546875" style="3" hidden="1" customWidth="1"/>
    <col min="22" max="22" width="3.44140625" style="3" hidden="1" customWidth="1"/>
    <col min="23" max="23" width="7.33203125" style="3" hidden="1" customWidth="1"/>
    <col min="24" max="24" width="10.5546875" style="3" hidden="1" customWidth="1"/>
    <col min="25" max="25" width="9.88671875" style="3" hidden="1" customWidth="1"/>
    <col min="26" max="26" width="0" style="3" hidden="1" customWidth="1"/>
    <col min="27" max="16384" width="9.109375" style="3"/>
  </cols>
  <sheetData>
    <row r="1" spans="1:25" ht="36" x14ac:dyDescent="0.3">
      <c r="C1" s="49" t="s">
        <v>810</v>
      </c>
      <c r="D1" s="13">
        <f>L65-(L52+L53-L57-L58-L233)-L61</f>
        <v>0</v>
      </c>
      <c r="I1" s="587"/>
      <c r="J1" s="48"/>
      <c r="K1" s="14" t="s">
        <v>47</v>
      </c>
      <c r="L1" s="61"/>
      <c r="M1" s="588"/>
      <c r="S1" s="3">
        <v>100</v>
      </c>
      <c r="T1" s="3">
        <v>1</v>
      </c>
    </row>
    <row r="2" spans="1:25" ht="36" x14ac:dyDescent="0.4">
      <c r="C2" s="72" t="str">
        <f>'Unit Data from Audit Worksheet'!D2</f>
        <v>Select Unit Name from Drop Down List</v>
      </c>
      <c r="D2" s="142">
        <v>2021</v>
      </c>
      <c r="E2" s="12">
        <v>2021</v>
      </c>
      <c r="F2" s="12"/>
      <c r="G2" s="68"/>
      <c r="H2" s="12"/>
      <c r="I2" s="587"/>
      <c r="J2" s="43" t="s">
        <v>43</v>
      </c>
      <c r="K2" s="8" t="s">
        <v>42</v>
      </c>
      <c r="L2" s="66" t="s">
        <v>30</v>
      </c>
      <c r="S2" s="3">
        <v>200</v>
      </c>
      <c r="T2" s="3">
        <v>2</v>
      </c>
    </row>
    <row r="3" spans="1:25" ht="31.2" x14ac:dyDescent="0.3">
      <c r="A3" s="590" t="s">
        <v>43</v>
      </c>
      <c r="B3" s="591"/>
      <c r="C3" s="46" t="s">
        <v>1</v>
      </c>
      <c r="D3" s="15" t="s">
        <v>44</v>
      </c>
      <c r="E3" s="15" t="s">
        <v>45</v>
      </c>
      <c r="F3" s="16" t="s">
        <v>49</v>
      </c>
      <c r="G3" s="73" t="s">
        <v>557</v>
      </c>
      <c r="H3" s="16" t="s">
        <v>698</v>
      </c>
      <c r="I3" s="587"/>
      <c r="J3" s="592"/>
      <c r="K3" s="143"/>
      <c r="L3" s="593"/>
      <c r="O3" s="3" t="s">
        <v>296</v>
      </c>
      <c r="Q3" s="84" t="s">
        <v>558</v>
      </c>
      <c r="S3" s="3">
        <v>300</v>
      </c>
      <c r="T3" s="3">
        <v>3</v>
      </c>
    </row>
    <row r="4" spans="1:25" ht="18" x14ac:dyDescent="0.35">
      <c r="A4" s="594"/>
      <c r="B4" s="595"/>
      <c r="C4" s="50"/>
      <c r="D4" s="7"/>
      <c r="E4" s="7"/>
      <c r="F4" s="7"/>
      <c r="G4" s="69"/>
      <c r="H4" s="7"/>
      <c r="I4" s="587"/>
      <c r="J4" s="45">
        <v>999</v>
      </c>
      <c r="K4" s="11" t="s">
        <v>293</v>
      </c>
      <c r="L4" s="131" t="e">
        <f>'Unit Data from Audit Worksheet'!D3</f>
        <v>#N/A</v>
      </c>
      <c r="S4" s="3">
        <v>400</v>
      </c>
      <c r="T4" s="3">
        <v>4</v>
      </c>
      <c r="W4" s="3" t="b">
        <f t="shared" ref="W4:W35" si="0">EXACT(A4,J4)</f>
        <v>0</v>
      </c>
      <c r="X4" s="596" t="e">
        <f>E4-L4</f>
        <v>#N/A</v>
      </c>
      <c r="Y4" s="596" t="e">
        <f>D4-L4</f>
        <v>#N/A</v>
      </c>
    </row>
    <row r="5" spans="1:25" ht="57" customHeight="1" x14ac:dyDescent="0.3">
      <c r="A5" s="597">
        <f>'Unit Data from Audit Worksheet'!A7</f>
        <v>333</v>
      </c>
      <c r="B5" s="54" t="str">
        <f>'Unit Data from Audit Worksheet'!C7</f>
        <v>Net Position-Governmental Activities</v>
      </c>
      <c r="C5" s="598" t="str">
        <f>'Unit Data from Audit Worksheet'!D7</f>
        <v xml:space="preserve"> All unrestricted Cash and investments.  
Exclude: restricted cash 
                   cash held by a third party. </v>
      </c>
      <c r="D5" s="141"/>
      <c r="E5" s="149">
        <f>'Unit Data from Audit Worksheet'!F7</f>
        <v>0</v>
      </c>
      <c r="F5" s="353">
        <f>IF(L5&lt;0,"Error: Number is normally positive.",)</f>
        <v>0</v>
      </c>
      <c r="G5" s="70"/>
      <c r="H5" s="352">
        <f>'Unit Data from Audit Worksheet'!I7</f>
        <v>0</v>
      </c>
      <c r="I5" s="38"/>
      <c r="J5" s="42">
        <v>333</v>
      </c>
      <c r="K5" s="51" t="s">
        <v>184</v>
      </c>
      <c r="L5" s="599">
        <f>IF(D5="",E5,D5)</f>
        <v>0</v>
      </c>
      <c r="P5" s="321"/>
      <c r="S5" s="3">
        <v>500</v>
      </c>
      <c r="T5" s="3">
        <v>5</v>
      </c>
      <c r="W5" s="3" t="b">
        <f t="shared" si="0"/>
        <v>1</v>
      </c>
      <c r="X5" s="596">
        <f t="shared" ref="X5:X116" si="1">E5-L5</f>
        <v>0</v>
      </c>
      <c r="Y5" s="596">
        <f t="shared" ref="Y5:Y116" si="2">D5-L5</f>
        <v>0</v>
      </c>
    </row>
    <row r="6" spans="1:25" ht="39.75" customHeight="1" x14ac:dyDescent="0.3">
      <c r="A6" s="340">
        <f>'Unit Data from Audit Worksheet'!A8</f>
        <v>500</v>
      </c>
      <c r="B6" s="354" t="str">
        <f>'Unit Data from Audit Worksheet'!C8</f>
        <v>Net Position-Governmental Activities</v>
      </c>
      <c r="C6" s="339" t="str">
        <f>'Unit Data from Audit Worksheet'!D8</f>
        <v xml:space="preserve"> All restricted Cash and investments</v>
      </c>
      <c r="D6" s="141"/>
      <c r="E6" s="360">
        <f>'Unit Data from Audit Worksheet'!F8</f>
        <v>0</v>
      </c>
      <c r="F6" s="353">
        <f>IF(L6&lt;0,"Error: Number is normally positive.",)</f>
        <v>0</v>
      </c>
      <c r="G6" s="355"/>
      <c r="H6" s="352">
        <f>'Unit Data from Audit Worksheet'!I8</f>
        <v>0</v>
      </c>
      <c r="I6" s="38"/>
      <c r="J6" s="351">
        <v>500</v>
      </c>
      <c r="K6" s="350" t="s">
        <v>183</v>
      </c>
      <c r="L6" s="599">
        <f>IF(D6="",E6,D6)</f>
        <v>0</v>
      </c>
      <c r="P6" s="322"/>
      <c r="T6" s="3">
        <v>6</v>
      </c>
      <c r="W6" s="3" t="b">
        <f t="shared" si="0"/>
        <v>1</v>
      </c>
      <c r="X6" s="596">
        <f t="shared" si="1"/>
        <v>0</v>
      </c>
      <c r="Y6" s="596">
        <f t="shared" si="2"/>
        <v>0</v>
      </c>
    </row>
    <row r="7" spans="1:25" ht="43.5" customHeight="1" x14ac:dyDescent="0.3">
      <c r="A7" s="340">
        <f>'Unit Data from Audit Worksheet'!A9</f>
        <v>385</v>
      </c>
      <c r="B7" s="354" t="str">
        <f>'Unit Data from Audit Worksheet'!C9</f>
        <v>Net Position-Governmental Activities</v>
      </c>
      <c r="C7" s="339" t="str">
        <f>'Unit Data from Audit Worksheet'!D9</f>
        <v>Total Assets and deferred outflows</v>
      </c>
      <c r="D7" s="141"/>
      <c r="E7" s="360">
        <f>'Unit Data from Audit Worksheet'!F9</f>
        <v>0</v>
      </c>
      <c r="F7" s="132">
        <f>IF((L5+L6)&gt;L7,"Error: Please review accts (333 + 500) &gt; 385",)</f>
        <v>0</v>
      </c>
      <c r="G7" s="355" t="str">
        <f>IF(Q7=1," Included in error count"," ")</f>
        <v xml:space="preserve"> </v>
      </c>
      <c r="H7" s="352">
        <f>'Unit Data from Audit Worksheet'!I9</f>
        <v>0</v>
      </c>
      <c r="I7" s="38"/>
      <c r="J7" s="74">
        <v>385</v>
      </c>
      <c r="K7" s="75" t="s">
        <v>115</v>
      </c>
      <c r="L7" s="600">
        <f>IF(D7="",E7,D7)+IF(D9="",E9,D9)</f>
        <v>0</v>
      </c>
      <c r="N7" s="76" t="s">
        <v>544</v>
      </c>
      <c r="P7" s="322"/>
      <c r="T7" s="3">
        <v>7</v>
      </c>
      <c r="W7" s="3" t="b">
        <f t="shared" si="0"/>
        <v>1</v>
      </c>
      <c r="X7" s="596">
        <f t="shared" si="1"/>
        <v>0</v>
      </c>
      <c r="Y7" s="596">
        <f t="shared" si="2"/>
        <v>0</v>
      </c>
    </row>
    <row r="8" spans="1:25" ht="90.75" customHeight="1" x14ac:dyDescent="0.3">
      <c r="A8" s="340">
        <f>'Unit Data from Audit Worksheet'!A10</f>
        <v>575</v>
      </c>
      <c r="B8" s="354" t="str">
        <f>'Unit Data from Audit Worksheet'!C10</f>
        <v>Net Position-Governmental Activities</v>
      </c>
      <c r="C8" s="339" t="str">
        <f>'Unit Data from Audit Worksheet'!D10</f>
        <v>Record any positive Internal balances on the net position statements that appear in the Asset Section of the Net Position Statement</v>
      </c>
      <c r="D8" s="141"/>
      <c r="E8" s="360">
        <f>'Unit Data from Audit Worksheet'!F10</f>
        <v>0</v>
      </c>
      <c r="F8" s="353">
        <f>IF(L8&lt;0,"Error: Number is normally positive.",)</f>
        <v>0</v>
      </c>
      <c r="G8" s="355"/>
      <c r="H8" s="352">
        <f>'Unit Data from Audit Worksheet'!I10</f>
        <v>0</v>
      </c>
      <c r="I8" s="38"/>
      <c r="J8" s="351">
        <v>575</v>
      </c>
      <c r="K8" s="357" t="s">
        <v>547</v>
      </c>
      <c r="L8" s="599">
        <f>IF(D8="",E8,D8)</f>
        <v>0</v>
      </c>
      <c r="N8" s="62"/>
      <c r="P8" s="322"/>
      <c r="W8" s="3" t="b">
        <f t="shared" si="0"/>
        <v>1</v>
      </c>
      <c r="X8" s="596">
        <f t="shared" si="1"/>
        <v>0</v>
      </c>
      <c r="Y8" s="596">
        <f t="shared" si="2"/>
        <v>0</v>
      </c>
    </row>
    <row r="9" spans="1:25" ht="103.5" customHeight="1" x14ac:dyDescent="0.3">
      <c r="A9" s="340">
        <f>'Unit Data from Audit Worksheet'!A11</f>
        <v>576</v>
      </c>
      <c r="B9" s="354" t="str">
        <f>'Unit Data from Audit Worksheet'!C11</f>
        <v>Net Position-Governmental Activities</v>
      </c>
      <c r="C9" s="601" t="str">
        <f>'Unit Data from Audit Worksheet'!D11</f>
        <v>Record any negative Internal balances on the net position statements that appear in the Asset Section of the Net Position Statement.
Enter as a positive</v>
      </c>
      <c r="D9" s="107"/>
      <c r="E9" s="152">
        <f>'Unit Data from Audit Worksheet'!F11</f>
        <v>0</v>
      </c>
      <c r="F9" s="349">
        <f>IF(E9&lt;0,"Error: Enter as positive.",)</f>
        <v>0</v>
      </c>
      <c r="G9" s="109"/>
      <c r="H9" s="110">
        <f>'Unit Data from Audit Worksheet'!I11</f>
        <v>0</v>
      </c>
      <c r="I9" s="38"/>
      <c r="J9" s="102">
        <v>576</v>
      </c>
      <c r="K9" s="357" t="s">
        <v>548</v>
      </c>
      <c r="L9" s="599">
        <f>IF(D9="",E9,D9)</f>
        <v>0</v>
      </c>
      <c r="N9" s="62"/>
      <c r="P9" s="323"/>
      <c r="W9" s="3" t="b">
        <f t="shared" si="0"/>
        <v>1</v>
      </c>
      <c r="X9" s="596">
        <f t="shared" si="1"/>
        <v>0</v>
      </c>
      <c r="Y9" s="596">
        <f t="shared" si="2"/>
        <v>0</v>
      </c>
    </row>
    <row r="10" spans="1:25" s="18" customFormat="1" ht="100.5" customHeight="1" x14ac:dyDescent="0.3">
      <c r="A10" s="340">
        <f>'Unit Data from Audit Worksheet'!A12</f>
        <v>626</v>
      </c>
      <c r="B10" s="345" t="str">
        <f>'Unit Data from Audit Worksheet'!C12</f>
        <v>Net Position-Governmental Activities</v>
      </c>
      <c r="C10" s="344" t="str">
        <f>'Unit Data from Audit Worksheet'!D12</f>
        <v xml:space="preserve">Total Current liabilities (as reported on Statement of Net Position)
Include:   Current liabilities including current portion of long-term debt.  Deferred inflows should not be included in Current Liabilities  </v>
      </c>
      <c r="D10" s="107"/>
      <c r="E10" s="366">
        <f>'Unit Data from Audit Worksheet'!F12</f>
        <v>0</v>
      </c>
      <c r="F10" s="348">
        <f>IF(L10&lt;0,"Error: Enter as a positive.",)</f>
        <v>0</v>
      </c>
      <c r="G10" s="333"/>
      <c r="H10" s="348">
        <f>'Unit Data from Audit Worksheet'!I12</f>
        <v>0</v>
      </c>
      <c r="I10" s="38"/>
      <c r="J10" s="347">
        <v>626</v>
      </c>
      <c r="K10" s="316" t="s">
        <v>741</v>
      </c>
      <c r="L10" s="602">
        <f>IF(D10="",E10,D10)+IF(D9="",E9,D9)</f>
        <v>0</v>
      </c>
      <c r="M10" s="603"/>
      <c r="N10" s="179" t="s">
        <v>544</v>
      </c>
      <c r="O10" s="603"/>
      <c r="P10" s="324"/>
      <c r="Q10" s="604"/>
      <c r="R10" s="3"/>
      <c r="W10" s="18" t="b">
        <f t="shared" si="0"/>
        <v>1</v>
      </c>
      <c r="X10" s="605">
        <f t="shared" si="1"/>
        <v>0</v>
      </c>
      <c r="Y10" s="605">
        <f t="shared" si="2"/>
        <v>0</v>
      </c>
    </row>
    <row r="11" spans="1:25" s="18" customFormat="1" ht="86.25" customHeight="1" x14ac:dyDescent="0.3">
      <c r="A11" s="340">
        <f>'Unit Data from Audit Worksheet'!A13</f>
        <v>627</v>
      </c>
      <c r="B11" s="345" t="str">
        <f>'Unit Data from Audit Worksheet'!C13</f>
        <v>Net Position-Governmental Activities</v>
      </c>
      <c r="C11" s="344" t="str">
        <f>'Unit Data from Audit Worksheet'!D13</f>
        <v>Please enter any bond anticipation notes that are classified as current liabilities and included in account 626 above (amounts entered should agree to the current amount included in the changes to long-term debt note)</v>
      </c>
      <c r="D11" s="107"/>
      <c r="E11" s="366">
        <f>'Unit Data from Audit Worksheet'!F13</f>
        <v>0</v>
      </c>
      <c r="F11" s="348"/>
      <c r="G11" s="333"/>
      <c r="H11" s="348"/>
      <c r="I11" s="38"/>
      <c r="J11" s="347">
        <v>627</v>
      </c>
      <c r="K11" s="316" t="s">
        <v>733</v>
      </c>
      <c r="L11" s="606">
        <f t="shared" ref="L11:L16" si="3">IF(D11="",E11,D11)</f>
        <v>0</v>
      </c>
      <c r="M11" s="603"/>
      <c r="N11" s="178"/>
      <c r="O11" s="603"/>
      <c r="P11" s="324"/>
      <c r="Q11" s="604"/>
      <c r="R11" s="3"/>
      <c r="W11" s="18" t="b">
        <f t="shared" si="0"/>
        <v>1</v>
      </c>
      <c r="X11" s="605">
        <f t="shared" si="1"/>
        <v>0</v>
      </c>
      <c r="Y11" s="605">
        <f t="shared" si="2"/>
        <v>0</v>
      </c>
    </row>
    <row r="12" spans="1:25" s="18" customFormat="1" ht="86.25" customHeight="1" x14ac:dyDescent="0.3">
      <c r="A12" s="340">
        <f>'Unit Data from Audit Worksheet'!A14</f>
        <v>628</v>
      </c>
      <c r="B12" s="345" t="str">
        <f>'Unit Data from Audit Worksheet'!C14</f>
        <v>Net Position-Governmental Activities</v>
      </c>
      <c r="C12" s="344" t="str">
        <f>'Unit Data from Audit Worksheet'!D14</f>
        <v>Please enter any compensated absences that are classified as current liabilities and included in account 626 above (amounts entered should agree to the current amount included in the changes to long-term debt note)</v>
      </c>
      <c r="D12" s="107"/>
      <c r="E12" s="366">
        <f>'Unit Data from Audit Worksheet'!F14</f>
        <v>0</v>
      </c>
      <c r="F12" s="348"/>
      <c r="G12" s="333"/>
      <c r="H12" s="348"/>
      <c r="I12" s="38"/>
      <c r="J12" s="347">
        <v>628</v>
      </c>
      <c r="K12" s="316" t="s">
        <v>738</v>
      </c>
      <c r="L12" s="606">
        <f t="shared" si="3"/>
        <v>0</v>
      </c>
      <c r="M12" s="603"/>
      <c r="N12" s="178"/>
      <c r="O12" s="603"/>
      <c r="P12" s="324"/>
      <c r="Q12" s="604"/>
      <c r="R12" s="3"/>
      <c r="W12" s="18" t="b">
        <f t="shared" si="0"/>
        <v>1</v>
      </c>
      <c r="X12" s="605">
        <f t="shared" si="1"/>
        <v>0</v>
      </c>
      <c r="Y12" s="605">
        <f t="shared" si="2"/>
        <v>0</v>
      </c>
    </row>
    <row r="13" spans="1:25" s="18" customFormat="1" ht="93" customHeight="1" x14ac:dyDescent="0.3">
      <c r="A13" s="340">
        <f>'Unit Data from Audit Worksheet'!A15</f>
        <v>629</v>
      </c>
      <c r="B13" s="345" t="str">
        <f>'Unit Data from Audit Worksheet'!C15</f>
        <v>Net Position-Governmental Activities</v>
      </c>
      <c r="C13" s="344" t="str">
        <f>'Unit Data from Audit Worksheet'!D15</f>
        <v>Please enter any pension liabilities that are classified as current liabilities and included in account 626 above (amounts entered should agree to the current amount included in the changes to long-term debt note)</v>
      </c>
      <c r="D13" s="107"/>
      <c r="E13" s="366">
        <f>'Unit Data from Audit Worksheet'!F15</f>
        <v>0</v>
      </c>
      <c r="F13" s="348"/>
      <c r="G13" s="333"/>
      <c r="H13" s="348"/>
      <c r="I13" s="38"/>
      <c r="J13" s="347">
        <v>629</v>
      </c>
      <c r="K13" s="316" t="s">
        <v>737</v>
      </c>
      <c r="L13" s="606">
        <f t="shared" si="3"/>
        <v>0</v>
      </c>
      <c r="M13" s="603"/>
      <c r="N13" s="178"/>
      <c r="O13" s="603"/>
      <c r="P13" s="324"/>
      <c r="Q13" s="604"/>
      <c r="R13" s="3"/>
      <c r="W13" s="18" t="b">
        <f t="shared" si="0"/>
        <v>1</v>
      </c>
      <c r="X13" s="605">
        <f t="shared" si="1"/>
        <v>0</v>
      </c>
      <c r="Y13" s="605">
        <f t="shared" si="2"/>
        <v>0</v>
      </c>
    </row>
    <row r="14" spans="1:25" s="18" customFormat="1" ht="67.5" customHeight="1" x14ac:dyDescent="0.3">
      <c r="A14" s="340">
        <f>'Unit Data from Audit Worksheet'!A16</f>
        <v>630</v>
      </c>
      <c r="B14" s="345" t="str">
        <f>'Unit Data from Audit Worksheet'!C16</f>
        <v>Net Position-Governmental Activities</v>
      </c>
      <c r="C14" s="344" t="str">
        <f>'Unit Data from Audit Worksheet'!D16</f>
        <v>Please enter any current liabilities that are payable from restricted assets and included in account 626 above</v>
      </c>
      <c r="D14" s="107"/>
      <c r="E14" s="366">
        <f>'Unit Data from Audit Worksheet'!F16</f>
        <v>0</v>
      </c>
      <c r="F14" s="348"/>
      <c r="G14" s="333"/>
      <c r="H14" s="348"/>
      <c r="I14" s="38"/>
      <c r="J14" s="347">
        <v>630</v>
      </c>
      <c r="K14" s="316" t="s">
        <v>736</v>
      </c>
      <c r="L14" s="606">
        <f t="shared" si="3"/>
        <v>0</v>
      </c>
      <c r="M14" s="603"/>
      <c r="N14" s="178"/>
      <c r="O14" s="603"/>
      <c r="P14" s="324"/>
      <c r="Q14" s="604"/>
      <c r="R14" s="3"/>
      <c r="W14" s="18" t="b">
        <f t="shared" si="0"/>
        <v>1</v>
      </c>
      <c r="X14" s="605">
        <f t="shared" si="1"/>
        <v>0</v>
      </c>
      <c r="Y14" s="605">
        <f t="shared" si="2"/>
        <v>0</v>
      </c>
    </row>
    <row r="15" spans="1:25" s="18" customFormat="1" ht="102.75" customHeight="1" x14ac:dyDescent="0.3">
      <c r="A15" s="340">
        <f>'Unit Data from Audit Worksheet'!A17</f>
        <v>631</v>
      </c>
      <c r="B15" s="354" t="str">
        <f>'Unit Data from Audit Worksheet'!C17</f>
        <v>Net Position-Governmental Activities</v>
      </c>
      <c r="C15" s="334" t="str">
        <f>'Unit Data from Audit Worksheet'!D17</f>
        <v>Please enter any OPEB liabilities that are classified as current liabilities and included in account 626 above (amounts entered should agree to the current amount included in the changes to long-term debt note)</v>
      </c>
      <c r="D15" s="107"/>
      <c r="E15" s="366">
        <f>'Unit Data from Audit Worksheet'!F17</f>
        <v>0</v>
      </c>
      <c r="F15" s="348"/>
      <c r="G15" s="333"/>
      <c r="H15" s="348"/>
      <c r="I15" s="38"/>
      <c r="J15" s="347">
        <v>631</v>
      </c>
      <c r="K15" s="316" t="s">
        <v>735</v>
      </c>
      <c r="L15" s="606">
        <f t="shared" si="3"/>
        <v>0</v>
      </c>
      <c r="M15" s="603"/>
      <c r="N15" s="178"/>
      <c r="O15" s="603"/>
      <c r="P15" s="324"/>
      <c r="Q15" s="604"/>
      <c r="R15" s="3"/>
      <c r="W15" s="18" t="b">
        <f t="shared" si="0"/>
        <v>1</v>
      </c>
      <c r="X15" s="605">
        <f t="shared" si="1"/>
        <v>0</v>
      </c>
      <c r="Y15" s="605">
        <f t="shared" si="2"/>
        <v>0</v>
      </c>
    </row>
    <row r="16" spans="1:25" s="18" customFormat="1" ht="119.25" customHeight="1" x14ac:dyDescent="0.3">
      <c r="A16" s="340">
        <f>'Unit Data from Audit Worksheet'!A18</f>
        <v>632</v>
      </c>
      <c r="B16" s="354" t="str">
        <f>'Unit Data from Audit Worksheet'!C18</f>
        <v>Net Position-Governmental Activities</v>
      </c>
      <c r="C16" s="334" t="str">
        <f>'Unit Data from Audit Worksheet'!D18</f>
        <v>Please enter any landfill closure/postclosure liabilities that are classified as current liabilities and included in account 626 above (amounts entered should agree to the current amount included in the changes to long-term debt note)</v>
      </c>
      <c r="D16" s="107"/>
      <c r="E16" s="366">
        <f>'Unit Data from Audit Worksheet'!F18</f>
        <v>0</v>
      </c>
      <c r="F16" s="348"/>
      <c r="G16" s="333"/>
      <c r="H16" s="348"/>
      <c r="I16" s="38"/>
      <c r="J16" s="347">
        <v>632</v>
      </c>
      <c r="K16" s="316" t="s">
        <v>734</v>
      </c>
      <c r="L16" s="606">
        <f t="shared" si="3"/>
        <v>0</v>
      </c>
      <c r="M16" s="603"/>
      <c r="N16" s="178"/>
      <c r="O16" s="603"/>
      <c r="P16" s="324"/>
      <c r="Q16" s="604"/>
      <c r="R16" s="3"/>
      <c r="W16" s="18" t="b">
        <f t="shared" si="0"/>
        <v>1</v>
      </c>
      <c r="X16" s="605">
        <f t="shared" si="1"/>
        <v>0</v>
      </c>
      <c r="Y16" s="605">
        <f t="shared" si="2"/>
        <v>0</v>
      </c>
    </row>
    <row r="17" spans="1:25" ht="30.6" x14ac:dyDescent="0.3">
      <c r="A17" s="340">
        <f>'Unit Data from Audit Worksheet'!A19</f>
        <v>338</v>
      </c>
      <c r="B17" s="354" t="str">
        <f>'Unit Data from Audit Worksheet'!C19</f>
        <v>Net Position-Governmental Activities</v>
      </c>
      <c r="C17" s="339" t="str">
        <f>'Unit Data from Audit Worksheet'!D19</f>
        <v>Total Liabilities and total deferred inflows</v>
      </c>
      <c r="D17" s="107"/>
      <c r="E17" s="149">
        <f>'Unit Data from Audit Worksheet'!F19</f>
        <v>0</v>
      </c>
      <c r="F17" s="132" t="str">
        <f>IF(L10&gt;L17,"Please review accounts 626 greater than 338","")</f>
        <v/>
      </c>
      <c r="G17" s="70"/>
      <c r="H17" s="352">
        <f>'Unit Data from Audit Worksheet'!I19</f>
        <v>0</v>
      </c>
      <c r="I17" s="38"/>
      <c r="J17" s="111">
        <v>338</v>
      </c>
      <c r="K17" s="112" t="s">
        <v>116</v>
      </c>
      <c r="L17" s="600">
        <f>IF(D17="",E17,D17)+IF(D9="",E9,D9)</f>
        <v>0</v>
      </c>
      <c r="N17" s="76" t="s">
        <v>544</v>
      </c>
      <c r="P17" s="321"/>
      <c r="W17" s="3" t="b">
        <f t="shared" si="0"/>
        <v>1</v>
      </c>
      <c r="X17" s="596">
        <f t="shared" si="1"/>
        <v>0</v>
      </c>
      <c r="Y17" s="596">
        <f t="shared" si="2"/>
        <v>0</v>
      </c>
    </row>
    <row r="18" spans="1:25" ht="100.5" customHeight="1" x14ac:dyDescent="0.3">
      <c r="A18" s="340">
        <f>'Unit Data from Audit Worksheet'!A20</f>
        <v>335</v>
      </c>
      <c r="B18" s="354" t="str">
        <f>'Unit Data from Audit Worksheet'!C20</f>
        <v>Net Position-Governmental Activities</v>
      </c>
      <c r="C18" s="339" t="str">
        <f>'Unit Data from Audit Worksheet'!D20</f>
        <v>Unearned revenues that were included in current liabilities in your audit report or entered in acct # 626 above. 
Exclude - unearned revenues that are listed in deferred inflows.</v>
      </c>
      <c r="D18" s="107"/>
      <c r="E18" s="360">
        <f>'Unit Data from Audit Worksheet'!F20</f>
        <v>0</v>
      </c>
      <c r="F18" s="353">
        <f>IF(L18&lt;0,"Error: Enter as a positive.",)</f>
        <v>0</v>
      </c>
      <c r="G18" s="355"/>
      <c r="H18" s="352">
        <f>'Unit Data from Audit Worksheet'!I20</f>
        <v>0</v>
      </c>
      <c r="I18" s="38"/>
      <c r="J18" s="351">
        <v>335</v>
      </c>
      <c r="K18" s="350" t="s">
        <v>117</v>
      </c>
      <c r="L18" s="599">
        <f>IF(D18="",E18,D18)</f>
        <v>0</v>
      </c>
      <c r="P18" s="322"/>
      <c r="W18" s="3" t="b">
        <f t="shared" si="0"/>
        <v>1</v>
      </c>
      <c r="X18" s="596">
        <f t="shared" si="1"/>
        <v>0</v>
      </c>
      <c r="Y18" s="596">
        <f t="shared" si="2"/>
        <v>0</v>
      </c>
    </row>
    <row r="19" spans="1:25" ht="20.399999999999999" x14ac:dyDescent="0.3">
      <c r="A19" s="340">
        <f>'Unit Data from Audit Worksheet'!A21</f>
        <v>252</v>
      </c>
      <c r="B19" s="354" t="str">
        <f>'Unit Data from Audit Worksheet'!C21</f>
        <v>Net Position-Governmental Activities</v>
      </c>
      <c r="C19" s="339" t="str">
        <f>'Unit Data from Audit Worksheet'!D21</f>
        <v xml:space="preserve"> Total Net investment in capital assets</v>
      </c>
      <c r="D19" s="107"/>
      <c r="E19" s="360">
        <f>'Unit Data from Audit Worksheet'!F21</f>
        <v>0</v>
      </c>
      <c r="F19" s="353"/>
      <c r="G19" s="355"/>
      <c r="H19" s="352">
        <f>'Unit Data from Audit Worksheet'!I21</f>
        <v>0</v>
      </c>
      <c r="I19" s="38"/>
      <c r="J19" s="351">
        <v>252</v>
      </c>
      <c r="K19" s="350" t="s">
        <v>103</v>
      </c>
      <c r="L19" s="599">
        <f t="shared" ref="L19:L51" si="4">IF(D19="",E19,D19)</f>
        <v>0</v>
      </c>
      <c r="O19" s="607" t="e">
        <f>'Unit Data from Audit Worksheet'!E21</f>
        <v>#N/A</v>
      </c>
      <c r="P19" s="322"/>
      <c r="W19" s="3" t="b">
        <f t="shared" si="0"/>
        <v>1</v>
      </c>
      <c r="X19" s="596">
        <f t="shared" si="1"/>
        <v>0</v>
      </c>
      <c r="Y19" s="596">
        <f t="shared" si="2"/>
        <v>0</v>
      </c>
    </row>
    <row r="20" spans="1:25" ht="20.399999999999999" x14ac:dyDescent="0.3">
      <c r="A20" s="340">
        <f>'Unit Data from Audit Worksheet'!A22</f>
        <v>253</v>
      </c>
      <c r="B20" s="354" t="str">
        <f>'Unit Data from Audit Worksheet'!C22</f>
        <v>Net Position-Governmental Activities</v>
      </c>
      <c r="C20" s="339" t="str">
        <f>'Unit Data from Audit Worksheet'!D22</f>
        <v xml:space="preserve"> Total Net Position, Restricted</v>
      </c>
      <c r="D20" s="107"/>
      <c r="E20" s="360">
        <f>'Unit Data from Audit Worksheet'!F22</f>
        <v>0</v>
      </c>
      <c r="F20" s="353"/>
      <c r="G20" s="355"/>
      <c r="H20" s="352">
        <f>'Unit Data from Audit Worksheet'!I22</f>
        <v>0</v>
      </c>
      <c r="I20" s="38"/>
      <c r="J20" s="351">
        <v>253</v>
      </c>
      <c r="K20" s="350" t="s">
        <v>104</v>
      </c>
      <c r="L20" s="599">
        <f t="shared" si="4"/>
        <v>0</v>
      </c>
      <c r="O20" s="607" t="e">
        <f>'Unit Data from Audit Worksheet'!E22</f>
        <v>#N/A</v>
      </c>
      <c r="P20" s="322"/>
      <c r="W20" s="3" t="b">
        <f t="shared" si="0"/>
        <v>1</v>
      </c>
      <c r="X20" s="596">
        <f t="shared" si="1"/>
        <v>0</v>
      </c>
      <c r="Y20" s="596">
        <f t="shared" si="2"/>
        <v>0</v>
      </c>
    </row>
    <row r="21" spans="1:25" ht="73.5" customHeight="1" x14ac:dyDescent="0.3">
      <c r="A21" s="340">
        <f>'Unit Data from Audit Worksheet'!A23</f>
        <v>254</v>
      </c>
      <c r="B21" s="354" t="str">
        <f>'Unit Data from Audit Worksheet'!C23</f>
        <v>Net Position-Governmental Activities</v>
      </c>
      <c r="C21" s="339" t="str">
        <f>'Unit Data from Audit Worksheet'!D23</f>
        <v>Total Net Position, Unrestricted - enter negative unrestricted net position as a negative)</v>
      </c>
      <c r="D21" s="107"/>
      <c r="E21" s="360">
        <f>'Unit Data from Audit Worksheet'!F23</f>
        <v>0</v>
      </c>
      <c r="F21" s="353">
        <f>IF((L7-L17-L19-L20-L21)=0,,"Error: Total assets and deferred outflows less total liabilities and deferred inflows do not equal total net position accts 385-338-252-253-254")</f>
        <v>0</v>
      </c>
      <c r="G21" s="88">
        <f>+L7-L17-L19-L20-L21</f>
        <v>0</v>
      </c>
      <c r="H21" s="352">
        <f>'Unit Data from Audit Worksheet'!I23</f>
        <v>0</v>
      </c>
      <c r="I21" s="38"/>
      <c r="J21" s="351">
        <v>254</v>
      </c>
      <c r="K21" s="350" t="s">
        <v>105</v>
      </c>
      <c r="L21" s="599">
        <f t="shared" si="4"/>
        <v>0</v>
      </c>
      <c r="O21" s="607" t="e">
        <f>'Unit Data from Audit Worksheet'!E23</f>
        <v>#N/A</v>
      </c>
      <c r="P21" s="322"/>
      <c r="Q21" s="589">
        <f>IF(G21&lt;&gt;0,1,0)</f>
        <v>0</v>
      </c>
      <c r="W21" s="3" t="b">
        <f t="shared" si="0"/>
        <v>1</v>
      </c>
      <c r="X21" s="596">
        <f t="shared" si="1"/>
        <v>0</v>
      </c>
      <c r="Y21" s="596">
        <f t="shared" si="2"/>
        <v>0</v>
      </c>
    </row>
    <row r="22" spans="1:25" ht="51.75" customHeight="1" x14ac:dyDescent="0.3">
      <c r="A22" s="340">
        <f>'Unit Data from Audit Worksheet'!A25</f>
        <v>502</v>
      </c>
      <c r="B22" s="354" t="str">
        <f>'Unit Data from Audit Worksheet'!C25</f>
        <v>Net Position-Business Activities</v>
      </c>
      <c r="C22" s="339" t="str">
        <f>'Unit Data from Audit Worksheet'!D25</f>
        <v xml:space="preserve">All unrestricted Cash and investments. 
Exclude restricted cash and cash held by a third party. </v>
      </c>
      <c r="D22" s="107"/>
      <c r="E22" s="360">
        <f>'Unit Data from Audit Worksheet'!F25</f>
        <v>0</v>
      </c>
      <c r="F22" s="353">
        <f>IF(L22&lt;0,"Error: Number is normally positive.",)</f>
        <v>0</v>
      </c>
      <c r="G22" s="355"/>
      <c r="H22" s="352">
        <f>'Unit Data from Audit Worksheet'!I25</f>
        <v>0</v>
      </c>
      <c r="I22" s="38"/>
      <c r="J22" s="351">
        <v>502</v>
      </c>
      <c r="K22" s="350" t="s">
        <v>186</v>
      </c>
      <c r="L22" s="599">
        <f t="shared" si="4"/>
        <v>0</v>
      </c>
      <c r="P22" s="322"/>
      <c r="W22" s="3" t="b">
        <f t="shared" si="0"/>
        <v>1</v>
      </c>
      <c r="X22" s="596">
        <f t="shared" si="1"/>
        <v>0</v>
      </c>
      <c r="Y22" s="596">
        <f t="shared" si="2"/>
        <v>0</v>
      </c>
    </row>
    <row r="23" spans="1:25" ht="40.5" customHeight="1" x14ac:dyDescent="0.3">
      <c r="A23" s="340">
        <f>'Unit Data from Audit Worksheet'!A26</f>
        <v>503</v>
      </c>
      <c r="B23" s="354" t="str">
        <f>'Unit Data from Audit Worksheet'!C26</f>
        <v>Net Position-Business Activities</v>
      </c>
      <c r="C23" s="339" t="str">
        <f>'Unit Data from Audit Worksheet'!D26</f>
        <v>All restricted Cash and investments</v>
      </c>
      <c r="D23" s="107"/>
      <c r="E23" s="360">
        <f>'Unit Data from Audit Worksheet'!F26</f>
        <v>0</v>
      </c>
      <c r="F23" s="353">
        <f>IF(L23&lt;0,"Error: Number is normally positive.",)</f>
        <v>0</v>
      </c>
      <c r="G23" s="355"/>
      <c r="H23" s="352">
        <f>'Unit Data from Audit Worksheet'!I26</f>
        <v>0</v>
      </c>
      <c r="I23" s="38"/>
      <c r="J23" s="351">
        <v>503</v>
      </c>
      <c r="K23" s="350" t="s">
        <v>187</v>
      </c>
      <c r="L23" s="599">
        <f t="shared" si="4"/>
        <v>0</v>
      </c>
      <c r="P23" s="322"/>
      <c r="W23" s="3" t="b">
        <f t="shared" si="0"/>
        <v>1</v>
      </c>
      <c r="X23" s="596">
        <f t="shared" si="1"/>
        <v>0</v>
      </c>
      <c r="Y23" s="596">
        <f t="shared" si="2"/>
        <v>0</v>
      </c>
    </row>
    <row r="24" spans="1:25" ht="39" customHeight="1" x14ac:dyDescent="0.3">
      <c r="A24" s="340">
        <f>'Unit Data from Audit Worksheet'!A28</f>
        <v>344</v>
      </c>
      <c r="B24" s="354" t="str">
        <f>'Unit Data from Audit Worksheet'!C28</f>
        <v>Statement of Activities - Governmental</v>
      </c>
      <c r="C24" s="339" t="str">
        <f>'Unit Data from Audit Worksheet'!D28</f>
        <v xml:space="preserve">Total Interest expense on Long-Term Debt </v>
      </c>
      <c r="D24" s="107"/>
      <c r="E24" s="360">
        <f>'Unit Data from Audit Worksheet'!F28</f>
        <v>0</v>
      </c>
      <c r="F24" s="353">
        <f>IF(L24&lt;0,"Error: Enter as a positive.",)</f>
        <v>0</v>
      </c>
      <c r="G24" s="355"/>
      <c r="H24" s="352">
        <f>'Unit Data from Audit Worksheet'!I28</f>
        <v>0</v>
      </c>
      <c r="I24" s="38"/>
      <c r="J24" s="351">
        <v>344</v>
      </c>
      <c r="K24" s="350" t="s">
        <v>188</v>
      </c>
      <c r="L24" s="599">
        <f t="shared" si="4"/>
        <v>0</v>
      </c>
      <c r="P24" s="322"/>
      <c r="W24" s="3" t="b">
        <f t="shared" si="0"/>
        <v>1</v>
      </c>
      <c r="X24" s="596">
        <f t="shared" si="1"/>
        <v>0</v>
      </c>
      <c r="Y24" s="596">
        <f t="shared" si="2"/>
        <v>0</v>
      </c>
    </row>
    <row r="25" spans="1:25" ht="39" customHeight="1" x14ac:dyDescent="0.3">
      <c r="A25" s="340">
        <f>'Unit Data from Audit Worksheet'!A29</f>
        <v>388</v>
      </c>
      <c r="B25" s="354" t="str">
        <f>'Unit Data from Audit Worksheet'!C29</f>
        <v>Statement of Activities - Governmental</v>
      </c>
      <c r="C25" s="339" t="str">
        <f>'Unit Data from Audit Worksheet'!D29</f>
        <v>Total Expenses</v>
      </c>
      <c r="D25" s="107"/>
      <c r="E25" s="360">
        <f>'Unit Data from Audit Worksheet'!F29</f>
        <v>0</v>
      </c>
      <c r="F25" s="353">
        <f t="shared" ref="F25:F30" si="5">IF(L25&lt;0,"Error: Number is normally positive.",)</f>
        <v>0</v>
      </c>
      <c r="G25" s="355"/>
      <c r="H25" s="352">
        <f>'Unit Data from Audit Worksheet'!I29</f>
        <v>0</v>
      </c>
      <c r="I25" s="38"/>
      <c r="J25" s="351">
        <v>388</v>
      </c>
      <c r="K25" s="350" t="s">
        <v>189</v>
      </c>
      <c r="L25" s="599">
        <f t="shared" si="4"/>
        <v>0</v>
      </c>
      <c r="P25" s="322"/>
      <c r="W25" s="3" t="b">
        <f t="shared" si="0"/>
        <v>1</v>
      </c>
      <c r="X25" s="596">
        <f t="shared" si="1"/>
        <v>0</v>
      </c>
      <c r="Y25" s="596">
        <f t="shared" si="2"/>
        <v>0</v>
      </c>
    </row>
    <row r="26" spans="1:25" ht="39" customHeight="1" x14ac:dyDescent="0.3">
      <c r="A26" s="340">
        <f>'Unit Data from Audit Worksheet'!A30</f>
        <v>339</v>
      </c>
      <c r="B26" s="354" t="str">
        <f>'Unit Data from Audit Worksheet'!C30</f>
        <v>Statement of Activities - Governmental</v>
      </c>
      <c r="C26" s="339" t="str">
        <f>'Unit Data from Audit Worksheet'!D30</f>
        <v xml:space="preserve">Charges for services </v>
      </c>
      <c r="D26" s="107"/>
      <c r="E26" s="360">
        <f>'Unit Data from Audit Worksheet'!F30</f>
        <v>0</v>
      </c>
      <c r="F26" s="353">
        <f t="shared" si="5"/>
        <v>0</v>
      </c>
      <c r="G26" s="355"/>
      <c r="H26" s="352">
        <f>'Unit Data from Audit Worksheet'!I30</f>
        <v>0</v>
      </c>
      <c r="I26" s="38"/>
      <c r="J26" s="351">
        <v>339</v>
      </c>
      <c r="K26" s="350" t="s">
        <v>190</v>
      </c>
      <c r="L26" s="599">
        <f t="shared" si="4"/>
        <v>0</v>
      </c>
      <c r="P26" s="322"/>
      <c r="W26" s="3" t="b">
        <f t="shared" si="0"/>
        <v>1</v>
      </c>
      <c r="X26" s="596">
        <f t="shared" si="1"/>
        <v>0</v>
      </c>
      <c r="Y26" s="596">
        <f t="shared" si="2"/>
        <v>0</v>
      </c>
    </row>
    <row r="27" spans="1:25" ht="39" customHeight="1" x14ac:dyDescent="0.3">
      <c r="A27" s="340">
        <f>'Unit Data from Audit Worksheet'!A31</f>
        <v>504</v>
      </c>
      <c r="B27" s="354" t="str">
        <f>'Unit Data from Audit Worksheet'!C31</f>
        <v>Statement of Activities - Governmental</v>
      </c>
      <c r="C27" s="339" t="str">
        <f>'Unit Data from Audit Worksheet'!D31</f>
        <v>Operating grants and contributions</v>
      </c>
      <c r="D27" s="107"/>
      <c r="E27" s="360">
        <f>'Unit Data from Audit Worksheet'!F31</f>
        <v>0</v>
      </c>
      <c r="F27" s="353">
        <f t="shared" si="5"/>
        <v>0</v>
      </c>
      <c r="G27" s="355"/>
      <c r="H27" s="352">
        <f>'Unit Data from Audit Worksheet'!I31</f>
        <v>0</v>
      </c>
      <c r="I27" s="38"/>
      <c r="J27" s="351">
        <v>504</v>
      </c>
      <c r="K27" s="350" t="s">
        <v>191</v>
      </c>
      <c r="L27" s="599">
        <f t="shared" si="4"/>
        <v>0</v>
      </c>
      <c r="P27" s="322"/>
      <c r="W27" s="3" t="b">
        <f t="shared" si="0"/>
        <v>1</v>
      </c>
      <c r="X27" s="596">
        <f t="shared" si="1"/>
        <v>0</v>
      </c>
      <c r="Y27" s="596">
        <f t="shared" si="2"/>
        <v>0</v>
      </c>
    </row>
    <row r="28" spans="1:25" ht="39" customHeight="1" x14ac:dyDescent="0.3">
      <c r="A28" s="340">
        <f>'Unit Data from Audit Worksheet'!A32</f>
        <v>505</v>
      </c>
      <c r="B28" s="354" t="str">
        <f>'Unit Data from Audit Worksheet'!C32</f>
        <v>Statement of Activities - Governmental</v>
      </c>
      <c r="C28" s="339" t="str">
        <f>'Unit Data from Audit Worksheet'!D32</f>
        <v>Capital grants and contributions</v>
      </c>
      <c r="D28" s="107"/>
      <c r="E28" s="360">
        <f>'Unit Data from Audit Worksheet'!F32</f>
        <v>0</v>
      </c>
      <c r="F28" s="353">
        <f t="shared" si="5"/>
        <v>0</v>
      </c>
      <c r="G28" s="355"/>
      <c r="H28" s="352">
        <f>'Unit Data from Audit Worksheet'!I32</f>
        <v>0</v>
      </c>
      <c r="I28" s="38"/>
      <c r="J28" s="351">
        <v>505</v>
      </c>
      <c r="K28" s="350" t="s">
        <v>192</v>
      </c>
      <c r="L28" s="599">
        <f t="shared" si="4"/>
        <v>0</v>
      </c>
      <c r="P28" s="322"/>
      <c r="W28" s="3" t="b">
        <f t="shared" si="0"/>
        <v>1</v>
      </c>
      <c r="X28" s="596">
        <f t="shared" si="1"/>
        <v>0</v>
      </c>
      <c r="Y28" s="596">
        <f t="shared" si="2"/>
        <v>0</v>
      </c>
    </row>
    <row r="29" spans="1:25" ht="82.5" customHeight="1" x14ac:dyDescent="0.3">
      <c r="A29" s="340">
        <f>'Unit Data from Audit Worksheet'!A33</f>
        <v>341</v>
      </c>
      <c r="B29" s="354" t="str">
        <f>'Unit Data from Audit Worksheet'!C33</f>
        <v>Statement of Activities - Governmental</v>
      </c>
      <c r="C29" s="339" t="str">
        <f>'Unit Data from Audit Worksheet'!D33</f>
        <v>Total General revenues
Exclude: transfers-in or out,
                 special items,
                 extraordinary amounts</v>
      </c>
      <c r="D29" s="107"/>
      <c r="E29" s="360">
        <f>'Unit Data from Audit Worksheet'!F33</f>
        <v>0</v>
      </c>
      <c r="F29" s="353">
        <f t="shared" si="5"/>
        <v>0</v>
      </c>
      <c r="G29" s="355"/>
      <c r="H29" s="352">
        <f>'Unit Data from Audit Worksheet'!I33</f>
        <v>0</v>
      </c>
      <c r="I29" s="38"/>
      <c r="J29" s="351">
        <v>341</v>
      </c>
      <c r="K29" s="350" t="s">
        <v>193</v>
      </c>
      <c r="L29" s="599">
        <f t="shared" si="4"/>
        <v>0</v>
      </c>
      <c r="P29" s="322"/>
      <c r="W29" s="3" t="b">
        <f t="shared" si="0"/>
        <v>1</v>
      </c>
      <c r="X29" s="596">
        <f t="shared" si="1"/>
        <v>0</v>
      </c>
      <c r="Y29" s="596">
        <f t="shared" si="2"/>
        <v>0</v>
      </c>
    </row>
    <row r="30" spans="1:25" ht="82.5" customHeight="1" x14ac:dyDescent="0.3">
      <c r="A30" s="340">
        <f>'Unit Data from Audit Worksheet'!A34</f>
        <v>386</v>
      </c>
      <c r="B30" s="354" t="str">
        <f>'Unit Data from Audit Worksheet'!C34</f>
        <v>Statement of Activities - Governmental</v>
      </c>
      <c r="C30" s="339" t="str">
        <f>'Unit Data from Audit Worksheet'!D34</f>
        <v>Total Transfers in    (Preference is that transfers-in  are not netted against transfers-out)</v>
      </c>
      <c r="D30" s="107"/>
      <c r="E30" s="360">
        <f>'Unit Data from Audit Worksheet'!F34</f>
        <v>0</v>
      </c>
      <c r="F30" s="353">
        <f t="shared" si="5"/>
        <v>0</v>
      </c>
      <c r="G30" s="355"/>
      <c r="H30" s="352">
        <f>'Unit Data from Audit Worksheet'!I34</f>
        <v>0</v>
      </c>
      <c r="I30" s="38"/>
      <c r="J30" s="351">
        <v>386</v>
      </c>
      <c r="K30" s="350" t="s">
        <v>194</v>
      </c>
      <c r="L30" s="599">
        <f t="shared" si="4"/>
        <v>0</v>
      </c>
      <c r="P30" s="322"/>
      <c r="W30" s="3" t="b">
        <f t="shared" si="0"/>
        <v>1</v>
      </c>
      <c r="X30" s="596">
        <f t="shared" si="1"/>
        <v>0</v>
      </c>
      <c r="Y30" s="596">
        <f t="shared" si="2"/>
        <v>0</v>
      </c>
    </row>
    <row r="31" spans="1:25" ht="82.5" customHeight="1" x14ac:dyDescent="0.3">
      <c r="A31" s="340">
        <f>'Unit Data from Audit Worksheet'!A35</f>
        <v>387</v>
      </c>
      <c r="B31" s="354" t="str">
        <f>'Unit Data from Audit Worksheet'!C35</f>
        <v>Statement of Activities - Governmental</v>
      </c>
      <c r="C31" s="339" t="str">
        <f>'Unit Data from Audit Worksheet'!D35</f>
        <v>Total Transfers out    (Preference is that transfers-in  are not netted against transfers-out)</v>
      </c>
      <c r="D31" s="107"/>
      <c r="E31" s="360">
        <f>'Unit Data from Audit Worksheet'!F35</f>
        <v>0</v>
      </c>
      <c r="F31" s="353">
        <f>IF(L31&lt;0,"Error: Enter as a positive.",)</f>
        <v>0</v>
      </c>
      <c r="G31" s="355"/>
      <c r="H31" s="352">
        <f>'Unit Data from Audit Worksheet'!I35</f>
        <v>0</v>
      </c>
      <c r="I31" s="38"/>
      <c r="J31" s="351">
        <v>387</v>
      </c>
      <c r="K31" s="350" t="s">
        <v>195</v>
      </c>
      <c r="L31" s="599">
        <f t="shared" si="4"/>
        <v>0</v>
      </c>
      <c r="P31" s="322"/>
      <c r="W31" s="3" t="b">
        <f t="shared" si="0"/>
        <v>1</v>
      </c>
      <c r="X31" s="596">
        <f t="shared" si="1"/>
        <v>0</v>
      </c>
      <c r="Y31" s="596">
        <f t="shared" si="2"/>
        <v>0</v>
      </c>
    </row>
    <row r="32" spans="1:25" ht="82.5" customHeight="1" x14ac:dyDescent="0.3">
      <c r="A32" s="340">
        <f>'Unit Data from Audit Worksheet'!A36</f>
        <v>389</v>
      </c>
      <c r="B32" s="354" t="str">
        <f>'Unit Data from Audit Worksheet'!C36</f>
        <v>Statement of Activities - Governmental</v>
      </c>
      <c r="C32" s="339" t="str">
        <f>'Unit Data from Audit Worksheet'!D36</f>
        <v>Total Special and Extraordinary items.    (Amounts that increase net position are recorded as positive and amounts that decrease net position are recorded as negative)</v>
      </c>
      <c r="D32" s="107"/>
      <c r="E32" s="360">
        <f>'Unit Data from Audit Worksheet'!F36</f>
        <v>0</v>
      </c>
      <c r="F32" s="353"/>
      <c r="G32" s="355"/>
      <c r="H32" s="352">
        <f>'Unit Data from Audit Worksheet'!I36</f>
        <v>0</v>
      </c>
      <c r="I32" s="38"/>
      <c r="J32" s="351">
        <v>389</v>
      </c>
      <c r="K32" s="350" t="s">
        <v>196</v>
      </c>
      <c r="L32" s="599">
        <f t="shared" si="4"/>
        <v>0</v>
      </c>
      <c r="N32" s="608"/>
      <c r="P32" s="322"/>
      <c r="W32" s="3" t="b">
        <f t="shared" si="0"/>
        <v>1</v>
      </c>
      <c r="X32" s="596">
        <f t="shared" si="1"/>
        <v>0</v>
      </c>
      <c r="Y32" s="596">
        <f t="shared" si="2"/>
        <v>0</v>
      </c>
    </row>
    <row r="33" spans="1:25" ht="79.5" customHeight="1" x14ac:dyDescent="0.3">
      <c r="A33" s="340">
        <f>'Unit Data from Audit Worksheet'!A37</f>
        <v>255</v>
      </c>
      <c r="B33" s="354" t="str">
        <f>'Unit Data from Audit Worksheet'!C37</f>
        <v>Statement of Activities - Governmental</v>
      </c>
      <c r="C33" s="339" t="str">
        <f>'Unit Data from Audit Worksheet'!D37</f>
        <v>Total Change in net position - (Increase in net position is recorded as a positive and a decrease in net position is recorded as a negative)</v>
      </c>
      <c r="D33" s="107"/>
      <c r="E33" s="360">
        <f>'Unit Data from Audit Worksheet'!F37</f>
        <v>0</v>
      </c>
      <c r="F33" s="353">
        <f>IF((L26+L27+L28+L29+L30-L31+L32-L25-L33)=0,,"Total revenues less total expenses do not equal total change in net position. Acct 339+504+505+341+386-387+389-388-255=0")</f>
        <v>0</v>
      </c>
      <c r="G33" s="89">
        <f>L26+L27+L28+L29+L30-L31+L32-L25-L33</f>
        <v>0</v>
      </c>
      <c r="H33" s="352">
        <f>'Unit Data from Audit Worksheet'!I37</f>
        <v>0</v>
      </c>
      <c r="I33" s="38"/>
      <c r="J33" s="351">
        <v>255</v>
      </c>
      <c r="K33" s="350" t="s">
        <v>197</v>
      </c>
      <c r="L33" s="599">
        <f t="shared" si="4"/>
        <v>0</v>
      </c>
      <c r="O33" s="607" t="e">
        <f>'Unit Data from Audit Worksheet'!E37</f>
        <v>#N/A</v>
      </c>
      <c r="P33" s="322"/>
      <c r="Q33" s="589">
        <f>IF(G33&lt;&gt;0,1,0)</f>
        <v>0</v>
      </c>
      <c r="W33" s="3" t="b">
        <f t="shared" si="0"/>
        <v>1</v>
      </c>
      <c r="X33" s="596">
        <f t="shared" si="1"/>
        <v>0</v>
      </c>
      <c r="Y33" s="596">
        <f t="shared" si="2"/>
        <v>0</v>
      </c>
    </row>
    <row r="34" spans="1:25" ht="89.25" customHeight="1" x14ac:dyDescent="0.3">
      <c r="A34" s="340">
        <f>'Unit Data from Audit Worksheet'!A38</f>
        <v>376</v>
      </c>
      <c r="B34" s="354" t="str">
        <f>'Unit Data from Audit Worksheet'!C38</f>
        <v>Statement of Activities - Governmental</v>
      </c>
      <c r="C34" s="339" t="str">
        <f>'Unit Data from Audit Worksheet'!D38</f>
        <v>Any adjustment to beginning net position including rounding, prior period adjustments and restatements.   (Increases to net position are positive; decreases to net position are negative)</v>
      </c>
      <c r="D34" s="107"/>
      <c r="E34" s="360">
        <f>'Unit Data from Audit Worksheet'!F38</f>
        <v>0</v>
      </c>
      <c r="F34" s="85" t="e">
        <f>IF(L19+L20+L21-L33-L34=O19+O20+O21,,"Beginning Balance does not agree with our records acct (252+253+254-255-376=PY252+PY253+PY254)")</f>
        <v>#N/A</v>
      </c>
      <c r="G34" s="90" t="e">
        <f>L19+L20+L21-L33-L34-(O19+O20+O21)</f>
        <v>#N/A</v>
      </c>
      <c r="H34" s="352" t="str">
        <f>'Unit Data from Audit Worksheet'!I38</f>
        <v>Please do not enter prior's years beginning balance as an adjustment in column F.</v>
      </c>
      <c r="I34" s="38"/>
      <c r="J34" s="351">
        <v>376</v>
      </c>
      <c r="K34" s="350" t="s">
        <v>108</v>
      </c>
      <c r="L34" s="599">
        <f t="shared" si="4"/>
        <v>0</v>
      </c>
      <c r="O34" s="607" t="e">
        <f>'Unit Data from Audit Worksheet'!E38</f>
        <v>#N/A</v>
      </c>
      <c r="P34" s="322"/>
      <c r="Q34" s="589" t="e">
        <f>IF(G34&lt;&gt;0,1,0)</f>
        <v>#N/A</v>
      </c>
      <c r="W34" s="3" t="b">
        <f t="shared" si="0"/>
        <v>1</v>
      </c>
      <c r="X34" s="596">
        <f t="shared" si="1"/>
        <v>0</v>
      </c>
      <c r="Y34" s="596">
        <f t="shared" si="2"/>
        <v>0</v>
      </c>
    </row>
    <row r="35" spans="1:25" ht="157.5" customHeight="1" x14ac:dyDescent="0.3">
      <c r="A35" s="340">
        <f>'Unit Data from Audit Worksheet'!A39</f>
        <v>597</v>
      </c>
      <c r="B35" s="354" t="str">
        <f>'Unit Data from Audit Worksheet'!C39</f>
        <v>Statement of Activities                               (all governmental and business funds)</v>
      </c>
      <c r="C35" s="339" t="str">
        <f>'Unit Data from Audit Worksheet'!D39</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107"/>
      <c r="E35" s="360">
        <f>'Unit Data from Audit Worksheet'!F39</f>
        <v>0</v>
      </c>
      <c r="F35" s="353">
        <f>IF(L35&lt;0,"Error: Number is normally positive.",)</f>
        <v>0</v>
      </c>
      <c r="G35" s="355"/>
      <c r="H35" s="352">
        <f>'Unit Data from Audit Worksheet'!I39</f>
        <v>0</v>
      </c>
      <c r="I35" s="38"/>
      <c r="J35" s="351">
        <v>597</v>
      </c>
      <c r="K35" s="350" t="s">
        <v>676</v>
      </c>
      <c r="L35" s="599">
        <f t="shared" si="4"/>
        <v>0</v>
      </c>
      <c r="O35" s="607"/>
      <c r="P35" s="322"/>
      <c r="W35" s="3" t="b">
        <f t="shared" si="0"/>
        <v>1</v>
      </c>
      <c r="X35" s="596">
        <f t="shared" si="1"/>
        <v>0</v>
      </c>
      <c r="Y35" s="596">
        <f t="shared" si="2"/>
        <v>0</v>
      </c>
    </row>
    <row r="36" spans="1:25" ht="90" customHeight="1" x14ac:dyDescent="0.3">
      <c r="A36" s="340">
        <f>'Unit Data from Audit Worksheet'!A41</f>
        <v>592</v>
      </c>
      <c r="B36" s="354" t="str">
        <f>'Unit Data from Audit Worksheet'!C41</f>
        <v>Statement of Activities - Business Activities</v>
      </c>
      <c r="C36" s="339" t="str">
        <f>'Unit Data from Audit Worksheet'!D41</f>
        <v>Total Change in net position Business Type 
(Increase in net position is recorded as a positive and a decrease in net position is recorded as a negative)</v>
      </c>
      <c r="D36" s="107"/>
      <c r="E36" s="360">
        <f>'Unit Data from Audit Worksheet'!F41</f>
        <v>0</v>
      </c>
      <c r="F36" s="353"/>
      <c r="G36" s="355"/>
      <c r="H36" s="352">
        <f>'Unit Data from Audit Worksheet'!I41</f>
        <v>0</v>
      </c>
      <c r="I36" s="38"/>
      <c r="J36" s="351">
        <v>592</v>
      </c>
      <c r="K36" s="350" t="s">
        <v>611</v>
      </c>
      <c r="L36" s="599">
        <f t="shared" si="4"/>
        <v>0</v>
      </c>
      <c r="O36" s="607"/>
      <c r="P36" s="322"/>
      <c r="W36" s="3" t="b">
        <f t="shared" ref="W36:W66" si="6">EXACT(A36,J36)</f>
        <v>1</v>
      </c>
      <c r="X36" s="596">
        <f t="shared" si="1"/>
        <v>0</v>
      </c>
      <c r="Y36" s="596">
        <f t="shared" si="2"/>
        <v>0</v>
      </c>
    </row>
    <row r="37" spans="1:25" ht="66" customHeight="1" x14ac:dyDescent="0.3">
      <c r="A37" s="340">
        <f>'Unit Data from Audit Worksheet'!A42</f>
        <v>591</v>
      </c>
      <c r="B37" s="354" t="str">
        <f>'Unit Data from Audit Worksheet'!C42</f>
        <v>Statement of Activities - Business Activities</v>
      </c>
      <c r="C37" s="339" t="str">
        <f>'Unit Data from Audit Worksheet'!D42</f>
        <v>Total Expenses - Exclude Transfers</v>
      </c>
      <c r="D37" s="107"/>
      <c r="E37" s="360">
        <f>'Unit Data from Audit Worksheet'!F42</f>
        <v>0</v>
      </c>
      <c r="F37" s="353">
        <f>IF(L37&lt;0,"Error: Enter as a positive.",)</f>
        <v>0</v>
      </c>
      <c r="G37" s="355"/>
      <c r="H37" s="352">
        <f>'Unit Data from Audit Worksheet'!I42</f>
        <v>0</v>
      </c>
      <c r="I37" s="38"/>
      <c r="J37" s="351">
        <v>591</v>
      </c>
      <c r="K37" s="350" t="s">
        <v>610</v>
      </c>
      <c r="L37" s="599">
        <f t="shared" si="4"/>
        <v>0</v>
      </c>
      <c r="O37" s="607"/>
      <c r="P37" s="322"/>
      <c r="W37" s="3" t="b">
        <f t="shared" si="6"/>
        <v>1</v>
      </c>
      <c r="X37" s="596">
        <f t="shared" si="1"/>
        <v>0</v>
      </c>
      <c r="Y37" s="596">
        <f t="shared" si="2"/>
        <v>0</v>
      </c>
    </row>
    <row r="38" spans="1:25" s="734" customFormat="1" ht="66" customHeight="1" x14ac:dyDescent="0.3">
      <c r="A38" s="340">
        <f>'Unit Data from Audit Worksheet'!A43</f>
        <v>593</v>
      </c>
      <c r="B38" s="354" t="str">
        <f>'Unit Data from Audit Worksheet'!C43</f>
        <v>Statement of Activities - Business Activities</v>
      </c>
      <c r="C38" s="339" t="str">
        <f>'Unit Data from Audit Worksheet'!D43</f>
        <v>Total Transfers in    (Preference is that transfers-in  are not netted against transfers-out)</v>
      </c>
      <c r="D38" s="107"/>
      <c r="E38" s="360">
        <f>'Unit Data from Audit Worksheet'!F43</f>
        <v>0</v>
      </c>
      <c r="F38" s="353"/>
      <c r="G38" s="355"/>
      <c r="H38" s="352"/>
      <c r="I38" s="736"/>
      <c r="J38" s="351">
        <v>593</v>
      </c>
      <c r="K38" s="739" t="s">
        <v>1407</v>
      </c>
      <c r="L38" s="599">
        <f t="shared" si="4"/>
        <v>0</v>
      </c>
      <c r="O38" s="607"/>
      <c r="P38" s="322"/>
      <c r="Q38" s="589"/>
      <c r="X38" s="596"/>
      <c r="Y38" s="596"/>
    </row>
    <row r="39" spans="1:25" s="734" customFormat="1" ht="66" customHeight="1" x14ac:dyDescent="0.3">
      <c r="A39" s="340">
        <f>'Unit Data from Audit Worksheet'!A44</f>
        <v>594</v>
      </c>
      <c r="B39" s="354" t="str">
        <f>'Unit Data from Audit Worksheet'!C44</f>
        <v>Statement of Activities - Business Activities</v>
      </c>
      <c r="C39" s="339" t="str">
        <f>'Unit Data from Audit Worksheet'!D44</f>
        <v>Total Transfers out    (Preference is that transfers-in  are not netted against transfers-out)</v>
      </c>
      <c r="D39" s="107"/>
      <c r="E39" s="360">
        <f>'Unit Data from Audit Worksheet'!F44</f>
        <v>0</v>
      </c>
      <c r="F39" s="353"/>
      <c r="G39" s="355"/>
      <c r="H39" s="352"/>
      <c r="I39" s="736"/>
      <c r="J39" s="351">
        <v>594</v>
      </c>
      <c r="K39" s="739" t="s">
        <v>1408</v>
      </c>
      <c r="L39" s="599">
        <f t="shared" si="4"/>
        <v>0</v>
      </c>
      <c r="O39" s="607"/>
      <c r="P39" s="322"/>
      <c r="Q39" s="589"/>
      <c r="X39" s="596"/>
      <c r="Y39" s="596"/>
    </row>
    <row r="40" spans="1:25" s="734" customFormat="1" ht="66" customHeight="1" x14ac:dyDescent="0.3">
      <c r="A40" s="340">
        <f>'Unit Data from Audit Worksheet'!A46</f>
        <v>558</v>
      </c>
      <c r="B40" s="354" t="str">
        <f>'Unit Data from Audit Worksheet'!C46</f>
        <v>Mental Health-Balance Sheet - Non GAAP</v>
      </c>
      <c r="C40" s="339" t="str">
        <f>'Unit Data from Audit Worksheet'!D46</f>
        <v xml:space="preserve">All unrestricted cash and investments.  
Exclude restricted cash and cash held by a third party. </v>
      </c>
      <c r="D40" s="107"/>
      <c r="E40" s="360">
        <f>'Unit Data from Audit Worksheet'!F46</f>
        <v>0</v>
      </c>
      <c r="F40" s="353"/>
      <c r="G40" s="355"/>
      <c r="H40" s="352"/>
      <c r="I40" s="736"/>
      <c r="J40" s="351">
        <v>558</v>
      </c>
      <c r="K40" s="735" t="s">
        <v>1409</v>
      </c>
      <c r="L40" s="599">
        <f t="shared" si="4"/>
        <v>0</v>
      </c>
      <c r="O40" s="607"/>
      <c r="P40" s="322"/>
      <c r="Q40" s="589"/>
      <c r="X40" s="596"/>
      <c r="Y40" s="596"/>
    </row>
    <row r="41" spans="1:25" s="734" customFormat="1" ht="66" customHeight="1" x14ac:dyDescent="0.3">
      <c r="A41" s="340">
        <f>'Unit Data from Audit Worksheet'!A47</f>
        <v>559</v>
      </c>
      <c r="B41" s="354" t="str">
        <f>'Unit Data from Audit Worksheet'!C47</f>
        <v>Mental Health-Balance Sheet - Non GAAP</v>
      </c>
      <c r="C41" s="339" t="str">
        <f>'Unit Data from Audit Worksheet'!D47</f>
        <v>All restricted cash and investments</v>
      </c>
      <c r="D41" s="107"/>
      <c r="E41" s="360">
        <f>'Unit Data from Audit Worksheet'!F47</f>
        <v>0</v>
      </c>
      <c r="F41" s="353"/>
      <c r="G41" s="355"/>
      <c r="H41" s="352"/>
      <c r="I41" s="736"/>
      <c r="J41" s="351">
        <v>559</v>
      </c>
      <c r="K41" s="735" t="s">
        <v>1410</v>
      </c>
      <c r="L41" s="599">
        <f t="shared" si="4"/>
        <v>0</v>
      </c>
      <c r="O41" s="607"/>
      <c r="P41" s="322"/>
      <c r="Q41" s="589"/>
      <c r="X41" s="596"/>
      <c r="Y41" s="596"/>
    </row>
    <row r="42" spans="1:25" s="734" customFormat="1" ht="124.5" customHeight="1" x14ac:dyDescent="0.3">
      <c r="A42" s="340">
        <f>'Unit Data from Audit Worksheet'!A48</f>
        <v>560</v>
      </c>
      <c r="B42" s="354" t="str">
        <f>'Unit Data from Audit Worksheet'!C48</f>
        <v>Mental Health-Balance Sheet - Non GAAP</v>
      </c>
      <c r="C42" s="339" t="str">
        <f>'Unit Data from Audit Worksheet'!D48</f>
        <v>Current Liabilities 
Exclude: all deferred inflows
                 current debt service payments
Include: Liabilities payable from restricted assets.</v>
      </c>
      <c r="D42" s="107"/>
      <c r="E42" s="360">
        <f>'Unit Data from Audit Worksheet'!F48</f>
        <v>0</v>
      </c>
      <c r="F42" s="353"/>
      <c r="G42" s="355"/>
      <c r="H42" s="352"/>
      <c r="I42" s="736"/>
      <c r="J42" s="351">
        <v>560</v>
      </c>
      <c r="K42" s="735" t="s">
        <v>1411</v>
      </c>
      <c r="L42" s="599">
        <f t="shared" si="4"/>
        <v>0</v>
      </c>
      <c r="O42" s="607"/>
      <c r="P42" s="322"/>
      <c r="Q42" s="589"/>
      <c r="X42" s="596"/>
      <c r="Y42" s="596"/>
    </row>
    <row r="43" spans="1:25" s="734" customFormat="1" ht="66" customHeight="1" x14ac:dyDescent="0.3">
      <c r="A43" s="340">
        <f>'Unit Data from Audit Worksheet'!A49</f>
        <v>561</v>
      </c>
      <c r="B43" s="354" t="str">
        <f>'Unit Data from Audit Worksheet'!C49</f>
        <v>Mental Health-Balance Sheet - Non GAAP</v>
      </c>
      <c r="C43" s="339" t="str">
        <f>'Unit Data from Audit Worksheet'!D49</f>
        <v xml:space="preserve">Mental Health Enterprise Fund Non GAAP deferred inflows or liabilities derived from cash receipts.   </v>
      </c>
      <c r="D43" s="107"/>
      <c r="E43" s="360">
        <f>'Unit Data from Audit Worksheet'!F49</f>
        <v>0</v>
      </c>
      <c r="F43" s="353"/>
      <c r="G43" s="355"/>
      <c r="H43" s="352"/>
      <c r="I43" s="736"/>
      <c r="J43" s="351">
        <v>561</v>
      </c>
      <c r="K43" s="735" t="s">
        <v>1412</v>
      </c>
      <c r="L43" s="599">
        <f t="shared" si="4"/>
        <v>0</v>
      </c>
      <c r="O43" s="607"/>
      <c r="P43" s="322"/>
      <c r="Q43" s="589"/>
      <c r="X43" s="596"/>
      <c r="Y43" s="596"/>
    </row>
    <row r="44" spans="1:25" s="734" customFormat="1" ht="137.25" customHeight="1" x14ac:dyDescent="0.3">
      <c r="A44" s="340">
        <f>'Unit Data from Audit Worksheet'!A50</f>
        <v>563</v>
      </c>
      <c r="B44" s="354" t="str">
        <f>'Unit Data from Audit Worksheet'!C50</f>
        <v>Mental Health-Balance Sheet - Non GAAP</v>
      </c>
      <c r="C44" s="339" t="str">
        <f>'Unit Data from Audit Worksheet'!D50</f>
        <v>Total Liabilities payable from restricted assets (only complete if this if unit has listed this account in their financial statements for the Mental Health Enterprise Fund Non GAAP and the auditor has listed the cash to be used to pay the liabilities as restricted)</v>
      </c>
      <c r="D44" s="107"/>
      <c r="E44" s="360">
        <f>'Unit Data from Audit Worksheet'!F50</f>
        <v>0</v>
      </c>
      <c r="F44" s="353"/>
      <c r="G44" s="355"/>
      <c r="H44" s="352"/>
      <c r="I44" s="736"/>
      <c r="J44" s="351">
        <v>563</v>
      </c>
      <c r="K44" s="735" t="s">
        <v>1413</v>
      </c>
      <c r="L44" s="599">
        <f t="shared" si="4"/>
        <v>0</v>
      </c>
      <c r="O44" s="607"/>
      <c r="P44" s="322"/>
      <c r="Q44" s="589"/>
      <c r="X44" s="596"/>
      <c r="Y44" s="596"/>
    </row>
    <row r="45" spans="1:25" s="734" customFormat="1" ht="66" customHeight="1" x14ac:dyDescent="0.3">
      <c r="A45" s="340">
        <f>'Unit Data from Audit Worksheet'!A51</f>
        <v>564</v>
      </c>
      <c r="B45" s="354" t="str">
        <f>'Unit Data from Audit Worksheet'!C51</f>
        <v>Mental Health Enterprise Fund Non GAAP-Rev, Exp. Change in Fund Balance</v>
      </c>
      <c r="C45" s="339" t="str">
        <f>'Unit Data from Audit Worksheet'!D51</f>
        <v>Total expenditures  
Exclude: expenditures in the ""other financing sources (uses)"" section.</v>
      </c>
      <c r="D45" s="107"/>
      <c r="E45" s="360">
        <f>'Unit Data from Audit Worksheet'!F51</f>
        <v>0</v>
      </c>
      <c r="F45" s="353"/>
      <c r="G45" s="355"/>
      <c r="H45" s="352"/>
      <c r="I45" s="736"/>
      <c r="J45" s="351">
        <v>564</v>
      </c>
      <c r="K45" s="735" t="s">
        <v>1414</v>
      </c>
      <c r="L45" s="599">
        <f t="shared" si="4"/>
        <v>0</v>
      </c>
      <c r="O45" s="607"/>
      <c r="P45" s="322"/>
      <c r="Q45" s="589"/>
      <c r="X45" s="596"/>
      <c r="Y45" s="596"/>
    </row>
    <row r="46" spans="1:25" s="734" customFormat="1" ht="66" customHeight="1" x14ac:dyDescent="0.3">
      <c r="A46" s="340">
        <f>'Unit Data from Audit Worksheet'!A52</f>
        <v>568</v>
      </c>
      <c r="B46" s="354" t="str">
        <f>'Unit Data from Audit Worksheet'!C52</f>
        <v>Mental Health Enterprise Fund Non GAAP-Rev, Exp. Change in Fund Balance</v>
      </c>
      <c r="C46" s="339" t="str">
        <f>'Unit Data from Audit Worksheet'!D52</f>
        <v>Total Proceeds from all long-term debt issuances 
Exclude: proceeds from refundings</v>
      </c>
      <c r="D46" s="107"/>
      <c r="E46" s="360">
        <f>'Unit Data from Audit Worksheet'!F52</f>
        <v>0</v>
      </c>
      <c r="F46" s="353"/>
      <c r="G46" s="355"/>
      <c r="H46" s="352"/>
      <c r="I46" s="736"/>
      <c r="J46" s="351">
        <v>568</v>
      </c>
      <c r="K46" s="735" t="s">
        <v>1415</v>
      </c>
      <c r="L46" s="599">
        <f t="shared" si="4"/>
        <v>0</v>
      </c>
      <c r="O46" s="607"/>
      <c r="P46" s="322"/>
      <c r="Q46" s="589"/>
      <c r="X46" s="596"/>
      <c r="Y46" s="596"/>
    </row>
    <row r="47" spans="1:25" s="738" customFormat="1" ht="66" customHeight="1" x14ac:dyDescent="0.3">
      <c r="A47" s="340">
        <f>'Unit Data from Audit Worksheet'!A53</f>
        <v>565</v>
      </c>
      <c r="B47" s="354" t="str">
        <f>'Unit Data from Audit Worksheet'!C53</f>
        <v>Mental Health Enterprise Fund Non GAAP-Rev, Exp. Change in Fund Balance</v>
      </c>
      <c r="C47" s="339" t="str">
        <f>'Unit Data from Audit Worksheet'!D53</f>
        <v>Debt Refunding - Net refunding proceeds against debt payoff and if negative place results on this line.</v>
      </c>
      <c r="D47" s="107"/>
      <c r="E47" s="360">
        <f>'Unit Data from Audit Worksheet'!F53</f>
        <v>0</v>
      </c>
      <c r="F47" s="353"/>
      <c r="G47" s="355"/>
      <c r="H47" s="352"/>
      <c r="I47" s="740"/>
      <c r="J47" s="351">
        <v>565</v>
      </c>
      <c r="K47" s="735" t="s">
        <v>1549</v>
      </c>
      <c r="L47" s="599">
        <f t="shared" si="4"/>
        <v>0</v>
      </c>
      <c r="O47" s="607"/>
      <c r="P47" s="322"/>
      <c r="Q47" s="589"/>
      <c r="X47" s="596"/>
      <c r="Y47" s="596"/>
    </row>
    <row r="48" spans="1:25" s="734" customFormat="1" ht="66" customHeight="1" x14ac:dyDescent="0.3">
      <c r="A48" s="340">
        <f>'Unit Data from Audit Worksheet'!A54</f>
        <v>566</v>
      </c>
      <c r="B48" s="354" t="str">
        <f>'Unit Data from Audit Worksheet'!C54</f>
        <v>Mental Health Enterprise Fund Non GAAP-Rev, Exp. Change in Fund Balance</v>
      </c>
      <c r="C48" s="339" t="str">
        <f>'Unit Data from Audit Worksheet'!D54</f>
        <v>Debt Refunding - Net refunding proceeds against debt payoff and if positive place results on this line.</v>
      </c>
      <c r="D48" s="107"/>
      <c r="E48" s="360">
        <f>'Unit Data from Audit Worksheet'!F54</f>
        <v>0</v>
      </c>
      <c r="F48" s="353"/>
      <c r="G48" s="355"/>
      <c r="H48" s="352"/>
      <c r="I48" s="736"/>
      <c r="J48" s="351">
        <v>566</v>
      </c>
      <c r="K48" s="735" t="s">
        <v>1416</v>
      </c>
      <c r="L48" s="599">
        <f t="shared" si="4"/>
        <v>0</v>
      </c>
      <c r="O48" s="607"/>
      <c r="P48" s="322"/>
      <c r="Q48" s="589"/>
      <c r="X48" s="596"/>
      <c r="Y48" s="596"/>
    </row>
    <row r="49" spans="1:25" s="734" customFormat="1" ht="66" customHeight="1" x14ac:dyDescent="0.3">
      <c r="A49" s="340">
        <f>'Unit Data from Audit Worksheet'!A55</f>
        <v>567</v>
      </c>
      <c r="B49" s="354" t="str">
        <f>'Unit Data from Audit Worksheet'!C55</f>
        <v>Mental Health Enterprise Fund Non GAAP-Rev, Exp. Change in Fund Balance</v>
      </c>
      <c r="C49" s="339" t="str">
        <f>'Unit Data from Audit Worksheet'!D55</f>
        <v>Total Transfers out    (Preference is that transfers-in  are not netted against transfers-out)</v>
      </c>
      <c r="D49" s="107"/>
      <c r="E49" s="360">
        <f>'Unit Data from Audit Worksheet'!F55</f>
        <v>0</v>
      </c>
      <c r="F49" s="353"/>
      <c r="G49" s="355"/>
      <c r="H49" s="352"/>
      <c r="I49" s="736"/>
      <c r="J49" s="351">
        <v>567</v>
      </c>
      <c r="K49" s="735" t="s">
        <v>1417</v>
      </c>
      <c r="L49" s="599">
        <f t="shared" si="4"/>
        <v>0</v>
      </c>
      <c r="O49" s="607"/>
      <c r="P49" s="322"/>
      <c r="Q49" s="589"/>
      <c r="X49" s="596"/>
      <c r="Y49" s="596"/>
    </row>
    <row r="50" spans="1:25" s="734" customFormat="1" ht="66" customHeight="1" x14ac:dyDescent="0.3">
      <c r="A50" s="340">
        <f>'Unit Data from Audit Worksheet'!A56</f>
        <v>562</v>
      </c>
      <c r="B50" s="354" t="str">
        <f>'Unit Data from Audit Worksheet'!C56</f>
        <v>Notes</v>
      </c>
      <c r="C50" s="339" t="str">
        <f>'Unit Data from Audit Worksheet'!D56</f>
        <v>Mental Health Enterprise Fund Non GAAP -  Total Encumbrances.  You will have to refer to the note disclosure where the amount of encumbrances is listed.</v>
      </c>
      <c r="D50" s="107"/>
      <c r="E50" s="360">
        <f>'Unit Data from Audit Worksheet'!F56</f>
        <v>0</v>
      </c>
      <c r="F50" s="353"/>
      <c r="G50" s="355"/>
      <c r="H50" s="352"/>
      <c r="I50" s="736"/>
      <c r="J50" s="351">
        <v>562</v>
      </c>
      <c r="K50" s="735" t="s">
        <v>1418</v>
      </c>
      <c r="L50" s="599">
        <f t="shared" si="4"/>
        <v>0</v>
      </c>
      <c r="O50" s="607"/>
      <c r="P50" s="322"/>
      <c r="Q50" s="589"/>
      <c r="X50" s="596"/>
      <c r="Y50" s="596"/>
    </row>
    <row r="51" spans="1:25" s="734" customFormat="1" ht="66" customHeight="1" x14ac:dyDescent="0.3">
      <c r="A51" s="340">
        <f>'Unit Data from Audit Worksheet'!A57</f>
        <v>569</v>
      </c>
      <c r="B51" s="354" t="str">
        <f>'Unit Data from Audit Worksheet'!C57</f>
        <v>Notes</v>
      </c>
      <c r="C51" s="339" t="str">
        <f>'Unit Data from Audit Worksheet'!D57</f>
        <v>Please enter the principal and interest due next fiscal year on existing borrowings.</v>
      </c>
      <c r="D51" s="107"/>
      <c r="E51" s="360">
        <f>'Unit Data from Audit Worksheet'!F57</f>
        <v>0</v>
      </c>
      <c r="F51" s="353"/>
      <c r="G51" s="355"/>
      <c r="H51" s="352"/>
      <c r="I51" s="736"/>
      <c r="J51" s="351">
        <v>569</v>
      </c>
      <c r="K51" s="735" t="s">
        <v>1419</v>
      </c>
      <c r="L51" s="599">
        <f t="shared" si="4"/>
        <v>0</v>
      </c>
      <c r="O51" s="607"/>
      <c r="P51" s="322"/>
      <c r="Q51" s="589"/>
      <c r="X51" s="596"/>
      <c r="Y51" s="596"/>
    </row>
    <row r="52" spans="1:25" ht="54" customHeight="1" x14ac:dyDescent="0.3">
      <c r="A52" s="340">
        <f>'Unit Data from Audit Worksheet'!A59</f>
        <v>506</v>
      </c>
      <c r="B52" s="53" t="str">
        <f>'Unit Data from Audit Worksheet'!C59</f>
        <v>General Fund-Balance Sheet</v>
      </c>
      <c r="C52" s="609" t="str">
        <f>'Unit Data from Audit Worksheet'!D59</f>
        <v xml:space="preserve">All unrestricted cash and investments.  
Exclude restricted cash and cash held by a third party. </v>
      </c>
      <c r="D52" s="107"/>
      <c r="E52" s="151">
        <f>'Unit Data from Audit Worksheet'!F59</f>
        <v>0</v>
      </c>
      <c r="F52" s="37">
        <f>IF(L52&lt;0,"Error: Number is normally positive.",)</f>
        <v>0</v>
      </c>
      <c r="G52" s="71"/>
      <c r="H52" s="352">
        <f>'Unit Data from Audit Worksheet'!I59</f>
        <v>0</v>
      </c>
      <c r="I52" s="38"/>
      <c r="J52" s="41">
        <v>506</v>
      </c>
      <c r="K52" s="350" t="s">
        <v>198</v>
      </c>
      <c r="L52" s="610">
        <f t="shared" ref="L52:L65" si="7">IF(D52="",E52,D52)</f>
        <v>0</v>
      </c>
      <c r="P52" s="322"/>
      <c r="W52" s="3" t="b">
        <f t="shared" si="6"/>
        <v>1</v>
      </c>
      <c r="X52" s="596">
        <f t="shared" si="1"/>
        <v>0</v>
      </c>
      <c r="Y52" s="596">
        <f t="shared" si="2"/>
        <v>0</v>
      </c>
    </row>
    <row r="53" spans="1:25" ht="45.75" customHeight="1" x14ac:dyDescent="0.3">
      <c r="A53" s="340">
        <f>'Unit Data from Audit Worksheet'!A60</f>
        <v>536</v>
      </c>
      <c r="B53" s="53" t="str">
        <f>'Unit Data from Audit Worksheet'!C60</f>
        <v>General Fund-Balance Sheet</v>
      </c>
      <c r="C53" s="609" t="str">
        <f>'Unit Data from Audit Worksheet'!D60</f>
        <v>All restricted cash and investments</v>
      </c>
      <c r="D53" s="107"/>
      <c r="E53" s="151">
        <f>'Unit Data from Audit Worksheet'!F60</f>
        <v>0</v>
      </c>
      <c r="F53" s="37">
        <f>IF(L53&lt;0,"Error: Number is normally positive.",)</f>
        <v>0</v>
      </c>
      <c r="G53" s="71"/>
      <c r="H53" s="352">
        <f>'Unit Data from Audit Worksheet'!I60</f>
        <v>0</v>
      </c>
      <c r="I53" s="38"/>
      <c r="J53" s="41">
        <v>536</v>
      </c>
      <c r="K53" s="350" t="s">
        <v>199</v>
      </c>
      <c r="L53" s="610">
        <f t="shared" si="7"/>
        <v>0</v>
      </c>
      <c r="P53" s="322"/>
      <c r="W53" s="3" t="b">
        <f t="shared" si="6"/>
        <v>1</v>
      </c>
      <c r="X53" s="596">
        <f t="shared" si="1"/>
        <v>0</v>
      </c>
      <c r="Y53" s="596">
        <f t="shared" si="2"/>
        <v>0</v>
      </c>
    </row>
    <row r="54" spans="1:25" ht="56.25" customHeight="1" x14ac:dyDescent="0.3">
      <c r="A54" s="340">
        <f>'Unit Data from Audit Worksheet'!A61</f>
        <v>586</v>
      </c>
      <c r="B54" s="354" t="str">
        <f>'Unit Data from Audit Worksheet'!C61</f>
        <v>General Fund-Balance Sheet</v>
      </c>
      <c r="C54" s="339" t="str">
        <f>'Unit Data from Audit Worksheet'!D61</f>
        <v>Advance To: Interfund loan receivable-portion of repayment plan longer than 12 months</v>
      </c>
      <c r="D54" s="141"/>
      <c r="E54" s="360">
        <f>'Unit Data from Audit Worksheet'!F61</f>
        <v>0</v>
      </c>
      <c r="F54" s="353"/>
      <c r="G54" s="355"/>
      <c r="H54" s="352"/>
      <c r="I54" s="38"/>
      <c r="J54" s="351">
        <v>586</v>
      </c>
      <c r="K54" s="339" t="s">
        <v>562</v>
      </c>
      <c r="L54" s="599">
        <f t="shared" si="7"/>
        <v>0</v>
      </c>
      <c r="P54" s="322"/>
      <c r="W54" s="3" t="b">
        <f t="shared" si="6"/>
        <v>1</v>
      </c>
      <c r="X54" s="596">
        <f t="shared" si="1"/>
        <v>0</v>
      </c>
      <c r="Y54" s="596">
        <f t="shared" si="2"/>
        <v>0</v>
      </c>
    </row>
    <row r="55" spans="1:25" ht="28.8" x14ac:dyDescent="0.3">
      <c r="A55" s="340">
        <f>'Unit Data from Audit Worksheet'!A62</f>
        <v>379</v>
      </c>
      <c r="B55" s="354" t="str">
        <f>'Unit Data from Audit Worksheet'!C62</f>
        <v>General Fund-Balance Sheet</v>
      </c>
      <c r="C55" s="339" t="str">
        <f>'Unit Data from Audit Worksheet'!D62</f>
        <v>Total Assets and deferred outflows</v>
      </c>
      <c r="D55" s="141"/>
      <c r="E55" s="360">
        <f>'Unit Data from Audit Worksheet'!F62</f>
        <v>0</v>
      </c>
      <c r="F55" s="82">
        <f>IF((L52+L53)&gt;L55,"Error: Please review accts (506+536)&gt;379",)</f>
        <v>0</v>
      </c>
      <c r="G55" s="355" t="str">
        <f>IF(Q55=1," Included in error count"," ")</f>
        <v xml:space="preserve"> </v>
      </c>
      <c r="H55" s="352">
        <f>'Unit Data from Audit Worksheet'!I62</f>
        <v>0</v>
      </c>
      <c r="I55" s="38"/>
      <c r="J55" s="351">
        <v>379</v>
      </c>
      <c r="K55" s="350" t="s">
        <v>118</v>
      </c>
      <c r="L55" s="599">
        <f t="shared" si="7"/>
        <v>0</v>
      </c>
      <c r="P55" s="322"/>
      <c r="Q55" s="589">
        <f>IF(L52+L53&gt;L55,1,0)</f>
        <v>0</v>
      </c>
      <c r="W55" s="3" t="b">
        <f t="shared" si="6"/>
        <v>1</v>
      </c>
      <c r="X55" s="596">
        <f t="shared" si="1"/>
        <v>0</v>
      </c>
      <c r="Y55" s="596">
        <f t="shared" si="2"/>
        <v>0</v>
      </c>
    </row>
    <row r="56" spans="1:25" ht="106.5" customHeight="1" x14ac:dyDescent="0.3">
      <c r="A56" s="340">
        <f>'Unit Data from Audit Worksheet'!A63</f>
        <v>368</v>
      </c>
      <c r="B56" s="354" t="str">
        <f>'Unit Data from Audit Worksheet'!C63</f>
        <v>General Fund-Balance Sheet</v>
      </c>
      <c r="C56" s="339" t="str">
        <f>'Unit Data from Audit Worksheet'!D63</f>
        <v>Total Liabilities payable from restricted assets (only complete if this is listed in your financial statements for the general fund and the auditor has listed the cash to be used to pay the liabilities as restricted)</v>
      </c>
      <c r="D56" s="141"/>
      <c r="E56" s="360">
        <f>'Unit Data from Audit Worksheet'!F63</f>
        <v>0</v>
      </c>
      <c r="F56" s="353">
        <f>IF(L56&lt;0,"Error: Enter as a positive.",)</f>
        <v>0</v>
      </c>
      <c r="G56" s="355"/>
      <c r="H56" s="352">
        <f>'Unit Data from Audit Worksheet'!I63</f>
        <v>0</v>
      </c>
      <c r="I56" s="38"/>
      <c r="J56" s="351">
        <v>368</v>
      </c>
      <c r="K56" s="350" t="s">
        <v>200</v>
      </c>
      <c r="L56" s="599">
        <f t="shared" si="7"/>
        <v>0</v>
      </c>
      <c r="P56" s="322"/>
      <c r="W56" s="3" t="b">
        <f t="shared" si="6"/>
        <v>1</v>
      </c>
      <c r="X56" s="596">
        <f t="shared" si="1"/>
        <v>0</v>
      </c>
      <c r="Y56" s="596">
        <f t="shared" si="2"/>
        <v>0</v>
      </c>
    </row>
    <row r="57" spans="1:25" ht="90.75" customHeight="1" x14ac:dyDescent="0.3">
      <c r="A57" s="340">
        <f>'Unit Data from Audit Worksheet'!A64</f>
        <v>4</v>
      </c>
      <c r="B57" s="53" t="str">
        <f>'Unit Data from Audit Worksheet'!C64</f>
        <v>General Fund-Balance Sheet</v>
      </c>
      <c r="C57" s="609" t="str">
        <f>'Unit Data from Audit Worksheet'!D64</f>
        <v>Current Liabilities (as reported on the Balance Sheet)
Exclude all deferred inflows. 
Include advance from(long-term portion of interfund loans)</v>
      </c>
      <c r="D57" s="141"/>
      <c r="E57" s="151">
        <f>'Unit Data from Audit Worksheet'!F64</f>
        <v>0</v>
      </c>
      <c r="F57" s="37">
        <f t="shared" ref="F57:F66" si="8">IF(L57&lt;0,"Error: Enter as a positive.",)</f>
        <v>0</v>
      </c>
      <c r="G57" s="71"/>
      <c r="H57" s="352">
        <f>'Unit Data from Audit Worksheet'!I64</f>
        <v>0</v>
      </c>
      <c r="I57" s="38"/>
      <c r="J57" s="41">
        <v>4</v>
      </c>
      <c r="K57" s="350" t="s">
        <v>119</v>
      </c>
      <c r="L57" s="610">
        <f t="shared" si="7"/>
        <v>0</v>
      </c>
      <c r="P57" s="322"/>
      <c r="W57" s="3" t="b">
        <f t="shared" si="6"/>
        <v>1</v>
      </c>
      <c r="X57" s="596">
        <f t="shared" si="1"/>
        <v>0</v>
      </c>
      <c r="Y57" s="596">
        <f t="shared" si="2"/>
        <v>0</v>
      </c>
    </row>
    <row r="58" spans="1:25" ht="131.25" customHeight="1" x14ac:dyDescent="0.3">
      <c r="A58" s="340">
        <f>'Unit Data from Audit Worksheet'!A65</f>
        <v>5</v>
      </c>
      <c r="B58" s="53" t="str">
        <f>'Unit Data from Audit Worksheet'!C65</f>
        <v>General Fund-Balance Sheet</v>
      </c>
      <c r="C58" s="609" t="str">
        <f>'Unit Data from Audit Worksheet'!D65</f>
        <v>General fund deferred inflows derived from cash receipts. 
 Prepaid taxes is a common item listed.  Deferred inflows on the face of the statements can include cash and non-cash.  You may have to refer to the note disclosure where the cash and non-cash is broken out.</v>
      </c>
      <c r="D58" s="141"/>
      <c r="E58" s="151">
        <f>'Unit Data from Audit Worksheet'!F65</f>
        <v>0</v>
      </c>
      <c r="F58" s="37">
        <f t="shared" si="8"/>
        <v>0</v>
      </c>
      <c r="G58" s="71"/>
      <c r="H58" s="352">
        <f>'Unit Data from Audit Worksheet'!I65</f>
        <v>0</v>
      </c>
      <c r="I58" s="38"/>
      <c r="J58" s="41">
        <v>5</v>
      </c>
      <c r="K58" s="350" t="s">
        <v>120</v>
      </c>
      <c r="L58" s="610">
        <f t="shared" si="7"/>
        <v>0</v>
      </c>
      <c r="P58" s="322"/>
      <c r="W58" s="3" t="b">
        <f t="shared" si="6"/>
        <v>1</v>
      </c>
      <c r="X58" s="596">
        <f t="shared" si="1"/>
        <v>0</v>
      </c>
      <c r="Y58" s="596">
        <f t="shared" si="2"/>
        <v>0</v>
      </c>
    </row>
    <row r="59" spans="1:25" ht="104.25" customHeight="1" x14ac:dyDescent="0.3">
      <c r="A59" s="340">
        <f>'Unit Data from Audit Worksheet'!A66</f>
        <v>380</v>
      </c>
      <c r="B59" s="354" t="str">
        <f>'Unit Data from Audit Worksheet'!C66</f>
        <v>General Fund-Balance Sheet</v>
      </c>
      <c r="C59" s="339" t="str">
        <f>'Unit Data from Audit Worksheet'!D66</f>
        <v>Total Deferred inflows not derived from cash receipts.  Deferred inflows on the face of the statements can include cash and non-cash.  You may have to refer to the note disclosure where the cash and non-cash is broken out.</v>
      </c>
      <c r="D59" s="141"/>
      <c r="E59" s="360">
        <f>'Unit Data from Audit Worksheet'!F66</f>
        <v>0</v>
      </c>
      <c r="F59" s="353">
        <f t="shared" si="8"/>
        <v>0</v>
      </c>
      <c r="G59" s="355"/>
      <c r="H59" s="352">
        <f>'Unit Data from Audit Worksheet'!I66</f>
        <v>0</v>
      </c>
      <c r="I59" s="38"/>
      <c r="J59" s="351">
        <v>380</v>
      </c>
      <c r="K59" s="350" t="s">
        <v>121</v>
      </c>
      <c r="L59" s="599">
        <f t="shared" si="7"/>
        <v>0</v>
      </c>
      <c r="P59" s="322"/>
      <c r="W59" s="3" t="b">
        <f t="shared" si="6"/>
        <v>1</v>
      </c>
      <c r="X59" s="596">
        <f t="shared" si="1"/>
        <v>0</v>
      </c>
      <c r="Y59" s="596">
        <f t="shared" si="2"/>
        <v>0</v>
      </c>
    </row>
    <row r="60" spans="1:25" ht="41.25" customHeight="1" x14ac:dyDescent="0.3">
      <c r="A60" s="340">
        <f>'Unit Data from Audit Worksheet'!A67</f>
        <v>391</v>
      </c>
      <c r="B60" s="354" t="str">
        <f>'Unit Data from Audit Worksheet'!C67</f>
        <v>General Fund-Balance Sheet</v>
      </c>
      <c r="C60" s="339" t="str">
        <f>'Unit Data from Audit Worksheet'!D67</f>
        <v xml:space="preserve">Fund balance, Restricted for Stabilization by State Statute </v>
      </c>
      <c r="D60" s="141"/>
      <c r="E60" s="360">
        <f>'Unit Data from Audit Worksheet'!F67</f>
        <v>0</v>
      </c>
      <c r="F60" s="353">
        <f t="shared" si="8"/>
        <v>0</v>
      </c>
      <c r="G60" s="355"/>
      <c r="H60" s="352">
        <f>'Unit Data from Audit Worksheet'!I67</f>
        <v>0</v>
      </c>
      <c r="I60" s="38"/>
      <c r="J60" s="351">
        <v>391</v>
      </c>
      <c r="K60" s="350" t="s">
        <v>201</v>
      </c>
      <c r="L60" s="599">
        <f t="shared" si="7"/>
        <v>0</v>
      </c>
      <c r="P60" s="322"/>
      <c r="W60" s="3" t="b">
        <f t="shared" si="6"/>
        <v>1</v>
      </c>
      <c r="X60" s="596">
        <f t="shared" si="1"/>
        <v>0</v>
      </c>
      <c r="Y60" s="596">
        <f t="shared" si="2"/>
        <v>0</v>
      </c>
    </row>
    <row r="61" spans="1:25" ht="28.8" x14ac:dyDescent="0.3">
      <c r="A61" s="340">
        <f>'Unit Data from Audit Worksheet'!A68</f>
        <v>7</v>
      </c>
      <c r="B61" s="53" t="str">
        <f>'Unit Data from Audit Worksheet'!C68</f>
        <v>General Fund-Balance Sheet</v>
      </c>
      <c r="C61" s="609" t="str">
        <f>'Unit Data from Audit Worksheet'!D68</f>
        <v>Fund balance, Nonspendable-  inventory/prepaids/etc.</v>
      </c>
      <c r="D61" s="141"/>
      <c r="E61" s="151">
        <f>'Unit Data from Audit Worksheet'!F68</f>
        <v>0</v>
      </c>
      <c r="F61" s="37">
        <f t="shared" si="8"/>
        <v>0</v>
      </c>
      <c r="G61" s="71"/>
      <c r="H61" s="352">
        <f>'Unit Data from Audit Worksheet'!I68</f>
        <v>0</v>
      </c>
      <c r="I61" s="38"/>
      <c r="J61" s="41">
        <v>7</v>
      </c>
      <c r="K61" s="350" t="s">
        <v>202</v>
      </c>
      <c r="L61" s="610">
        <f t="shared" si="7"/>
        <v>0</v>
      </c>
      <c r="P61" s="322"/>
      <c r="W61" s="3" t="b">
        <f t="shared" si="6"/>
        <v>1</v>
      </c>
      <c r="X61" s="596">
        <f t="shared" si="1"/>
        <v>0</v>
      </c>
      <c r="Y61" s="596">
        <f t="shared" si="2"/>
        <v>0</v>
      </c>
    </row>
    <row r="62" spans="1:25" ht="89.25" customHeight="1" x14ac:dyDescent="0.3">
      <c r="A62" s="611">
        <f>'Unit Data from Audit Worksheet'!A69</f>
        <v>11</v>
      </c>
      <c r="B62" s="114" t="str">
        <f>'Unit Data from Audit Worksheet'!C69</f>
        <v>General Fund-Balance Sheet</v>
      </c>
      <c r="C62" s="601" t="str">
        <f>'Unit Data from Audit Worksheet'!D69</f>
        <v>Fund balance, Restricted for Streets (unspent Powell Bill balance).  You may have to refer to the note disclosure where restricted fund balance is described.</v>
      </c>
      <c r="D62" s="107"/>
      <c r="E62" s="152">
        <f>'Unit Data from Audit Worksheet'!F69</f>
        <v>0</v>
      </c>
      <c r="F62" s="108">
        <f t="shared" si="8"/>
        <v>0</v>
      </c>
      <c r="G62" s="109"/>
      <c r="H62" s="110">
        <f>'Unit Data from Audit Worksheet'!I69</f>
        <v>0</v>
      </c>
      <c r="I62" s="38"/>
      <c r="J62" s="102">
        <v>11</v>
      </c>
      <c r="K62" s="44" t="s">
        <v>203</v>
      </c>
      <c r="L62" s="599">
        <f t="shared" si="7"/>
        <v>0</v>
      </c>
      <c r="P62" s="323"/>
      <c r="W62" s="3" t="b">
        <f t="shared" si="6"/>
        <v>1</v>
      </c>
      <c r="X62" s="596">
        <f t="shared" si="1"/>
        <v>0</v>
      </c>
      <c r="Y62" s="596">
        <f t="shared" si="2"/>
        <v>0</v>
      </c>
    </row>
    <row r="63" spans="1:25" s="18" customFormat="1" ht="48.75" customHeight="1" x14ac:dyDescent="0.3">
      <c r="A63" s="313">
        <f>'Unit Data from Audit Worksheet'!A70</f>
        <v>645</v>
      </c>
      <c r="B63" s="367" t="str">
        <f>'Unit Data from Audit Worksheet'!C70</f>
        <v>General Fund-Balance Sheet</v>
      </c>
      <c r="C63" s="313" t="str">
        <f>'Unit Data from Audit Worksheet'!D70</f>
        <v>Fund balance, Assigned (total of all assigned components)</v>
      </c>
      <c r="D63" s="113"/>
      <c r="E63" s="366">
        <f>'Unit Data from Audit Worksheet'!F70</f>
        <v>0</v>
      </c>
      <c r="F63" s="348">
        <f>IF(L63&lt;0,"Error: Enter as a positive.",)</f>
        <v>0</v>
      </c>
      <c r="G63" s="333"/>
      <c r="H63" s="348">
        <f>'Unit Data from Audit Worksheet'!I70</f>
        <v>0</v>
      </c>
      <c r="I63" s="612"/>
      <c r="J63" s="347">
        <v>645</v>
      </c>
      <c r="K63" s="313" t="s">
        <v>752</v>
      </c>
      <c r="L63" s="613">
        <f t="shared" si="7"/>
        <v>0</v>
      </c>
      <c r="M63" s="603"/>
      <c r="N63" s="603"/>
      <c r="O63" s="603"/>
      <c r="P63" s="324"/>
      <c r="Q63" s="604"/>
      <c r="R63" s="3"/>
      <c r="S63" s="603"/>
      <c r="T63" s="603"/>
      <c r="U63" s="603"/>
      <c r="V63" s="603"/>
      <c r="W63" s="18" t="b">
        <f t="shared" si="6"/>
        <v>1</v>
      </c>
      <c r="X63" s="605">
        <f t="shared" si="1"/>
        <v>0</v>
      </c>
      <c r="Y63" s="605">
        <f t="shared" si="2"/>
        <v>0</v>
      </c>
    </row>
    <row r="64" spans="1:25" s="18" customFormat="1" ht="45.75" customHeight="1" x14ac:dyDescent="0.3">
      <c r="A64" s="313">
        <f>'Unit Data from Audit Worksheet'!A71</f>
        <v>646</v>
      </c>
      <c r="B64" s="367" t="str">
        <f>'Unit Data from Audit Worksheet'!C71</f>
        <v>General Fund-Balance Sheet</v>
      </c>
      <c r="C64" s="313" t="str">
        <f>'Unit Data from Audit Worksheet'!D71</f>
        <v>Fund Balance, Unassigned</v>
      </c>
      <c r="D64" s="113"/>
      <c r="E64" s="366">
        <f>'Unit Data from Audit Worksheet'!F71</f>
        <v>0</v>
      </c>
      <c r="F64" s="348">
        <f>IF(L64&lt;0,"Error: Enter as a positive.",)</f>
        <v>0</v>
      </c>
      <c r="G64" s="333"/>
      <c r="H64" s="348">
        <f>'Unit Data from Audit Worksheet'!I71</f>
        <v>0</v>
      </c>
      <c r="I64" s="612"/>
      <c r="J64" s="347">
        <v>646</v>
      </c>
      <c r="K64" s="313" t="s">
        <v>753</v>
      </c>
      <c r="L64" s="613">
        <f t="shared" si="7"/>
        <v>0</v>
      </c>
      <c r="M64" s="603"/>
      <c r="N64" s="603"/>
      <c r="O64" s="603"/>
      <c r="P64" s="324"/>
      <c r="Q64" s="604"/>
      <c r="R64" s="3"/>
      <c r="S64" s="603"/>
      <c r="T64" s="603"/>
      <c r="U64" s="603"/>
      <c r="V64" s="603"/>
      <c r="W64" s="18" t="b">
        <f t="shared" si="6"/>
        <v>1</v>
      </c>
      <c r="X64" s="605">
        <f t="shared" si="1"/>
        <v>0</v>
      </c>
      <c r="Y64" s="605">
        <f t="shared" si="2"/>
        <v>0</v>
      </c>
    </row>
    <row r="65" spans="1:27" ht="55.5" customHeight="1" x14ac:dyDescent="0.3">
      <c r="A65" s="597">
        <f>'Unit Data from Audit Worksheet'!A72</f>
        <v>9</v>
      </c>
      <c r="B65" s="115" t="str">
        <f>'Unit Data from Audit Worksheet'!C72</f>
        <v>General Fund-Balance Sheet</v>
      </c>
      <c r="C65" s="614" t="str">
        <f>'Unit Data from Audit Worksheet'!D72</f>
        <v>Total Fund balance (enter fund deficits as negative)</v>
      </c>
      <c r="D65" s="141"/>
      <c r="E65" s="150">
        <f>'Unit Data from Audit Worksheet'!F72</f>
        <v>0</v>
      </c>
      <c r="F65" s="116">
        <f>IF(L55-L57-L58-L59-L65=0,,"Error: Total assets less total liabilities do not equal Acct +379-4-5-380-9=0")</f>
        <v>0</v>
      </c>
      <c r="G65" s="117">
        <f>L55-L57-L58-L59-L65</f>
        <v>0</v>
      </c>
      <c r="H65" s="352">
        <f>'Unit Data from Audit Worksheet'!I72</f>
        <v>0</v>
      </c>
      <c r="I65" s="38"/>
      <c r="J65" s="118">
        <v>9</v>
      </c>
      <c r="K65" s="51" t="s">
        <v>204</v>
      </c>
      <c r="L65" s="610">
        <f t="shared" si="7"/>
        <v>0</v>
      </c>
      <c r="O65" s="607" t="e">
        <f>'Unit Data from Audit Worksheet'!E72</f>
        <v>#N/A</v>
      </c>
      <c r="P65" s="321"/>
      <c r="Q65" s="589">
        <f>IF(G65&lt;&gt;0,1,0)</f>
        <v>0</v>
      </c>
      <c r="W65" s="3" t="b">
        <f t="shared" si="6"/>
        <v>1</v>
      </c>
      <c r="X65" s="596">
        <f t="shared" si="1"/>
        <v>0</v>
      </c>
      <c r="Y65" s="596">
        <f t="shared" si="2"/>
        <v>0</v>
      </c>
    </row>
    <row r="66" spans="1:27" s="18" customFormat="1" ht="73.5" customHeight="1" x14ac:dyDescent="0.3">
      <c r="A66" s="340">
        <f>'Unit Data from Audit Worksheet'!A73</f>
        <v>540</v>
      </c>
      <c r="B66" s="354" t="str">
        <f>'Unit Data from Audit Worksheet'!C73</f>
        <v>General Fund - Budget Actual Statement</v>
      </c>
      <c r="C66" s="339" t="str">
        <f>'Unit Data from Audit Worksheet'!D73</f>
        <v>Amount of the General Fund Balance appropriated in next year's budget. As reported on the General Fund Balance Sheet.</v>
      </c>
      <c r="D66" s="141"/>
      <c r="E66" s="360">
        <f>'Unit Data from Audit Worksheet'!F73</f>
        <v>0</v>
      </c>
      <c r="F66" s="353">
        <f t="shared" si="8"/>
        <v>0</v>
      </c>
      <c r="G66" s="355"/>
      <c r="H66" s="352">
        <f>'Unit Data from Audit Worksheet'!I73</f>
        <v>0</v>
      </c>
      <c r="I66" s="38"/>
      <c r="J66" s="351">
        <v>540</v>
      </c>
      <c r="K66" s="350" t="s">
        <v>267</v>
      </c>
      <c r="L66" s="599">
        <f t="shared" ref="L66:L123" si="9">IF(D66="",E66,D66)</f>
        <v>0</v>
      </c>
      <c r="P66" s="322"/>
      <c r="Q66" s="589"/>
      <c r="R66" s="3"/>
      <c r="W66" s="3" t="b">
        <f t="shared" si="6"/>
        <v>1</v>
      </c>
      <c r="X66" s="596">
        <f t="shared" si="1"/>
        <v>0</v>
      </c>
      <c r="Y66" s="596">
        <f t="shared" si="2"/>
        <v>0</v>
      </c>
      <c r="AA66" s="3"/>
    </row>
    <row r="67" spans="1:27" s="18" customFormat="1" ht="73.5" customHeight="1" x14ac:dyDescent="0.3">
      <c r="A67" s="615">
        <f>'Unit Data from Audit Worksheet'!A75</f>
        <v>984</v>
      </c>
      <c r="B67" s="358" t="str">
        <f>'Unit Data from Audit Worksheet'!C75</f>
        <v>General Fund - Budget Actual Statement</v>
      </c>
      <c r="C67" s="616" t="str">
        <f>'Unit Data from Audit Worksheet'!D75</f>
        <v>Amount of Ad valorem tax collected (including motor vehicle and prior years) reported on budget actual statement</v>
      </c>
      <c r="D67" s="141"/>
      <c r="E67" s="361">
        <f>'Unit Data from Audit Worksheet'!F75</f>
        <v>0</v>
      </c>
      <c r="F67" s="353"/>
      <c r="G67" s="355"/>
      <c r="H67" s="352"/>
      <c r="I67" s="38"/>
      <c r="J67" s="369">
        <v>984</v>
      </c>
      <c r="K67" s="123" t="s">
        <v>1111</v>
      </c>
      <c r="L67" s="617">
        <f t="shared" si="9"/>
        <v>0</v>
      </c>
      <c r="P67" s="322"/>
      <c r="Q67" s="589"/>
      <c r="R67" s="3"/>
      <c r="W67" s="3"/>
      <c r="X67" s="596"/>
      <c r="Y67" s="596"/>
      <c r="AA67" s="3"/>
    </row>
    <row r="68" spans="1:27" s="18" customFormat="1" ht="73.5" customHeight="1" x14ac:dyDescent="0.3">
      <c r="A68" s="615">
        <f>'Unit Data from Audit Worksheet'!A76</f>
        <v>985</v>
      </c>
      <c r="B68" s="358" t="str">
        <f>'Unit Data from Audit Worksheet'!C76</f>
        <v>General Fund - Budget Actual Statement</v>
      </c>
      <c r="C68" s="616" t="str">
        <f>'Unit Data from Audit Worksheet'!D76</f>
        <v>Amount of Ad valorem tax budgeted (including motor vehicle and prior years) reported on budget actual statement</v>
      </c>
      <c r="D68" s="141"/>
      <c r="E68" s="361">
        <f>'Unit Data from Audit Worksheet'!F76</f>
        <v>0</v>
      </c>
      <c r="F68" s="353"/>
      <c r="G68" s="355"/>
      <c r="H68" s="352"/>
      <c r="I68" s="38"/>
      <c r="J68" s="369">
        <v>985</v>
      </c>
      <c r="K68" s="123" t="s">
        <v>1112</v>
      </c>
      <c r="L68" s="617">
        <f t="shared" si="9"/>
        <v>0</v>
      </c>
      <c r="P68" s="322"/>
      <c r="Q68" s="589"/>
      <c r="R68" s="3"/>
      <c r="W68" s="3"/>
      <c r="X68" s="596"/>
      <c r="Y68" s="596"/>
      <c r="AA68" s="3"/>
    </row>
    <row r="69" spans="1:27" ht="73.5" customHeight="1" x14ac:dyDescent="0.3">
      <c r="A69" s="340">
        <f>'Unit Data from Audit Worksheet'!A77</f>
        <v>369</v>
      </c>
      <c r="B69" s="354" t="str">
        <f>'Unit Data from Audit Worksheet'!C77</f>
        <v>General Fund-Rev, Exp. Change in Fund Balance</v>
      </c>
      <c r="C69" s="339" t="str">
        <f>'Unit Data from Audit Worksheet'!D77</f>
        <v>Total Intergovernmental revenue 
Include restricted and unrestricted revenues</v>
      </c>
      <c r="D69" s="141"/>
      <c r="E69" s="360">
        <f>'Unit Data from Audit Worksheet'!F77</f>
        <v>0</v>
      </c>
      <c r="F69" s="353"/>
      <c r="G69" s="355"/>
      <c r="H69" s="352">
        <f>'Unit Data from Audit Worksheet'!I77</f>
        <v>0</v>
      </c>
      <c r="I69" s="38"/>
      <c r="J69" s="351">
        <v>369</v>
      </c>
      <c r="K69" s="350" t="s">
        <v>205</v>
      </c>
      <c r="L69" s="599">
        <f t="shared" si="9"/>
        <v>0</v>
      </c>
      <c r="P69" s="322"/>
      <c r="W69" s="3" t="b">
        <f t="shared" ref="W69:W132" si="10">EXACT(A69,J69)</f>
        <v>1</v>
      </c>
      <c r="X69" s="596">
        <f t="shared" si="1"/>
        <v>0</v>
      </c>
      <c r="Y69" s="596">
        <f t="shared" si="2"/>
        <v>0</v>
      </c>
    </row>
    <row r="70" spans="1:27" ht="73.5" customHeight="1" x14ac:dyDescent="0.3">
      <c r="A70" s="340">
        <f>'Unit Data from Audit Worksheet'!A78</f>
        <v>16</v>
      </c>
      <c r="B70" s="354" t="str">
        <f>'Unit Data from Audit Worksheet'!C78</f>
        <v>General Fund-Rev, Exp. Change in Fund Balance</v>
      </c>
      <c r="C70" s="339" t="str">
        <f>'Unit Data from Audit Worksheet'!D78</f>
        <v>Total revenues</v>
      </c>
      <c r="D70" s="141"/>
      <c r="E70" s="360">
        <f>'Unit Data from Audit Worksheet'!F78</f>
        <v>0</v>
      </c>
      <c r="F70" s="353"/>
      <c r="G70" s="355"/>
      <c r="H70" s="352">
        <f>'Unit Data from Audit Worksheet'!I78</f>
        <v>0</v>
      </c>
      <c r="I70" s="38"/>
      <c r="J70" s="351">
        <v>16</v>
      </c>
      <c r="K70" s="350" t="s">
        <v>206</v>
      </c>
      <c r="L70" s="599">
        <f t="shared" si="9"/>
        <v>0</v>
      </c>
      <c r="P70" s="322"/>
      <c r="W70" s="3" t="b">
        <f t="shared" si="10"/>
        <v>1</v>
      </c>
      <c r="X70" s="596">
        <f t="shared" si="1"/>
        <v>0</v>
      </c>
      <c r="Y70" s="596">
        <f t="shared" si="2"/>
        <v>0</v>
      </c>
    </row>
    <row r="71" spans="1:27" ht="73.5" customHeight="1" x14ac:dyDescent="0.3">
      <c r="A71" s="340">
        <f>'Unit Data from Audit Worksheet'!A79</f>
        <v>370</v>
      </c>
      <c r="B71" s="354" t="str">
        <f>'Unit Data from Audit Worksheet'!C79</f>
        <v>General Fund-Rev, Exp. Change in Fund Balance</v>
      </c>
      <c r="C71" s="339" t="str">
        <f>'Unit Data from Audit Worksheet'!D79</f>
        <v>Debt service expenditures. 
Include principal, interest paid, and bond/debt issuance costs on long-term debt</v>
      </c>
      <c r="D71" s="141"/>
      <c r="E71" s="360">
        <f>'Unit Data from Audit Worksheet'!F79</f>
        <v>0</v>
      </c>
      <c r="F71" s="353">
        <f t="shared" ref="F71:F77" si="11">IF(L71&lt;0,"Error: Enter as a positive.",)</f>
        <v>0</v>
      </c>
      <c r="G71" s="355"/>
      <c r="H71" s="352">
        <f>'Unit Data from Audit Worksheet'!I79</f>
        <v>0</v>
      </c>
      <c r="I71" s="38"/>
      <c r="J71" s="351">
        <v>370</v>
      </c>
      <c r="K71" s="350" t="s">
        <v>207</v>
      </c>
      <c r="L71" s="599">
        <f t="shared" si="9"/>
        <v>0</v>
      </c>
      <c r="P71" s="322"/>
      <c r="W71" s="3" t="b">
        <f t="shared" si="10"/>
        <v>1</v>
      </c>
      <c r="X71" s="596">
        <f t="shared" si="1"/>
        <v>0</v>
      </c>
      <c r="Y71" s="596">
        <f t="shared" si="2"/>
        <v>0</v>
      </c>
    </row>
    <row r="72" spans="1:27" ht="73.5" customHeight="1" x14ac:dyDescent="0.3">
      <c r="A72" s="340">
        <f>'Unit Data from Audit Worksheet'!A80</f>
        <v>532</v>
      </c>
      <c r="B72" s="354" t="str">
        <f>'Unit Data from Audit Worksheet'!C80</f>
        <v>General Fund-Rev, Exp. Change in Fund Balance</v>
      </c>
      <c r="C72" s="339" t="str">
        <f>'Unit Data from Audit Worksheet'!D80</f>
        <v xml:space="preserve">Total expenditures  
Exclude expenditures in the "other financing sources (uses)" section.
</v>
      </c>
      <c r="D72" s="141"/>
      <c r="E72" s="360">
        <f>'Unit Data from Audit Worksheet'!F80</f>
        <v>0</v>
      </c>
      <c r="F72" s="353">
        <f t="shared" si="11"/>
        <v>0</v>
      </c>
      <c r="G72" s="355"/>
      <c r="H72" s="352">
        <f>'Unit Data from Audit Worksheet'!I80</f>
        <v>0</v>
      </c>
      <c r="I72" s="38"/>
      <c r="J72" s="351">
        <v>532</v>
      </c>
      <c r="K72" s="618" t="s">
        <v>208</v>
      </c>
      <c r="L72" s="599">
        <f t="shared" si="9"/>
        <v>0</v>
      </c>
      <c r="P72" s="322"/>
      <c r="W72" s="3" t="b">
        <f t="shared" si="10"/>
        <v>1</v>
      </c>
      <c r="X72" s="596">
        <f t="shared" si="1"/>
        <v>0</v>
      </c>
      <c r="Y72" s="596">
        <f t="shared" si="2"/>
        <v>0</v>
      </c>
    </row>
    <row r="73" spans="1:27" ht="73.5" customHeight="1" x14ac:dyDescent="0.3">
      <c r="A73" s="340">
        <f>'Unit Data from Audit Worksheet'!A81</f>
        <v>17</v>
      </c>
      <c r="B73" s="354" t="str">
        <f>'Unit Data from Audit Worksheet'!C81</f>
        <v>General Fund-Rev, Exp. Change in Fund Balance</v>
      </c>
      <c r="C73" s="339" t="str">
        <f>'Unit Data from Audit Worksheet'!D81</f>
        <v>Total Transfers in    (Preference is that transfers-in  are not netted against transfers-out)</v>
      </c>
      <c r="D73" s="141"/>
      <c r="E73" s="360">
        <f>'Unit Data from Audit Worksheet'!F81</f>
        <v>0</v>
      </c>
      <c r="F73" s="353">
        <f t="shared" si="11"/>
        <v>0</v>
      </c>
      <c r="G73" s="355"/>
      <c r="H73" s="352">
        <f>'Unit Data from Audit Worksheet'!I81</f>
        <v>0</v>
      </c>
      <c r="I73" s="38"/>
      <c r="J73" s="351">
        <v>17</v>
      </c>
      <c r="K73" s="350" t="s">
        <v>209</v>
      </c>
      <c r="L73" s="599">
        <f t="shared" si="9"/>
        <v>0</v>
      </c>
      <c r="P73" s="322"/>
      <c r="W73" s="3" t="b">
        <f t="shared" si="10"/>
        <v>1</v>
      </c>
      <c r="X73" s="596">
        <f t="shared" si="1"/>
        <v>0</v>
      </c>
      <c r="Y73" s="596">
        <f t="shared" si="2"/>
        <v>0</v>
      </c>
    </row>
    <row r="74" spans="1:27" ht="54.75" customHeight="1" x14ac:dyDescent="0.3">
      <c r="A74" s="340">
        <f>'Unit Data from Audit Worksheet'!A82</f>
        <v>20</v>
      </c>
      <c r="B74" s="354" t="str">
        <f>'Unit Data from Audit Worksheet'!C82</f>
        <v>General Fund-Rev, Exp. Change in Fund Balance</v>
      </c>
      <c r="C74" s="339" t="str">
        <f>'Unit Data from Audit Worksheet'!D82</f>
        <v>Total Transfers out    (Preference is that transfers-in  are not netted against transfers-out)</v>
      </c>
      <c r="D74" s="141"/>
      <c r="E74" s="360">
        <f>'Unit Data from Audit Worksheet'!F82</f>
        <v>0</v>
      </c>
      <c r="F74" s="353">
        <f t="shared" si="11"/>
        <v>0</v>
      </c>
      <c r="G74" s="355"/>
      <c r="H74" s="352">
        <f>'Unit Data from Audit Worksheet'!I82</f>
        <v>0</v>
      </c>
      <c r="I74" s="38"/>
      <c r="J74" s="351">
        <v>20</v>
      </c>
      <c r="K74" s="350" t="s">
        <v>210</v>
      </c>
      <c r="L74" s="599">
        <f t="shared" si="9"/>
        <v>0</v>
      </c>
      <c r="P74" s="322"/>
      <c r="W74" s="3" t="b">
        <f t="shared" si="10"/>
        <v>1</v>
      </c>
      <c r="X74" s="596">
        <f t="shared" si="1"/>
        <v>0</v>
      </c>
      <c r="Y74" s="596">
        <f t="shared" si="2"/>
        <v>0</v>
      </c>
    </row>
    <row r="75" spans="1:27" ht="54.75" customHeight="1" x14ac:dyDescent="0.3">
      <c r="A75" s="340">
        <f>'Unit Data from Audit Worksheet'!A83</f>
        <v>533</v>
      </c>
      <c r="B75" s="354" t="str">
        <f>'Unit Data from Audit Worksheet'!C83</f>
        <v>General Fund-Rev, Exp. Change in Fund Balance</v>
      </c>
      <c r="C75" s="339" t="str">
        <f>'Unit Data from Audit Worksheet'!D83</f>
        <v>Total Proceeds from all long-term debt issuances 
Exclude proceeds from refundings</v>
      </c>
      <c r="D75" s="141"/>
      <c r="E75" s="360">
        <f>'Unit Data from Audit Worksheet'!F83</f>
        <v>0</v>
      </c>
      <c r="F75" s="353">
        <f t="shared" si="11"/>
        <v>0</v>
      </c>
      <c r="G75" s="355"/>
      <c r="H75" s="352">
        <f>'Unit Data from Audit Worksheet'!I83</f>
        <v>0</v>
      </c>
      <c r="I75" s="38"/>
      <c r="J75" s="351">
        <v>533</v>
      </c>
      <c r="K75" s="618" t="s">
        <v>211</v>
      </c>
      <c r="L75" s="599">
        <f t="shared" si="9"/>
        <v>0</v>
      </c>
      <c r="P75" s="322"/>
      <c r="W75" s="3" t="b">
        <f t="shared" si="10"/>
        <v>1</v>
      </c>
      <c r="X75" s="596">
        <f t="shared" si="1"/>
        <v>0</v>
      </c>
      <c r="Y75" s="596">
        <f t="shared" si="2"/>
        <v>0</v>
      </c>
    </row>
    <row r="76" spans="1:27" ht="54.75" customHeight="1" x14ac:dyDescent="0.3">
      <c r="A76" s="340">
        <f>'Unit Data from Audit Worksheet'!A84</f>
        <v>508</v>
      </c>
      <c r="B76" s="354" t="str">
        <f>'Unit Data from Audit Worksheet'!C84</f>
        <v>General Fund-Rev, Exp. Change in Fund Balance</v>
      </c>
      <c r="C76" s="339" t="str">
        <f>'Unit Data from Audit Worksheet'!D84</f>
        <v>Debt Refunding - Net refunding proceeds against debt payoff and if positive place results on this line.</v>
      </c>
      <c r="D76" s="141"/>
      <c r="E76" s="360">
        <f>'Unit Data from Audit Worksheet'!F84</f>
        <v>0</v>
      </c>
      <c r="F76" s="353">
        <f t="shared" si="11"/>
        <v>0</v>
      </c>
      <c r="G76" s="355"/>
      <c r="H76" s="352">
        <f>'Unit Data from Audit Worksheet'!I84</f>
        <v>0</v>
      </c>
      <c r="I76" s="38"/>
      <c r="J76" s="351">
        <v>508</v>
      </c>
      <c r="K76" s="350" t="s">
        <v>213</v>
      </c>
      <c r="L76" s="599">
        <f t="shared" si="9"/>
        <v>0</v>
      </c>
      <c r="P76" s="322"/>
      <c r="W76" s="3" t="b">
        <f t="shared" si="10"/>
        <v>1</v>
      </c>
      <c r="X76" s="596">
        <f t="shared" si="1"/>
        <v>0</v>
      </c>
      <c r="Y76" s="596">
        <f t="shared" si="2"/>
        <v>0</v>
      </c>
    </row>
    <row r="77" spans="1:27" ht="54.75" customHeight="1" x14ac:dyDescent="0.3">
      <c r="A77" s="340">
        <f>'Unit Data from Audit Worksheet'!A85</f>
        <v>509</v>
      </c>
      <c r="B77" s="354" t="str">
        <f>'Unit Data from Audit Worksheet'!C85</f>
        <v>General Fund-Rev, Exp. Change in Fund Balance</v>
      </c>
      <c r="C77" s="339" t="str">
        <f>'Unit Data from Audit Worksheet'!D85</f>
        <v>Debt Refunding - Net refunding proceeds against debt payoff and if negative place results on this line.</v>
      </c>
      <c r="D77" s="141"/>
      <c r="E77" s="360">
        <f>'Unit Data from Audit Worksheet'!F85</f>
        <v>0</v>
      </c>
      <c r="F77" s="353">
        <f t="shared" si="11"/>
        <v>0</v>
      </c>
      <c r="G77" s="355"/>
      <c r="H77" s="352">
        <f>'Unit Data from Audit Worksheet'!I85</f>
        <v>0</v>
      </c>
      <c r="I77" s="38"/>
      <c r="J77" s="351">
        <v>509</v>
      </c>
      <c r="K77" s="350" t="s">
        <v>214</v>
      </c>
      <c r="L77" s="599">
        <f t="shared" si="9"/>
        <v>0</v>
      </c>
      <c r="P77" s="322"/>
      <c r="W77" s="3" t="b">
        <f t="shared" si="10"/>
        <v>1</v>
      </c>
      <c r="X77" s="596">
        <f t="shared" si="1"/>
        <v>0</v>
      </c>
      <c r="Y77" s="596">
        <f t="shared" si="2"/>
        <v>0</v>
      </c>
    </row>
    <row r="78" spans="1:27" ht="84.75" customHeight="1" x14ac:dyDescent="0.3">
      <c r="A78" s="340">
        <f>'Unit Data from Audit Worksheet'!A86</f>
        <v>22</v>
      </c>
      <c r="B78" s="354" t="str">
        <f>'Unit Data from Audit Worksheet'!C86</f>
        <v>General Fund-Rev, Exp. Change in Fund Balance</v>
      </c>
      <c r="C78" s="339" t="str">
        <f>'Unit Data from Audit Worksheet'!D86</f>
        <v xml:space="preserve">All other items on this statement that were not included in total revenues, total expenditures, transfers in or out, or proceeds from long-term debt above.  </v>
      </c>
      <c r="D78" s="141"/>
      <c r="E78" s="360">
        <f>'Unit Data from Audit Worksheet'!F86</f>
        <v>0</v>
      </c>
      <c r="F78" s="353"/>
      <c r="G78" s="355"/>
      <c r="H78" s="352">
        <f>'Unit Data from Audit Worksheet'!I86</f>
        <v>0</v>
      </c>
      <c r="I78" s="38"/>
      <c r="J78" s="351">
        <v>22</v>
      </c>
      <c r="K78" s="350" t="s">
        <v>212</v>
      </c>
      <c r="L78" s="599">
        <f t="shared" si="9"/>
        <v>0</v>
      </c>
      <c r="P78" s="322"/>
      <c r="W78" s="3" t="b">
        <f t="shared" si="10"/>
        <v>1</v>
      </c>
      <c r="X78" s="596">
        <f t="shared" si="1"/>
        <v>0</v>
      </c>
      <c r="Y78" s="596">
        <f t="shared" si="2"/>
        <v>0</v>
      </c>
    </row>
    <row r="79" spans="1:27" ht="74.25" customHeight="1" x14ac:dyDescent="0.3">
      <c r="A79" s="340">
        <f>'Unit Data from Audit Worksheet'!A87</f>
        <v>23</v>
      </c>
      <c r="B79" s="354" t="str">
        <f>'Unit Data from Audit Worksheet'!C87</f>
        <v>General Fund-Rev, Exp. Change in Fund Balance</v>
      </c>
      <c r="C79" s="339" t="str">
        <f>'Unit Data from Audit Worksheet'!D87</f>
        <v>Change in fund balance - (Increase in Fund balance is recorded as a positive and a decrease in fund balance is recorded as a negative)</v>
      </c>
      <c r="D79" s="141"/>
      <c r="E79" s="360">
        <f>'Unit Data from Audit Worksheet'!F87</f>
        <v>0</v>
      </c>
      <c r="F79" s="353">
        <f>IF(+L70-L72+L73-L74+L75+L76-L77+L78-L79=0,,"Error:Total revenues less toal Expenditures do not equal change in fund balance")</f>
        <v>0</v>
      </c>
      <c r="G79" s="89">
        <f>+L70-L72+L73-L74+L75+L78+L76-L77-L79</f>
        <v>0</v>
      </c>
      <c r="H79" s="352">
        <f>'Unit Data from Audit Worksheet'!I87</f>
        <v>0</v>
      </c>
      <c r="I79" s="38"/>
      <c r="J79" s="351">
        <v>23</v>
      </c>
      <c r="K79" s="350" t="s">
        <v>215</v>
      </c>
      <c r="L79" s="599">
        <f t="shared" si="9"/>
        <v>0</v>
      </c>
      <c r="P79" s="322"/>
      <c r="Q79" s="589">
        <f>IF(G79&lt;&gt;0,1,0)</f>
        <v>0</v>
      </c>
      <c r="W79" s="3" t="b">
        <f t="shared" si="10"/>
        <v>1</v>
      </c>
      <c r="X79" s="596">
        <f t="shared" si="1"/>
        <v>0</v>
      </c>
      <c r="Y79" s="596">
        <f t="shared" si="2"/>
        <v>0</v>
      </c>
    </row>
    <row r="80" spans="1:27" ht="123" customHeight="1" x14ac:dyDescent="0.3">
      <c r="A80" s="611">
        <f>'Unit Data from Audit Worksheet'!A89</f>
        <v>507</v>
      </c>
      <c r="B80" s="114" t="str">
        <f>'Unit Data from Audit Worksheet'!C89</f>
        <v>General Fund-Rev, Exp. Change in Fund Balance</v>
      </c>
      <c r="C80" s="332" t="str">
        <f>'Unit Data from Audit Worksheet'!D89</f>
        <v>Any adjustment to beginning fund balance including rounding, prior period adjustments and restatements.   (Amounts that increase fund balance are recorded as positive and amounts that decrease fund balance are recorded as negative)</v>
      </c>
      <c r="D80" s="107"/>
      <c r="E80" s="152">
        <f>'Unit Data from Audit Worksheet'!F89</f>
        <v>0</v>
      </c>
      <c r="F80" s="108" t="e">
        <f>IF(+L65-L79-L80=O65,,"Error: Beginning Fund Bal does not equal our records Accts 9-23-507= PY9")</f>
        <v>#N/A</v>
      </c>
      <c r="G80" s="119" t="e">
        <f>L65-L79-L80-O65</f>
        <v>#N/A</v>
      </c>
      <c r="H80" s="110" t="str">
        <f>'Unit Data from Audit Worksheet'!I89</f>
        <v>Please do not enter prior's years beginning balance as an adjustment in column F.</v>
      </c>
      <c r="I80" s="38"/>
      <c r="J80" s="102">
        <v>507</v>
      </c>
      <c r="K80" s="44" t="s">
        <v>216</v>
      </c>
      <c r="L80" s="599">
        <f t="shared" si="9"/>
        <v>0</v>
      </c>
      <c r="N80" s="608"/>
      <c r="O80" s="607"/>
      <c r="P80" s="323"/>
      <c r="Q80" s="589" t="e">
        <f>IF(G80&lt;&gt;0,1,0)</f>
        <v>#N/A</v>
      </c>
      <c r="W80" s="3" t="b">
        <f t="shared" si="10"/>
        <v>1</v>
      </c>
      <c r="X80" s="596">
        <f t="shared" si="1"/>
        <v>0</v>
      </c>
      <c r="Y80" s="596">
        <f t="shared" si="2"/>
        <v>0</v>
      </c>
    </row>
    <row r="81" spans="1:26" ht="123" customHeight="1" x14ac:dyDescent="0.3">
      <c r="A81" s="611">
        <f>'Unit Data from Audit Worksheet'!A90</f>
        <v>147</v>
      </c>
      <c r="B81" s="114" t="str">
        <f>'Unit Data from Audit Worksheet'!C90</f>
        <v>General Fund-Rev, Exp. Change in Fund Balance or General Fund Budget Actual</v>
      </c>
      <c r="C81" s="332" t="str">
        <f>'Unit Data from Audit Worksheet'!D90</f>
        <v>Local Current Expense sent to Boards of Education (some units present this information in the detailed general fund statements after the notes)
Exclude: amounts for community colleges and 
                  supplemental taxes
Include: amounts spent on resource officers, 
                  nurses and Timber receipts</v>
      </c>
      <c r="D81" s="363"/>
      <c r="E81" s="152">
        <f>'Unit Data from Audit Worksheet'!F90</f>
        <v>0</v>
      </c>
      <c r="F81" s="356"/>
      <c r="G81" s="364"/>
      <c r="H81" s="356"/>
      <c r="I81" s="38"/>
      <c r="J81" s="365">
        <v>147</v>
      </c>
      <c r="K81" s="357" t="s">
        <v>372</v>
      </c>
      <c r="L81" s="599">
        <f t="shared" si="9"/>
        <v>0</v>
      </c>
      <c r="N81" s="608"/>
      <c r="O81" s="607"/>
      <c r="P81" s="331"/>
      <c r="W81" s="3" t="b">
        <f t="shared" si="10"/>
        <v>1</v>
      </c>
      <c r="X81" s="596"/>
      <c r="Y81" s="596"/>
    </row>
    <row r="82" spans="1:26" ht="123" customHeight="1" x14ac:dyDescent="0.3">
      <c r="A82" s="611">
        <f>'Unit Data from Audit Worksheet'!A91</f>
        <v>585</v>
      </c>
      <c r="B82" s="114" t="str">
        <f>'Unit Data from Audit Worksheet'!C91</f>
        <v>General Fund-Rev, Exp. Change in Fund Balance or General Fund Budget Actual</v>
      </c>
      <c r="C82" s="601" t="str">
        <f>'Unit Data from Audit Worksheet'!D91</f>
        <v xml:space="preserve">How much of the above number in account 147 is from Timber Receipts sent to the schools </v>
      </c>
      <c r="D82" s="363"/>
      <c r="E82" s="152">
        <f>'Unit Data from Audit Worksheet'!F91</f>
        <v>0</v>
      </c>
      <c r="F82" s="356"/>
      <c r="G82" s="364"/>
      <c r="H82" s="356"/>
      <c r="I82" s="38"/>
      <c r="J82" s="365">
        <v>585</v>
      </c>
      <c r="K82" s="368" t="s">
        <v>661</v>
      </c>
      <c r="L82" s="599">
        <f t="shared" si="9"/>
        <v>0</v>
      </c>
      <c r="N82" s="608"/>
      <c r="O82" s="607"/>
      <c r="P82" s="331"/>
      <c r="W82" s="3" t="b">
        <f t="shared" si="10"/>
        <v>1</v>
      </c>
      <c r="X82" s="596"/>
      <c r="Y82" s="596"/>
    </row>
    <row r="83" spans="1:26" ht="123" customHeight="1" x14ac:dyDescent="0.3">
      <c r="A83" s="611">
        <f>'Unit Data from Audit Worksheet'!A92</f>
        <v>546</v>
      </c>
      <c r="B83" s="114" t="str">
        <f>'Unit Data from Audit Worksheet'!C92</f>
        <v>General Fund-Rev, Exp. Change in Fund Balance or General Fund Budget Actual</v>
      </c>
      <c r="C83" s="601" t="str">
        <f>'Unit Data from Audit Worksheet'!D92</f>
        <v>Amount of Supplemental School Tax revenue recorded in the governmental funds.</v>
      </c>
      <c r="D83" s="363"/>
      <c r="E83" s="152">
        <f>'Unit Data from Audit Worksheet'!F92</f>
        <v>0</v>
      </c>
      <c r="F83" s="356"/>
      <c r="G83" s="364"/>
      <c r="H83" s="356"/>
      <c r="I83" s="38"/>
      <c r="J83" s="365">
        <v>546</v>
      </c>
      <c r="K83" s="368" t="s">
        <v>854</v>
      </c>
      <c r="L83" s="599">
        <f t="shared" si="9"/>
        <v>0</v>
      </c>
      <c r="N83" s="608"/>
      <c r="O83" s="607"/>
      <c r="P83" s="331"/>
      <c r="W83" s="3" t="b">
        <f t="shared" si="10"/>
        <v>1</v>
      </c>
      <c r="X83" s="596"/>
      <c r="Y83" s="596"/>
    </row>
    <row r="84" spans="1:26" ht="123" customHeight="1" x14ac:dyDescent="0.3">
      <c r="A84" s="611">
        <f>'Unit Data from Audit Worksheet'!A93</f>
        <v>589</v>
      </c>
      <c r="B84" s="114" t="str">
        <f>'Unit Data from Audit Worksheet'!C93</f>
        <v>General Fund-Rev, Exp. Change in Fund Balance or General Fund Budget Actual</v>
      </c>
      <c r="C84" s="601" t="str">
        <f>'Unit Data from Audit Worksheet'!D93</f>
        <v>Amount of Supplemental School Tax revenue recorded in agency funds.</v>
      </c>
      <c r="D84" s="363"/>
      <c r="E84" s="152">
        <f>'Unit Data from Audit Worksheet'!F93</f>
        <v>0</v>
      </c>
      <c r="F84" s="356"/>
      <c r="G84" s="364"/>
      <c r="H84" s="356"/>
      <c r="I84" s="38"/>
      <c r="J84" s="365">
        <v>589</v>
      </c>
      <c r="K84" s="121" t="s">
        <v>1272</v>
      </c>
      <c r="L84" s="599">
        <f t="shared" si="9"/>
        <v>0</v>
      </c>
      <c r="N84" s="608"/>
      <c r="O84" s="607"/>
      <c r="P84" s="331"/>
      <c r="W84" s="3" t="b">
        <f t="shared" si="10"/>
        <v>1</v>
      </c>
      <c r="X84" s="596"/>
      <c r="Y84" s="596"/>
    </row>
    <row r="85" spans="1:26" ht="123" customHeight="1" x14ac:dyDescent="0.3">
      <c r="A85" s="611">
        <f>'Unit Data from Audit Worksheet'!A94</f>
        <v>149</v>
      </c>
      <c r="B85" s="114" t="str">
        <f>'Unit Data from Audit Worksheet'!C94</f>
        <v>General Fund-Rev, Exp. Change in Fund Balance or General Fund Budget Actual</v>
      </c>
      <c r="C85" s="601" t="str">
        <f>'Unit Data from Audit Worksheet'!D94</f>
        <v>Local Current Expense Revenue from the County (Enter as a positive) 
Exclude: supplemental taxes
Include: Timber Receipts, amounts spent on 
                  resource officers and nurses, etc.  
                  Amount must agree with the amount
                  reported in the County Audit Report</v>
      </c>
      <c r="D85" s="363"/>
      <c r="E85" s="152">
        <f>'Unit Data from Audit Worksheet'!F94</f>
        <v>0</v>
      </c>
      <c r="F85" s="356"/>
      <c r="G85" s="364"/>
      <c r="H85" s="356"/>
      <c r="I85" s="38"/>
      <c r="J85" s="365">
        <v>149</v>
      </c>
      <c r="K85" s="251" t="s">
        <v>376</v>
      </c>
      <c r="L85" s="599">
        <f t="shared" si="9"/>
        <v>0</v>
      </c>
      <c r="N85" s="608"/>
      <c r="O85" s="607"/>
      <c r="P85" s="331"/>
      <c r="W85" s="3" t="b">
        <f t="shared" si="10"/>
        <v>1</v>
      </c>
      <c r="X85" s="596"/>
      <c r="Y85" s="596"/>
      <c r="Z85" s="3" t="s">
        <v>1363</v>
      </c>
    </row>
    <row r="86" spans="1:26" ht="123" customHeight="1" x14ac:dyDescent="0.3">
      <c r="A86" s="611">
        <f>'Unit Data from Audit Worksheet'!A95</f>
        <v>150</v>
      </c>
      <c r="B86" s="114" t="str">
        <f>'Unit Data from Audit Worksheet'!C95</f>
        <v>General Fund-Rev, Exp. Change in Fund Balance or General Fund Budget Actual</v>
      </c>
      <c r="C86" s="601" t="str">
        <f>'Unit Data from Audit Worksheet'!D95</f>
        <v xml:space="preserve">Capital Outlay revenue from the County and budgeted by the County as Capital Outlay reported in the School Capital Outlay fund or the local current expense fund.  (capitalization policies might be different between the Schools and County)
</v>
      </c>
      <c r="D86" s="363"/>
      <c r="E86" s="152">
        <f>'Unit Data from Audit Worksheet'!F95</f>
        <v>0</v>
      </c>
      <c r="F86" s="356"/>
      <c r="G86" s="364"/>
      <c r="H86" s="356"/>
      <c r="I86" s="38"/>
      <c r="J86" s="365">
        <v>150</v>
      </c>
      <c r="K86" s="251" t="s">
        <v>854</v>
      </c>
      <c r="L86" s="599">
        <f t="shared" si="9"/>
        <v>0</v>
      </c>
      <c r="N86" s="608"/>
      <c r="O86" s="607"/>
      <c r="P86" s="331"/>
      <c r="W86" s="3" t="b">
        <f t="shared" si="10"/>
        <v>1</v>
      </c>
      <c r="X86" s="596"/>
      <c r="Y86" s="596"/>
      <c r="Z86" s="3" t="s">
        <v>1363</v>
      </c>
    </row>
    <row r="87" spans="1:26" ht="123" customHeight="1" x14ac:dyDescent="0.3">
      <c r="A87" s="611">
        <f>'Unit Data from Audit Worksheet'!A96</f>
        <v>587</v>
      </c>
      <c r="B87" s="114" t="str">
        <f>'Unit Data from Audit Worksheet'!C96</f>
        <v xml:space="preserve">Fund 8 Rev, Exp. Change in Fund Balance Rpt. </v>
      </c>
      <c r="C87" s="601" t="str">
        <f>'Unit Data from Audit Worksheet'!D96</f>
        <v>Amount of Local Current Expense Funds received from the County transferred to Fund 8 this year.</v>
      </c>
      <c r="D87" s="363"/>
      <c r="E87" s="152">
        <f>'Unit Data from Audit Worksheet'!F96</f>
        <v>0</v>
      </c>
      <c r="F87" s="356"/>
      <c r="G87" s="364"/>
      <c r="H87" s="356"/>
      <c r="I87" s="38"/>
      <c r="J87" s="365">
        <v>587</v>
      </c>
      <c r="K87" s="251" t="s">
        <v>665</v>
      </c>
      <c r="L87" s="599">
        <f t="shared" si="9"/>
        <v>0</v>
      </c>
      <c r="N87" s="608"/>
      <c r="O87" s="607"/>
      <c r="P87" s="331"/>
      <c r="W87" s="3" t="b">
        <f t="shared" si="10"/>
        <v>1</v>
      </c>
      <c r="X87" s="596"/>
      <c r="Y87" s="596"/>
      <c r="Z87" s="3" t="s">
        <v>1363</v>
      </c>
    </row>
    <row r="88" spans="1:26" ht="123" customHeight="1" x14ac:dyDescent="0.3">
      <c r="A88" s="611">
        <f>'Unit Data from Audit Worksheet'!A97</f>
        <v>588</v>
      </c>
      <c r="B88" s="114" t="str">
        <f>'Unit Data from Audit Worksheet'!C97</f>
        <v xml:space="preserve">Fund 8 Rev, Exp. Change in Fund Balance Rpt. </v>
      </c>
      <c r="C88" s="601" t="str">
        <f>'Unit Data from Audit Worksheet'!D97</f>
        <v>Amount of Capital Outlay Funds received from the County transferred to Fund 8 this year.</v>
      </c>
      <c r="D88" s="363"/>
      <c r="E88" s="152">
        <f>'Unit Data from Audit Worksheet'!F97</f>
        <v>0</v>
      </c>
      <c r="F88" s="356"/>
      <c r="G88" s="364"/>
      <c r="H88" s="356"/>
      <c r="I88" s="38"/>
      <c r="J88" s="365">
        <v>588</v>
      </c>
      <c r="K88" s="251" t="s">
        <v>667</v>
      </c>
      <c r="L88" s="599">
        <f t="shared" si="9"/>
        <v>0</v>
      </c>
      <c r="N88" s="608"/>
      <c r="O88" s="607"/>
      <c r="P88" s="331"/>
      <c r="W88" s="3" t="b">
        <f t="shared" si="10"/>
        <v>1</v>
      </c>
      <c r="X88" s="596"/>
      <c r="Y88" s="596"/>
      <c r="Z88" s="3" t="s">
        <v>1363</v>
      </c>
    </row>
    <row r="89" spans="1:26" s="18" customFormat="1" ht="40.5" customHeight="1" x14ac:dyDescent="0.3">
      <c r="A89" s="313">
        <f>'Unit Data from Audit Worksheet'!A98</f>
        <v>647</v>
      </c>
      <c r="B89" s="367" t="str">
        <f>'Unit Data from Audit Worksheet'!C98</f>
        <v>Debt Service Fund</v>
      </c>
      <c r="C89" s="313" t="str">
        <f>'Unit Data from Audit Worksheet'!D98</f>
        <v>Please enter the Total Fund Balance for any Debt Service Funds</v>
      </c>
      <c r="D89" s="113"/>
      <c r="E89" s="366">
        <f>'Unit Data from Audit Worksheet'!F98</f>
        <v>0</v>
      </c>
      <c r="F89" s="348"/>
      <c r="G89" s="343"/>
      <c r="H89" s="348">
        <f>'Unit Data from Audit Worksheet'!I98</f>
        <v>0</v>
      </c>
      <c r="I89" s="612"/>
      <c r="J89" s="347">
        <v>647</v>
      </c>
      <c r="K89" s="316" t="s">
        <v>1575</v>
      </c>
      <c r="L89" s="613">
        <f>IF(D89="",E89,D89)</f>
        <v>0</v>
      </c>
      <c r="M89" s="603"/>
      <c r="N89" s="603"/>
      <c r="O89" s="619"/>
      <c r="P89" s="324"/>
      <c r="Q89" s="604"/>
      <c r="R89" s="3"/>
      <c r="S89" s="603"/>
      <c r="T89" s="603"/>
      <c r="U89" s="603"/>
      <c r="V89" s="603"/>
      <c r="W89" s="18" t="b">
        <f t="shared" si="10"/>
        <v>1</v>
      </c>
      <c r="X89" s="605">
        <f t="shared" si="1"/>
        <v>0</v>
      </c>
      <c r="Y89" s="605">
        <f t="shared" si="2"/>
        <v>0</v>
      </c>
    </row>
    <row r="90" spans="1:26" s="18" customFormat="1" ht="66" customHeight="1" x14ac:dyDescent="0.3">
      <c r="A90" s="313">
        <f>'Unit Data from Audit Worksheet'!A100</f>
        <v>148</v>
      </c>
      <c r="B90" s="367" t="str">
        <f>'Unit Data from Audit Worksheet'!C100</f>
        <v>All Gov. Funds Rev, Exp. Change in Fund Balance</v>
      </c>
      <c r="C90" s="346" t="str">
        <f>'Unit Data from Audit Worksheet'!D100</f>
        <v>Capital Outlay contributions to the BOEs (include amounts from general fund, capital project funds and any other fund sent to the BOE as part of capital outlay)</v>
      </c>
      <c r="D90" s="363"/>
      <c r="E90" s="366">
        <f>'Unit Data from Audit Worksheet'!F100</f>
        <v>0</v>
      </c>
      <c r="F90" s="356"/>
      <c r="G90" s="364"/>
      <c r="H90" s="356"/>
      <c r="I90" s="38"/>
      <c r="J90" s="365">
        <v>148</v>
      </c>
      <c r="K90" s="357" t="s">
        <v>374</v>
      </c>
      <c r="L90" s="599">
        <f t="shared" si="9"/>
        <v>0</v>
      </c>
      <c r="M90" s="620"/>
      <c r="N90" s="620"/>
      <c r="O90" s="621"/>
      <c r="P90" s="331"/>
      <c r="Q90" s="622"/>
      <c r="R90" s="3"/>
      <c r="S90" s="620"/>
      <c r="T90" s="620"/>
      <c r="U90" s="620"/>
      <c r="V90" s="620"/>
      <c r="W90" s="620" t="b">
        <f t="shared" si="10"/>
        <v>1</v>
      </c>
      <c r="X90" s="605"/>
      <c r="Y90" s="605"/>
    </row>
    <row r="91" spans="1:26" ht="60" customHeight="1" x14ac:dyDescent="0.3">
      <c r="A91" s="597">
        <f>'Unit Data from Audit Worksheet'!A101</f>
        <v>171</v>
      </c>
      <c r="B91" s="54" t="str">
        <f>'Unit Data from Audit Worksheet'!C101</f>
        <v>Fund Statements - all Governmental Funds</v>
      </c>
      <c r="C91" s="598" t="str">
        <f>'Unit Data from Audit Worksheet'!D101</f>
        <v>Debt service expenditures from all governmental funds.  Include principal, interest paid, and debt issuance costs on long-term debt.</v>
      </c>
      <c r="D91" s="359"/>
      <c r="E91" s="149">
        <f>'Unit Data from Audit Worksheet'!F101</f>
        <v>0</v>
      </c>
      <c r="F91" s="47">
        <f>IF(L91&lt;0,"Error: Enter as a positive.",)</f>
        <v>0</v>
      </c>
      <c r="G91" s="70"/>
      <c r="H91" s="352">
        <f>'Unit Data from Audit Worksheet'!I101</f>
        <v>0</v>
      </c>
      <c r="I91" s="38"/>
      <c r="J91" s="42">
        <v>171</v>
      </c>
      <c r="K91" s="51" t="s">
        <v>217</v>
      </c>
      <c r="L91" s="599">
        <f t="shared" si="9"/>
        <v>0</v>
      </c>
      <c r="P91" s="321"/>
      <c r="W91" s="3" t="b">
        <f t="shared" si="10"/>
        <v>1</v>
      </c>
      <c r="X91" s="596">
        <f t="shared" si="1"/>
        <v>0</v>
      </c>
      <c r="Y91" s="596">
        <f t="shared" si="2"/>
        <v>0</v>
      </c>
    </row>
    <row r="92" spans="1:26" s="738" customFormat="1" ht="60" customHeight="1" x14ac:dyDescent="0.3">
      <c r="A92" s="597">
        <f>'Unit Data from Audit Worksheet'!A103</f>
        <v>36</v>
      </c>
      <c r="B92" s="54" t="str">
        <f>'Unit Data from Audit Worksheet'!C103</f>
        <v>Net Position</v>
      </c>
      <c r="C92" s="598" t="str">
        <f>'Unit Data from Audit Worksheet'!D103</f>
        <v>Total Gross Capital Assets - without accumulated depreciation</v>
      </c>
      <c r="D92" s="359"/>
      <c r="E92" s="149">
        <f>'Unit Data from Audit Worksheet'!F103</f>
        <v>0</v>
      </c>
      <c r="F92" s="47"/>
      <c r="G92" s="70"/>
      <c r="H92" s="352"/>
      <c r="I92" s="740"/>
      <c r="J92" s="42">
        <v>36</v>
      </c>
      <c r="K92" s="51" t="s">
        <v>1420</v>
      </c>
      <c r="L92" s="599">
        <f t="shared" si="9"/>
        <v>0</v>
      </c>
      <c r="P92" s="321"/>
      <c r="Q92" s="589"/>
      <c r="W92" s="620" t="b">
        <f t="shared" si="10"/>
        <v>1</v>
      </c>
      <c r="X92" s="596"/>
      <c r="Y92" s="596"/>
    </row>
    <row r="93" spans="1:26" s="738" customFormat="1" ht="60" customHeight="1" x14ac:dyDescent="0.3">
      <c r="A93" s="597">
        <f>'Unit Data from Audit Worksheet'!A104</f>
        <v>534</v>
      </c>
      <c r="B93" s="54" t="str">
        <f>'Unit Data from Audit Worksheet'!C104</f>
        <v>Net Position</v>
      </c>
      <c r="C93" s="598" t="str">
        <f>'Unit Data from Audit Worksheet'!D104</f>
        <v>Combined Totals of all Proprietary Funds - Amount of Inventories and Prepaids in current assets</v>
      </c>
      <c r="D93" s="359"/>
      <c r="E93" s="149">
        <f>'Unit Data from Audit Worksheet'!F104</f>
        <v>0</v>
      </c>
      <c r="F93" s="47"/>
      <c r="G93" s="70"/>
      <c r="H93" s="352"/>
      <c r="I93" s="740"/>
      <c r="J93" s="42">
        <v>534</v>
      </c>
      <c r="K93" s="51" t="s">
        <v>275</v>
      </c>
      <c r="L93" s="599">
        <f t="shared" si="9"/>
        <v>0</v>
      </c>
      <c r="P93" s="321"/>
      <c r="Q93" s="589"/>
      <c r="W93" s="620" t="b">
        <f t="shared" si="10"/>
        <v>1</v>
      </c>
      <c r="X93" s="596"/>
      <c r="Y93" s="596"/>
    </row>
    <row r="94" spans="1:26" ht="60" customHeight="1" x14ac:dyDescent="0.3">
      <c r="A94" s="597">
        <f>'Unit Data from Audit Worksheet'!A105</f>
        <v>13</v>
      </c>
      <c r="B94" s="54" t="str">
        <f>'Unit Data from Audit Worksheet'!C105</f>
        <v>Combined Proprietary Funds - Net Position</v>
      </c>
      <c r="C94" s="598" t="str">
        <f>'Unit Data from Audit Worksheet'!D105</f>
        <v>Comb-Proprietary Funds-Current Assets 
Exclude: any restricted assets
                  deferred outflows</v>
      </c>
      <c r="D94" s="359"/>
      <c r="E94" s="149">
        <f>'Unit Data from Audit Worksheet'!F105</f>
        <v>0</v>
      </c>
      <c r="F94" s="47"/>
      <c r="G94" s="70"/>
      <c r="H94" s="352"/>
      <c r="I94" s="38"/>
      <c r="J94" s="42">
        <v>13</v>
      </c>
      <c r="K94" s="51" t="s">
        <v>1351</v>
      </c>
      <c r="L94" s="599">
        <f t="shared" si="9"/>
        <v>0</v>
      </c>
      <c r="P94" s="321"/>
      <c r="X94" s="596"/>
      <c r="Y94" s="596"/>
    </row>
    <row r="95" spans="1:26" ht="60" customHeight="1" x14ac:dyDescent="0.3">
      <c r="A95" s="597">
        <f>'Unit Data from Audit Worksheet'!A106</f>
        <v>14</v>
      </c>
      <c r="B95" s="54" t="str">
        <f>'Unit Data from Audit Worksheet'!C106</f>
        <v>Combined Proprietary Funds - Net Position</v>
      </c>
      <c r="C95" s="598" t="str">
        <f>'Unit Data from Audit Worksheet'!D106</f>
        <v>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v>
      </c>
      <c r="D95" s="359"/>
      <c r="E95" s="149">
        <f>'Unit Data from Audit Worksheet'!F106</f>
        <v>0</v>
      </c>
      <c r="F95" s="47"/>
      <c r="G95" s="70"/>
      <c r="H95" s="352"/>
      <c r="I95" s="38"/>
      <c r="J95" s="42">
        <v>14</v>
      </c>
      <c r="K95" s="51" t="s">
        <v>1352</v>
      </c>
      <c r="L95" s="599">
        <f t="shared" si="9"/>
        <v>0</v>
      </c>
      <c r="P95" s="321"/>
      <c r="X95" s="596"/>
      <c r="Y95" s="596"/>
    </row>
    <row r="96" spans="1:26" s="738" customFormat="1" ht="60" customHeight="1" x14ac:dyDescent="0.3">
      <c r="A96" s="597">
        <f>'Unit Data from Audit Worksheet'!A107</f>
        <v>571</v>
      </c>
      <c r="B96" s="54" t="str">
        <f>'Unit Data from Audit Worksheet'!C107</f>
        <v>Statement of Net Position - combined totals from all Proprietary Funds</v>
      </c>
      <c r="C96" s="598" t="str">
        <f>'Unit Data from Audit Worksheet'!D107</f>
        <v>Mental Health Net Position - Net Investment in Capital Assets</v>
      </c>
      <c r="D96" s="359"/>
      <c r="E96" s="149">
        <f>'Unit Data from Audit Worksheet'!F107</f>
        <v>0</v>
      </c>
      <c r="F96" s="47"/>
      <c r="G96" s="70"/>
      <c r="H96" s="352"/>
      <c r="I96" s="740"/>
      <c r="J96" s="42">
        <v>571</v>
      </c>
      <c r="K96" s="51" t="s">
        <v>1391</v>
      </c>
      <c r="L96" s="599">
        <f t="shared" si="9"/>
        <v>0</v>
      </c>
      <c r="P96" s="321"/>
      <c r="Q96" s="589"/>
      <c r="X96" s="596"/>
      <c r="Y96" s="596"/>
    </row>
    <row r="97" spans="1:26" s="738" customFormat="1" ht="60" customHeight="1" x14ac:dyDescent="0.3">
      <c r="A97" s="597">
        <f>'Unit Data from Audit Worksheet'!A108</f>
        <v>572</v>
      </c>
      <c r="B97" s="54" t="str">
        <f>'Unit Data from Audit Worksheet'!C108</f>
        <v>Statement of Net Position - combined totals from all Proprietary Funds</v>
      </c>
      <c r="C97" s="598" t="str">
        <f>'Unit Data from Audit Worksheet'!D108</f>
        <v>Mental Health Net Position - Restricted Net Position</v>
      </c>
      <c r="D97" s="359"/>
      <c r="E97" s="149">
        <f>'Unit Data from Audit Worksheet'!F108</f>
        <v>0</v>
      </c>
      <c r="F97" s="47"/>
      <c r="G97" s="70"/>
      <c r="H97" s="352"/>
      <c r="I97" s="740"/>
      <c r="J97" s="42">
        <v>572</v>
      </c>
      <c r="K97" s="51" t="s">
        <v>1392</v>
      </c>
      <c r="L97" s="599">
        <f t="shared" si="9"/>
        <v>0</v>
      </c>
      <c r="P97" s="321"/>
      <c r="Q97" s="589"/>
      <c r="X97" s="596"/>
      <c r="Y97" s="596"/>
    </row>
    <row r="98" spans="1:26" s="738" customFormat="1" ht="60" customHeight="1" x14ac:dyDescent="0.3">
      <c r="A98" s="597">
        <f>'Unit Data from Audit Worksheet'!A109</f>
        <v>573</v>
      </c>
      <c r="B98" s="54" t="str">
        <f>'Unit Data from Audit Worksheet'!C109</f>
        <v>Statement of Net Position - combined totals from all Proprietary Funds</v>
      </c>
      <c r="C98" s="598" t="str">
        <f>'Unit Data from Audit Worksheet'!D109</f>
        <v>Mental Health Net Position - Unrestricted Net Position</v>
      </c>
      <c r="D98" s="359"/>
      <c r="E98" s="149">
        <f>'Unit Data from Audit Worksheet'!F109</f>
        <v>0</v>
      </c>
      <c r="F98" s="47"/>
      <c r="G98" s="70"/>
      <c r="H98" s="352"/>
      <c r="I98" s="740"/>
      <c r="J98" s="42">
        <v>573</v>
      </c>
      <c r="K98" s="51" t="s">
        <v>1550</v>
      </c>
      <c r="L98" s="599">
        <f t="shared" si="9"/>
        <v>0</v>
      </c>
      <c r="P98" s="321"/>
      <c r="Q98" s="589"/>
      <c r="X98" s="596"/>
      <c r="Y98" s="596"/>
    </row>
    <row r="99" spans="1:26" ht="60" customHeight="1" x14ac:dyDescent="0.3">
      <c r="A99" s="597">
        <f>'Unit Data from Audit Worksheet'!A110</f>
        <v>34</v>
      </c>
      <c r="B99" s="54" t="str">
        <f>'Unit Data from Audit Worksheet'!C110</f>
        <v>Net Position</v>
      </c>
      <c r="C99" s="598" t="str">
        <f>'Unit Data from Audit Worksheet'!D110</f>
        <v>Hospital-EF- Unrestricted Cash &amp; Invest. [Incl.all but Held by Trustee or 3rd party restricted](BS)</v>
      </c>
      <c r="D99" s="359"/>
      <c r="E99" s="149">
        <f>'Unit Data from Audit Worksheet'!F110</f>
        <v>0</v>
      </c>
      <c r="F99" s="47"/>
      <c r="G99" s="70"/>
      <c r="H99" s="352"/>
      <c r="I99" s="38"/>
      <c r="J99" s="42">
        <v>34</v>
      </c>
      <c r="K99" s="51" t="s">
        <v>1366</v>
      </c>
      <c r="L99" s="599">
        <f t="shared" si="9"/>
        <v>0</v>
      </c>
      <c r="P99" s="321"/>
      <c r="X99" s="596"/>
      <c r="Y99" s="596"/>
      <c r="Z99" s="3" t="s">
        <v>1364</v>
      </c>
    </row>
    <row r="100" spans="1:26" ht="60" customHeight="1" x14ac:dyDescent="0.3">
      <c r="A100" s="597">
        <f>'Unit Data from Audit Worksheet'!A111</f>
        <v>35</v>
      </c>
      <c r="B100" s="54" t="str">
        <f>'Unit Data from Audit Worksheet'!C111</f>
        <v>Net Position</v>
      </c>
      <c r="C100" s="598" t="str">
        <f>'Unit Data from Audit Worksheet'!D111</f>
        <v>Mental Health or Hospital-EF- Patient Accounts Receivable, Net of Allowance for Bad Debt</v>
      </c>
      <c r="D100" s="359"/>
      <c r="E100" s="149">
        <f>'Unit Data from Audit Worksheet'!F111</f>
        <v>0</v>
      </c>
      <c r="F100" s="47"/>
      <c r="G100" s="70"/>
      <c r="H100" s="352"/>
      <c r="I100" s="38"/>
      <c r="J100" s="42">
        <v>35</v>
      </c>
      <c r="K100" s="51" t="s">
        <v>1367</v>
      </c>
      <c r="L100" s="599">
        <f t="shared" si="9"/>
        <v>0</v>
      </c>
      <c r="P100" s="321"/>
      <c r="X100" s="596"/>
      <c r="Y100" s="596"/>
      <c r="Z100" s="3" t="s">
        <v>1364</v>
      </c>
    </row>
    <row r="101" spans="1:26" ht="60" customHeight="1" x14ac:dyDescent="0.3">
      <c r="A101" s="597">
        <f>'Unit Data from Audit Worksheet'!A112</f>
        <v>37</v>
      </c>
      <c r="B101" s="54" t="str">
        <f>'Unit Data from Audit Worksheet'!C112</f>
        <v>Net Position</v>
      </c>
      <c r="C101" s="598" t="str">
        <f>'Unit Data from Audit Worksheet'!D112</f>
        <v>Total Long-term debt (non current portion only) - enter as a positive</v>
      </c>
      <c r="D101" s="359"/>
      <c r="E101" s="149">
        <f>'Unit Data from Audit Worksheet'!F112</f>
        <v>0</v>
      </c>
      <c r="F101" s="47"/>
      <c r="G101" s="70"/>
      <c r="H101" s="352"/>
      <c r="I101" s="38"/>
      <c r="J101" s="42">
        <v>37</v>
      </c>
      <c r="K101" s="51" t="s">
        <v>1377</v>
      </c>
      <c r="L101" s="599">
        <f t="shared" si="9"/>
        <v>0</v>
      </c>
      <c r="P101" s="321"/>
      <c r="X101" s="596"/>
      <c r="Y101" s="596"/>
      <c r="Z101" s="3" t="s">
        <v>1364</v>
      </c>
    </row>
    <row r="102" spans="1:26" ht="60" customHeight="1" x14ac:dyDescent="0.3">
      <c r="A102" s="597">
        <f>'Unit Data from Audit Worksheet'!A113</f>
        <v>38</v>
      </c>
      <c r="B102" s="54" t="str">
        <f>'Unit Data from Audit Worksheet'!C113</f>
        <v>Net Position</v>
      </c>
      <c r="C102" s="598" t="str">
        <f>'Unit Data from Audit Worksheet'!D113</f>
        <v>Unrestricted fund equity or net position</v>
      </c>
      <c r="D102" s="359"/>
      <c r="E102" s="149">
        <f>'Unit Data from Audit Worksheet'!F113</f>
        <v>0</v>
      </c>
      <c r="F102" s="47"/>
      <c r="G102" s="70"/>
      <c r="H102" s="352"/>
      <c r="I102" s="38"/>
      <c r="J102" s="42">
        <v>38</v>
      </c>
      <c r="K102" s="51" t="s">
        <v>1368</v>
      </c>
      <c r="L102" s="599">
        <f t="shared" si="9"/>
        <v>0</v>
      </c>
      <c r="P102" s="321"/>
      <c r="X102" s="596"/>
      <c r="Y102" s="596"/>
      <c r="Z102" s="3" t="s">
        <v>1364</v>
      </c>
    </row>
    <row r="103" spans="1:26" ht="60" customHeight="1" x14ac:dyDescent="0.3">
      <c r="A103" s="597">
        <f>'Unit Data from Audit Worksheet'!A114</f>
        <v>32</v>
      </c>
      <c r="B103" s="54" t="str">
        <f>'Unit Data from Audit Worksheet'!C114</f>
        <v>Combined Totals of all Proprietary Funds - Revenue, Expenses, Changes in Net Position</v>
      </c>
      <c r="C103" s="598" t="str">
        <f>'Unit Data from Audit Worksheet'!D114</f>
        <v>Combined Totals of all proprietary Funds - Depreciation &amp; Amortization Expense</v>
      </c>
      <c r="D103" s="359"/>
      <c r="E103" s="149">
        <f>'Unit Data from Audit Worksheet'!F114</f>
        <v>0</v>
      </c>
      <c r="F103" s="47"/>
      <c r="G103" s="70"/>
      <c r="H103" s="352"/>
      <c r="I103" s="38"/>
      <c r="J103" s="42">
        <v>32</v>
      </c>
      <c r="K103" s="51" t="s">
        <v>1354</v>
      </c>
      <c r="L103" s="599">
        <f t="shared" si="9"/>
        <v>0</v>
      </c>
      <c r="P103" s="321"/>
      <c r="X103" s="596"/>
      <c r="Y103" s="596"/>
      <c r="Z103" s="3" t="s">
        <v>1364</v>
      </c>
    </row>
    <row r="104" spans="1:26" ht="60" customHeight="1" x14ac:dyDescent="0.3">
      <c r="A104" s="597">
        <f>'Unit Data from Audit Worksheet'!A115</f>
        <v>40</v>
      </c>
      <c r="B104" s="54" t="str">
        <f>'Unit Data from Audit Worksheet'!C115</f>
        <v>Revenue, Expenses, Changes in Net Position</v>
      </c>
      <c r="C104" s="598" t="str">
        <f>'Unit Data from Audit Worksheet'!D115</f>
        <v>Net Patient Revenues</v>
      </c>
      <c r="D104" s="359"/>
      <c r="E104" s="149">
        <f>'Unit Data from Audit Worksheet'!F115</f>
        <v>0</v>
      </c>
      <c r="F104" s="47"/>
      <c r="G104" s="70"/>
      <c r="H104" s="352"/>
      <c r="I104" s="38"/>
      <c r="J104" s="42">
        <v>40</v>
      </c>
      <c r="K104" s="51" t="s">
        <v>1370</v>
      </c>
      <c r="L104" s="599">
        <f t="shared" si="9"/>
        <v>0</v>
      </c>
      <c r="P104" s="321"/>
      <c r="X104" s="596"/>
      <c r="Y104" s="596"/>
      <c r="Z104" s="3" t="s">
        <v>1364</v>
      </c>
    </row>
    <row r="105" spans="1:26" ht="60" customHeight="1" x14ac:dyDescent="0.3">
      <c r="A105" s="597">
        <f>'Unit Data from Audit Worksheet'!A116</f>
        <v>107</v>
      </c>
      <c r="B105" s="54" t="str">
        <f>'Unit Data from Audit Worksheet'!C116</f>
        <v>Revenue, Expenses, Changes in Net Position</v>
      </c>
      <c r="C105" s="598" t="str">
        <f>'Unit Data from Audit Worksheet'!D116</f>
        <v>Total Operating Revenues</v>
      </c>
      <c r="D105" s="359"/>
      <c r="E105" s="149">
        <f>'Unit Data from Audit Worksheet'!F116</f>
        <v>0</v>
      </c>
      <c r="F105" s="47"/>
      <c r="G105" s="70"/>
      <c r="H105" s="352"/>
      <c r="I105" s="38"/>
      <c r="J105" s="42">
        <v>107</v>
      </c>
      <c r="K105" s="51" t="s">
        <v>1371</v>
      </c>
      <c r="L105" s="599">
        <f t="shared" si="9"/>
        <v>0</v>
      </c>
      <c r="P105" s="321"/>
      <c r="X105" s="596"/>
      <c r="Y105" s="596"/>
      <c r="Z105" s="3" t="s">
        <v>1364</v>
      </c>
    </row>
    <row r="106" spans="1:26" ht="60" customHeight="1" x14ac:dyDescent="0.3">
      <c r="A106" s="597">
        <f>'Unit Data from Audit Worksheet'!A117</f>
        <v>108</v>
      </c>
      <c r="B106" s="54" t="str">
        <f>'Unit Data from Audit Worksheet'!C117</f>
        <v>Revenue, Expenses, Changes in Net Position</v>
      </c>
      <c r="C106" s="598" t="str">
        <f>'Unit Data from Audit Worksheet'!D117</f>
        <v>Total Operating Expenses. May include Interest Expense - Enter as a positive</v>
      </c>
      <c r="D106" s="359"/>
      <c r="E106" s="149">
        <f>'Unit Data from Audit Worksheet'!F117</f>
        <v>0</v>
      </c>
      <c r="F106" s="47"/>
      <c r="G106" s="70"/>
      <c r="H106" s="352"/>
      <c r="I106" s="38"/>
      <c r="J106" s="42">
        <v>108</v>
      </c>
      <c r="K106" s="51" t="s">
        <v>1378</v>
      </c>
      <c r="L106" s="599">
        <f t="shared" si="9"/>
        <v>0</v>
      </c>
      <c r="P106" s="321"/>
      <c r="X106" s="596"/>
      <c r="Y106" s="596"/>
      <c r="Z106" s="3" t="s">
        <v>1364</v>
      </c>
    </row>
    <row r="107" spans="1:26" ht="60" customHeight="1" x14ac:dyDescent="0.3">
      <c r="A107" s="597">
        <f>'Unit Data from Audit Worksheet'!A118</f>
        <v>41</v>
      </c>
      <c r="B107" s="54" t="str">
        <f>'Unit Data from Audit Worksheet'!C118</f>
        <v>Revenue, Expenses, Changes in Net Position</v>
      </c>
      <c r="C107" s="598" t="str">
        <f>'Unit Data from Audit Worksheet'!D118</f>
        <v xml:space="preserve">Interest Expense - Enter as a positive </v>
      </c>
      <c r="D107" s="359"/>
      <c r="E107" s="149">
        <f>'Unit Data from Audit Worksheet'!F118</f>
        <v>0</v>
      </c>
      <c r="F107" s="47"/>
      <c r="G107" s="70"/>
      <c r="H107" s="352"/>
      <c r="I107" s="38"/>
      <c r="J107" s="42">
        <v>41</v>
      </c>
      <c r="K107" s="51" t="s">
        <v>1379</v>
      </c>
      <c r="L107" s="599">
        <f t="shared" si="9"/>
        <v>0</v>
      </c>
      <c r="P107" s="321"/>
      <c r="X107" s="596"/>
      <c r="Y107" s="596"/>
      <c r="Z107" s="3" t="s">
        <v>1364</v>
      </c>
    </row>
    <row r="108" spans="1:26" ht="60" customHeight="1" x14ac:dyDescent="0.3">
      <c r="A108" s="597">
        <f>'Unit Data from Audit Worksheet'!A119</f>
        <v>194</v>
      </c>
      <c r="B108" s="54" t="str">
        <f>'Unit Data from Audit Worksheet'!C119</f>
        <v>Revenue, Expenses, Changes in Net Position</v>
      </c>
      <c r="C108" s="598" t="str">
        <f>'Unit Data from Audit Worksheet'!D119</f>
        <v xml:space="preserve">Capital Contributions </v>
      </c>
      <c r="D108" s="359"/>
      <c r="E108" s="149">
        <f>'Unit Data from Audit Worksheet'!F119</f>
        <v>0</v>
      </c>
      <c r="F108" s="47"/>
      <c r="G108" s="70"/>
      <c r="H108" s="352"/>
      <c r="I108" s="38"/>
      <c r="J108" s="42">
        <v>194</v>
      </c>
      <c r="K108" s="51" t="s">
        <v>1372</v>
      </c>
      <c r="L108" s="599">
        <f t="shared" si="9"/>
        <v>0</v>
      </c>
      <c r="P108" s="321"/>
      <c r="X108" s="596"/>
      <c r="Y108" s="596"/>
      <c r="Z108" s="3" t="s">
        <v>1364</v>
      </c>
    </row>
    <row r="109" spans="1:26" ht="60" customHeight="1" x14ac:dyDescent="0.3">
      <c r="A109" s="597">
        <f>'Unit Data from Audit Worksheet'!A120</f>
        <v>294</v>
      </c>
      <c r="B109" s="54" t="str">
        <f>'Unit Data from Audit Worksheet'!C120</f>
        <v>Revenue, Expenses, Changes in Net Position</v>
      </c>
      <c r="C109" s="598" t="str">
        <f>'Unit Data from Audit Worksheet'!D120</f>
        <v>Change in Net Position</v>
      </c>
      <c r="D109" s="359"/>
      <c r="E109" s="149">
        <f>'Unit Data from Audit Worksheet'!F120</f>
        <v>0</v>
      </c>
      <c r="F109" s="47"/>
      <c r="G109" s="70"/>
      <c r="H109" s="352"/>
      <c r="I109" s="38"/>
      <c r="J109" s="42">
        <v>294</v>
      </c>
      <c r="K109" s="51" t="s">
        <v>1373</v>
      </c>
      <c r="L109" s="599">
        <f t="shared" si="9"/>
        <v>0</v>
      </c>
      <c r="P109" s="321"/>
      <c r="X109" s="596"/>
      <c r="Y109" s="596"/>
      <c r="Z109" s="3" t="s">
        <v>1364</v>
      </c>
    </row>
    <row r="110" spans="1:26" ht="60" customHeight="1" x14ac:dyDescent="0.3">
      <c r="A110" s="597">
        <f>'Unit Data from Audit Worksheet'!A123</f>
        <v>31</v>
      </c>
      <c r="B110" s="54" t="str">
        <f>'Unit Data from Audit Worksheet'!C123</f>
        <v>Combined Totals of all Proprietary Funds - Revenue, Expenses, Changes in Net Position</v>
      </c>
      <c r="C110" s="598" t="str">
        <f>'Unit Data from Audit Worksheet'!D123</f>
        <v>Combined Totals of all Proprietary Funds - Change in net position - (increase in net position is recorded as a positive and a decrease in net position is recorded as a negative)</v>
      </c>
      <c r="D110" s="359"/>
      <c r="E110" s="149">
        <f>'Unit Data from Audit Worksheet'!F123</f>
        <v>0</v>
      </c>
      <c r="F110" s="47"/>
      <c r="G110" s="70"/>
      <c r="H110" s="352"/>
      <c r="I110" s="38"/>
      <c r="J110" s="42">
        <v>31</v>
      </c>
      <c r="K110" s="51" t="s">
        <v>1355</v>
      </c>
      <c r="L110" s="599">
        <f t="shared" si="9"/>
        <v>0</v>
      </c>
      <c r="P110" s="321"/>
      <c r="X110" s="596"/>
      <c r="Y110" s="596"/>
    </row>
    <row r="111" spans="1:26" ht="60" customHeight="1" x14ac:dyDescent="0.3">
      <c r="A111" s="597" t="str">
        <f>'Unit Data from Audit Worksheet'!A124</f>
        <v>193</v>
      </c>
      <c r="B111" s="54" t="str">
        <f>'Unit Data from Audit Worksheet'!C124</f>
        <v>Combined Proprietary Funds - Change in Cash Flow Statement</v>
      </c>
      <c r="C111" s="598" t="str">
        <f>'Unit Data from Audit Worksheet'!D124</f>
        <v>Combined Totals of all Proprietary Funds - Capital Contributions</v>
      </c>
      <c r="D111" s="359"/>
      <c r="E111" s="149">
        <f>'Unit Data from Audit Worksheet'!F124</f>
        <v>0</v>
      </c>
      <c r="F111" s="47"/>
      <c r="G111" s="70"/>
      <c r="H111" s="352"/>
      <c r="I111" s="38"/>
      <c r="J111" s="42">
        <v>193</v>
      </c>
      <c r="K111" s="51" t="s">
        <v>383</v>
      </c>
      <c r="L111" s="599">
        <f t="shared" si="9"/>
        <v>0</v>
      </c>
      <c r="P111" s="321"/>
      <c r="X111" s="596"/>
      <c r="Y111" s="596"/>
    </row>
    <row r="112" spans="1:26" ht="60" customHeight="1" x14ac:dyDescent="0.3">
      <c r="A112" s="597" t="str">
        <f>'Unit Data from Audit Worksheet'!A125</f>
        <v>33</v>
      </c>
      <c r="B112" s="54" t="str">
        <f>'Unit Data from Audit Worksheet'!C125</f>
        <v>Combined Proprietary Funds - Change in Cash Flow Statement</v>
      </c>
      <c r="C112" s="598" t="str">
        <f>'Unit Data from Audit Worksheet'!D125</f>
        <v>Combined Totals of all Proprietary Funds - Cash Flow from Operating</v>
      </c>
      <c r="D112" s="359"/>
      <c r="E112" s="149">
        <f>'Unit Data from Audit Worksheet'!F125</f>
        <v>0</v>
      </c>
      <c r="F112" s="47"/>
      <c r="G112" s="70"/>
      <c r="H112" s="352"/>
      <c r="I112" s="38"/>
      <c r="J112" s="42">
        <v>33</v>
      </c>
      <c r="K112" s="51" t="s">
        <v>318</v>
      </c>
      <c r="L112" s="599">
        <f t="shared" si="9"/>
        <v>0</v>
      </c>
      <c r="P112" s="321"/>
      <c r="X112" s="596"/>
      <c r="Y112" s="596"/>
    </row>
    <row r="113" spans="1:26" ht="60" customHeight="1" x14ac:dyDescent="0.3">
      <c r="A113" s="597">
        <f>'Unit Data from Audit Worksheet'!A126</f>
        <v>104</v>
      </c>
      <c r="B113" s="54" t="str">
        <f>'Unit Data from Audit Worksheet'!C126</f>
        <v>Cash Flows</v>
      </c>
      <c r="C113" s="598" t="str">
        <f>'Unit Data from Audit Worksheet'!D126</f>
        <v>Capital Outlays</v>
      </c>
      <c r="D113" s="141"/>
      <c r="E113" s="149">
        <f>'Unit Data from Audit Worksheet'!F126</f>
        <v>0</v>
      </c>
      <c r="F113" s="47"/>
      <c r="G113" s="70"/>
      <c r="H113" s="352"/>
      <c r="I113" s="38"/>
      <c r="J113" s="42">
        <v>104</v>
      </c>
      <c r="K113" s="51" t="s">
        <v>1375</v>
      </c>
      <c r="L113" s="599">
        <f t="shared" si="9"/>
        <v>0</v>
      </c>
      <c r="P113" s="321"/>
      <c r="X113" s="596"/>
      <c r="Y113" s="596"/>
      <c r="Z113" s="3" t="s">
        <v>1364</v>
      </c>
    </row>
    <row r="114" spans="1:26" ht="60" customHeight="1" x14ac:dyDescent="0.3">
      <c r="A114" s="597">
        <f>'Unit Data from Audit Worksheet'!A127</f>
        <v>39</v>
      </c>
      <c r="B114" s="54" t="str">
        <f>'Unit Data from Audit Worksheet'!C127</f>
        <v>Cash Flows</v>
      </c>
      <c r="C114" s="598" t="str">
        <f>'Unit Data from Audit Worksheet'!D127</f>
        <v>Principal Paid - Long-term Debt</v>
      </c>
      <c r="D114" s="141"/>
      <c r="E114" s="149">
        <f>'Unit Data from Audit Worksheet'!F127</f>
        <v>0</v>
      </c>
      <c r="F114" s="47"/>
      <c r="G114" s="70"/>
      <c r="H114" s="352"/>
      <c r="I114" s="38"/>
      <c r="J114" s="42">
        <v>39</v>
      </c>
      <c r="K114" s="51" t="s">
        <v>1376</v>
      </c>
      <c r="L114" s="599">
        <f t="shared" si="9"/>
        <v>0</v>
      </c>
      <c r="P114" s="321"/>
      <c r="X114" s="596"/>
      <c r="Y114" s="596"/>
      <c r="Z114" s="3" t="s">
        <v>1364</v>
      </c>
    </row>
    <row r="115" spans="1:26" ht="60" customHeight="1" x14ac:dyDescent="0.3">
      <c r="A115" s="340">
        <f>'Unit Data from Audit Worksheet'!A131</f>
        <v>596</v>
      </c>
      <c r="B115" s="354"/>
      <c r="C115" s="339" t="str">
        <f>'Unit Data from Audit Worksheet'!D131</f>
        <v>Indicate if your water/sewer system:
50 - Became Operational
51 - Ceased Operations
52 - No Change</v>
      </c>
      <c r="D115" s="141"/>
      <c r="E115" s="360">
        <f>'Unit Data from Audit Worksheet'!F131</f>
        <v>0</v>
      </c>
      <c r="F115" s="353"/>
      <c r="G115" s="353"/>
      <c r="H115" s="352">
        <f>'Unit Data from Audit Worksheet'!I131</f>
        <v>0</v>
      </c>
      <c r="I115" s="38"/>
      <c r="J115" s="351">
        <v>596</v>
      </c>
      <c r="K115" s="350" t="s">
        <v>617</v>
      </c>
      <c r="L115" s="599">
        <f t="shared" si="9"/>
        <v>0</v>
      </c>
      <c r="P115" s="322"/>
      <c r="W115" s="3" t="b">
        <f t="shared" si="10"/>
        <v>1</v>
      </c>
      <c r="X115" s="596">
        <f t="shared" si="1"/>
        <v>0</v>
      </c>
      <c r="Y115" s="596">
        <f t="shared" si="2"/>
        <v>0</v>
      </c>
    </row>
    <row r="116" spans="1:26" ht="43.2" x14ac:dyDescent="0.3">
      <c r="A116" s="340">
        <f>'Unit Data from Audit Worksheet'!A132</f>
        <v>80</v>
      </c>
      <c r="B116" s="354" t="str">
        <f>'Unit Data from Audit Worksheet'!C132</f>
        <v>Water Sewer Net Position Statement</v>
      </c>
      <c r="C116" s="339" t="str">
        <f>'Unit Data from Audit Worksheet'!D132</f>
        <v>Unrestricted Cash and investments 
Exclude restricted cash and/or restricted investments.</v>
      </c>
      <c r="D116" s="141"/>
      <c r="E116" s="360">
        <f>'Unit Data from Audit Worksheet'!F132</f>
        <v>0</v>
      </c>
      <c r="F116" s="353">
        <f>IF(L116&lt;0,"Error: Number is normally positive.",)</f>
        <v>0</v>
      </c>
      <c r="G116" s="353" t="e">
        <f>'Unit Data from Audit Worksheet'!G132</f>
        <v>#N/A</v>
      </c>
      <c r="H116" s="352">
        <f>'Unit Data from Audit Worksheet'!I132</f>
        <v>0</v>
      </c>
      <c r="I116" s="38"/>
      <c r="J116" s="351">
        <v>80</v>
      </c>
      <c r="K116" s="350" t="s">
        <v>218</v>
      </c>
      <c r="L116" s="599">
        <f t="shared" si="9"/>
        <v>0</v>
      </c>
      <c r="P116" s="322"/>
      <c r="W116" s="3" t="b">
        <f t="shared" si="10"/>
        <v>1</v>
      </c>
      <c r="X116" s="596">
        <f t="shared" si="1"/>
        <v>0</v>
      </c>
      <c r="Y116" s="596">
        <f t="shared" si="2"/>
        <v>0</v>
      </c>
    </row>
    <row r="117" spans="1:26" ht="43.2" x14ac:dyDescent="0.3">
      <c r="A117" s="340">
        <f>'Unit Data from Audit Worksheet'!A133</f>
        <v>81</v>
      </c>
      <c r="B117" s="354" t="str">
        <f>'Unit Data from Audit Worksheet'!C133</f>
        <v>Water Sewer Net Position Statement</v>
      </c>
      <c r="C117" s="339" t="str">
        <f>'Unit Data from Audit Worksheet'!D133</f>
        <v>Customer accounts receivable (net of allowance accounts). 
Include both billed and unbilled amounts.</v>
      </c>
      <c r="D117" s="141"/>
      <c r="E117" s="360">
        <f>'Unit Data from Audit Worksheet'!F133</f>
        <v>0</v>
      </c>
      <c r="F117" s="353">
        <f>IF(L117&lt;0,"Error: Number is normally positive.",)</f>
        <v>0</v>
      </c>
      <c r="G117" s="355"/>
      <c r="H117" s="352">
        <f>'Unit Data from Audit Worksheet'!I133</f>
        <v>0</v>
      </c>
      <c r="I117" s="38"/>
      <c r="J117" s="351">
        <v>81</v>
      </c>
      <c r="K117" s="350" t="s">
        <v>219</v>
      </c>
      <c r="L117" s="599">
        <f t="shared" si="9"/>
        <v>0</v>
      </c>
      <c r="P117" s="322"/>
      <c r="W117" s="3" t="b">
        <f t="shared" si="10"/>
        <v>1</v>
      </c>
      <c r="X117" s="596">
        <f t="shared" ref="X117:X181" si="12">E117-L117</f>
        <v>0</v>
      </c>
      <c r="Y117" s="596">
        <f t="shared" ref="Y117:Y181" si="13">D117-L117</f>
        <v>0</v>
      </c>
    </row>
    <row r="118" spans="1:26" ht="68.25" customHeight="1" x14ac:dyDescent="0.3">
      <c r="A118" s="340">
        <f>'Unit Data from Audit Worksheet'!A134</f>
        <v>579</v>
      </c>
      <c r="B118" s="354" t="str">
        <f>'Unit Data from Audit Worksheet'!C134</f>
        <v>Water Sewer Net Position Statement</v>
      </c>
      <c r="C118" s="339" t="str">
        <f>'Unit Data from Audit Worksheet'!D134</f>
        <v>Water Sewer - Advance To:
Interfund loan receivable-portion of repayment plan longer than 12 months</v>
      </c>
      <c r="D118" s="141"/>
      <c r="E118" s="360">
        <f>'Unit Data from Audit Worksheet'!F134</f>
        <v>0</v>
      </c>
      <c r="F118" s="353"/>
      <c r="G118" s="355"/>
      <c r="H118" s="352"/>
      <c r="I118" s="38"/>
      <c r="J118" s="351">
        <v>579</v>
      </c>
      <c r="K118" s="350" t="s">
        <v>563</v>
      </c>
      <c r="L118" s="599">
        <f t="shared" si="9"/>
        <v>0</v>
      </c>
      <c r="N118" s="623"/>
      <c r="P118" s="322"/>
      <c r="W118" s="3" t="b">
        <f t="shared" si="10"/>
        <v>1</v>
      </c>
      <c r="X118" s="596">
        <f t="shared" si="12"/>
        <v>0</v>
      </c>
      <c r="Y118" s="596">
        <f t="shared" si="13"/>
        <v>0</v>
      </c>
    </row>
    <row r="119" spans="1:26" ht="47.25" customHeight="1" x14ac:dyDescent="0.3">
      <c r="A119" s="340">
        <f>'Unit Data from Audit Worksheet'!A135</f>
        <v>510</v>
      </c>
      <c r="B119" s="354" t="str">
        <f>'Unit Data from Audit Worksheet'!C135</f>
        <v>Water Sewer Net Position Statement</v>
      </c>
      <c r="C119" s="339" t="str">
        <f>'Unit Data from Audit Worksheet'!D135</f>
        <v>Amount of Inventories and Prepaid expenses in current assets</v>
      </c>
      <c r="D119" s="141"/>
      <c r="E119" s="360">
        <f>'Unit Data from Audit Worksheet'!F135</f>
        <v>0</v>
      </c>
      <c r="F119" s="353"/>
      <c r="G119" s="355"/>
      <c r="H119" s="352">
        <f>'Unit Data from Audit Worksheet'!I135</f>
        <v>0</v>
      </c>
      <c r="I119" s="38"/>
      <c r="J119" s="351">
        <v>510</v>
      </c>
      <c r="K119" s="350" t="s">
        <v>220</v>
      </c>
      <c r="L119" s="599">
        <f t="shared" si="9"/>
        <v>0</v>
      </c>
      <c r="P119" s="322"/>
      <c r="W119" s="3" t="b">
        <f t="shared" si="10"/>
        <v>1</v>
      </c>
      <c r="X119" s="596">
        <f t="shared" si="12"/>
        <v>0</v>
      </c>
      <c r="Y119" s="596">
        <f t="shared" si="13"/>
        <v>0</v>
      </c>
    </row>
    <row r="120" spans="1:26" ht="43.2" x14ac:dyDescent="0.3">
      <c r="A120" s="340">
        <f>'Unit Data from Audit Worksheet'!A136</f>
        <v>654</v>
      </c>
      <c r="B120" s="354" t="str">
        <f>'Unit Data from Audit Worksheet'!C136</f>
        <v>Water Sewer Net Position Statement</v>
      </c>
      <c r="C120" s="339" t="str">
        <f>'Unit Data from Audit Worksheet'!D136</f>
        <v xml:space="preserve">Total Current assets as listed on the WS Net Position Statement.  
</v>
      </c>
      <c r="D120" s="141"/>
      <c r="E120" s="360">
        <f>'Unit Data from Audit Worksheet'!F136</f>
        <v>0</v>
      </c>
      <c r="F120" s="353">
        <f>IF((+L116+L117+L119)&gt;L120,"Please review components of current assets above Acct. (80+81+510&gt;654",)</f>
        <v>0</v>
      </c>
      <c r="G120" s="355" t="str">
        <f>IF(Q120=1," Included in error count"," ")</f>
        <v xml:space="preserve"> </v>
      </c>
      <c r="H120" s="352">
        <f>'Unit Data from Audit Worksheet'!I136</f>
        <v>0</v>
      </c>
      <c r="I120" s="38"/>
      <c r="J120" s="351">
        <v>654</v>
      </c>
      <c r="K120" s="357" t="s">
        <v>811</v>
      </c>
      <c r="L120" s="599">
        <f t="shared" si="9"/>
        <v>0</v>
      </c>
      <c r="P120" s="322"/>
      <c r="Q120" s="589">
        <f>IF((+L116+L117+L119)&gt;L120,1,0)</f>
        <v>0</v>
      </c>
      <c r="W120" s="3" t="b">
        <f t="shared" si="10"/>
        <v>1</v>
      </c>
      <c r="X120" s="596">
        <f t="shared" si="12"/>
        <v>0</v>
      </c>
      <c r="Y120" s="596">
        <f t="shared" si="13"/>
        <v>0</v>
      </c>
    </row>
    <row r="121" spans="1:26" ht="43.2" x14ac:dyDescent="0.3">
      <c r="A121" s="340">
        <f>'Unit Data from Audit Worksheet'!A137</f>
        <v>655</v>
      </c>
      <c r="B121" s="354" t="str">
        <f>'Unit Data from Audit Worksheet'!C137</f>
        <v>Water Sewer Net Position Statement</v>
      </c>
      <c r="C121" s="339" t="str">
        <f>'Unit Data from Audit Worksheet'!D137</f>
        <v>WS-Any current assets that are restricted (Cash, Accounts Rec., etc..) and included in account 654 above</v>
      </c>
      <c r="D121" s="141"/>
      <c r="E121" s="360">
        <f>'Unit Data from Audit Worksheet'!F137</f>
        <v>0</v>
      </c>
      <c r="F121" s="353"/>
      <c r="G121" s="355"/>
      <c r="H121" s="352"/>
      <c r="I121" s="38"/>
      <c r="J121" s="351">
        <v>655</v>
      </c>
      <c r="K121" s="357" t="s">
        <v>864</v>
      </c>
      <c r="L121" s="599">
        <f t="shared" si="9"/>
        <v>0</v>
      </c>
      <c r="P121" s="322"/>
      <c r="W121" s="3" t="b">
        <f t="shared" si="10"/>
        <v>1</v>
      </c>
      <c r="X121" s="596">
        <f t="shared" si="12"/>
        <v>0</v>
      </c>
      <c r="Y121" s="596">
        <f t="shared" si="13"/>
        <v>0</v>
      </c>
    </row>
    <row r="122" spans="1:26" ht="42.75" customHeight="1" x14ac:dyDescent="0.3">
      <c r="A122" s="340">
        <f>'Unit Data from Audit Worksheet'!A138</f>
        <v>381</v>
      </c>
      <c r="B122" s="354" t="str">
        <f>'Unit Data from Audit Worksheet'!C138</f>
        <v>Water Sewer Net Position Statement</v>
      </c>
      <c r="C122" s="339" t="str">
        <f>'Unit Data from Audit Worksheet'!D138</f>
        <v>Total Assets and deferred outflows</v>
      </c>
      <c r="D122" s="141"/>
      <c r="E122" s="360">
        <f>'Unit Data from Audit Worksheet'!F138</f>
        <v>0</v>
      </c>
      <c r="F122" s="353" t="str">
        <f>IF(L122&lt;L120,"Please review components of current assets above acct. 381&lt;654"," ")</f>
        <v xml:space="preserve"> </v>
      </c>
      <c r="G122" s="355" t="str">
        <f>IF(Q122=1," Included in error count"," ")</f>
        <v xml:space="preserve"> </v>
      </c>
      <c r="H122" s="352">
        <f>'Unit Data from Audit Worksheet'!I138</f>
        <v>0</v>
      </c>
      <c r="I122" s="38"/>
      <c r="J122" s="351">
        <v>381</v>
      </c>
      <c r="K122" s="350" t="s">
        <v>113</v>
      </c>
      <c r="L122" s="599">
        <f t="shared" si="9"/>
        <v>0</v>
      </c>
      <c r="P122" s="322"/>
      <c r="Q122" s="589">
        <f>IF(L122&lt;L120,1,0)</f>
        <v>0</v>
      </c>
      <c r="W122" s="3" t="b">
        <f t="shared" si="10"/>
        <v>1</v>
      </c>
      <c r="X122" s="596">
        <f t="shared" si="12"/>
        <v>0</v>
      </c>
      <c r="Y122" s="596">
        <f t="shared" si="13"/>
        <v>0</v>
      </c>
    </row>
    <row r="123" spans="1:26" ht="60.75" customHeight="1" x14ac:dyDescent="0.3">
      <c r="A123" s="611">
        <f>'Unit Data from Audit Worksheet'!A139</f>
        <v>578</v>
      </c>
      <c r="B123" s="114" t="str">
        <f>'Unit Data from Audit Worksheet'!C139</f>
        <v>Water Sewer Net Position Statement</v>
      </c>
      <c r="C123" s="601" t="str">
        <f>'Unit Data from Audit Worksheet'!D139</f>
        <v>Water Sewer - Advance From: 
Interfund loan Payable-portion of repayment plan longer than 12 months</v>
      </c>
      <c r="D123" s="107"/>
      <c r="E123" s="152">
        <f>'Unit Data from Audit Worksheet'!F139</f>
        <v>0</v>
      </c>
      <c r="F123" s="108"/>
      <c r="G123" s="109"/>
      <c r="H123" s="110"/>
      <c r="I123" s="38"/>
      <c r="J123" s="102">
        <v>578</v>
      </c>
      <c r="K123" s="44" t="s">
        <v>564</v>
      </c>
      <c r="L123" s="599">
        <f t="shared" si="9"/>
        <v>0</v>
      </c>
      <c r="P123" s="323"/>
      <c r="Q123" s="356"/>
      <c r="W123" s="3" t="b">
        <f t="shared" si="10"/>
        <v>1</v>
      </c>
      <c r="X123" s="596">
        <f t="shared" si="12"/>
        <v>0</v>
      </c>
      <c r="Y123" s="596">
        <f t="shared" si="13"/>
        <v>0</v>
      </c>
    </row>
    <row r="124" spans="1:26" s="18" customFormat="1" ht="104.25" customHeight="1" x14ac:dyDescent="0.3">
      <c r="A124" s="313">
        <v>633</v>
      </c>
      <c r="B124" s="367" t="str">
        <f>'Unit Data from Audit Worksheet'!C140</f>
        <v>Water Sewer Net Position Statement</v>
      </c>
      <c r="C124" s="313" t="str">
        <f>'Unit Data from Audit Worksheet'!D140</f>
        <v>Current liabilities (as reported on the Statement of Fund Net Position)
Include:   Current liabilities including current portion of long-term debt.  Deferred inflows should not be included in Current Liabilities  
Enter as positive</v>
      </c>
      <c r="D124" s="107"/>
      <c r="E124" s="366">
        <f>'Unit Data from Audit Worksheet'!F140</f>
        <v>0</v>
      </c>
      <c r="F124" s="348" t="str">
        <f>IF(L124&gt;=(L125+L126+L127+L128+L129+L130),"","Account 633 is less than the total sum of accounts 634 through 638 + 383")</f>
        <v/>
      </c>
      <c r="G124" s="333">
        <f>L124-(L125+L126+L127+L128+L129+L130)</f>
        <v>0</v>
      </c>
      <c r="H124" s="348"/>
      <c r="I124" s="612"/>
      <c r="J124" s="347">
        <v>633</v>
      </c>
      <c r="K124" s="316" t="s">
        <v>742</v>
      </c>
      <c r="L124" s="613">
        <f>IF(D124="",E124,D124)</f>
        <v>0</v>
      </c>
      <c r="M124" s="603"/>
      <c r="N124" s="603"/>
      <c r="O124" s="603"/>
      <c r="P124" s="324"/>
      <c r="Q124" s="604"/>
      <c r="R124" s="3"/>
      <c r="S124" s="603"/>
      <c r="T124" s="603"/>
      <c r="U124" s="603"/>
      <c r="V124" s="603"/>
      <c r="W124" s="18" t="b">
        <f t="shared" si="10"/>
        <v>1</v>
      </c>
      <c r="X124" s="605">
        <f t="shared" si="12"/>
        <v>0</v>
      </c>
      <c r="Y124" s="605">
        <f t="shared" si="13"/>
        <v>0</v>
      </c>
    </row>
    <row r="125" spans="1:26" s="18" customFormat="1" ht="130.5" customHeight="1" x14ac:dyDescent="0.3">
      <c r="A125" s="313">
        <v>634</v>
      </c>
      <c r="B125" s="367" t="str">
        <f>'Unit Data from Audit Worksheet'!C141</f>
        <v>Water Sewer Net Position Statement</v>
      </c>
      <c r="C125" s="313" t="str">
        <f>'Unit Data from Audit Worksheet'!D141</f>
        <v>Please enter any bond anticipation notes that are classified as current liabilities and included in account 633 above (amounts entered should agree to the current amount included in the changes to long-term debt note)
Enter as positive</v>
      </c>
      <c r="D125" s="107"/>
      <c r="E125" s="366">
        <f>'Unit Data from Audit Worksheet'!F141</f>
        <v>0</v>
      </c>
      <c r="F125" s="348"/>
      <c r="G125" s="333"/>
      <c r="H125" s="348"/>
      <c r="I125" s="612"/>
      <c r="J125" s="347">
        <v>634</v>
      </c>
      <c r="K125" s="316" t="s">
        <v>743</v>
      </c>
      <c r="L125" s="613">
        <f>IF(D125="",E125,D125)</f>
        <v>0</v>
      </c>
      <c r="M125" s="603"/>
      <c r="N125" s="603"/>
      <c r="O125" s="603"/>
      <c r="P125" s="324"/>
      <c r="Q125" s="604"/>
      <c r="R125" s="3"/>
      <c r="S125" s="603"/>
      <c r="T125" s="603"/>
      <c r="U125" s="603"/>
      <c r="V125" s="603"/>
      <c r="W125" s="18" t="b">
        <f t="shared" si="10"/>
        <v>1</v>
      </c>
      <c r="X125" s="605">
        <f t="shared" si="12"/>
        <v>0</v>
      </c>
      <c r="Y125" s="605">
        <f t="shared" si="13"/>
        <v>0</v>
      </c>
    </row>
    <row r="126" spans="1:26" s="18" customFormat="1" ht="105.75" customHeight="1" x14ac:dyDescent="0.3">
      <c r="A126" s="313">
        <v>635</v>
      </c>
      <c r="B126" s="367" t="str">
        <f>'Unit Data from Audit Worksheet'!C142</f>
        <v>Water Sewer Net Position Statement</v>
      </c>
      <c r="C126" s="313" t="str">
        <f>'Unit Data from Audit Worksheet'!D142</f>
        <v>Please enter any compensated absences that are classified as current liabilities and included in account 633 above (amounts entered should agree to the current amount included in the changes to long-term debt note)
Enter as positive</v>
      </c>
      <c r="D126" s="107"/>
      <c r="E126" s="366">
        <f>'Unit Data from Audit Worksheet'!F142</f>
        <v>0</v>
      </c>
      <c r="F126" s="348"/>
      <c r="G126" s="333"/>
      <c r="H126" s="348"/>
      <c r="I126" s="612"/>
      <c r="J126" s="347">
        <v>635</v>
      </c>
      <c r="K126" s="316" t="s">
        <v>744</v>
      </c>
      <c r="L126" s="613">
        <f>IF(D126="",E126,D126)</f>
        <v>0</v>
      </c>
      <c r="M126" s="603"/>
      <c r="N126" s="603"/>
      <c r="O126" s="603"/>
      <c r="P126" s="324"/>
      <c r="Q126" s="604"/>
      <c r="R126" s="3"/>
      <c r="S126" s="603"/>
      <c r="T126" s="603"/>
      <c r="U126" s="603"/>
      <c r="V126" s="603"/>
      <c r="W126" s="18" t="b">
        <f t="shared" si="10"/>
        <v>1</v>
      </c>
      <c r="X126" s="605">
        <f t="shared" si="12"/>
        <v>0</v>
      </c>
      <c r="Y126" s="605">
        <f t="shared" si="13"/>
        <v>0</v>
      </c>
    </row>
    <row r="127" spans="1:26" s="18" customFormat="1" ht="105.75" customHeight="1" x14ac:dyDescent="0.3">
      <c r="A127" s="313">
        <v>636</v>
      </c>
      <c r="B127" s="367" t="str">
        <f>'Unit Data from Audit Worksheet'!C143</f>
        <v>Water Sewer Net Position Statement</v>
      </c>
      <c r="C127" s="313" t="str">
        <f>'Unit Data from Audit Worksheet'!D143</f>
        <v>Please enter any pension liabilities that are classified as current liabilities and included in account 633 above (amounts entered should agree to the current amount included in the changes to long-term debt note)
Enter as positive</v>
      </c>
      <c r="D127" s="107"/>
      <c r="E127" s="366">
        <f>'Unit Data from Audit Worksheet'!F143</f>
        <v>0</v>
      </c>
      <c r="F127" s="348"/>
      <c r="G127" s="333"/>
      <c r="H127" s="348"/>
      <c r="I127" s="612"/>
      <c r="J127" s="347">
        <v>636</v>
      </c>
      <c r="K127" s="316" t="s">
        <v>739</v>
      </c>
      <c r="L127" s="613">
        <f t="shared" ref="L127:L137" si="14">IF(D127="",E127,D127)</f>
        <v>0</v>
      </c>
      <c r="M127" s="603"/>
      <c r="N127" s="603"/>
      <c r="O127" s="603"/>
      <c r="P127" s="324"/>
      <c r="Q127" s="604"/>
      <c r="R127" s="3"/>
      <c r="S127" s="603"/>
      <c r="T127" s="603"/>
      <c r="U127" s="603"/>
      <c r="V127" s="603"/>
      <c r="W127" s="18" t="b">
        <f t="shared" si="10"/>
        <v>1</v>
      </c>
      <c r="X127" s="605">
        <f t="shared" si="12"/>
        <v>0</v>
      </c>
      <c r="Y127" s="605">
        <f t="shared" si="13"/>
        <v>0</v>
      </c>
    </row>
    <row r="128" spans="1:26" s="18" customFormat="1" ht="59.25" customHeight="1" x14ac:dyDescent="0.3">
      <c r="A128" s="313">
        <v>637</v>
      </c>
      <c r="B128" s="367" t="str">
        <f>'Unit Data from Audit Worksheet'!C144</f>
        <v>Water Sewer Net Position Statement</v>
      </c>
      <c r="C128" s="313" t="str">
        <f>'Unit Data from Audit Worksheet'!D144</f>
        <v>Please enter any current liabilities that are payable from restricted assets and included in account 633 above.
Enter as positive</v>
      </c>
      <c r="D128" s="107"/>
      <c r="E128" s="366">
        <f>'Unit Data from Audit Worksheet'!F144</f>
        <v>0</v>
      </c>
      <c r="F128" s="348"/>
      <c r="G128" s="333"/>
      <c r="H128" s="348"/>
      <c r="I128" s="612"/>
      <c r="J128" s="347">
        <v>637</v>
      </c>
      <c r="K128" s="316" t="s">
        <v>740</v>
      </c>
      <c r="L128" s="613">
        <f t="shared" si="14"/>
        <v>0</v>
      </c>
      <c r="M128" s="603"/>
      <c r="N128" s="603"/>
      <c r="O128" s="603"/>
      <c r="P128" s="324"/>
      <c r="Q128" s="604"/>
      <c r="R128" s="3"/>
      <c r="S128" s="603"/>
      <c r="T128" s="603"/>
      <c r="U128" s="603"/>
      <c r="V128" s="603"/>
      <c r="W128" s="18" t="b">
        <f t="shared" si="10"/>
        <v>1</v>
      </c>
      <c r="X128" s="605">
        <f t="shared" si="12"/>
        <v>0</v>
      </c>
      <c r="Y128" s="605">
        <f t="shared" si="13"/>
        <v>0</v>
      </c>
    </row>
    <row r="129" spans="1:25" s="18" customFormat="1" ht="103.5" customHeight="1" x14ac:dyDescent="0.3">
      <c r="A129" s="313">
        <v>638</v>
      </c>
      <c r="B129" s="367" t="str">
        <f>'Unit Data from Audit Worksheet'!C145</f>
        <v>Water Sewer Net Position Statement</v>
      </c>
      <c r="C129" s="313" t="str">
        <f>'Unit Data from Audit Worksheet'!D145</f>
        <v>Please enter any OPEB liabilities that are classified as current liabilities and included in account 633 above (amounts entered should agree to the current amount included in the changes to long-term debt note)
Enter as positive</v>
      </c>
      <c r="D129" s="107"/>
      <c r="E129" s="366">
        <f>'Unit Data from Audit Worksheet'!F145</f>
        <v>0</v>
      </c>
      <c r="F129" s="348"/>
      <c r="G129" s="333"/>
      <c r="H129" s="348"/>
      <c r="I129" s="612"/>
      <c r="J129" s="347">
        <v>638</v>
      </c>
      <c r="K129" s="316" t="s">
        <v>745</v>
      </c>
      <c r="L129" s="613">
        <f t="shared" si="14"/>
        <v>0</v>
      </c>
      <c r="M129" s="603"/>
      <c r="N129" s="603"/>
      <c r="O129" s="603"/>
      <c r="P129" s="324"/>
      <c r="Q129" s="604"/>
      <c r="R129" s="3"/>
      <c r="S129" s="603"/>
      <c r="T129" s="603"/>
      <c r="U129" s="603"/>
      <c r="V129" s="603"/>
      <c r="W129" s="18" t="b">
        <f t="shared" si="10"/>
        <v>1</v>
      </c>
      <c r="X129" s="605">
        <f t="shared" si="12"/>
        <v>0</v>
      </c>
      <c r="Y129" s="605">
        <f t="shared" si="13"/>
        <v>0</v>
      </c>
    </row>
    <row r="130" spans="1:25" ht="76.5" customHeight="1" x14ac:dyDescent="0.3">
      <c r="A130" s="597">
        <f>'Unit Data from Audit Worksheet'!A146</f>
        <v>383</v>
      </c>
      <c r="B130" s="54" t="str">
        <f>'Unit Data from Audit Worksheet'!C146</f>
        <v>Water Sewer Net Position Statement</v>
      </c>
      <c r="C130" s="598" t="str">
        <f>'Unit Data from Audit Worksheet'!D146</f>
        <v>Unearned revenue (arising from cash receipts) that were included in Current Liabilities in the question in account 633 above.
Enter as positive</v>
      </c>
      <c r="D130" s="141"/>
      <c r="E130" s="149">
        <f>'Unit Data from Audit Worksheet'!F146</f>
        <v>0</v>
      </c>
      <c r="F130" s="47">
        <f>IF(L130&lt;0,"Error: Enter as a positive.",)</f>
        <v>0</v>
      </c>
      <c r="G130" s="70"/>
      <c r="H130" s="352">
        <f>'Unit Data from Audit Worksheet'!I146</f>
        <v>0</v>
      </c>
      <c r="I130" s="38"/>
      <c r="J130" s="42">
        <v>383</v>
      </c>
      <c r="K130" s="51" t="s">
        <v>221</v>
      </c>
      <c r="L130" s="599">
        <f t="shared" si="14"/>
        <v>0</v>
      </c>
      <c r="P130" s="321"/>
      <c r="W130" s="3" t="b">
        <f t="shared" si="10"/>
        <v>1</v>
      </c>
      <c r="X130" s="596">
        <f t="shared" si="12"/>
        <v>0</v>
      </c>
      <c r="Y130" s="596">
        <f t="shared" si="13"/>
        <v>0</v>
      </c>
    </row>
    <row r="131" spans="1:25" ht="54" customHeight="1" x14ac:dyDescent="0.3">
      <c r="A131" s="340">
        <f>'Unit Data from Audit Worksheet'!A147</f>
        <v>349</v>
      </c>
      <c r="B131" s="354" t="str">
        <f>'Unit Data from Audit Worksheet'!C147</f>
        <v>Water Sewer Net Position Statement</v>
      </c>
      <c r="C131" s="339" t="str">
        <f>'Unit Data from Audit Worksheet'!D147</f>
        <v>Total Liabilities and deferred inflows</v>
      </c>
      <c r="D131" s="141"/>
      <c r="E131" s="360">
        <f>'Unit Data from Audit Worksheet'!F147</f>
        <v>0</v>
      </c>
      <c r="F131" s="353">
        <f>IF(L124&gt;L131,"Error: Please review accts 633&gt;349",)</f>
        <v>0</v>
      </c>
      <c r="G131" s="355" t="str">
        <f>IF(Q131=1," Included in error count"," ")</f>
        <v xml:space="preserve"> </v>
      </c>
      <c r="H131" s="352">
        <f>'Unit Data from Audit Worksheet'!I147</f>
        <v>0</v>
      </c>
      <c r="I131" s="38"/>
      <c r="J131" s="351">
        <v>349</v>
      </c>
      <c r="K131" s="350" t="s">
        <v>122</v>
      </c>
      <c r="L131" s="599">
        <f t="shared" si="14"/>
        <v>0</v>
      </c>
      <c r="P131" s="322"/>
      <c r="Q131" s="589">
        <f>IF(L124&gt;L131,1,0)</f>
        <v>0</v>
      </c>
      <c r="W131" s="3" t="b">
        <f t="shared" si="10"/>
        <v>1</v>
      </c>
      <c r="X131" s="596">
        <f t="shared" si="12"/>
        <v>0</v>
      </c>
      <c r="Y131" s="596">
        <f t="shared" si="13"/>
        <v>0</v>
      </c>
    </row>
    <row r="132" spans="1:25" ht="56.25" customHeight="1" x14ac:dyDescent="0.3">
      <c r="A132" s="340">
        <f>'Unit Data from Audit Worksheet'!A148</f>
        <v>375</v>
      </c>
      <c r="B132" s="354" t="str">
        <f>'Unit Data from Audit Worksheet'!C148</f>
        <v>Water Sewer Net Position Statement</v>
      </c>
      <c r="C132" s="339" t="str">
        <f>'Unit Data from Audit Worksheet'!D148</f>
        <v>Total Net position, Unrestricted - enter negative unrestricted net position as a negative</v>
      </c>
      <c r="D132" s="141"/>
      <c r="E132" s="360">
        <f>'Unit Data from Audit Worksheet'!F148</f>
        <v>0</v>
      </c>
      <c r="F132" s="353"/>
      <c r="G132" s="355"/>
      <c r="H132" s="352">
        <f>'Unit Data from Audit Worksheet'!I148</f>
        <v>0</v>
      </c>
      <c r="I132" s="38"/>
      <c r="J132" s="351">
        <v>375</v>
      </c>
      <c r="K132" s="350" t="s">
        <v>222</v>
      </c>
      <c r="L132" s="599">
        <f t="shared" si="14"/>
        <v>0</v>
      </c>
      <c r="P132" s="322"/>
      <c r="W132" s="3" t="b">
        <f t="shared" si="10"/>
        <v>1</v>
      </c>
      <c r="X132" s="596">
        <f t="shared" si="12"/>
        <v>0</v>
      </c>
      <c r="Y132" s="596">
        <f t="shared" si="13"/>
        <v>0</v>
      </c>
    </row>
    <row r="133" spans="1:25" ht="56.25" customHeight="1" x14ac:dyDescent="0.3">
      <c r="A133" s="340">
        <f>'Unit Data from Audit Worksheet'!A149</f>
        <v>83</v>
      </c>
      <c r="B133" s="354" t="str">
        <f>'Unit Data from Audit Worksheet'!C149</f>
        <v>Water Sewer Net Position Statement</v>
      </c>
      <c r="C133" s="339" t="str">
        <f>'Unit Data from Audit Worksheet'!D149</f>
        <v>Total Net position</v>
      </c>
      <c r="D133" s="141"/>
      <c r="E133" s="360">
        <f>'Unit Data from Audit Worksheet'!F149</f>
        <v>0</v>
      </c>
      <c r="F133" s="353">
        <f>IF(+L122-L131-L133=0,,"Error: Total assets less total liabilities do not equal net position acct 381-349-83=0")</f>
        <v>0</v>
      </c>
      <c r="G133" s="89">
        <f>L122-L131-L133</f>
        <v>0</v>
      </c>
      <c r="H133" s="352">
        <f>'Unit Data from Audit Worksheet'!I149</f>
        <v>0</v>
      </c>
      <c r="I133" s="38"/>
      <c r="J133" s="351">
        <v>83</v>
      </c>
      <c r="K133" s="350" t="s">
        <v>102</v>
      </c>
      <c r="L133" s="599">
        <f t="shared" si="14"/>
        <v>0</v>
      </c>
      <c r="O133" s="607" t="e">
        <f>'Unit Data from Audit Worksheet'!E149</f>
        <v>#N/A</v>
      </c>
      <c r="P133" s="322"/>
      <c r="Q133" s="589">
        <f>IF(G133&lt;&gt;0,1,0)</f>
        <v>0</v>
      </c>
      <c r="W133" s="3" t="b">
        <f t="shared" ref="W133:W164" si="15">EXACT(A133,J133)</f>
        <v>1</v>
      </c>
      <c r="X133" s="596">
        <f t="shared" si="12"/>
        <v>0</v>
      </c>
      <c r="Y133" s="596">
        <f t="shared" si="13"/>
        <v>0</v>
      </c>
    </row>
    <row r="134" spans="1:25" ht="56.25" customHeight="1" x14ac:dyDescent="0.3">
      <c r="A134" s="340">
        <f>'Unit Data from Audit Worksheet'!A151</f>
        <v>90</v>
      </c>
      <c r="B134" s="354" t="str">
        <f>'Unit Data from Audit Worksheet'!C151</f>
        <v>Electric Fund Net Position Statement</v>
      </c>
      <c r="C134" s="339" t="str">
        <f>'Unit Data from Audit Worksheet'!D151</f>
        <v>All Unrestricted Cash and Investments.  
Exclude any restricted cash and investments.</v>
      </c>
      <c r="D134" s="141"/>
      <c r="E134" s="360">
        <f>'Unit Data from Audit Worksheet'!F151</f>
        <v>0</v>
      </c>
      <c r="F134" s="353">
        <f>IF(L134&lt;0,"Error: Number is normally positive.",)</f>
        <v>0</v>
      </c>
      <c r="G134" s="355"/>
      <c r="H134" s="352">
        <f>'Unit Data from Audit Worksheet'!I151</f>
        <v>0</v>
      </c>
      <c r="I134" s="38"/>
      <c r="J134" s="351">
        <v>90</v>
      </c>
      <c r="K134" s="350" t="s">
        <v>223</v>
      </c>
      <c r="L134" s="599">
        <f t="shared" si="14"/>
        <v>0</v>
      </c>
      <c r="P134" s="322"/>
      <c r="W134" s="3" t="b">
        <f t="shared" si="15"/>
        <v>1</v>
      </c>
      <c r="X134" s="596">
        <f t="shared" si="12"/>
        <v>0</v>
      </c>
      <c r="Y134" s="596">
        <f t="shared" si="13"/>
        <v>0</v>
      </c>
    </row>
    <row r="135" spans="1:25" ht="56.25" customHeight="1" x14ac:dyDescent="0.3">
      <c r="A135" s="340">
        <f>'Unit Data from Audit Worksheet'!A152</f>
        <v>91</v>
      </c>
      <c r="B135" s="354" t="str">
        <f>'Unit Data from Audit Worksheet'!C152</f>
        <v>Electric Fund Net Position Statement</v>
      </c>
      <c r="C135" s="339" t="str">
        <f>'Unit Data from Audit Worksheet'!D152</f>
        <v xml:space="preserve">Customer accounts receivable (net of allowance accounts)
Include billed and unbilled amounts </v>
      </c>
      <c r="D135" s="141"/>
      <c r="E135" s="360">
        <f>'Unit Data from Audit Worksheet'!F152</f>
        <v>0</v>
      </c>
      <c r="F135" s="353">
        <f>IF(L135&lt;0,"Error: Number is normally positive.",)</f>
        <v>0</v>
      </c>
      <c r="G135" s="355"/>
      <c r="H135" s="352">
        <f>'Unit Data from Audit Worksheet'!I152</f>
        <v>0</v>
      </c>
      <c r="I135" s="38"/>
      <c r="J135" s="351">
        <v>91</v>
      </c>
      <c r="K135" s="350" t="s">
        <v>224</v>
      </c>
      <c r="L135" s="599">
        <f t="shared" si="14"/>
        <v>0</v>
      </c>
      <c r="P135" s="322"/>
      <c r="W135" s="3" t="b">
        <f t="shared" si="15"/>
        <v>1</v>
      </c>
      <c r="X135" s="596">
        <f t="shared" si="12"/>
        <v>0</v>
      </c>
      <c r="Y135" s="596">
        <f t="shared" si="13"/>
        <v>0</v>
      </c>
    </row>
    <row r="136" spans="1:25" ht="56.25" customHeight="1" x14ac:dyDescent="0.3">
      <c r="A136" s="340">
        <f>'Unit Data from Audit Worksheet'!A153</f>
        <v>581</v>
      </c>
      <c r="B136" s="354" t="str">
        <f>'Unit Data from Audit Worksheet'!C153</f>
        <v>Electric Fund Net Position Statement</v>
      </c>
      <c r="C136" s="339" t="str">
        <f>'Unit Data from Audit Worksheet'!D153</f>
        <v>Electric Fund - Advance To:
Interfund loan receivable-portion of repayment plan longer than 12 months</v>
      </c>
      <c r="D136" s="141"/>
      <c r="E136" s="360">
        <f>'Unit Data from Audit Worksheet'!F153</f>
        <v>0</v>
      </c>
      <c r="F136" s="353"/>
      <c r="G136" s="355"/>
      <c r="H136" s="352"/>
      <c r="I136" s="38"/>
      <c r="J136" s="351">
        <v>581</v>
      </c>
      <c r="K136" s="350" t="s">
        <v>565</v>
      </c>
      <c r="L136" s="599">
        <f t="shared" si="14"/>
        <v>0</v>
      </c>
      <c r="P136" s="322"/>
      <c r="W136" s="3" t="b">
        <f t="shared" si="15"/>
        <v>1</v>
      </c>
      <c r="X136" s="596">
        <f t="shared" si="12"/>
        <v>0</v>
      </c>
      <c r="Y136" s="596">
        <f t="shared" si="13"/>
        <v>0</v>
      </c>
    </row>
    <row r="137" spans="1:25" ht="56.25" customHeight="1" x14ac:dyDescent="0.3">
      <c r="A137" s="340">
        <f>'Unit Data from Audit Worksheet'!A154</f>
        <v>511</v>
      </c>
      <c r="B137" s="354" t="str">
        <f>'Unit Data from Audit Worksheet'!C154</f>
        <v>Electric Fund Net Position Statement</v>
      </c>
      <c r="C137" s="339" t="str">
        <f>'Unit Data from Audit Worksheet'!D154</f>
        <v>Amount of inventories and prepaids</v>
      </c>
      <c r="D137" s="141"/>
      <c r="E137" s="360">
        <f>'Unit Data from Audit Worksheet'!F154</f>
        <v>0</v>
      </c>
      <c r="F137" s="353">
        <f t="shared" ref="F137:F142" si="16">IF(L137&lt;0,"Error: Number is normally positive.",)</f>
        <v>0</v>
      </c>
      <c r="G137" s="355"/>
      <c r="H137" s="352">
        <f>'Unit Data from Audit Worksheet'!I154</f>
        <v>0</v>
      </c>
      <c r="I137" s="38"/>
      <c r="J137" s="351">
        <v>511</v>
      </c>
      <c r="K137" s="350" t="s">
        <v>225</v>
      </c>
      <c r="L137" s="599">
        <f t="shared" si="14"/>
        <v>0</v>
      </c>
      <c r="P137" s="322"/>
      <c r="W137" s="3" t="b">
        <f t="shared" si="15"/>
        <v>1</v>
      </c>
      <c r="X137" s="596">
        <f t="shared" si="12"/>
        <v>0</v>
      </c>
      <c r="Y137" s="596">
        <f t="shared" si="13"/>
        <v>0</v>
      </c>
    </row>
    <row r="138" spans="1:25" ht="62.25" customHeight="1" x14ac:dyDescent="0.3">
      <c r="A138" s="340">
        <f>'Unit Data from Audit Worksheet'!A155</f>
        <v>657</v>
      </c>
      <c r="B138" s="354" t="str">
        <f>'Unit Data from Audit Worksheet'!C155</f>
        <v>Electric Fund Net Position Statement</v>
      </c>
      <c r="C138" s="339" t="str">
        <f>'Unit Data from Audit Worksheet'!D155</f>
        <v xml:space="preserve">Total Current assets as listed on the Electric Net Position Statement.  
</v>
      </c>
      <c r="D138" s="141"/>
      <c r="E138" s="360">
        <f>'Unit Data from Audit Worksheet'!F155</f>
        <v>0</v>
      </c>
      <c r="F138" s="353">
        <f t="shared" si="16"/>
        <v>0</v>
      </c>
      <c r="G138" s="355"/>
      <c r="H138" s="352">
        <f>'Unit Data from Audit Worksheet'!I155</f>
        <v>0</v>
      </c>
      <c r="I138" s="38"/>
      <c r="J138" s="351">
        <v>657</v>
      </c>
      <c r="K138" s="350" t="s">
        <v>816</v>
      </c>
      <c r="L138" s="613">
        <f>IF(D138="",E138,D138)</f>
        <v>0</v>
      </c>
      <c r="P138" s="322"/>
      <c r="Q138" s="589">
        <f>IF((L134+L135+L137)&gt;L140,1,0)</f>
        <v>0</v>
      </c>
      <c r="W138" s="3" t="b">
        <f t="shared" si="15"/>
        <v>1</v>
      </c>
      <c r="X138" s="596">
        <f t="shared" si="12"/>
        <v>0</v>
      </c>
      <c r="Y138" s="596">
        <f t="shared" si="13"/>
        <v>0</v>
      </c>
    </row>
    <row r="139" spans="1:25" ht="62.25" customHeight="1" x14ac:dyDescent="0.3">
      <c r="A139" s="340">
        <f>'Unit Data from Audit Worksheet'!A156</f>
        <v>658</v>
      </c>
      <c r="B139" s="354" t="str">
        <f>'Unit Data from Audit Worksheet'!C156</f>
        <v>Electric Fund Net Position Statement</v>
      </c>
      <c r="C139" s="339" t="str">
        <f>'Unit Data from Audit Worksheet'!D156</f>
        <v>Electric-Any current assets that are restricted (Cash, Accounts Rec., etc..) and included in account 657 above</v>
      </c>
      <c r="D139" s="141"/>
      <c r="E139" s="360">
        <f>'Unit Data from Audit Worksheet'!F156</f>
        <v>0</v>
      </c>
      <c r="F139" s="353">
        <f t="shared" si="16"/>
        <v>0</v>
      </c>
      <c r="G139" s="355"/>
      <c r="H139" s="352"/>
      <c r="I139" s="38"/>
      <c r="J139" s="351">
        <v>658</v>
      </c>
      <c r="K139" s="350" t="s">
        <v>863</v>
      </c>
      <c r="L139" s="613">
        <f>IF(D139="",E139,D139)</f>
        <v>0</v>
      </c>
      <c r="P139" s="322"/>
      <c r="W139" s="3" t="b">
        <f t="shared" si="15"/>
        <v>1</v>
      </c>
      <c r="X139" s="596">
        <f t="shared" si="12"/>
        <v>0</v>
      </c>
      <c r="Y139" s="596">
        <f t="shared" si="13"/>
        <v>0</v>
      </c>
    </row>
    <row r="140" spans="1:25" ht="39.75" customHeight="1" x14ac:dyDescent="0.3">
      <c r="A140" s="340">
        <f>'Unit Data from Audit Worksheet'!A157</f>
        <v>382</v>
      </c>
      <c r="B140" s="354" t="str">
        <f>'Unit Data from Audit Worksheet'!C157</f>
        <v>Electric Fund Net Position Statement</v>
      </c>
      <c r="C140" s="339" t="str">
        <f>'Unit Data from Audit Worksheet'!D157</f>
        <v>Total Assets and deferred outflows</v>
      </c>
      <c r="D140" s="141"/>
      <c r="E140" s="360">
        <f>'Unit Data from Audit Worksheet'!F157</f>
        <v>0</v>
      </c>
      <c r="F140" s="353">
        <f t="shared" si="16"/>
        <v>0</v>
      </c>
      <c r="G140" s="355"/>
      <c r="H140" s="352">
        <f>'Unit Data from Audit Worksheet'!I157</f>
        <v>0</v>
      </c>
      <c r="I140" s="38"/>
      <c r="J140" s="351">
        <v>382</v>
      </c>
      <c r="K140" s="350" t="s">
        <v>114</v>
      </c>
      <c r="L140" s="599">
        <f>IF(D140="",E140,D140)</f>
        <v>0</v>
      </c>
      <c r="P140" s="322"/>
      <c r="W140" s="3" t="b">
        <f t="shared" si="15"/>
        <v>1</v>
      </c>
      <c r="X140" s="596">
        <f t="shared" si="12"/>
        <v>0</v>
      </c>
      <c r="Y140" s="596">
        <f t="shared" si="13"/>
        <v>0</v>
      </c>
    </row>
    <row r="141" spans="1:25" ht="39.75" customHeight="1" x14ac:dyDescent="0.3">
      <c r="A141" s="340">
        <f>'Unit Data from Audit Worksheet'!A158</f>
        <v>360</v>
      </c>
      <c r="B141" s="354" t="str">
        <f>'Unit Data from Audit Worksheet'!C158</f>
        <v>Electric Fund Net Position Statement</v>
      </c>
      <c r="C141" s="339" t="str">
        <f>'Unit Data from Audit Worksheet'!D158</f>
        <v>Total liabilities and total deferred inflows</v>
      </c>
      <c r="D141" s="141"/>
      <c r="E141" s="360">
        <f>'Unit Data from Audit Worksheet'!F158</f>
        <v>0</v>
      </c>
      <c r="F141" s="353">
        <f t="shared" si="16"/>
        <v>0</v>
      </c>
      <c r="G141" s="355"/>
      <c r="H141" s="352">
        <f>'Unit Data from Audit Worksheet'!I158</f>
        <v>0</v>
      </c>
      <c r="I141" s="38"/>
      <c r="J141" s="351">
        <v>360</v>
      </c>
      <c r="K141" s="106" t="s">
        <v>125</v>
      </c>
      <c r="L141" s="599">
        <f>IF(D141="",E141,D141)</f>
        <v>0</v>
      </c>
      <c r="P141" s="322"/>
      <c r="W141" s="3" t="b">
        <f t="shared" si="15"/>
        <v>1</v>
      </c>
      <c r="X141" s="596">
        <f t="shared" si="12"/>
        <v>0</v>
      </c>
      <c r="Y141" s="596">
        <f t="shared" si="13"/>
        <v>0</v>
      </c>
    </row>
    <row r="142" spans="1:25" ht="58.5" customHeight="1" x14ac:dyDescent="0.3">
      <c r="A142" s="340">
        <f>'Unit Data from Audit Worksheet'!A159</f>
        <v>580</v>
      </c>
      <c r="B142" s="354" t="str">
        <f>'Unit Data from Audit Worksheet'!C159</f>
        <v>Electric Fund Net Position Statement</v>
      </c>
      <c r="C142" s="339" t="str">
        <f>'Unit Data from Audit Worksheet'!D159</f>
        <v>Electric Fund - Advance From:
Interfund loans payable-portion of repayment plan longer than 12 months</v>
      </c>
      <c r="D142" s="141"/>
      <c r="E142" s="360">
        <f>'Unit Data from Audit Worksheet'!F159</f>
        <v>0</v>
      </c>
      <c r="F142" s="353">
        <f t="shared" si="16"/>
        <v>0</v>
      </c>
      <c r="G142" s="355"/>
      <c r="H142" s="352">
        <f>'Unit Data from Audit Worksheet'!I159</f>
        <v>0</v>
      </c>
      <c r="I142" s="38"/>
      <c r="J142" s="351">
        <v>580</v>
      </c>
      <c r="K142" s="106" t="s">
        <v>566</v>
      </c>
      <c r="L142" s="599">
        <f>IF(D142="",E142,D142)</f>
        <v>0</v>
      </c>
      <c r="N142" s="608"/>
      <c r="P142" s="322"/>
      <c r="W142" s="3" t="b">
        <f t="shared" si="15"/>
        <v>1</v>
      </c>
      <c r="X142" s="596">
        <f t="shared" si="12"/>
        <v>0</v>
      </c>
      <c r="Y142" s="596">
        <f t="shared" si="13"/>
        <v>0</v>
      </c>
    </row>
    <row r="143" spans="1:25" s="18" customFormat="1" ht="104.25" customHeight="1" x14ac:dyDescent="0.3">
      <c r="A143" s="340">
        <f>'Unit Data from Audit Worksheet'!A160</f>
        <v>639</v>
      </c>
      <c r="B143" s="354" t="str">
        <f>'Unit Data from Audit Worksheet'!C160</f>
        <v>Electric Fund Net Position Statement</v>
      </c>
      <c r="C143" s="339" t="str">
        <f>'Unit Data from Audit Worksheet'!D160</f>
        <v>Current liabilities (as reported on the Statement of Fund Net Position)
Include:   Current liabilities including current portion of long-term debt.  Deferred inflows should not be included in Current Liabilities   
Enter as a positive</v>
      </c>
      <c r="D143" s="141"/>
      <c r="E143" s="360">
        <f>'Unit Data from Audit Worksheet'!F160</f>
        <v>0</v>
      </c>
      <c r="F143" s="353" t="str">
        <f>IF(L143&gt;=(L144+L145+L146+L147+L148+L149),"","Account 639 is less than the total sum of accounts 640 through 644 + 384")</f>
        <v/>
      </c>
      <c r="G143" s="355">
        <f>L143-(L144+L145+L146+L147+L148+L149)</f>
        <v>0</v>
      </c>
      <c r="H143" s="352">
        <f>'Unit Data from Audit Worksheet'!I160</f>
        <v>0</v>
      </c>
      <c r="I143" s="38"/>
      <c r="J143" s="351">
        <v>639</v>
      </c>
      <c r="K143" s="350" t="s">
        <v>746</v>
      </c>
      <c r="L143" s="613">
        <f t="shared" ref="L143:L164" si="17">IF(D143="",E143,D143)</f>
        <v>0</v>
      </c>
      <c r="P143" s="322"/>
      <c r="Q143" s="589"/>
      <c r="R143" s="3"/>
      <c r="W143" s="18" t="b">
        <f t="shared" si="15"/>
        <v>1</v>
      </c>
      <c r="X143" s="605">
        <f t="shared" si="12"/>
        <v>0</v>
      </c>
      <c r="Y143" s="605">
        <f t="shared" si="13"/>
        <v>0</v>
      </c>
    </row>
    <row r="144" spans="1:25" s="18" customFormat="1" ht="104.25" customHeight="1" x14ac:dyDescent="0.3">
      <c r="A144" s="340">
        <f>'Unit Data from Audit Worksheet'!A161</f>
        <v>640</v>
      </c>
      <c r="B144" s="354" t="str">
        <f>'Unit Data from Audit Worksheet'!C161</f>
        <v>Electric Fund Net Position Statement</v>
      </c>
      <c r="C144" s="339" t="str">
        <f>'Unit Data from Audit Worksheet'!D161</f>
        <v>Please enter any bond anticipation notes that are classified as current liabilities and included in account 639 above (amounts entered should agree to the current amount included in the changes to long-term debt note)
Enter as a positive</v>
      </c>
      <c r="D144" s="141"/>
      <c r="E144" s="360">
        <f>'Unit Data from Audit Worksheet'!F161</f>
        <v>0</v>
      </c>
      <c r="F144" s="353">
        <f t="shared" ref="F144:F149" si="18">IF(L144&lt;0,"Error: Number is normally positive.",)</f>
        <v>0</v>
      </c>
      <c r="G144" s="355"/>
      <c r="H144" s="352">
        <f>'Unit Data from Audit Worksheet'!I161</f>
        <v>0</v>
      </c>
      <c r="I144" s="38"/>
      <c r="J144" s="351">
        <v>640</v>
      </c>
      <c r="K144" s="350" t="s">
        <v>747</v>
      </c>
      <c r="L144" s="613">
        <f t="shared" si="17"/>
        <v>0</v>
      </c>
      <c r="P144" s="322"/>
      <c r="Q144" s="589"/>
      <c r="R144" s="3"/>
      <c r="W144" s="18" t="b">
        <f t="shared" si="15"/>
        <v>1</v>
      </c>
      <c r="X144" s="605">
        <f t="shared" si="12"/>
        <v>0</v>
      </c>
      <c r="Y144" s="605">
        <f t="shared" si="13"/>
        <v>0</v>
      </c>
    </row>
    <row r="145" spans="1:25" s="18" customFormat="1" ht="104.25" customHeight="1" x14ac:dyDescent="0.3">
      <c r="A145" s="340">
        <f>'Unit Data from Audit Worksheet'!A162</f>
        <v>641</v>
      </c>
      <c r="B145" s="354" t="str">
        <f>'Unit Data from Audit Worksheet'!C162</f>
        <v>Electric Fund Net Position Statement</v>
      </c>
      <c r="C145" s="339" t="str">
        <f>'Unit Data from Audit Worksheet'!D162</f>
        <v>Please enter any compensated absences that are classified as current liabilities and included in account 639 above (amounts entered should agree to the current amount included in the changes to long-term debt note)
Enter as a positive</v>
      </c>
      <c r="D145" s="141"/>
      <c r="E145" s="360">
        <f>'Unit Data from Audit Worksheet'!F162</f>
        <v>0</v>
      </c>
      <c r="F145" s="353">
        <f t="shared" si="18"/>
        <v>0</v>
      </c>
      <c r="G145" s="355"/>
      <c r="H145" s="352">
        <f>'Unit Data from Audit Worksheet'!I162</f>
        <v>0</v>
      </c>
      <c r="I145" s="38"/>
      <c r="J145" s="351">
        <v>641</v>
      </c>
      <c r="K145" s="350" t="s">
        <v>748</v>
      </c>
      <c r="L145" s="613">
        <f t="shared" si="17"/>
        <v>0</v>
      </c>
      <c r="P145" s="322"/>
      <c r="Q145" s="589"/>
      <c r="R145" s="3"/>
      <c r="W145" s="18" t="b">
        <f t="shared" si="15"/>
        <v>1</v>
      </c>
      <c r="X145" s="605">
        <f t="shared" si="12"/>
        <v>0</v>
      </c>
      <c r="Y145" s="605">
        <f t="shared" si="13"/>
        <v>0</v>
      </c>
    </row>
    <row r="146" spans="1:25" s="18" customFormat="1" ht="104.25" customHeight="1" x14ac:dyDescent="0.3">
      <c r="A146" s="340">
        <f>'Unit Data from Audit Worksheet'!A163</f>
        <v>642</v>
      </c>
      <c r="B146" s="354" t="str">
        <f>'Unit Data from Audit Worksheet'!C163</f>
        <v>Electric Fund Net Position Statement</v>
      </c>
      <c r="C146" s="339" t="str">
        <f>'Unit Data from Audit Worksheet'!D163</f>
        <v>Please enter any pension liabilities that are classified as current liabilities and included account in 639 above (amounts entered should agree to the current amount included in the changes to long-term debt note)
Enter as a positive</v>
      </c>
      <c r="D146" s="141"/>
      <c r="E146" s="360">
        <f>'Unit Data from Audit Worksheet'!F163</f>
        <v>0</v>
      </c>
      <c r="F146" s="353">
        <f t="shared" si="18"/>
        <v>0</v>
      </c>
      <c r="G146" s="355"/>
      <c r="H146" s="352">
        <f>'Unit Data from Audit Worksheet'!I163</f>
        <v>0</v>
      </c>
      <c r="I146" s="38"/>
      <c r="J146" s="351">
        <v>642</v>
      </c>
      <c r="K146" s="350" t="s">
        <v>749</v>
      </c>
      <c r="L146" s="613">
        <f t="shared" si="17"/>
        <v>0</v>
      </c>
      <c r="P146" s="322"/>
      <c r="Q146" s="589"/>
      <c r="R146" s="3"/>
      <c r="W146" s="18" t="b">
        <f t="shared" si="15"/>
        <v>1</v>
      </c>
      <c r="X146" s="605">
        <f t="shared" si="12"/>
        <v>0</v>
      </c>
      <c r="Y146" s="605">
        <f t="shared" si="13"/>
        <v>0</v>
      </c>
    </row>
    <row r="147" spans="1:25" s="18" customFormat="1" ht="60.75" customHeight="1" x14ac:dyDescent="0.3">
      <c r="A147" s="340">
        <f>'Unit Data from Audit Worksheet'!A164</f>
        <v>643</v>
      </c>
      <c r="B147" s="354" t="str">
        <f>'Unit Data from Audit Worksheet'!C164</f>
        <v>Electric Fund Net Position Statement</v>
      </c>
      <c r="C147" s="339" t="str">
        <f>'Unit Data from Audit Worksheet'!D164</f>
        <v>Please enter any current liabilities that are payable from restricted assets and included in account 639 above. 
Enter as a positive</v>
      </c>
      <c r="D147" s="141"/>
      <c r="E147" s="360">
        <f>'Unit Data from Audit Worksheet'!F164</f>
        <v>0</v>
      </c>
      <c r="F147" s="353">
        <f t="shared" si="18"/>
        <v>0</v>
      </c>
      <c r="G147" s="355"/>
      <c r="H147" s="352">
        <f>'Unit Data from Audit Worksheet'!I164</f>
        <v>0</v>
      </c>
      <c r="I147" s="38"/>
      <c r="J147" s="351">
        <v>643</v>
      </c>
      <c r="K147" s="350" t="s">
        <v>750</v>
      </c>
      <c r="L147" s="613">
        <f t="shared" si="17"/>
        <v>0</v>
      </c>
      <c r="P147" s="322"/>
      <c r="Q147" s="589"/>
      <c r="R147" s="3"/>
      <c r="W147" s="18" t="b">
        <f t="shared" si="15"/>
        <v>1</v>
      </c>
      <c r="X147" s="605">
        <f t="shared" si="12"/>
        <v>0</v>
      </c>
      <c r="Y147" s="605">
        <f t="shared" si="13"/>
        <v>0</v>
      </c>
    </row>
    <row r="148" spans="1:25" s="18" customFormat="1" ht="102" customHeight="1" x14ac:dyDescent="0.3">
      <c r="A148" s="340">
        <f>'Unit Data from Audit Worksheet'!A165</f>
        <v>644</v>
      </c>
      <c r="B148" s="354" t="str">
        <f>'Unit Data from Audit Worksheet'!C165</f>
        <v>Electric Fund Net Position Statement</v>
      </c>
      <c r="C148" s="339" t="str">
        <f>'Unit Data from Audit Worksheet'!D165</f>
        <v>Please enter any OPEB liabilities that are classified as current liabilities and included in account 639 above (amounts entered should agree to the current amount included in the changes to long-term debt note)
Enter as a positive</v>
      </c>
      <c r="D148" s="141"/>
      <c r="E148" s="360">
        <f>'Unit Data from Audit Worksheet'!F165</f>
        <v>0</v>
      </c>
      <c r="F148" s="353">
        <f t="shared" si="18"/>
        <v>0</v>
      </c>
      <c r="G148" s="355"/>
      <c r="H148" s="352">
        <f>'Unit Data from Audit Worksheet'!I165</f>
        <v>0</v>
      </c>
      <c r="I148" s="38"/>
      <c r="J148" s="275">
        <v>644</v>
      </c>
      <c r="K148" s="350" t="s">
        <v>751</v>
      </c>
      <c r="L148" s="613">
        <f t="shared" si="17"/>
        <v>0</v>
      </c>
      <c r="P148" s="325"/>
      <c r="Q148" s="589"/>
      <c r="R148" s="3"/>
      <c r="W148" s="18" t="b">
        <f t="shared" si="15"/>
        <v>1</v>
      </c>
      <c r="X148" s="605">
        <f t="shared" si="12"/>
        <v>0</v>
      </c>
      <c r="Y148" s="605">
        <f t="shared" si="13"/>
        <v>0</v>
      </c>
    </row>
    <row r="149" spans="1:25" ht="63.75" customHeight="1" x14ac:dyDescent="0.3">
      <c r="A149" s="340">
        <f>+'Unit Data from Audit Worksheet'!A166</f>
        <v>384</v>
      </c>
      <c r="B149" s="340" t="str">
        <f>+'Unit Data from Audit Worksheet'!C166</f>
        <v>Electric Fund Net Position Statement</v>
      </c>
      <c r="C149" s="340" t="str">
        <f>+'Unit Data from Audit Worksheet'!D166</f>
        <v>Unearned revenue (arising from cash receipts) that were included in Current Liabilities in account 639 above.
Enter as a positive</v>
      </c>
      <c r="D149" s="141"/>
      <c r="E149" s="360">
        <f>+'Unit Data from Audit Worksheet'!F166</f>
        <v>0</v>
      </c>
      <c r="F149" s="353">
        <f t="shared" si="18"/>
        <v>0</v>
      </c>
      <c r="G149" s="355"/>
      <c r="H149" s="352">
        <f>'Unit Data from Audit Worksheet'!I166</f>
        <v>0</v>
      </c>
      <c r="I149" s="38"/>
      <c r="J149" s="351">
        <v>384</v>
      </c>
      <c r="K149" s="56" t="s">
        <v>124</v>
      </c>
      <c r="L149" s="599">
        <f t="shared" si="17"/>
        <v>0</v>
      </c>
      <c r="P149" s="322"/>
      <c r="W149" s="3" t="b">
        <f t="shared" si="15"/>
        <v>1</v>
      </c>
      <c r="X149" s="596">
        <f t="shared" si="12"/>
        <v>0</v>
      </c>
      <c r="Y149" s="596">
        <f t="shared" si="13"/>
        <v>0</v>
      </c>
    </row>
    <row r="150" spans="1:25" ht="86.4" x14ac:dyDescent="0.3">
      <c r="A150" s="340">
        <f>+'Unit Data from Audit Worksheet'!A167</f>
        <v>361</v>
      </c>
      <c r="B150" s="340" t="str">
        <f>+'Unit Data from Audit Worksheet'!C167</f>
        <v>Electric Fund Net Position Statement</v>
      </c>
      <c r="C150" s="340" t="str">
        <f>+'Unit Data from Audit Worksheet'!D167</f>
        <v>Total net position, unrestricted - Amount of negative unrestricted net position should be entered as a negative amount and the amount of positive unrestricted net position should be entered as a positive amount.</v>
      </c>
      <c r="D150" s="141"/>
      <c r="E150" s="360">
        <f>+'Unit Data from Audit Worksheet'!F167</f>
        <v>0</v>
      </c>
      <c r="F150" s="353"/>
      <c r="G150" s="355"/>
      <c r="H150" s="352">
        <f>'Unit Data from Audit Worksheet'!I167</f>
        <v>0</v>
      </c>
      <c r="I150" s="38"/>
      <c r="J150" s="351">
        <v>361</v>
      </c>
      <c r="K150" s="350" t="s">
        <v>106</v>
      </c>
      <c r="L150" s="599">
        <f t="shared" si="17"/>
        <v>0</v>
      </c>
      <c r="P150" s="322"/>
      <c r="W150" s="3" t="b">
        <f t="shared" si="15"/>
        <v>1</v>
      </c>
      <c r="X150" s="596">
        <f t="shared" si="12"/>
        <v>0</v>
      </c>
      <c r="Y150" s="596">
        <f t="shared" si="13"/>
        <v>0</v>
      </c>
    </row>
    <row r="151" spans="1:25" ht="46.5" customHeight="1" x14ac:dyDescent="0.3">
      <c r="A151" s="340">
        <f>'Unit Data from Audit Worksheet'!A168</f>
        <v>362</v>
      </c>
      <c r="B151" s="354" t="str">
        <f>'Unit Data from Audit Worksheet'!C168</f>
        <v>Electric Fund Net Position Statement</v>
      </c>
      <c r="C151" s="339" t="str">
        <f>'Unit Data from Audit Worksheet'!D168</f>
        <v>Total net position</v>
      </c>
      <c r="D151" s="141"/>
      <c r="E151" s="360">
        <f>'Unit Data from Audit Worksheet'!F168</f>
        <v>0</v>
      </c>
      <c r="F151" s="353">
        <f>IF(L140-L141-L151=0,,"Error: Total assets less total liabilities do not equal net position acct 382-360-362=0")</f>
        <v>0</v>
      </c>
      <c r="G151" s="89">
        <f>+L140-L141-L151</f>
        <v>0</v>
      </c>
      <c r="H151" s="352">
        <f>'Unit Data from Audit Worksheet'!I168</f>
        <v>0</v>
      </c>
      <c r="I151" s="38"/>
      <c r="J151" s="351">
        <v>362</v>
      </c>
      <c r="K151" s="350" t="s">
        <v>107</v>
      </c>
      <c r="L151" s="599">
        <f t="shared" si="17"/>
        <v>0</v>
      </c>
      <c r="O151" s="607" t="e">
        <f>'Unit Data from Audit Worksheet'!E168</f>
        <v>#N/A</v>
      </c>
      <c r="P151" s="322"/>
      <c r="Q151" s="589">
        <f>IF(+L140-L141-L151=0,0,1)</f>
        <v>0</v>
      </c>
      <c r="W151" s="3" t="b">
        <f t="shared" si="15"/>
        <v>1</v>
      </c>
      <c r="X151" s="596">
        <f t="shared" si="12"/>
        <v>0</v>
      </c>
      <c r="Y151" s="596">
        <f t="shared" si="13"/>
        <v>0</v>
      </c>
    </row>
    <row r="152" spans="1:25" ht="61.5" customHeight="1" x14ac:dyDescent="0.3">
      <c r="A152" s="340">
        <f>'Unit Data from Audit Worksheet'!A171</f>
        <v>88</v>
      </c>
      <c r="B152" s="354" t="str">
        <f>'Unit Data from Audit Worksheet'!C171</f>
        <v>Water Sewer Revenue, Expenses &amp; Changes in Fund Net Position</v>
      </c>
      <c r="C152" s="339" t="str">
        <f>'Unit Data from Audit Worksheet'!D171</f>
        <v>Charges for services. 
Exclude tap, capacity fees and other misc. income .</v>
      </c>
      <c r="D152" s="141"/>
      <c r="E152" s="360">
        <f>'Unit Data from Audit Worksheet'!F171</f>
        <v>0</v>
      </c>
      <c r="F152" s="353"/>
      <c r="G152" s="355"/>
      <c r="H152" s="352">
        <f>'Unit Data from Audit Worksheet'!I171</f>
        <v>0</v>
      </c>
      <c r="I152" s="38"/>
      <c r="J152" s="351">
        <v>88</v>
      </c>
      <c r="K152" s="350" t="s">
        <v>226</v>
      </c>
      <c r="L152" s="599">
        <f t="shared" si="17"/>
        <v>0</v>
      </c>
      <c r="P152" s="322"/>
      <c r="Q152" s="356"/>
      <c r="W152" s="3" t="b">
        <f t="shared" si="15"/>
        <v>1</v>
      </c>
      <c r="X152" s="596">
        <f t="shared" si="12"/>
        <v>0</v>
      </c>
      <c r="Y152" s="596">
        <f t="shared" si="13"/>
        <v>0</v>
      </c>
    </row>
    <row r="153" spans="1:25" ht="72" customHeight="1" x14ac:dyDescent="0.3">
      <c r="A153" s="340">
        <f>'Unit Data from Audit Worksheet'!A172</f>
        <v>84</v>
      </c>
      <c r="B153" s="354" t="str">
        <f>'Unit Data from Audit Worksheet'!C172</f>
        <v>Water Sewer Revenue, Expenses &amp; Changes in Fund Net Position</v>
      </c>
      <c r="C153" s="339" t="str">
        <f>'Unit Data from Audit Worksheet'!D172</f>
        <v>Total Operating revenues</v>
      </c>
      <c r="D153" s="141"/>
      <c r="E153" s="360">
        <f>'Unit Data from Audit Worksheet'!F172</f>
        <v>0</v>
      </c>
      <c r="F153" s="353" t="str">
        <f>IF(L152&gt;L153,"Error: Charges for services exceed total operating revenues. Acct # 88&gt;84"," ")</f>
        <v xml:space="preserve"> </v>
      </c>
      <c r="G153" s="355" t="str">
        <f>IF(Q153=1," Included in error count"," ")</f>
        <v xml:space="preserve"> </v>
      </c>
      <c r="H153" s="352">
        <f>'Unit Data from Audit Worksheet'!I172</f>
        <v>0</v>
      </c>
      <c r="I153" s="38"/>
      <c r="J153" s="351">
        <v>84</v>
      </c>
      <c r="K153" s="350" t="s">
        <v>227</v>
      </c>
      <c r="L153" s="599">
        <f t="shared" si="17"/>
        <v>0</v>
      </c>
      <c r="P153" s="322"/>
      <c r="Q153" s="589">
        <f>IF(L152&gt;L153,1,0)</f>
        <v>0</v>
      </c>
      <c r="W153" s="3" t="b">
        <f t="shared" si="15"/>
        <v>1</v>
      </c>
      <c r="X153" s="596">
        <f t="shared" si="12"/>
        <v>0</v>
      </c>
      <c r="Y153" s="596">
        <f t="shared" si="13"/>
        <v>0</v>
      </c>
    </row>
    <row r="154" spans="1:25" ht="72" customHeight="1" x14ac:dyDescent="0.3">
      <c r="A154" s="340">
        <f>'Unit Data from Audit Worksheet'!A173</f>
        <v>49</v>
      </c>
      <c r="B154" s="354" t="str">
        <f>'Unit Data from Audit Worksheet'!C173</f>
        <v>Water Sewer Revenue, Expenses &amp; Changes in Fund Net Position</v>
      </c>
      <c r="C154" s="339" t="str">
        <f>'Unit Data from Audit Worksheet'!D173</f>
        <v>Depreciation and amortization expense</v>
      </c>
      <c r="D154" s="141"/>
      <c r="E154" s="360">
        <f>'Unit Data from Audit Worksheet'!F173</f>
        <v>0</v>
      </c>
      <c r="F154" s="353">
        <f>IF(L154&lt;0,"Error: Number is normally positive.",)</f>
        <v>0</v>
      </c>
      <c r="G154" s="355"/>
      <c r="H154" s="352">
        <f>'Unit Data from Audit Worksheet'!I173</f>
        <v>0</v>
      </c>
      <c r="I154" s="38"/>
      <c r="J154" s="351">
        <v>49</v>
      </c>
      <c r="K154" s="350" t="s">
        <v>228</v>
      </c>
      <c r="L154" s="599">
        <f t="shared" si="17"/>
        <v>0</v>
      </c>
      <c r="O154" s="607"/>
      <c r="P154" s="322"/>
      <c r="W154" s="3" t="b">
        <f t="shared" si="15"/>
        <v>1</v>
      </c>
      <c r="X154" s="596">
        <f t="shared" si="12"/>
        <v>0</v>
      </c>
      <c r="Y154" s="596">
        <f t="shared" si="13"/>
        <v>0</v>
      </c>
    </row>
    <row r="155" spans="1:25" ht="48" customHeight="1" x14ac:dyDescent="0.3">
      <c r="A155" s="340">
        <f>'Unit Data from Audit Worksheet'!A174</f>
        <v>85</v>
      </c>
      <c r="B155" s="354" t="str">
        <f>'Unit Data from Audit Worksheet'!C174</f>
        <v>Water Sewer Revenue, Expenses &amp; Changes in Fund Net Position</v>
      </c>
      <c r="C155" s="339" t="str">
        <f>'Unit Data from Audit Worksheet'!D174</f>
        <v>Total Operating expenses</v>
      </c>
      <c r="D155" s="141"/>
      <c r="E155" s="360">
        <f>'Unit Data from Audit Worksheet'!F174</f>
        <v>0</v>
      </c>
      <c r="F155" s="353"/>
      <c r="G155" s="355"/>
      <c r="H155" s="352">
        <f>'Unit Data from Audit Worksheet'!I174</f>
        <v>0</v>
      </c>
      <c r="I155" s="38"/>
      <c r="J155" s="351">
        <v>85</v>
      </c>
      <c r="K155" s="350" t="s">
        <v>229</v>
      </c>
      <c r="L155" s="599">
        <f t="shared" si="17"/>
        <v>0</v>
      </c>
      <c r="P155" s="322"/>
      <c r="W155" s="3" t="b">
        <f t="shared" si="15"/>
        <v>1</v>
      </c>
      <c r="X155" s="596">
        <f t="shared" si="12"/>
        <v>0</v>
      </c>
      <c r="Y155" s="596">
        <f t="shared" si="13"/>
        <v>0</v>
      </c>
    </row>
    <row r="156" spans="1:25" ht="48" customHeight="1" x14ac:dyDescent="0.3">
      <c r="A156" s="340">
        <f>'Unit Data from Audit Worksheet'!A175</f>
        <v>89</v>
      </c>
      <c r="B156" s="354" t="str">
        <f>'Unit Data from Audit Worksheet'!C175</f>
        <v>Water Sewer Revenue, Expenses &amp; Changes in Fund Net Position</v>
      </c>
      <c r="C156" s="339" t="str">
        <f>'Unit Data from Audit Worksheet'!D175</f>
        <v>Interest expense</v>
      </c>
      <c r="D156" s="141"/>
      <c r="E156" s="360">
        <f>'Unit Data from Audit Worksheet'!F175</f>
        <v>0</v>
      </c>
      <c r="F156" s="353"/>
      <c r="G156" s="355"/>
      <c r="H156" s="352">
        <f>'Unit Data from Audit Worksheet'!I175</f>
        <v>0</v>
      </c>
      <c r="I156" s="38"/>
      <c r="J156" s="351">
        <v>89</v>
      </c>
      <c r="K156" s="350" t="s">
        <v>230</v>
      </c>
      <c r="L156" s="599">
        <f t="shared" si="17"/>
        <v>0</v>
      </c>
      <c r="P156" s="322"/>
      <c r="W156" s="3" t="b">
        <f t="shared" si="15"/>
        <v>1</v>
      </c>
      <c r="X156" s="596">
        <f t="shared" si="12"/>
        <v>0</v>
      </c>
      <c r="Y156" s="596">
        <f t="shared" si="13"/>
        <v>0</v>
      </c>
    </row>
    <row r="157" spans="1:25" ht="48" customHeight="1" x14ac:dyDescent="0.3">
      <c r="A157" s="340">
        <f>'Unit Data from Audit Worksheet'!A176</f>
        <v>350</v>
      </c>
      <c r="B157" s="354" t="str">
        <f>'Unit Data from Audit Worksheet'!C176</f>
        <v>Water Sewer Revenue, Expenses &amp; Changes in Fund Net Position</v>
      </c>
      <c r="C157" s="339" t="str">
        <f>'Unit Data from Audit Worksheet'!D176</f>
        <v>Total all non-operating revenues  
Exclude Capital contributions.</v>
      </c>
      <c r="D157" s="141"/>
      <c r="E157" s="360">
        <f>'Unit Data from Audit Worksheet'!F176</f>
        <v>0</v>
      </c>
      <c r="F157" s="353"/>
      <c r="G157" s="355"/>
      <c r="H157" s="352">
        <f>'Unit Data from Audit Worksheet'!I176</f>
        <v>0</v>
      </c>
      <c r="I157" s="38"/>
      <c r="J157" s="351">
        <v>350</v>
      </c>
      <c r="K157" s="350" t="s">
        <v>231</v>
      </c>
      <c r="L157" s="599">
        <f t="shared" si="17"/>
        <v>0</v>
      </c>
      <c r="P157" s="322"/>
      <c r="W157" s="3" t="b">
        <f t="shared" si="15"/>
        <v>1</v>
      </c>
      <c r="X157" s="596">
        <f t="shared" si="12"/>
        <v>0</v>
      </c>
      <c r="Y157" s="596">
        <f t="shared" si="13"/>
        <v>0</v>
      </c>
    </row>
    <row r="158" spans="1:25" ht="48" customHeight="1" x14ac:dyDescent="0.3">
      <c r="A158" s="340">
        <f>'Unit Data from Audit Worksheet'!A177</f>
        <v>351</v>
      </c>
      <c r="B158" s="354" t="str">
        <f>'Unit Data from Audit Worksheet'!C177</f>
        <v>Water Sewer Revenue, Expenses &amp; Changes in Fund Net Position</v>
      </c>
      <c r="C158" s="339" t="str">
        <f>'Unit Data from Audit Worksheet'!D177</f>
        <v>Total all non-operating expenses.  
Include any negative special, extraordinary, or capital contribution.</v>
      </c>
      <c r="D158" s="141"/>
      <c r="E158" s="360">
        <f>'Unit Data from Audit Worksheet'!F177</f>
        <v>0</v>
      </c>
      <c r="F158" s="353"/>
      <c r="G158" s="355"/>
      <c r="H158" s="352">
        <f>'Unit Data from Audit Worksheet'!I177</f>
        <v>0</v>
      </c>
      <c r="I158" s="38"/>
      <c r="J158" s="351">
        <v>351</v>
      </c>
      <c r="K158" s="350" t="s">
        <v>232</v>
      </c>
      <c r="L158" s="599">
        <f t="shared" si="17"/>
        <v>0</v>
      </c>
      <c r="P158" s="322"/>
      <c r="W158" s="3" t="b">
        <f t="shared" si="15"/>
        <v>1</v>
      </c>
      <c r="X158" s="596">
        <f t="shared" si="12"/>
        <v>0</v>
      </c>
      <c r="Y158" s="596">
        <f t="shared" si="13"/>
        <v>0</v>
      </c>
    </row>
    <row r="159" spans="1:25" ht="57.6" x14ac:dyDescent="0.3">
      <c r="A159" s="340">
        <f>'Unit Data from Audit Worksheet'!A178</f>
        <v>191</v>
      </c>
      <c r="B159" s="354" t="str">
        <f>'Unit Data from Audit Worksheet'!C178</f>
        <v>Water Sewer Revenue, Expenses &amp; Changes in Fund Net Position</v>
      </c>
      <c r="C159" s="339" t="str">
        <f>'Unit Data from Audit Worksheet'!D178</f>
        <v>Capital contributions. Only include positive capital contributions.  Negative capital contributions should be included with 'Total all non-operating expenses.'</v>
      </c>
      <c r="D159" s="141"/>
      <c r="E159" s="360">
        <f>'Unit Data from Audit Worksheet'!F178</f>
        <v>0</v>
      </c>
      <c r="F159" s="353">
        <f>IF(L159&lt;0,"Error: Enter as a positive.",)</f>
        <v>0</v>
      </c>
      <c r="G159" s="355"/>
      <c r="H159" s="352">
        <f>'Unit Data from Audit Worksheet'!I178</f>
        <v>0</v>
      </c>
      <c r="I159" s="38"/>
      <c r="J159" s="351">
        <v>191</v>
      </c>
      <c r="K159" s="350" t="s">
        <v>233</v>
      </c>
      <c r="L159" s="599">
        <f t="shared" si="17"/>
        <v>0</v>
      </c>
      <c r="P159" s="322"/>
      <c r="W159" s="3" t="b">
        <f t="shared" si="15"/>
        <v>1</v>
      </c>
      <c r="X159" s="596">
        <f t="shared" si="12"/>
        <v>0</v>
      </c>
      <c r="Y159" s="596">
        <f t="shared" si="13"/>
        <v>0</v>
      </c>
    </row>
    <row r="160" spans="1:25" ht="47.25" customHeight="1" x14ac:dyDescent="0.3">
      <c r="A160" s="340">
        <f>'Unit Data from Audit Worksheet'!A179</f>
        <v>352</v>
      </c>
      <c r="B160" s="354" t="str">
        <f>'Unit Data from Audit Worksheet'!C179</f>
        <v>Water Sewer Revenue, Expenses &amp; Changes in Fund Net Position</v>
      </c>
      <c r="C160" s="339" t="str">
        <f>'Unit Data from Audit Worksheet'!D179</f>
        <v>Total Transfers in - all funds (operating and capital)</v>
      </c>
      <c r="D160" s="141"/>
      <c r="E160" s="360">
        <f>'Unit Data from Audit Worksheet'!F179</f>
        <v>0</v>
      </c>
      <c r="F160" s="353"/>
      <c r="G160" s="355"/>
      <c r="H160" s="352">
        <f>'Unit Data from Audit Worksheet'!I179</f>
        <v>0</v>
      </c>
      <c r="I160" s="38"/>
      <c r="J160" s="351">
        <v>352</v>
      </c>
      <c r="K160" s="350" t="s">
        <v>234</v>
      </c>
      <c r="L160" s="599">
        <f t="shared" si="17"/>
        <v>0</v>
      </c>
      <c r="P160" s="322"/>
      <c r="W160" s="3" t="b">
        <f t="shared" si="15"/>
        <v>1</v>
      </c>
      <c r="X160" s="596">
        <f t="shared" si="12"/>
        <v>0</v>
      </c>
      <c r="Y160" s="596">
        <f t="shared" si="13"/>
        <v>0</v>
      </c>
    </row>
    <row r="161" spans="1:25" ht="70.5" customHeight="1" x14ac:dyDescent="0.3">
      <c r="A161" s="615">
        <f>'Unit Data from Audit Worksheet'!A180</f>
        <v>986</v>
      </c>
      <c r="B161" s="358" t="str">
        <f>'Unit Data from Audit Worksheet'!C180</f>
        <v>Water Sewer Revenue, Expenses &amp; Changes in Fund Net Position</v>
      </c>
      <c r="C161" s="616" t="str">
        <f>'Unit Data from Audit Worksheet'!D180</f>
        <v>Of the transfers-in above in acct # 352, list amount of transfers-in that were used to support Water Sewer operations  (exclude capital transfers)</v>
      </c>
      <c r="D161" s="141"/>
      <c r="E161" s="360">
        <f>'Unit Data from Audit Worksheet'!F180</f>
        <v>0</v>
      </c>
      <c r="F161" s="353"/>
      <c r="G161" s="355"/>
      <c r="H161" s="352"/>
      <c r="I161" s="38"/>
      <c r="J161" s="369">
        <v>986</v>
      </c>
      <c r="K161" s="616" t="s">
        <v>1080</v>
      </c>
      <c r="L161" s="617">
        <f t="shared" si="17"/>
        <v>0</v>
      </c>
      <c r="P161" s="322"/>
      <c r="W161" s="3" t="b">
        <f t="shared" si="15"/>
        <v>1</v>
      </c>
      <c r="X161" s="596"/>
      <c r="Y161" s="596"/>
    </row>
    <row r="162" spans="1:25" ht="47.25" customHeight="1" x14ac:dyDescent="0.3">
      <c r="A162" s="340">
        <f>'Unit Data from Audit Worksheet'!A181</f>
        <v>353</v>
      </c>
      <c r="B162" s="354" t="str">
        <f>'Unit Data from Audit Worksheet'!C181</f>
        <v>Water Sewer Revenue, Expenses &amp; Changes in Fund Net Position</v>
      </c>
      <c r="C162" s="339" t="str">
        <f>'Unit Data from Audit Worksheet'!D181</f>
        <v>Total Transfers out</v>
      </c>
      <c r="D162" s="141"/>
      <c r="E162" s="360">
        <f>'Unit Data from Audit Worksheet'!F181</f>
        <v>0</v>
      </c>
      <c r="F162" s="353">
        <f>IF(L162&lt;0,"Error: Enter as a positive.",)</f>
        <v>0</v>
      </c>
      <c r="G162" s="355"/>
      <c r="H162" s="352">
        <f>'Unit Data from Audit Worksheet'!I181</f>
        <v>0</v>
      </c>
      <c r="I162" s="38"/>
      <c r="J162" s="40">
        <v>353</v>
      </c>
      <c r="K162" s="350" t="s">
        <v>235</v>
      </c>
      <c r="L162" s="599">
        <f t="shared" si="17"/>
        <v>0</v>
      </c>
      <c r="P162" s="326"/>
      <c r="W162" s="3" t="b">
        <f t="shared" si="15"/>
        <v>1</v>
      </c>
      <c r="X162" s="596">
        <f t="shared" si="12"/>
        <v>0</v>
      </c>
      <c r="Y162" s="596">
        <f t="shared" si="13"/>
        <v>0</v>
      </c>
    </row>
    <row r="163" spans="1:25" ht="72.75" customHeight="1" x14ac:dyDescent="0.3">
      <c r="A163" s="340">
        <f>'Unit Data from Audit Worksheet'!A182</f>
        <v>50</v>
      </c>
      <c r="B163" s="354" t="str">
        <f>'Unit Data from Audit Worksheet'!C182</f>
        <v>Water Sewer Revenue, Expenses &amp; Changes in Fund Net Position</v>
      </c>
      <c r="C163" s="339" t="str">
        <f>'Unit Data from Audit Worksheet'!D182</f>
        <v>Change in net position - Increase in net position is recorded as a positive and a (Decrease) in net position is recorded as a negative.</v>
      </c>
      <c r="D163" s="141"/>
      <c r="E163" s="146">
        <f>'Unit Data from Audit Worksheet'!F182</f>
        <v>0</v>
      </c>
      <c r="F163" s="353">
        <f>IF(L153-L155+L157-L158+L160+L159-L162-L163=0,,"Error:Total revenues less total expenses do not equal total change in net position. Acct # 84-85+350-351+191+352-353-50")</f>
        <v>0</v>
      </c>
      <c r="G163" s="89">
        <f>+L153-L155+L157-L158+L160+L159-L162-L163</f>
        <v>0</v>
      </c>
      <c r="H163" s="352">
        <f>'Unit Data from Audit Worksheet'!I182</f>
        <v>0</v>
      </c>
      <c r="I163" s="38"/>
      <c r="J163" s="351">
        <v>50</v>
      </c>
      <c r="K163" s="350" t="s">
        <v>100</v>
      </c>
      <c r="L163" s="599">
        <f t="shared" si="17"/>
        <v>0</v>
      </c>
      <c r="P163" s="322"/>
      <c r="Q163" s="589">
        <f>IF(G163&lt;&gt;0,1,0)</f>
        <v>0</v>
      </c>
      <c r="W163" s="3" t="b">
        <f t="shared" si="15"/>
        <v>1</v>
      </c>
      <c r="X163" s="596">
        <f t="shared" si="12"/>
        <v>0</v>
      </c>
      <c r="Y163" s="596">
        <f t="shared" si="13"/>
        <v>0</v>
      </c>
    </row>
    <row r="164" spans="1:25" ht="144" customHeight="1" x14ac:dyDescent="0.3">
      <c r="A164" s="340">
        <f>'Unit Data from Audit Worksheet'!A183</f>
        <v>377</v>
      </c>
      <c r="B164" s="354" t="str">
        <f>'Unit Data from Audit Worksheet'!C183</f>
        <v>Water Sewer Revenue, Expenses &amp; Changes in Fund Net Position</v>
      </c>
      <c r="C164" s="339" t="str">
        <f>'Unit Data from Audit Worksheet'!D183</f>
        <v>Increases or (decreases) to beginning water sewer net position due to rounding, prior period adjustments and restatements.  Increase amounts to beginning net position should be entered as a positive amount and (decreases) should be entered as a negative amount.</v>
      </c>
      <c r="D164" s="141"/>
      <c r="E164" s="146">
        <f>'Unit Data from Audit Worksheet'!F183</f>
        <v>0</v>
      </c>
      <c r="F164" s="85" t="e">
        <f>IF(L133-L163-L164=O133,,"Error:Beginning Balance does not agree with out records.Acct # 83-50-377 = PY83")</f>
        <v>#N/A</v>
      </c>
      <c r="G164" s="89" t="e">
        <f>+L133-L163-L164-O133</f>
        <v>#N/A</v>
      </c>
      <c r="H164" s="352" t="str">
        <f>'Unit Data from Audit Worksheet'!I183</f>
        <v>Please do not enter prior's years beginning balance as an adjustment in column F.</v>
      </c>
      <c r="I164" s="38"/>
      <c r="J164" s="351">
        <v>377</v>
      </c>
      <c r="K164" s="350" t="s">
        <v>109</v>
      </c>
      <c r="L164" s="599">
        <f t="shared" si="17"/>
        <v>0</v>
      </c>
      <c r="P164" s="322"/>
      <c r="Q164" s="589" t="e">
        <f>IF(G164&lt;&gt;0,1,0)</f>
        <v>#N/A</v>
      </c>
      <c r="W164" s="3" t="b">
        <f t="shared" si="15"/>
        <v>1</v>
      </c>
      <c r="X164" s="596">
        <f t="shared" si="12"/>
        <v>0</v>
      </c>
      <c r="Y164" s="596">
        <f t="shared" si="13"/>
        <v>0</v>
      </c>
    </row>
    <row r="165" spans="1:25" ht="63" customHeight="1" x14ac:dyDescent="0.3">
      <c r="A165" s="624">
        <f>'Unit Data from Audit Worksheet'!A184</f>
        <v>537</v>
      </c>
      <c r="B165" s="354" t="str">
        <f>'Unit Data from Audit Worksheet'!C184</f>
        <v>Water Sewer Revenue, Expenses &amp; Changes in Fund Net Position</v>
      </c>
      <c r="C165" s="339" t="str">
        <f>'Unit Data from Audit Worksheet'!D184</f>
        <v>Did unit raise Water Sewer rates during the audited fiscal period? - answer Yes or No</v>
      </c>
      <c r="D165" s="136"/>
      <c r="E165" s="360">
        <f>'Unit Data from Audit Worksheet'!F184</f>
        <v>0</v>
      </c>
      <c r="F165" s="353" t="s">
        <v>556</v>
      </c>
      <c r="G165" s="355"/>
      <c r="H165" s="352">
        <f>'Unit Data from Audit Worksheet'!I184</f>
        <v>0</v>
      </c>
      <c r="I165" s="38"/>
      <c r="J165" s="65">
        <v>537</v>
      </c>
      <c r="K165" s="63" t="s">
        <v>295</v>
      </c>
      <c r="L165" s="625">
        <f>IF(E165="Yes",1,IF(E165="No",2,0))</f>
        <v>0</v>
      </c>
      <c r="N165" s="59" t="s">
        <v>546</v>
      </c>
      <c r="P165" s="327"/>
      <c r="W165" s="3" t="b">
        <f t="shared" ref="W165:W196" si="19">EXACT(A165,J165)</f>
        <v>1</v>
      </c>
      <c r="X165" s="596">
        <f t="shared" si="12"/>
        <v>0</v>
      </c>
      <c r="Y165" s="596">
        <f t="shared" si="13"/>
        <v>0</v>
      </c>
    </row>
    <row r="166" spans="1:25" ht="63.75" customHeight="1" x14ac:dyDescent="0.3">
      <c r="A166" s="624">
        <f>'Unit Data from Audit Worksheet'!A185</f>
        <v>538</v>
      </c>
      <c r="B166" s="354" t="str">
        <f>'Unit Data from Audit Worksheet'!C185</f>
        <v>Water Sewer Revenue, Expenses &amp; Changes in Fund Net Position</v>
      </c>
      <c r="C166" s="339" t="str">
        <f>'Unit Data from Audit Worksheet'!D185</f>
        <v>Did unit raise Water Sewer rates during the budget year following the audited fiscal year? - answer Yes or No</v>
      </c>
      <c r="D166" s="136"/>
      <c r="E166" s="360">
        <f>'Unit Data from Audit Worksheet'!F185</f>
        <v>0</v>
      </c>
      <c r="F166" s="353" t="s">
        <v>556</v>
      </c>
      <c r="G166" s="355"/>
      <c r="H166" s="352">
        <f>'Unit Data from Audit Worksheet'!I185</f>
        <v>0</v>
      </c>
      <c r="I166" s="38"/>
      <c r="J166" s="65">
        <v>538</v>
      </c>
      <c r="K166" s="63" t="s">
        <v>294</v>
      </c>
      <c r="L166" s="625">
        <f>IF(E166="Yes",1,IF(E166="No",2,0))</f>
        <v>0</v>
      </c>
      <c r="N166" s="59" t="s">
        <v>546</v>
      </c>
      <c r="P166" s="327"/>
      <c r="W166" s="3" t="b">
        <f t="shared" si="19"/>
        <v>1</v>
      </c>
      <c r="X166" s="596">
        <f t="shared" si="12"/>
        <v>0</v>
      </c>
      <c r="Y166" s="596">
        <f t="shared" si="13"/>
        <v>0</v>
      </c>
    </row>
    <row r="167" spans="1:25" ht="47.25" customHeight="1" x14ac:dyDescent="0.3">
      <c r="A167" s="340">
        <f>'Unit Data from Audit Worksheet'!A187</f>
        <v>97</v>
      </c>
      <c r="B167" s="354" t="str">
        <f>'Unit Data from Audit Worksheet'!C187</f>
        <v>Electric Fund Revenue, Expenses &amp; Changes in Fund Net Position</v>
      </c>
      <c r="C167" s="339" t="str">
        <f>'Unit Data from Audit Worksheet'!D187</f>
        <v>Charges for services</v>
      </c>
      <c r="D167" s="359"/>
      <c r="E167" s="360">
        <f>'Unit Data from Audit Worksheet'!F187</f>
        <v>0</v>
      </c>
      <c r="F167" s="353">
        <f>IF(L167&lt;0,"Error: Enter as a positive.",)</f>
        <v>0</v>
      </c>
      <c r="G167" s="355"/>
      <c r="H167" s="352">
        <f>'Unit Data from Audit Worksheet'!I187</f>
        <v>0</v>
      </c>
      <c r="I167" s="38"/>
      <c r="J167" s="351">
        <v>97</v>
      </c>
      <c r="K167" s="350" t="s">
        <v>236</v>
      </c>
      <c r="L167" s="599">
        <f t="shared" ref="L167:L234" si="20">IF(D167="",E167,D167)</f>
        <v>0</v>
      </c>
      <c r="P167" s="322"/>
      <c r="W167" s="3" t="b">
        <f t="shared" si="19"/>
        <v>1</v>
      </c>
      <c r="X167" s="596">
        <f t="shared" si="12"/>
        <v>0</v>
      </c>
      <c r="Y167" s="596">
        <f t="shared" si="13"/>
        <v>0</v>
      </c>
    </row>
    <row r="168" spans="1:25" ht="45.75" customHeight="1" x14ac:dyDescent="0.3">
      <c r="A168" s="340">
        <f>'Unit Data from Audit Worksheet'!A188</f>
        <v>93</v>
      </c>
      <c r="B168" s="354" t="str">
        <f>'Unit Data from Audit Worksheet'!C188</f>
        <v>Electric Fund Revenue, Expenses &amp; Changes in Fund Net Position</v>
      </c>
      <c r="C168" s="339" t="str">
        <f>'Unit Data from Audit Worksheet'!D188</f>
        <v>Total Operating revenues</v>
      </c>
      <c r="D168" s="359"/>
      <c r="E168" s="360">
        <f>'Unit Data from Audit Worksheet'!F188</f>
        <v>0</v>
      </c>
      <c r="F168" s="353" t="str">
        <f>IF(L167&gt;L168,"Error: Charges for services exceeds total operating revenues Acct 97&gt;=93"," ")</f>
        <v xml:space="preserve"> </v>
      </c>
      <c r="G168" s="355" t="str">
        <f>IF(Q168=1," Included in error count"," ")</f>
        <v xml:space="preserve"> </v>
      </c>
      <c r="H168" s="352">
        <f>'Unit Data from Audit Worksheet'!I188</f>
        <v>0</v>
      </c>
      <c r="I168" s="38"/>
      <c r="J168" s="351">
        <v>93</v>
      </c>
      <c r="K168" s="350" t="s">
        <v>237</v>
      </c>
      <c r="L168" s="599">
        <f t="shared" si="20"/>
        <v>0</v>
      </c>
      <c r="P168" s="322"/>
      <c r="Q168" s="589">
        <f>IF(L167&gt;L168,1,0)</f>
        <v>0</v>
      </c>
      <c r="W168" s="3" t="b">
        <f t="shared" si="19"/>
        <v>1</v>
      </c>
      <c r="X168" s="596">
        <f t="shared" si="12"/>
        <v>0</v>
      </c>
      <c r="Y168" s="596">
        <f t="shared" si="13"/>
        <v>0</v>
      </c>
    </row>
    <row r="169" spans="1:25" ht="45.75" customHeight="1" x14ac:dyDescent="0.3">
      <c r="A169" s="340">
        <f>'Unit Data from Audit Worksheet'!A189</f>
        <v>99</v>
      </c>
      <c r="B169" s="354" t="str">
        <f>'Unit Data from Audit Worksheet'!C189</f>
        <v>Electric Fund Revenue, Expenses &amp; Changes in Fund Net Position</v>
      </c>
      <c r="C169" s="339" t="str">
        <f>'Unit Data from Audit Worksheet'!D189</f>
        <v>Electrical power purchases</v>
      </c>
      <c r="D169" s="359"/>
      <c r="E169" s="360">
        <f>'Unit Data from Audit Worksheet'!F189</f>
        <v>0</v>
      </c>
      <c r="F169" s="353">
        <f>IF(L169&lt;0,"Error: Enter as a positive.",)</f>
        <v>0</v>
      </c>
      <c r="G169" s="355"/>
      <c r="H169" s="352">
        <f>'Unit Data from Audit Worksheet'!I189</f>
        <v>0</v>
      </c>
      <c r="I169" s="38"/>
      <c r="J169" s="351">
        <v>99</v>
      </c>
      <c r="K169" s="350" t="s">
        <v>238</v>
      </c>
      <c r="L169" s="599">
        <f t="shared" si="20"/>
        <v>0</v>
      </c>
      <c r="P169" s="322"/>
      <c r="W169" s="3" t="b">
        <f t="shared" si="19"/>
        <v>1</v>
      </c>
      <c r="X169" s="596">
        <f t="shared" si="12"/>
        <v>0</v>
      </c>
      <c r="Y169" s="596">
        <f t="shared" si="13"/>
        <v>0</v>
      </c>
    </row>
    <row r="170" spans="1:25" ht="45.75" customHeight="1" x14ac:dyDescent="0.3">
      <c r="A170" s="340">
        <f>'Unit Data from Audit Worksheet'!A190</f>
        <v>52</v>
      </c>
      <c r="B170" s="354" t="str">
        <f>'Unit Data from Audit Worksheet'!C190</f>
        <v>Electric Fund Revenue, Expenses &amp; Changes in Fund Net Position</v>
      </c>
      <c r="C170" s="339" t="str">
        <f>'Unit Data from Audit Worksheet'!D190</f>
        <v>Depreciation and amortization expense</v>
      </c>
      <c r="D170" s="359"/>
      <c r="E170" s="360">
        <f>'Unit Data from Audit Worksheet'!F190</f>
        <v>0</v>
      </c>
      <c r="F170" s="353">
        <f>IF(L170&lt;0,"Error: Enter as a positive.",)</f>
        <v>0</v>
      </c>
      <c r="G170" s="355"/>
      <c r="H170" s="352">
        <f>'Unit Data from Audit Worksheet'!I190</f>
        <v>0</v>
      </c>
      <c r="I170" s="38"/>
      <c r="J170" s="351">
        <v>52</v>
      </c>
      <c r="K170" s="350" t="s">
        <v>239</v>
      </c>
      <c r="L170" s="599">
        <f t="shared" si="20"/>
        <v>0</v>
      </c>
      <c r="P170" s="322"/>
      <c r="W170" s="3" t="b">
        <f t="shared" si="19"/>
        <v>1</v>
      </c>
      <c r="X170" s="596">
        <f t="shared" si="12"/>
        <v>0</v>
      </c>
      <c r="Y170" s="596">
        <f t="shared" si="13"/>
        <v>0</v>
      </c>
    </row>
    <row r="171" spans="1:25" ht="45.75" customHeight="1" x14ac:dyDescent="0.3">
      <c r="A171" s="340">
        <f>'Unit Data from Audit Worksheet'!A191</f>
        <v>94</v>
      </c>
      <c r="B171" s="354" t="str">
        <f>'Unit Data from Audit Worksheet'!C191</f>
        <v>Electric Fund Revenue, Expenses &amp; Changes in Fund Net Position</v>
      </c>
      <c r="C171" s="339" t="str">
        <f>'Unit Data from Audit Worksheet'!D191</f>
        <v>Total Operating expenses</v>
      </c>
      <c r="D171" s="359"/>
      <c r="E171" s="360">
        <f>'Unit Data from Audit Worksheet'!F191</f>
        <v>0</v>
      </c>
      <c r="F171" s="353">
        <f>IF(L171&lt;0,"Error: Enter as a positive.",)</f>
        <v>0</v>
      </c>
      <c r="G171" s="355"/>
      <c r="H171" s="352">
        <f>'Unit Data from Audit Worksheet'!I191</f>
        <v>0</v>
      </c>
      <c r="I171" s="38"/>
      <c r="J171" s="351">
        <v>94</v>
      </c>
      <c r="K171" s="350" t="s">
        <v>240</v>
      </c>
      <c r="L171" s="599">
        <f t="shared" si="20"/>
        <v>0</v>
      </c>
      <c r="P171" s="322"/>
      <c r="W171" s="3" t="b">
        <f t="shared" si="19"/>
        <v>1</v>
      </c>
      <c r="X171" s="596">
        <f t="shared" si="12"/>
        <v>0</v>
      </c>
      <c r="Y171" s="596">
        <f t="shared" si="13"/>
        <v>0</v>
      </c>
    </row>
    <row r="172" spans="1:25" ht="46.5" customHeight="1" x14ac:dyDescent="0.3">
      <c r="A172" s="340">
        <f>'Unit Data from Audit Worksheet'!A192</f>
        <v>98</v>
      </c>
      <c r="B172" s="354" t="str">
        <f>'Unit Data from Audit Worksheet'!C192</f>
        <v>Electric Fund Revenue, Expenses &amp; Changes in Fund Net Position</v>
      </c>
      <c r="C172" s="339" t="str">
        <f>'Unit Data from Audit Worksheet'!D192</f>
        <v>Interest expense</v>
      </c>
      <c r="D172" s="359"/>
      <c r="E172" s="360">
        <f>'Unit Data from Audit Worksheet'!F192</f>
        <v>0</v>
      </c>
      <c r="F172" s="353">
        <f>IF(L172&lt;0,"Error: Enter as a positive.",)</f>
        <v>0</v>
      </c>
      <c r="G172" s="355"/>
      <c r="H172" s="352">
        <f>'Unit Data from Audit Worksheet'!I192</f>
        <v>0</v>
      </c>
      <c r="I172" s="38"/>
      <c r="J172" s="351">
        <v>98</v>
      </c>
      <c r="K172" s="350" t="s">
        <v>241</v>
      </c>
      <c r="L172" s="599">
        <f t="shared" si="20"/>
        <v>0</v>
      </c>
      <c r="P172" s="322"/>
      <c r="W172" s="3" t="b">
        <f t="shared" si="19"/>
        <v>1</v>
      </c>
      <c r="X172" s="596">
        <f t="shared" si="12"/>
        <v>0</v>
      </c>
      <c r="Y172" s="596">
        <f t="shared" si="13"/>
        <v>0</v>
      </c>
    </row>
    <row r="173" spans="1:25" ht="51" customHeight="1" x14ac:dyDescent="0.3">
      <c r="A173" s="340">
        <f>'Unit Data from Audit Worksheet'!A193</f>
        <v>363</v>
      </c>
      <c r="B173" s="354" t="str">
        <f>'Unit Data from Audit Worksheet'!C193</f>
        <v>Electric Fund Revenue, Expenses &amp; Changes in Fund Net Position</v>
      </c>
      <c r="C173" s="339" t="str">
        <f>'Unit Data from Audit Worksheet'!D193</f>
        <v>Total all the non-operating revenues  
Exclude Capital Contributions.</v>
      </c>
      <c r="D173" s="359"/>
      <c r="E173" s="360">
        <f>'Unit Data from Audit Worksheet'!F193</f>
        <v>0</v>
      </c>
      <c r="F173" s="353"/>
      <c r="G173" s="355"/>
      <c r="H173" s="352">
        <f>'Unit Data from Audit Worksheet'!I193</f>
        <v>0</v>
      </c>
      <c r="I173" s="38"/>
      <c r="J173" s="351">
        <v>363</v>
      </c>
      <c r="K173" s="350" t="s">
        <v>242</v>
      </c>
      <c r="L173" s="599">
        <f t="shared" si="20"/>
        <v>0</v>
      </c>
      <c r="P173" s="322"/>
      <c r="W173" s="3" t="b">
        <f t="shared" si="19"/>
        <v>1</v>
      </c>
      <c r="X173" s="596">
        <f t="shared" si="12"/>
        <v>0</v>
      </c>
      <c r="Y173" s="596">
        <f t="shared" si="13"/>
        <v>0</v>
      </c>
    </row>
    <row r="174" spans="1:25" ht="60" customHeight="1" x14ac:dyDescent="0.3">
      <c r="A174" s="340">
        <f>'Unit Data from Audit Worksheet'!A194</f>
        <v>364</v>
      </c>
      <c r="B174" s="354" t="str">
        <f>'Unit Data from Audit Worksheet'!C194</f>
        <v>Electric Fund Revenue, Expenses &amp; Changes in Fund Net Position</v>
      </c>
      <c r="C174" s="339" t="str">
        <f>'Unit Data from Audit Worksheet'!D194</f>
        <v>Total all non-operating expenses.  
Include negative special, extraordinary, or capital contribution.</v>
      </c>
      <c r="D174" s="359"/>
      <c r="E174" s="360">
        <f>'Unit Data from Audit Worksheet'!F194</f>
        <v>0</v>
      </c>
      <c r="F174" s="353">
        <f>IF(L174&lt;0,"Error: Enter as a positive.",)</f>
        <v>0</v>
      </c>
      <c r="G174" s="355"/>
      <c r="H174" s="352">
        <f>'Unit Data from Audit Worksheet'!I194</f>
        <v>0</v>
      </c>
      <c r="I174" s="38"/>
      <c r="J174" s="351">
        <v>364</v>
      </c>
      <c r="K174" s="350" t="s">
        <v>243</v>
      </c>
      <c r="L174" s="599">
        <f t="shared" si="20"/>
        <v>0</v>
      </c>
      <c r="P174" s="322"/>
      <c r="W174" s="3" t="b">
        <f t="shared" si="19"/>
        <v>1</v>
      </c>
      <c r="X174" s="596">
        <f t="shared" si="12"/>
        <v>0</v>
      </c>
      <c r="Y174" s="596">
        <f t="shared" si="13"/>
        <v>0</v>
      </c>
    </row>
    <row r="175" spans="1:25" ht="89.25" customHeight="1" x14ac:dyDescent="0.3">
      <c r="A175" s="340">
        <f>'Unit Data from Audit Worksheet'!A195</f>
        <v>192</v>
      </c>
      <c r="B175" s="354" t="str">
        <f>'Unit Data from Audit Worksheet'!C195</f>
        <v>Electric Fund Revenue, Expenses &amp; Changes in Fund Net Position</v>
      </c>
      <c r="C175" s="339" t="str">
        <f>'Unit Data from Audit Worksheet'!D195</f>
        <v>Capital Contributions.  
Include only positive capital Contributions.  Negative capital contributions should be included with 'Total all non-operating expenses.'</v>
      </c>
      <c r="D175" s="359"/>
      <c r="E175" s="360">
        <f>'Unit Data from Audit Worksheet'!F195</f>
        <v>0</v>
      </c>
      <c r="F175" s="353">
        <f>IF(L175&lt;0,"Error: Enter as a positive.",)</f>
        <v>0</v>
      </c>
      <c r="G175" s="355"/>
      <c r="H175" s="352">
        <f>'Unit Data from Audit Worksheet'!I195</f>
        <v>0</v>
      </c>
      <c r="I175" s="38"/>
      <c r="J175" s="351">
        <v>192</v>
      </c>
      <c r="K175" s="350" t="s">
        <v>244</v>
      </c>
      <c r="L175" s="599">
        <f t="shared" si="20"/>
        <v>0</v>
      </c>
      <c r="P175" s="322"/>
      <c r="W175" s="3" t="b">
        <f t="shared" si="19"/>
        <v>1</v>
      </c>
      <c r="X175" s="596">
        <f t="shared" si="12"/>
        <v>0</v>
      </c>
      <c r="Y175" s="596">
        <f t="shared" si="13"/>
        <v>0</v>
      </c>
    </row>
    <row r="176" spans="1:25" ht="42.75" customHeight="1" x14ac:dyDescent="0.3">
      <c r="A176" s="340">
        <f>'Unit Data from Audit Worksheet'!A196</f>
        <v>365</v>
      </c>
      <c r="B176" s="354" t="str">
        <f>'Unit Data from Audit Worksheet'!C196</f>
        <v>Electric Fund Revenue, Expenses &amp; Changes in Fund Net Position</v>
      </c>
      <c r="C176" s="339" t="str">
        <f>'Unit Data from Audit Worksheet'!D196</f>
        <v>Total Transfers In (From all Funds)</v>
      </c>
      <c r="D176" s="359"/>
      <c r="E176" s="360">
        <f>'Unit Data from Audit Worksheet'!F196</f>
        <v>0</v>
      </c>
      <c r="F176" s="353"/>
      <c r="G176" s="355"/>
      <c r="H176" s="352">
        <f>'Unit Data from Audit Worksheet'!I196</f>
        <v>0</v>
      </c>
      <c r="I176" s="38"/>
      <c r="J176" s="351">
        <v>365</v>
      </c>
      <c r="K176" s="350" t="s">
        <v>245</v>
      </c>
      <c r="L176" s="599">
        <f t="shared" si="20"/>
        <v>0</v>
      </c>
      <c r="P176" s="322"/>
      <c r="W176" s="3" t="b">
        <f t="shared" si="19"/>
        <v>1</v>
      </c>
      <c r="X176" s="596">
        <f t="shared" si="12"/>
        <v>0</v>
      </c>
      <c r="Y176" s="596">
        <f t="shared" si="13"/>
        <v>0</v>
      </c>
    </row>
    <row r="177" spans="1:25" ht="42.75" customHeight="1" x14ac:dyDescent="0.3">
      <c r="A177" s="340">
        <f>'Unit Data from Audit Worksheet'!A197</f>
        <v>366</v>
      </c>
      <c r="B177" s="354" t="str">
        <f>'Unit Data from Audit Worksheet'!C197</f>
        <v>Electric Fund Revenue, Expenses &amp; Changes in Fund Net Position</v>
      </c>
      <c r="C177" s="339" t="str">
        <f>'Unit Data from Audit Worksheet'!D197</f>
        <v>Total Transfers Out (To all funds)</v>
      </c>
      <c r="D177" s="359"/>
      <c r="E177" s="360">
        <f>'Unit Data from Audit Worksheet'!F197</f>
        <v>0</v>
      </c>
      <c r="F177" s="353">
        <f>IF(L177&lt;0,"Error: Enter as a positive.",)</f>
        <v>0</v>
      </c>
      <c r="G177" s="355"/>
      <c r="H177" s="352">
        <f>'Unit Data from Audit Worksheet'!I197</f>
        <v>0</v>
      </c>
      <c r="I177" s="38"/>
      <c r="J177" s="351">
        <v>366</v>
      </c>
      <c r="K177" s="350" t="s">
        <v>536</v>
      </c>
      <c r="L177" s="599">
        <f t="shared" si="20"/>
        <v>0</v>
      </c>
      <c r="P177" s="322"/>
      <c r="W177" s="3" t="b">
        <f t="shared" si="19"/>
        <v>1</v>
      </c>
      <c r="X177" s="596">
        <f t="shared" si="12"/>
        <v>0</v>
      </c>
      <c r="Y177" s="596">
        <f t="shared" si="13"/>
        <v>0</v>
      </c>
    </row>
    <row r="178" spans="1:25" s="18" customFormat="1" ht="76.5" customHeight="1" x14ac:dyDescent="0.3">
      <c r="A178" s="340">
        <f>'Unit Data from Audit Worksheet'!A198</f>
        <v>53</v>
      </c>
      <c r="B178" s="354" t="str">
        <f>'Unit Data from Audit Worksheet'!C198</f>
        <v>Electric Fund Revenue, Expenses &amp; Changes in Fund Net Position</v>
      </c>
      <c r="C178" s="339" t="str">
        <f>'Unit Data from Audit Worksheet'!D198</f>
        <v>Change in net position - Increase in net position is recorded as a positive and a (decrease) in net position is recorded as a negative.</v>
      </c>
      <c r="D178" s="359"/>
      <c r="E178" s="360">
        <f>'Unit Data from Audit Worksheet'!F198</f>
        <v>0</v>
      </c>
      <c r="F178" s="353">
        <f>IF(L168-L171+L173-L174+L175+L176-L177-L178=0,,"Error: Total revenues less total exp. does not equal change in net position Acct 93-94+363-364+192+365-366-53=0")</f>
        <v>0</v>
      </c>
      <c r="G178" s="89">
        <f>+L168-L171+L173-L174+L175+L176-L177-L178</f>
        <v>0</v>
      </c>
      <c r="H178" s="352">
        <f>'Unit Data from Audit Worksheet'!I198</f>
        <v>0</v>
      </c>
      <c r="I178" s="38"/>
      <c r="J178" s="351">
        <v>53</v>
      </c>
      <c r="K178" s="350" t="s">
        <v>101</v>
      </c>
      <c r="L178" s="599">
        <f t="shared" si="20"/>
        <v>0</v>
      </c>
      <c r="P178" s="322"/>
      <c r="Q178" s="589">
        <f>IF(G178&lt;&gt;0,1,0)</f>
        <v>0</v>
      </c>
      <c r="R178" s="3"/>
      <c r="W178" s="3" t="b">
        <f t="shared" si="19"/>
        <v>1</v>
      </c>
      <c r="X178" s="596">
        <f t="shared" si="12"/>
        <v>0</v>
      </c>
      <c r="Y178" s="596">
        <f t="shared" si="13"/>
        <v>0</v>
      </c>
    </row>
    <row r="179" spans="1:25" ht="140.25" customHeight="1" x14ac:dyDescent="0.3">
      <c r="A179" s="340">
        <f>'Unit Data from Audit Worksheet'!A199</f>
        <v>378</v>
      </c>
      <c r="B179" s="354" t="str">
        <f>'Unit Data from Audit Worksheet'!C199</f>
        <v>Electric Fund Revenue, Expenses &amp; Changes in Fund Net Position</v>
      </c>
      <c r="C179" s="339" t="str">
        <f>'Unit Data from Audit Worksheet'!D199</f>
        <v>Increases or (decreases) to beginning electric net position due to rounding, prior period adjustments and restatements.  Increase amounts to beginning net position should be entered as a positive amount and (decreases) should be entered as a negative amount.</v>
      </c>
      <c r="D179" s="359"/>
      <c r="E179" s="360">
        <f>+'Unit Data from Audit Worksheet'!F199</f>
        <v>0</v>
      </c>
      <c r="F179" s="353" t="e">
        <f>IF(L151-L178-L179=O151,,"Error: Beg. Bal does not agree with our records Acct 362-53-378= pr yr 362")</f>
        <v>#N/A</v>
      </c>
      <c r="G179" s="89" t="e">
        <f>L151-L178-L179-O151</f>
        <v>#N/A</v>
      </c>
      <c r="H179" s="352" t="str">
        <f>'Unit Data from Audit Worksheet'!I199</f>
        <v>Please do not enter prior's years beginning balance as an adjustment in column F.</v>
      </c>
      <c r="I179" s="38"/>
      <c r="J179" s="351">
        <v>378</v>
      </c>
      <c r="K179" s="350" t="s">
        <v>110</v>
      </c>
      <c r="L179" s="599">
        <f t="shared" si="20"/>
        <v>0</v>
      </c>
      <c r="P179" s="322"/>
      <c r="Q179" s="589" t="e">
        <f>IF(G179&lt;&gt;0,1,0)</f>
        <v>#N/A</v>
      </c>
      <c r="W179" s="3" t="b">
        <f t="shared" si="19"/>
        <v>1</v>
      </c>
      <c r="X179" s="596">
        <f t="shared" si="12"/>
        <v>0</v>
      </c>
      <c r="Y179" s="596">
        <f t="shared" si="13"/>
        <v>0</v>
      </c>
    </row>
    <row r="180" spans="1:25" ht="28.8" x14ac:dyDescent="0.3">
      <c r="A180" s="340">
        <f>'Unit Data from Audit Worksheet'!A204</f>
        <v>51</v>
      </c>
      <c r="B180" s="354" t="str">
        <f>'Unit Data from Audit Worksheet'!C204</f>
        <v>Water Sewer Cash Flow Statement</v>
      </c>
      <c r="C180" s="339" t="str">
        <f>'Unit Data from Audit Worksheet'!D204</f>
        <v>Total Cash flow from operating activities  - (Enter negative cash flows as negative)</v>
      </c>
      <c r="D180" s="359"/>
      <c r="E180" s="360">
        <f>'Unit Data from Audit Worksheet'!F204</f>
        <v>0</v>
      </c>
      <c r="F180" s="353"/>
      <c r="G180" s="355"/>
      <c r="H180" s="352">
        <f>'Unit Data from Audit Worksheet'!I204</f>
        <v>0</v>
      </c>
      <c r="I180" s="38"/>
      <c r="J180" s="351">
        <v>51</v>
      </c>
      <c r="K180" s="350" t="s">
        <v>246</v>
      </c>
      <c r="L180" s="599">
        <f t="shared" si="20"/>
        <v>0</v>
      </c>
      <c r="P180" s="322"/>
      <c r="W180" s="3" t="b">
        <f t="shared" si="19"/>
        <v>1</v>
      </c>
      <c r="X180" s="596">
        <f t="shared" si="12"/>
        <v>0</v>
      </c>
      <c r="Y180" s="596">
        <f t="shared" si="13"/>
        <v>0</v>
      </c>
    </row>
    <row r="181" spans="1:25" ht="64.5" customHeight="1" x14ac:dyDescent="0.3">
      <c r="A181" s="340">
        <f>'Unit Data from Audit Worksheet'!A205</f>
        <v>332</v>
      </c>
      <c r="B181" s="354" t="str">
        <f>'Unit Data from Audit Worksheet'!C205</f>
        <v>Water Sewer Cash Flow Statement</v>
      </c>
      <c r="C181" s="339" t="str">
        <f>'Unit Data from Audit Worksheet'!D205</f>
        <v>Total Capital outlay. 
Include acquisition and construction of capital assets.</v>
      </c>
      <c r="D181" s="359"/>
      <c r="E181" s="360">
        <f>'Unit Data from Audit Worksheet'!F205</f>
        <v>0</v>
      </c>
      <c r="F181" s="353">
        <f>IF(L181&lt;0,"Error: Enter as a positive.",)</f>
        <v>0</v>
      </c>
      <c r="G181" s="355"/>
      <c r="H181" s="352">
        <f>'Unit Data from Audit Worksheet'!I205</f>
        <v>0</v>
      </c>
      <c r="I181" s="38"/>
      <c r="J181" s="351">
        <v>332</v>
      </c>
      <c r="K181" s="350" t="s">
        <v>248</v>
      </c>
      <c r="L181" s="599">
        <f t="shared" si="20"/>
        <v>0</v>
      </c>
      <c r="O181" s="607"/>
      <c r="P181" s="322"/>
      <c r="W181" s="3" t="b">
        <f t="shared" si="19"/>
        <v>1</v>
      </c>
      <c r="X181" s="596">
        <f t="shared" si="12"/>
        <v>0</v>
      </c>
      <c r="Y181" s="596">
        <f t="shared" si="13"/>
        <v>0</v>
      </c>
    </row>
    <row r="182" spans="1:25" ht="58.5" customHeight="1" x14ac:dyDescent="0.3">
      <c r="A182" s="340">
        <f>'Unit Data from Audit Worksheet'!A206</f>
        <v>331</v>
      </c>
      <c r="B182" s="354" t="str">
        <f>'Unit Data from Audit Worksheet'!C206</f>
        <v>Water Sewer Cash Flow Statement</v>
      </c>
      <c r="C182" s="339" t="str">
        <f>'Unit Data from Audit Worksheet'!D206</f>
        <v>Principal paid on long-term debt.  Amount should be reduced by principal payments for debt refunding.</v>
      </c>
      <c r="D182" s="359"/>
      <c r="E182" s="360">
        <f>'Unit Data from Audit Worksheet'!F206</f>
        <v>0</v>
      </c>
      <c r="F182" s="353">
        <f>IF(L182&lt;0,"Error: Enter as a positive.",)</f>
        <v>0</v>
      </c>
      <c r="G182" s="355"/>
      <c r="H182" s="352">
        <f>'Unit Data from Audit Worksheet'!I206</f>
        <v>0</v>
      </c>
      <c r="I182" s="38"/>
      <c r="J182" s="351">
        <v>331</v>
      </c>
      <c r="K182" s="350" t="s">
        <v>247</v>
      </c>
      <c r="L182" s="599">
        <f t="shared" si="20"/>
        <v>0</v>
      </c>
      <c r="O182" s="607"/>
      <c r="P182" s="322"/>
      <c r="W182" s="3" t="b">
        <f t="shared" si="19"/>
        <v>1</v>
      </c>
      <c r="X182" s="596">
        <f t="shared" ref="X182:X276" si="21">E182-L182</f>
        <v>0</v>
      </c>
      <c r="Y182" s="596">
        <f t="shared" ref="Y182:Y276" si="22">D182-L182</f>
        <v>0</v>
      </c>
    </row>
    <row r="183" spans="1:25" ht="51.75" customHeight="1" x14ac:dyDescent="0.3">
      <c r="A183" s="340">
        <f>'Unit Data from Audit Worksheet'!A208</f>
        <v>55</v>
      </c>
      <c r="B183" s="354" t="str">
        <f>'Unit Data from Audit Worksheet'!C208</f>
        <v>Electric Fund Cash Flow Statement</v>
      </c>
      <c r="C183" s="339" t="str">
        <f>'Unit Data from Audit Worksheet'!D208</f>
        <v>Cash flow from operating activities - (enter negative cash flows as negative)</v>
      </c>
      <c r="D183" s="359"/>
      <c r="E183" s="360">
        <f>'Unit Data from Audit Worksheet'!F208</f>
        <v>0</v>
      </c>
      <c r="F183" s="353"/>
      <c r="G183" s="355"/>
      <c r="H183" s="352">
        <f>'Unit Data from Audit Worksheet'!I208</f>
        <v>0</v>
      </c>
      <c r="I183" s="38"/>
      <c r="J183" s="351">
        <v>55</v>
      </c>
      <c r="K183" s="350" t="s">
        <v>249</v>
      </c>
      <c r="L183" s="599">
        <f t="shared" si="20"/>
        <v>0</v>
      </c>
      <c r="P183" s="322"/>
      <c r="W183" s="3" t="b">
        <f t="shared" si="19"/>
        <v>1</v>
      </c>
      <c r="X183" s="596">
        <f t="shared" si="21"/>
        <v>0</v>
      </c>
      <c r="Y183" s="596">
        <f t="shared" si="22"/>
        <v>0</v>
      </c>
    </row>
    <row r="184" spans="1:25" ht="58.5" customHeight="1" x14ac:dyDescent="0.3">
      <c r="A184" s="340">
        <f>'Unit Data from Audit Worksheet'!A209</f>
        <v>101</v>
      </c>
      <c r="B184" s="354" t="str">
        <f>'Unit Data from Audit Worksheet'!C209</f>
        <v>Electric Fund Cash Flow Statement</v>
      </c>
      <c r="C184" s="339" t="str">
        <f>'Unit Data from Audit Worksheet'!D209</f>
        <v>Total Capital outlay.  
Include acquisition and construction of capital assets.</v>
      </c>
      <c r="D184" s="359"/>
      <c r="E184" s="360">
        <f>'Unit Data from Audit Worksheet'!F209</f>
        <v>0</v>
      </c>
      <c r="F184" s="353">
        <f>IF(L184&lt;0,"Error: Enter as a positive.",)</f>
        <v>0</v>
      </c>
      <c r="G184" s="355"/>
      <c r="H184" s="352">
        <f>'Unit Data from Audit Worksheet'!I209</f>
        <v>0</v>
      </c>
      <c r="I184" s="38"/>
      <c r="J184" s="351">
        <v>101</v>
      </c>
      <c r="K184" s="350" t="s">
        <v>250</v>
      </c>
      <c r="L184" s="599">
        <f t="shared" si="20"/>
        <v>0</v>
      </c>
      <c r="P184" s="322"/>
      <c r="W184" s="3" t="b">
        <f t="shared" si="19"/>
        <v>1</v>
      </c>
      <c r="X184" s="596">
        <f t="shared" si="21"/>
        <v>0</v>
      </c>
      <c r="Y184" s="596">
        <f t="shared" si="22"/>
        <v>0</v>
      </c>
    </row>
    <row r="185" spans="1:25" ht="60.75" customHeight="1" x14ac:dyDescent="0.3">
      <c r="A185" s="340">
        <f>'Unit Data from Audit Worksheet'!A210</f>
        <v>100</v>
      </c>
      <c r="B185" s="354" t="str">
        <f>'Unit Data from Audit Worksheet'!C210</f>
        <v>Electric Fund Cash Flow Statement</v>
      </c>
      <c r="C185" s="339" t="str">
        <f>'Unit Data from Audit Worksheet'!D210</f>
        <v>Principal paid on long-term debt.  Amount should be reduced by principal payments for debt refunding.</v>
      </c>
      <c r="D185" s="359"/>
      <c r="E185" s="360">
        <f>'Unit Data from Audit Worksheet'!F210</f>
        <v>0</v>
      </c>
      <c r="F185" s="353">
        <f>IF(L185&lt;0,"Error: Enter as a positive.",)</f>
        <v>0</v>
      </c>
      <c r="G185" s="355"/>
      <c r="H185" s="352">
        <f>'Unit Data from Audit Worksheet'!I210</f>
        <v>0</v>
      </c>
      <c r="I185" s="38"/>
      <c r="J185" s="351">
        <v>100</v>
      </c>
      <c r="K185" s="350" t="s">
        <v>251</v>
      </c>
      <c r="L185" s="599">
        <f t="shared" si="20"/>
        <v>0</v>
      </c>
      <c r="P185" s="322"/>
      <c r="W185" s="3" t="b">
        <f t="shared" si="19"/>
        <v>1</v>
      </c>
      <c r="X185" s="596">
        <f t="shared" si="21"/>
        <v>0</v>
      </c>
      <c r="Y185" s="596">
        <f t="shared" si="22"/>
        <v>0</v>
      </c>
    </row>
    <row r="186" spans="1:25" ht="71.25" customHeight="1" x14ac:dyDescent="0.3">
      <c r="A186" s="340">
        <f>'Unit Data from Audit Worksheet'!A212</f>
        <v>512</v>
      </c>
      <c r="B186" s="354" t="str">
        <f>'Unit Data from Audit Worksheet'!C212</f>
        <v>Fiduciary Statements</v>
      </c>
      <c r="C186" s="339" t="str">
        <f>'Unit Data from Audit Worksheet'!D212</f>
        <v>Cash and investments.  
Include:  unrestricted and restricted.  
                   cash and investments held 
                   by a third party</v>
      </c>
      <c r="D186" s="359"/>
      <c r="E186" s="360">
        <f>'Unit Data from Audit Worksheet'!F212</f>
        <v>0</v>
      </c>
      <c r="F186" s="353">
        <f>IF(L186&lt;0,"Error: Number is normally positive.",)</f>
        <v>0</v>
      </c>
      <c r="G186" s="355"/>
      <c r="H186" s="352">
        <f>'Unit Data from Audit Worksheet'!I212</f>
        <v>0</v>
      </c>
      <c r="I186" s="38"/>
      <c r="J186" s="351">
        <v>512</v>
      </c>
      <c r="K186" s="350" t="s">
        <v>252</v>
      </c>
      <c r="L186" s="599">
        <f t="shared" si="20"/>
        <v>0</v>
      </c>
      <c r="P186" s="322"/>
      <c r="W186" s="3" t="b">
        <f t="shared" si="19"/>
        <v>1</v>
      </c>
      <c r="X186" s="596">
        <f t="shared" si="21"/>
        <v>0</v>
      </c>
      <c r="Y186" s="596">
        <f t="shared" si="22"/>
        <v>0</v>
      </c>
    </row>
    <row r="187" spans="1:25" ht="62.25" customHeight="1" x14ac:dyDescent="0.3">
      <c r="A187" s="340">
        <f>'Unit Data from Audit Worksheet'!A214</f>
        <v>656</v>
      </c>
      <c r="B187" s="354">
        <f>'Unit Data from Audit Worksheet'!C214</f>
        <v>0</v>
      </c>
      <c r="C187" s="339" t="str">
        <f>'Unit Data from Audit Worksheet'!D214</f>
        <v>Do you use prepared food/occupancy tax revenue stream to support debt?  Select "1" for Yes and "2" for No</v>
      </c>
      <c r="D187" s="136"/>
      <c r="E187" s="360">
        <f>'Unit Data from Audit Worksheet'!F214</f>
        <v>0</v>
      </c>
      <c r="F187" s="353"/>
      <c r="G187" s="355"/>
      <c r="H187" s="352"/>
      <c r="I187" s="38"/>
      <c r="J187" s="351">
        <v>656</v>
      </c>
      <c r="K187" s="357" t="s">
        <v>818</v>
      </c>
      <c r="L187" s="625">
        <f>E187</f>
        <v>0</v>
      </c>
      <c r="M187" s="18"/>
      <c r="N187" s="18"/>
      <c r="O187" s="18"/>
      <c r="P187" s="322"/>
      <c r="W187" s="3" t="b">
        <f t="shared" si="19"/>
        <v>1</v>
      </c>
      <c r="X187" s="596">
        <f t="shared" si="21"/>
        <v>0</v>
      </c>
      <c r="Y187" s="596">
        <f t="shared" si="22"/>
        <v>0</v>
      </c>
    </row>
    <row r="188" spans="1:25" s="18" customFormat="1" ht="102.75" customHeight="1" x14ac:dyDescent="0.3">
      <c r="A188" s="340">
        <f>'Unit Data from Audit Worksheet'!A216</f>
        <v>535</v>
      </c>
      <c r="B188" s="354" t="str">
        <f>'Unit Data from Audit Worksheet'!C216</f>
        <v>Cash and Investment Note</v>
      </c>
      <c r="C188" s="339" t="str">
        <f>'Unit Data from Audit Worksheet'!D216</f>
        <v>Cash and Investment - Please list the book value of any unspent debt proceeds (bonds, installment, etc.) in any funds as of June 30.  This information may be on the face of your statements or in the notes</v>
      </c>
      <c r="D188" s="359"/>
      <c r="E188" s="360">
        <f>'Unit Data from Audit Worksheet'!F216</f>
        <v>0</v>
      </c>
      <c r="F188" s="85" t="str">
        <f>IF(L188&gt;1,,"Reminder: Please make sure you have entered all cash and investments from bond proceeds, if applicable")</f>
        <v>Reminder: Please make sure you have entered all cash and investments from bond proceeds, if applicable</v>
      </c>
      <c r="G188" s="355"/>
      <c r="H188" s="352">
        <f>'Unit Data from Audit Worksheet'!I216</f>
        <v>0</v>
      </c>
      <c r="I188" s="38"/>
      <c r="J188" s="351">
        <v>535</v>
      </c>
      <c r="K188" s="60" t="s">
        <v>253</v>
      </c>
      <c r="L188" s="599">
        <f t="shared" si="20"/>
        <v>0</v>
      </c>
      <c r="P188" s="322"/>
      <c r="Q188" s="589"/>
      <c r="R188" s="3"/>
      <c r="W188" s="3" t="b">
        <f t="shared" si="19"/>
        <v>1</v>
      </c>
      <c r="X188" s="596">
        <f t="shared" si="21"/>
        <v>0</v>
      </c>
      <c r="Y188" s="596">
        <f t="shared" si="22"/>
        <v>0</v>
      </c>
    </row>
    <row r="189" spans="1:25" ht="45.75" customHeight="1" x14ac:dyDescent="0.3">
      <c r="A189" s="340">
        <f>'Unit Data from Audit Worksheet'!A220</f>
        <v>334</v>
      </c>
      <c r="B189" s="354" t="str">
        <f>'Unit Data from Audit Worksheet'!C220</f>
        <v>Gov.-Capital Assets Schedule in the Notes</v>
      </c>
      <c r="C189" s="339" t="str">
        <f>'Unit Data from Audit Worksheet'!D220</f>
        <v>Gross value.  
Exclude non-depreciable.</v>
      </c>
      <c r="D189" s="359"/>
      <c r="E189" s="360">
        <f>'Unit Data from Audit Worksheet'!F220</f>
        <v>0</v>
      </c>
      <c r="F189" s="85"/>
      <c r="G189" s="355"/>
      <c r="H189" s="352">
        <f>'Unit Data from Audit Worksheet'!I220</f>
        <v>0</v>
      </c>
      <c r="I189" s="38"/>
      <c r="J189" s="351">
        <v>334</v>
      </c>
      <c r="K189" s="60" t="s">
        <v>276</v>
      </c>
      <c r="L189" s="599">
        <f t="shared" si="20"/>
        <v>0</v>
      </c>
      <c r="P189" s="322"/>
      <c r="W189" s="3" t="b">
        <f t="shared" si="19"/>
        <v>1</v>
      </c>
      <c r="X189" s="596">
        <f t="shared" si="21"/>
        <v>0</v>
      </c>
      <c r="Y189" s="596">
        <f t="shared" si="22"/>
        <v>0</v>
      </c>
    </row>
    <row r="190" spans="1:25" ht="57" customHeight="1" x14ac:dyDescent="0.3">
      <c r="A190" s="340">
        <f>'Unit Data from Audit Worksheet'!A221</f>
        <v>373</v>
      </c>
      <c r="B190" s="354" t="str">
        <f>'Unit Data from Audit Worksheet'!C221</f>
        <v>Gov.-Capital Assets Schedule in the Notes</v>
      </c>
      <c r="C190" s="339" t="str">
        <f>'Unit Data from Audit Worksheet'!D221</f>
        <v>Accumulated depreciation</v>
      </c>
      <c r="D190" s="359"/>
      <c r="E190" s="360">
        <f>'Unit Data from Audit Worksheet'!F221</f>
        <v>0</v>
      </c>
      <c r="F190" s="85"/>
      <c r="G190" s="355"/>
      <c r="H190" s="352">
        <f>'Unit Data from Audit Worksheet'!I221</f>
        <v>0</v>
      </c>
      <c r="I190" s="38"/>
      <c r="J190" s="351">
        <v>373</v>
      </c>
      <c r="K190" s="56" t="s">
        <v>549</v>
      </c>
      <c r="L190" s="599">
        <f t="shared" si="20"/>
        <v>0</v>
      </c>
      <c r="P190" s="322"/>
      <c r="W190" s="3" t="b">
        <f t="shared" si="19"/>
        <v>1</v>
      </c>
      <c r="X190" s="596">
        <f t="shared" si="21"/>
        <v>0</v>
      </c>
      <c r="Y190" s="596">
        <f t="shared" si="22"/>
        <v>0</v>
      </c>
    </row>
    <row r="191" spans="1:25" ht="102.75" customHeight="1" x14ac:dyDescent="0.3">
      <c r="A191" s="615">
        <f>'Unit Data from Audit Worksheet'!A222</f>
        <v>987</v>
      </c>
      <c r="B191" s="358">
        <f>'Unit Data from Audit Worksheet'!C222</f>
        <v>0</v>
      </c>
      <c r="C191" s="616" t="str">
        <f>'Unit Data from Audit Worksheet'!D222</f>
        <v xml:space="preserve">Estimated cost not yet budgeted of any mandate placed on unit by DEQ, a court order or some similar requirement (that has no realistic appeal path). </v>
      </c>
      <c r="D191" s="359"/>
      <c r="E191" s="360">
        <f>'Unit Data from Audit Worksheet'!F222</f>
        <v>0</v>
      </c>
      <c r="F191" s="85"/>
      <c r="G191" s="355"/>
      <c r="H191" s="352">
        <f>'Unit Data from Audit Worksheet'!I222</f>
        <v>0</v>
      </c>
      <c r="I191" s="38"/>
      <c r="J191" s="369">
        <v>987</v>
      </c>
      <c r="K191" s="626" t="s">
        <v>1307</v>
      </c>
      <c r="L191" s="617">
        <f t="shared" si="20"/>
        <v>0</v>
      </c>
      <c r="P191" s="322"/>
      <c r="W191" s="3" t="b">
        <f t="shared" si="19"/>
        <v>1</v>
      </c>
      <c r="X191" s="596"/>
      <c r="Y191" s="596"/>
    </row>
    <row r="192" spans="1:25" ht="69" customHeight="1" x14ac:dyDescent="0.3">
      <c r="A192" s="615">
        <f>'Unit Data from Audit Worksheet'!A223</f>
        <v>988</v>
      </c>
      <c r="B192" s="358">
        <f>'Unit Data from Audit Worksheet'!C223</f>
        <v>0</v>
      </c>
      <c r="C192" s="616" t="str">
        <f>'Unit Data from Audit Worksheet'!D223</f>
        <v>Do you operate a landfill that will be closing  or have a significant portion closing within the next 5 years?  Select "1" for Yes and "2" for No</v>
      </c>
      <c r="D192" s="359"/>
      <c r="E192" s="360">
        <f>'Unit Data from Audit Worksheet'!F223</f>
        <v>0</v>
      </c>
      <c r="F192" s="85"/>
      <c r="G192" s="355"/>
      <c r="H192" s="352">
        <f>'Unit Data from Audit Worksheet'!I223</f>
        <v>0</v>
      </c>
      <c r="I192" s="38"/>
      <c r="J192" s="369">
        <v>988</v>
      </c>
      <c r="K192" s="626" t="s">
        <v>1803</v>
      </c>
      <c r="L192" s="617">
        <f t="shared" si="20"/>
        <v>0</v>
      </c>
      <c r="P192" s="322"/>
      <c r="W192" s="3" t="b">
        <f t="shared" si="19"/>
        <v>1</v>
      </c>
      <c r="X192" s="596"/>
      <c r="Y192" s="596"/>
    </row>
    <row r="193" spans="1:25" ht="95.25" customHeight="1" x14ac:dyDescent="0.3">
      <c r="A193" s="615">
        <f>'Unit Data from Audit Worksheet'!A224</f>
        <v>989</v>
      </c>
      <c r="B193" s="358">
        <f>'Unit Data from Audit Worksheet'!C224</f>
        <v>0</v>
      </c>
      <c r="C193" s="616" t="str">
        <f>'Unit Data from Audit Worksheet'!D224</f>
        <v>If you answered "yes" to question #988 above, will you have the closure/postclosure cost fully funded by the date of closure?  Select "1" for Yes,  "2" for No, or "3" for N/A.</v>
      </c>
      <c r="D193" s="359"/>
      <c r="E193" s="360">
        <f>'Unit Data from Audit Worksheet'!F224</f>
        <v>0</v>
      </c>
      <c r="F193" s="85"/>
      <c r="G193" s="355"/>
      <c r="H193" s="352">
        <f>'Unit Data from Audit Worksheet'!I224</f>
        <v>0</v>
      </c>
      <c r="I193" s="38"/>
      <c r="J193" s="369">
        <v>989</v>
      </c>
      <c r="K193" s="626" t="s">
        <v>1580</v>
      </c>
      <c r="L193" s="617">
        <f t="shared" si="20"/>
        <v>0</v>
      </c>
      <c r="P193" s="322"/>
      <c r="W193" s="3" t="b">
        <f t="shared" si="19"/>
        <v>1</v>
      </c>
      <c r="X193" s="596"/>
      <c r="Y193" s="596"/>
    </row>
    <row r="194" spans="1:25" ht="57" customHeight="1" x14ac:dyDescent="0.3">
      <c r="A194" s="340">
        <f>'Unit Data from Audit Worksheet'!A228</f>
        <v>327</v>
      </c>
      <c r="B194" s="354" t="str">
        <f>'Unit Data from Audit Worksheet'!C228</f>
        <v>WS-Capital Assets Schedule in the Notes</v>
      </c>
      <c r="C194" s="339" t="str">
        <f>'Unit Data from Audit Worksheet'!D228</f>
        <v>Land and all other non depreciable capital assets 
Exclude construction in progress</v>
      </c>
      <c r="D194" s="359"/>
      <c r="E194" s="360">
        <f>'Unit Data from Audit Worksheet'!F228</f>
        <v>0</v>
      </c>
      <c r="F194" s="85"/>
      <c r="G194" s="355"/>
      <c r="H194" s="352">
        <f>'Unit Data from Audit Worksheet'!I228</f>
        <v>0</v>
      </c>
      <c r="I194" s="38"/>
      <c r="J194" s="351">
        <v>327</v>
      </c>
      <c r="K194" s="56" t="s">
        <v>550</v>
      </c>
      <c r="L194" s="599">
        <f t="shared" si="20"/>
        <v>0</v>
      </c>
      <c r="P194" s="322"/>
      <c r="W194" s="3" t="b">
        <f t="shared" si="19"/>
        <v>1</v>
      </c>
      <c r="X194" s="596">
        <f t="shared" si="21"/>
        <v>0</v>
      </c>
      <c r="Y194" s="596">
        <f t="shared" si="22"/>
        <v>0</v>
      </c>
    </row>
    <row r="195" spans="1:25" ht="57" customHeight="1" x14ac:dyDescent="0.3">
      <c r="A195" s="340">
        <f>'Unit Data from Audit Worksheet'!A229</f>
        <v>328</v>
      </c>
      <c r="B195" s="354" t="str">
        <f>'Unit Data from Audit Worksheet'!C229</f>
        <v>WS-Capital Assets Schedule in the Notes</v>
      </c>
      <c r="C195" s="339" t="str">
        <f>'Unit Data from Audit Worksheet'!D229</f>
        <v>Construction in progress</v>
      </c>
      <c r="D195" s="359"/>
      <c r="E195" s="360">
        <f>'Unit Data from Audit Worksheet'!F229</f>
        <v>0</v>
      </c>
      <c r="F195" s="85"/>
      <c r="G195" s="355"/>
      <c r="H195" s="352">
        <f>'Unit Data from Audit Worksheet'!I229</f>
        <v>0</v>
      </c>
      <c r="I195" s="38"/>
      <c r="J195" s="351">
        <v>328</v>
      </c>
      <c r="K195" s="56" t="s">
        <v>551</v>
      </c>
      <c r="L195" s="599">
        <f t="shared" si="20"/>
        <v>0</v>
      </c>
      <c r="P195" s="322"/>
      <c r="W195" s="3" t="b">
        <f t="shared" si="19"/>
        <v>1</v>
      </c>
      <c r="X195" s="596">
        <f t="shared" si="21"/>
        <v>0</v>
      </c>
      <c r="Y195" s="596">
        <f t="shared" si="22"/>
        <v>0</v>
      </c>
    </row>
    <row r="196" spans="1:25" ht="46.5" customHeight="1" x14ac:dyDescent="0.3">
      <c r="A196" s="340">
        <f>'Unit Data from Audit Worksheet'!A233</f>
        <v>515</v>
      </c>
      <c r="B196" s="354" t="str">
        <f>'Unit Data from Audit Worksheet'!C233</f>
        <v>WS Capital Assets Schedule-Gross Value</v>
      </c>
      <c r="C196" s="339" t="str">
        <f>'Unit Data from Audit Worksheet'!D233</f>
        <v>Buildings</v>
      </c>
      <c r="D196" s="359"/>
      <c r="E196" s="360">
        <f>'Unit Data from Audit Worksheet'!F233</f>
        <v>0</v>
      </c>
      <c r="F196" s="85"/>
      <c r="G196" s="355"/>
      <c r="H196" s="352">
        <f>'Unit Data from Audit Worksheet'!I233</f>
        <v>0</v>
      </c>
      <c r="I196" s="38"/>
      <c r="J196" s="351">
        <v>515</v>
      </c>
      <c r="K196" s="56" t="s">
        <v>277</v>
      </c>
      <c r="L196" s="599">
        <f t="shared" si="20"/>
        <v>0</v>
      </c>
      <c r="P196" s="322"/>
      <c r="W196" s="3" t="b">
        <f t="shared" si="19"/>
        <v>1</v>
      </c>
      <c r="X196" s="596">
        <f t="shared" si="21"/>
        <v>0</v>
      </c>
      <c r="Y196" s="596">
        <f t="shared" si="22"/>
        <v>0</v>
      </c>
    </row>
    <row r="197" spans="1:25" ht="46.5" customHeight="1" x14ac:dyDescent="0.3">
      <c r="A197" s="340">
        <f>'Unit Data from Audit Worksheet'!A234</f>
        <v>516</v>
      </c>
      <c r="B197" s="354" t="str">
        <f>'Unit Data from Audit Worksheet'!C234</f>
        <v>WS Capital Assets Schedule-Gross Value</v>
      </c>
      <c r="C197" s="339" t="str">
        <f>'Unit Data from Audit Worksheet'!D234</f>
        <v>Plant / distributions systems / water lines</v>
      </c>
      <c r="D197" s="359"/>
      <c r="E197" s="360">
        <f>'Unit Data from Audit Worksheet'!F234</f>
        <v>0</v>
      </c>
      <c r="F197" s="85"/>
      <c r="G197" s="355"/>
      <c r="H197" s="352">
        <f>'Unit Data from Audit Worksheet'!I234</f>
        <v>0</v>
      </c>
      <c r="I197" s="38"/>
      <c r="J197" s="351">
        <v>516</v>
      </c>
      <c r="K197" s="56" t="s">
        <v>278</v>
      </c>
      <c r="L197" s="599">
        <f t="shared" si="20"/>
        <v>0</v>
      </c>
      <c r="P197" s="322"/>
      <c r="W197" s="3" t="b">
        <f t="shared" ref="W197:W228" si="23">EXACT(A197,J197)</f>
        <v>1</v>
      </c>
      <c r="X197" s="596">
        <f t="shared" si="21"/>
        <v>0</v>
      </c>
      <c r="Y197" s="596">
        <f t="shared" si="22"/>
        <v>0</v>
      </c>
    </row>
    <row r="198" spans="1:25" ht="46.5" customHeight="1" x14ac:dyDescent="0.3">
      <c r="A198" s="340">
        <f>'Unit Data from Audit Worksheet'!A235</f>
        <v>517</v>
      </c>
      <c r="B198" s="354" t="str">
        <f>'Unit Data from Audit Worksheet'!C235</f>
        <v>WS Capital Assets Schedule-Gross Value</v>
      </c>
      <c r="C198" s="339" t="str">
        <f>'Unit Data from Audit Worksheet'!D235</f>
        <v>Infrastructure(other infrastructure)</v>
      </c>
      <c r="D198" s="359"/>
      <c r="E198" s="360">
        <f>'Unit Data from Audit Worksheet'!F235</f>
        <v>0</v>
      </c>
      <c r="F198" s="85"/>
      <c r="G198" s="355"/>
      <c r="H198" s="352">
        <f>'Unit Data from Audit Worksheet'!I235</f>
        <v>0</v>
      </c>
      <c r="I198" s="38"/>
      <c r="J198" s="351">
        <v>517</v>
      </c>
      <c r="K198" s="627" t="s">
        <v>279</v>
      </c>
      <c r="L198" s="599">
        <f t="shared" si="20"/>
        <v>0</v>
      </c>
      <c r="P198" s="322"/>
      <c r="W198" s="3" t="b">
        <f t="shared" si="23"/>
        <v>1</v>
      </c>
      <c r="X198" s="596">
        <f t="shared" si="21"/>
        <v>0</v>
      </c>
      <c r="Y198" s="596">
        <f t="shared" si="22"/>
        <v>0</v>
      </c>
    </row>
    <row r="199" spans="1:25" ht="46.5" customHeight="1" x14ac:dyDescent="0.3">
      <c r="A199" s="340">
        <f>'Unit Data from Audit Worksheet'!A236</f>
        <v>518</v>
      </c>
      <c r="B199" s="354" t="str">
        <f>'Unit Data from Audit Worksheet'!C236</f>
        <v>WS Capital Assets Schedule-Gross Value</v>
      </c>
      <c r="C199" s="339" t="str">
        <f>'Unit Data from Audit Worksheet'!D236</f>
        <v>All other depreciable capital assets</v>
      </c>
      <c r="D199" s="359"/>
      <c r="E199" s="360">
        <f>'Unit Data from Audit Worksheet'!F236</f>
        <v>0</v>
      </c>
      <c r="F199" s="85"/>
      <c r="G199" s="355"/>
      <c r="H199" s="352">
        <f>'Unit Data from Audit Worksheet'!I236</f>
        <v>0</v>
      </c>
      <c r="I199" s="38"/>
      <c r="J199" s="351">
        <v>518</v>
      </c>
      <c r="K199" s="627" t="s">
        <v>280</v>
      </c>
      <c r="L199" s="599">
        <f t="shared" si="20"/>
        <v>0</v>
      </c>
      <c r="P199" s="322"/>
      <c r="W199" s="3" t="b">
        <f t="shared" si="23"/>
        <v>1</v>
      </c>
      <c r="X199" s="596">
        <f t="shared" si="21"/>
        <v>0</v>
      </c>
      <c r="Y199" s="596">
        <f t="shared" si="22"/>
        <v>0</v>
      </c>
    </row>
    <row r="200" spans="1:25" ht="52.5" customHeight="1" x14ac:dyDescent="0.3">
      <c r="A200" s="340">
        <f>'Unit Data from Audit Worksheet'!A239</f>
        <v>519</v>
      </c>
      <c r="B200" s="354" t="str">
        <f>'Unit Data from Audit Worksheet'!C239</f>
        <v>WS Capital Assets Schedule-Annual Depreciation</v>
      </c>
      <c r="C200" s="339" t="str">
        <f>'Unit Data from Audit Worksheet'!D239</f>
        <v>Buildings annual depreciation</v>
      </c>
      <c r="D200" s="359"/>
      <c r="E200" s="360">
        <f>'Unit Data from Audit Worksheet'!F239</f>
        <v>0</v>
      </c>
      <c r="F200" s="85"/>
      <c r="G200" s="355"/>
      <c r="H200" s="352">
        <f>'Unit Data from Audit Worksheet'!I239</f>
        <v>0</v>
      </c>
      <c r="I200" s="38"/>
      <c r="J200" s="351">
        <v>519</v>
      </c>
      <c r="K200" s="627" t="s">
        <v>281</v>
      </c>
      <c r="L200" s="599">
        <f t="shared" si="20"/>
        <v>0</v>
      </c>
      <c r="P200" s="322"/>
      <c r="W200" s="3" t="b">
        <f t="shared" si="23"/>
        <v>1</v>
      </c>
      <c r="X200" s="596">
        <f t="shared" si="21"/>
        <v>0</v>
      </c>
      <c r="Y200" s="596">
        <f t="shared" si="22"/>
        <v>0</v>
      </c>
    </row>
    <row r="201" spans="1:25" ht="52.5" customHeight="1" x14ac:dyDescent="0.3">
      <c r="A201" s="340">
        <f>'Unit Data from Audit Worksheet'!A240</f>
        <v>520</v>
      </c>
      <c r="B201" s="354" t="str">
        <f>'Unit Data from Audit Worksheet'!C240</f>
        <v>WS Capital Assets Schedule-Annual Depreciation</v>
      </c>
      <c r="C201" s="339" t="str">
        <f>'Unit Data from Audit Worksheet'!D240</f>
        <v>Plant / distributions systems / water lines annual depreciation</v>
      </c>
      <c r="D201" s="359"/>
      <c r="E201" s="360">
        <f>'Unit Data from Audit Worksheet'!F240</f>
        <v>0</v>
      </c>
      <c r="F201" s="85"/>
      <c r="G201" s="355"/>
      <c r="H201" s="352">
        <f>'Unit Data from Audit Worksheet'!I240</f>
        <v>0</v>
      </c>
      <c r="I201" s="38"/>
      <c r="J201" s="351">
        <v>520</v>
      </c>
      <c r="K201" s="627" t="s">
        <v>282</v>
      </c>
      <c r="L201" s="599">
        <f t="shared" si="20"/>
        <v>0</v>
      </c>
      <c r="P201" s="322"/>
      <c r="W201" s="3" t="b">
        <f t="shared" si="23"/>
        <v>1</v>
      </c>
      <c r="X201" s="596">
        <f t="shared" si="21"/>
        <v>0</v>
      </c>
      <c r="Y201" s="596">
        <f t="shared" si="22"/>
        <v>0</v>
      </c>
    </row>
    <row r="202" spans="1:25" ht="52.5" customHeight="1" x14ac:dyDescent="0.3">
      <c r="A202" s="340">
        <f>'Unit Data from Audit Worksheet'!A241</f>
        <v>521</v>
      </c>
      <c r="B202" s="354" t="str">
        <f>'Unit Data from Audit Worksheet'!C241</f>
        <v>WS Capital Assets Schedule-Annual Depreciation</v>
      </c>
      <c r="C202" s="339" t="str">
        <f>'Unit Data from Audit Worksheet'!D241</f>
        <v>Infrastructure(other infrastructure) annual depreciation</v>
      </c>
      <c r="D202" s="359"/>
      <c r="E202" s="360">
        <f>'Unit Data from Audit Worksheet'!F241</f>
        <v>0</v>
      </c>
      <c r="F202" s="85"/>
      <c r="G202" s="355"/>
      <c r="H202" s="352">
        <f>'Unit Data from Audit Worksheet'!I241</f>
        <v>0</v>
      </c>
      <c r="I202" s="38"/>
      <c r="J202" s="351">
        <v>521</v>
      </c>
      <c r="K202" s="56" t="s">
        <v>283</v>
      </c>
      <c r="L202" s="599">
        <f t="shared" si="20"/>
        <v>0</v>
      </c>
      <c r="P202" s="322"/>
      <c r="W202" s="3" t="b">
        <f t="shared" si="23"/>
        <v>1</v>
      </c>
      <c r="X202" s="596">
        <f t="shared" si="21"/>
        <v>0</v>
      </c>
      <c r="Y202" s="596">
        <f t="shared" si="22"/>
        <v>0</v>
      </c>
    </row>
    <row r="203" spans="1:25" ht="42.75" customHeight="1" x14ac:dyDescent="0.3">
      <c r="A203" s="340">
        <f>'Unit Data from Audit Worksheet'!A242</f>
        <v>522</v>
      </c>
      <c r="B203" s="354" t="str">
        <f>'Unit Data from Audit Worksheet'!C242</f>
        <v>WS Capital Assets Schedule-Annual Depreciation</v>
      </c>
      <c r="C203" s="339" t="str">
        <f>'Unit Data from Audit Worksheet'!D242</f>
        <v>All other depreciable capital assets annual depreciation</v>
      </c>
      <c r="D203" s="359"/>
      <c r="E203" s="360">
        <f>'Unit Data from Audit Worksheet'!F242</f>
        <v>0</v>
      </c>
      <c r="F203" s="85"/>
      <c r="G203" s="355"/>
      <c r="H203" s="352">
        <f>'Unit Data from Audit Worksheet'!I242</f>
        <v>0</v>
      </c>
      <c r="I203" s="38"/>
      <c r="J203" s="351">
        <v>522</v>
      </c>
      <c r="K203" s="56" t="s">
        <v>284</v>
      </c>
      <c r="L203" s="599">
        <f t="shared" si="20"/>
        <v>0</v>
      </c>
      <c r="P203" s="322"/>
      <c r="W203" s="3" t="b">
        <f t="shared" si="23"/>
        <v>1</v>
      </c>
      <c r="X203" s="596">
        <f t="shared" si="21"/>
        <v>0</v>
      </c>
      <c r="Y203" s="596">
        <f t="shared" si="22"/>
        <v>0</v>
      </c>
    </row>
    <row r="204" spans="1:25" ht="42.75" customHeight="1" x14ac:dyDescent="0.3">
      <c r="A204" s="340">
        <f>'Unit Data from Audit Worksheet'!A245</f>
        <v>523</v>
      </c>
      <c r="B204" s="354" t="str">
        <f>'Unit Data from Audit Worksheet'!C245</f>
        <v>WS Capital Assets Schedule-Accumulated Depreciation</v>
      </c>
      <c r="C204" s="339" t="str">
        <f>'Unit Data from Audit Worksheet'!D245</f>
        <v>Building accumulated depreciation</v>
      </c>
      <c r="D204" s="359"/>
      <c r="E204" s="360">
        <f>'Unit Data from Audit Worksheet'!F245</f>
        <v>0</v>
      </c>
      <c r="F204" s="85"/>
      <c r="G204" s="355"/>
      <c r="H204" s="352">
        <f>'Unit Data from Audit Worksheet'!I245</f>
        <v>0</v>
      </c>
      <c r="I204" s="38"/>
      <c r="J204" s="351">
        <v>523</v>
      </c>
      <c r="K204" s="56" t="s">
        <v>285</v>
      </c>
      <c r="L204" s="599">
        <f t="shared" si="20"/>
        <v>0</v>
      </c>
      <c r="P204" s="322"/>
      <c r="W204" s="3" t="b">
        <f t="shared" si="23"/>
        <v>1</v>
      </c>
      <c r="X204" s="596">
        <f t="shared" si="21"/>
        <v>0</v>
      </c>
      <c r="Y204" s="596">
        <f t="shared" si="22"/>
        <v>0</v>
      </c>
    </row>
    <row r="205" spans="1:25" ht="51" customHeight="1" x14ac:dyDescent="0.3">
      <c r="A205" s="340">
        <f>'Unit Data from Audit Worksheet'!A246</f>
        <v>524</v>
      </c>
      <c r="B205" s="354" t="str">
        <f>'Unit Data from Audit Worksheet'!C246</f>
        <v>WS Capital Assets Schedule-Accumulated Depreciation</v>
      </c>
      <c r="C205" s="339" t="str">
        <f>'Unit Data from Audit Worksheet'!D246</f>
        <v>Plant / distributions systems / water lines accumulated depreciation</v>
      </c>
      <c r="D205" s="359"/>
      <c r="E205" s="360">
        <f>'Unit Data from Audit Worksheet'!F246</f>
        <v>0</v>
      </c>
      <c r="F205" s="85"/>
      <c r="G205" s="355"/>
      <c r="H205" s="352">
        <f>'Unit Data from Audit Worksheet'!I246</f>
        <v>0</v>
      </c>
      <c r="I205" s="38"/>
      <c r="J205" s="351">
        <v>524</v>
      </c>
      <c r="K205" s="56" t="s">
        <v>286</v>
      </c>
      <c r="L205" s="599">
        <f t="shared" si="20"/>
        <v>0</v>
      </c>
      <c r="P205" s="322"/>
      <c r="W205" s="3" t="b">
        <f t="shared" si="23"/>
        <v>1</v>
      </c>
      <c r="X205" s="596">
        <f t="shared" si="21"/>
        <v>0</v>
      </c>
      <c r="Y205" s="596">
        <f t="shared" si="22"/>
        <v>0</v>
      </c>
    </row>
    <row r="206" spans="1:25" ht="57.75" customHeight="1" x14ac:dyDescent="0.3">
      <c r="A206" s="340">
        <f>'Unit Data from Audit Worksheet'!A247</f>
        <v>525</v>
      </c>
      <c r="B206" s="354" t="str">
        <f>'Unit Data from Audit Worksheet'!C247</f>
        <v>WS Capital Assets Schedule-Accumulated Depreciation</v>
      </c>
      <c r="C206" s="339" t="str">
        <f>'Unit Data from Audit Worksheet'!D247</f>
        <v>Infrastructure(other infrastructure) accumulated depreciation</v>
      </c>
      <c r="D206" s="359"/>
      <c r="E206" s="360">
        <f>'Unit Data from Audit Worksheet'!F247</f>
        <v>0</v>
      </c>
      <c r="F206" s="85"/>
      <c r="G206" s="355"/>
      <c r="H206" s="352">
        <f>'Unit Data from Audit Worksheet'!I247</f>
        <v>0</v>
      </c>
      <c r="I206" s="38"/>
      <c r="J206" s="351">
        <v>525</v>
      </c>
      <c r="K206" s="56" t="s">
        <v>287</v>
      </c>
      <c r="L206" s="599">
        <f t="shared" si="20"/>
        <v>0</v>
      </c>
      <c r="P206" s="322"/>
      <c r="W206" s="3" t="b">
        <f t="shared" si="23"/>
        <v>1</v>
      </c>
      <c r="X206" s="596">
        <f t="shared" si="21"/>
        <v>0</v>
      </c>
      <c r="Y206" s="596">
        <f t="shared" si="22"/>
        <v>0</v>
      </c>
    </row>
    <row r="207" spans="1:25" ht="48" customHeight="1" x14ac:dyDescent="0.3">
      <c r="A207" s="340">
        <f>'Unit Data from Audit Worksheet'!A248</f>
        <v>526</v>
      </c>
      <c r="B207" s="354" t="str">
        <f>'Unit Data from Audit Worksheet'!C248</f>
        <v>WS Capital Assets Schedule-Accumulated Depreciation</v>
      </c>
      <c r="C207" s="339" t="str">
        <f>'Unit Data from Audit Worksheet'!D248</f>
        <v>All other depreciable capital assets accumulated depreciation</v>
      </c>
      <c r="D207" s="359"/>
      <c r="E207" s="360">
        <f>'Unit Data from Audit Worksheet'!F248</f>
        <v>0</v>
      </c>
      <c r="F207" s="85"/>
      <c r="G207" s="355"/>
      <c r="H207" s="352">
        <f>'Unit Data from Audit Worksheet'!I248</f>
        <v>0</v>
      </c>
      <c r="I207" s="38"/>
      <c r="J207" s="351">
        <v>526</v>
      </c>
      <c r="K207" s="56" t="s">
        <v>288</v>
      </c>
      <c r="L207" s="599">
        <f t="shared" si="20"/>
        <v>0</v>
      </c>
      <c r="P207" s="322"/>
      <c r="W207" s="3" t="b">
        <f t="shared" si="23"/>
        <v>1</v>
      </c>
      <c r="X207" s="596">
        <f t="shared" si="21"/>
        <v>0</v>
      </c>
      <c r="Y207" s="596">
        <f t="shared" si="22"/>
        <v>0</v>
      </c>
    </row>
    <row r="208" spans="1:25" ht="50.25" customHeight="1" x14ac:dyDescent="0.3">
      <c r="A208" s="340">
        <f>'Unit Data from Audit Worksheet'!A253</f>
        <v>527</v>
      </c>
      <c r="B208" s="354" t="str">
        <f>'Unit Data from Audit Worksheet'!C253</f>
        <v>Electric Assets</v>
      </c>
      <c r="C208" s="339" t="str">
        <f>'Unit Data from Audit Worksheet'!D253</f>
        <v>Total Assets Gross value not being depreciated for Electric Fund</v>
      </c>
      <c r="D208" s="359"/>
      <c r="E208" s="360">
        <f>'Unit Data from Audit Worksheet'!F253</f>
        <v>0</v>
      </c>
      <c r="F208" s="85"/>
      <c r="G208" s="355"/>
      <c r="H208" s="352">
        <f>'Unit Data from Audit Worksheet'!I253</f>
        <v>0</v>
      </c>
      <c r="I208" s="38"/>
      <c r="J208" s="351">
        <v>527</v>
      </c>
      <c r="K208" s="56" t="s">
        <v>289</v>
      </c>
      <c r="L208" s="599">
        <f t="shared" si="20"/>
        <v>0</v>
      </c>
      <c r="P208" s="322"/>
      <c r="W208" s="3" t="b">
        <f t="shared" si="23"/>
        <v>1</v>
      </c>
      <c r="X208" s="596">
        <f t="shared" si="21"/>
        <v>0</v>
      </c>
      <c r="Y208" s="596">
        <f t="shared" si="22"/>
        <v>0</v>
      </c>
    </row>
    <row r="209" spans="1:27" ht="54.75" customHeight="1" x14ac:dyDescent="0.3">
      <c r="A209" s="340">
        <f>'Unit Data from Audit Worksheet'!A254</f>
        <v>356</v>
      </c>
      <c r="B209" s="354" t="str">
        <f>'Unit Data from Audit Worksheet'!C254</f>
        <v>Electric Assets</v>
      </c>
      <c r="C209" s="339" t="str">
        <f>'Unit Data from Audit Worksheet'!D254</f>
        <v>Total Assets Gross value of assets being depreciated for Electric Fund</v>
      </c>
      <c r="D209" s="359"/>
      <c r="E209" s="360">
        <f>'Unit Data from Audit Worksheet'!F254</f>
        <v>0</v>
      </c>
      <c r="F209" s="85"/>
      <c r="G209" s="355"/>
      <c r="H209" s="352">
        <f>'Unit Data from Audit Worksheet'!I254</f>
        <v>0</v>
      </c>
      <c r="I209" s="38"/>
      <c r="J209" s="351">
        <v>356</v>
      </c>
      <c r="K209" s="56" t="s">
        <v>552</v>
      </c>
      <c r="L209" s="599">
        <f t="shared" si="20"/>
        <v>0</v>
      </c>
      <c r="P209" s="322"/>
      <c r="W209" s="3" t="b">
        <f t="shared" si="23"/>
        <v>1</v>
      </c>
      <c r="X209" s="596">
        <f t="shared" si="21"/>
        <v>0</v>
      </c>
      <c r="Y209" s="596">
        <f t="shared" si="22"/>
        <v>0</v>
      </c>
    </row>
    <row r="210" spans="1:27" ht="54.75" customHeight="1" x14ac:dyDescent="0.3">
      <c r="A210" s="340">
        <f>'Unit Data from Audit Worksheet'!A255</f>
        <v>357</v>
      </c>
      <c r="B210" s="354" t="str">
        <f>'Unit Data from Audit Worksheet'!C255</f>
        <v>Electric Accumulated Depreciation</v>
      </c>
      <c r="C210" s="339" t="str">
        <f>'Unit Data from Audit Worksheet'!D255</f>
        <v>Total accumulated depreciation for Electric Fund assets</v>
      </c>
      <c r="D210" s="359"/>
      <c r="E210" s="360">
        <f>'Unit Data from Audit Worksheet'!F255</f>
        <v>0</v>
      </c>
      <c r="F210" s="85"/>
      <c r="G210" s="355"/>
      <c r="H210" s="352">
        <f>'Unit Data from Audit Worksheet'!I255</f>
        <v>0</v>
      </c>
      <c r="I210" s="38"/>
      <c r="J210" s="351">
        <v>357</v>
      </c>
      <c r="K210" s="56" t="s">
        <v>553</v>
      </c>
      <c r="L210" s="599">
        <f t="shared" si="20"/>
        <v>0</v>
      </c>
      <c r="P210" s="322"/>
      <c r="W210" s="3" t="b">
        <f t="shared" si="23"/>
        <v>1</v>
      </c>
      <c r="X210" s="596">
        <f t="shared" si="21"/>
        <v>0</v>
      </c>
      <c r="Y210" s="596">
        <f t="shared" si="22"/>
        <v>0</v>
      </c>
    </row>
    <row r="211" spans="1:27" ht="191.25" customHeight="1" x14ac:dyDescent="0.3">
      <c r="A211" s="340">
        <f>'Unit Data from Audit Worksheet'!A257</f>
        <v>337</v>
      </c>
      <c r="B211" s="354" t="str">
        <f>'Unit Data from Audit Worksheet'!C257</f>
        <v>Long-Term Liability Note - Governmental Activities</v>
      </c>
      <c r="C211" s="354" t="str">
        <f>'Unit Data from Audit Worksheet'!D257</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1" s="359"/>
      <c r="E211" s="360">
        <f>'Unit Data from Audit Worksheet'!F257</f>
        <v>0</v>
      </c>
      <c r="F211" s="353">
        <f>IF(L211&lt;0,"Error: Enter as a positive.",)</f>
        <v>0</v>
      </c>
      <c r="G211" s="355"/>
      <c r="H211" s="352">
        <f>'Unit Data from Audit Worksheet'!I257</f>
        <v>0</v>
      </c>
      <c r="I211" s="38"/>
      <c r="J211" s="351">
        <v>337</v>
      </c>
      <c r="K211" s="350" t="s">
        <v>254</v>
      </c>
      <c r="L211" s="599">
        <f t="shared" si="20"/>
        <v>0</v>
      </c>
      <c r="P211" s="322"/>
      <c r="W211" s="3" t="b">
        <f t="shared" si="23"/>
        <v>1</v>
      </c>
      <c r="X211" s="596">
        <f t="shared" si="21"/>
        <v>0</v>
      </c>
      <c r="Y211" s="596">
        <f t="shared" si="22"/>
        <v>0</v>
      </c>
    </row>
    <row r="212" spans="1:27" ht="76.5" customHeight="1" x14ac:dyDescent="0.3">
      <c r="A212" s="340">
        <f>'Unit Data from Audit Worksheet'!A258</f>
        <v>343</v>
      </c>
      <c r="B212" s="354" t="str">
        <f>'Unit Data from Audit Worksheet'!C258</f>
        <v>Long-Term Liability Note - Governmental Activities</v>
      </c>
      <c r="C212" s="339" t="str">
        <f>'Unit Data from Audit Worksheet'!D258</f>
        <v>Decreases made (principal paid) on Long-Term Debt in current fiscal year.  Reduce for debt refunding.</v>
      </c>
      <c r="D212" s="359"/>
      <c r="E212" s="360">
        <f>'Unit Data from Audit Worksheet'!F258</f>
        <v>0</v>
      </c>
      <c r="F212" s="353">
        <f>IF(L212&lt;0,"Error: Enter as a positive.",)</f>
        <v>0</v>
      </c>
      <c r="G212" s="355"/>
      <c r="H212" s="352">
        <f>'Unit Data from Audit Worksheet'!I258</f>
        <v>0</v>
      </c>
      <c r="I212" s="38"/>
      <c r="J212" s="351">
        <v>343</v>
      </c>
      <c r="K212" s="350" t="s">
        <v>255</v>
      </c>
      <c r="L212" s="599">
        <f t="shared" si="20"/>
        <v>0</v>
      </c>
      <c r="P212" s="322"/>
      <c r="W212" s="3" t="b">
        <f t="shared" si="23"/>
        <v>1</v>
      </c>
      <c r="X212" s="596">
        <f t="shared" si="21"/>
        <v>0</v>
      </c>
      <c r="Y212" s="596">
        <f t="shared" si="22"/>
        <v>0</v>
      </c>
    </row>
    <row r="213" spans="1:27" ht="193.5" customHeight="1" x14ac:dyDescent="0.3">
      <c r="A213" s="340">
        <f>'Unit Data from Audit Worksheet'!A259</f>
        <v>82</v>
      </c>
      <c r="B213" s="354" t="str">
        <f>'Unit Data from Audit Worksheet'!C259</f>
        <v>Long-Term Liability Note - Water Sewer Activities</v>
      </c>
      <c r="C213" s="354" t="str">
        <f>'Unit Data from Audit Worksheet'!D259</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3" s="359"/>
      <c r="E213" s="360">
        <f>'Unit Data from Audit Worksheet'!F259</f>
        <v>0</v>
      </c>
      <c r="F213" s="353">
        <f>IF(L213&lt;0,"Error: Enter as a positive.",)</f>
        <v>0</v>
      </c>
      <c r="G213" s="355"/>
      <c r="H213" s="352">
        <f>'Unit Data from Audit Worksheet'!I259</f>
        <v>0</v>
      </c>
      <c r="I213" s="38"/>
      <c r="J213" s="351">
        <v>82</v>
      </c>
      <c r="K213" s="67" t="s">
        <v>554</v>
      </c>
      <c r="L213" s="599">
        <f t="shared" si="20"/>
        <v>0</v>
      </c>
      <c r="P213" s="322"/>
      <c r="W213" s="3" t="b">
        <f t="shared" si="23"/>
        <v>1</v>
      </c>
      <c r="X213" s="596">
        <f t="shared" si="21"/>
        <v>0</v>
      </c>
      <c r="Y213" s="596">
        <f t="shared" si="22"/>
        <v>0</v>
      </c>
    </row>
    <row r="214" spans="1:27" ht="206.25" customHeight="1" x14ac:dyDescent="0.3">
      <c r="A214" s="340">
        <f>'Unit Data from Audit Worksheet'!A260</f>
        <v>359</v>
      </c>
      <c r="B214" s="354" t="str">
        <f>'Unit Data from Audit Worksheet'!C260</f>
        <v>Long-Term Liability Note - Electric Activities</v>
      </c>
      <c r="C214" s="354" t="str">
        <f>'Unit Data from Audit Worksheet'!D260</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214" s="359"/>
      <c r="E214" s="360">
        <f>'Unit Data from Audit Worksheet'!F260</f>
        <v>0</v>
      </c>
      <c r="F214" s="353">
        <f>IF(L214&lt;0,"Error: Enter as a positive.",)</f>
        <v>0</v>
      </c>
      <c r="G214" s="355"/>
      <c r="H214" s="352">
        <f>'Unit Data from Audit Worksheet'!I260</f>
        <v>0</v>
      </c>
      <c r="I214" s="38"/>
      <c r="J214" s="351">
        <v>359</v>
      </c>
      <c r="K214" s="350" t="s">
        <v>256</v>
      </c>
      <c r="L214" s="599">
        <f t="shared" si="20"/>
        <v>0</v>
      </c>
      <c r="P214" s="322"/>
      <c r="W214" s="3" t="b">
        <f t="shared" si="23"/>
        <v>1</v>
      </c>
      <c r="X214" s="596">
        <f t="shared" si="21"/>
        <v>0</v>
      </c>
      <c r="Y214" s="596">
        <f t="shared" si="22"/>
        <v>0</v>
      </c>
    </row>
    <row r="215" spans="1:27" ht="76.5" customHeight="1" x14ac:dyDescent="0.3">
      <c r="A215" s="340">
        <f>'Unit Data from Audit Worksheet'!A262</f>
        <v>622</v>
      </c>
      <c r="B215" s="354" t="str">
        <f>'Unit Data from Audit Worksheet'!C262</f>
        <v>FS., Pension note or RSI</v>
      </c>
      <c r="C215" s="354" t="str">
        <f>'Unit Data from Audit Worksheet'!D262</f>
        <v xml:space="preserve">Unit's Share of Net Pension Liability ($s)
- unit of government is a participating employer in the State's TSERS (Teachers' and State Employees' Retirement System) or the LGERS (Local Governmental Employees' Retirement System).  </v>
      </c>
      <c r="D215" s="359"/>
      <c r="E215" s="360">
        <f>'Unit Data from Audit Worksheet'!F262</f>
        <v>0</v>
      </c>
      <c r="F215" s="353"/>
      <c r="G215" s="355"/>
      <c r="H215" s="352"/>
      <c r="I215" s="38"/>
      <c r="J215" s="351">
        <v>622</v>
      </c>
      <c r="K215" s="357" t="s">
        <v>722</v>
      </c>
      <c r="L215" s="599">
        <f t="shared" si="20"/>
        <v>0</v>
      </c>
      <c r="P215" s="322"/>
      <c r="W215" s="3" t="b">
        <f t="shared" si="23"/>
        <v>1</v>
      </c>
      <c r="X215" s="596">
        <f t="shared" si="21"/>
        <v>0</v>
      </c>
      <c r="Y215" s="596">
        <f t="shared" si="22"/>
        <v>0</v>
      </c>
    </row>
    <row r="216" spans="1:27" ht="138.75" customHeight="1" x14ac:dyDescent="0.3">
      <c r="A216" s="340">
        <f>'Unit Data from Audit Worksheet'!A263</f>
        <v>577</v>
      </c>
      <c r="B216" s="354" t="str">
        <f>'Unit Data from Audit Worksheet'!C263</f>
        <v>Pension Notes</v>
      </c>
      <c r="C216" s="354" t="str">
        <f>'Unit Data from Audit Worksheet'!D263</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v>
      </c>
      <c r="D216" s="359"/>
      <c r="E216" s="360" t="str">
        <f>IF('Unit Data from Audit Worksheet'!F263="Yes",1,IF('Unit Data from Audit Worksheet'!F263="No",2,IF('Unit Data from Audit Worksheet'!F263&lt;1,"",IF('Unit Data from Audit Worksheet'!F263=0&gt;2,""))))</f>
        <v/>
      </c>
      <c r="F216" s="353"/>
      <c r="G216" s="355"/>
      <c r="H216" s="352"/>
      <c r="I216" s="38"/>
      <c r="J216" s="351">
        <v>577</v>
      </c>
      <c r="K216" s="357" t="s">
        <v>612</v>
      </c>
      <c r="L216" s="599" t="str">
        <f t="shared" si="20"/>
        <v/>
      </c>
      <c r="P216" s="322"/>
      <c r="W216" s="3" t="b">
        <f t="shared" si="23"/>
        <v>1</v>
      </c>
      <c r="X216" s="596" t="e">
        <f t="shared" si="21"/>
        <v>#VALUE!</v>
      </c>
      <c r="Y216" s="596" t="e">
        <f t="shared" si="22"/>
        <v>#VALUE!</v>
      </c>
    </row>
    <row r="217" spans="1:27" ht="115.5" customHeight="1" x14ac:dyDescent="0.3">
      <c r="A217" s="628">
        <f>'Unit Data from Audit Worksheet'!A265</f>
        <v>598</v>
      </c>
      <c r="B217" s="354" t="str">
        <f>'Unit Data from Audit Worksheet'!C265</f>
        <v>LEO Note</v>
      </c>
      <c r="C217" s="339" t="str">
        <f>'Unit Data from Audit Worksheet'!D265</f>
        <v>Amount the unit paid out in benefits under LEO special separation allowance to retired law enforcement officers this fiscal year if you report under GASB 68 or GASB 73.</v>
      </c>
      <c r="D217" s="359"/>
      <c r="E217" s="360">
        <f>'Unit Data from Audit Worksheet'!F265</f>
        <v>0</v>
      </c>
      <c r="F217" s="353">
        <f>IF(L217&lt;0,"Error: Enter as a positive.",)</f>
        <v>0</v>
      </c>
      <c r="G217" s="355"/>
      <c r="H217" s="352">
        <f>'Unit Data from Audit Worksheet'!I265</f>
        <v>0</v>
      </c>
      <c r="I217" s="38"/>
      <c r="J217" s="351">
        <v>598</v>
      </c>
      <c r="K217" s="92" t="s">
        <v>681</v>
      </c>
      <c r="L217" s="599">
        <f t="shared" si="20"/>
        <v>0</v>
      </c>
      <c r="P217" s="322"/>
      <c r="W217" s="3" t="b">
        <f t="shared" si="23"/>
        <v>1</v>
      </c>
      <c r="X217" s="596">
        <f t="shared" si="21"/>
        <v>0</v>
      </c>
      <c r="Y217" s="596">
        <f t="shared" si="22"/>
        <v>0</v>
      </c>
    </row>
    <row r="218" spans="1:27" ht="84" customHeight="1" x14ac:dyDescent="0.3">
      <c r="A218" s="340">
        <f>'Unit Data from Audit Worksheet'!A266</f>
        <v>599</v>
      </c>
      <c r="B218" s="354" t="str">
        <f>'Unit Data from Audit Worksheet'!C266</f>
        <v>LEO Note</v>
      </c>
      <c r="C218" s="339" t="str">
        <f>'Unit Data from Audit Worksheet'!D266</f>
        <v>The total LEO pension liability if you report under GASB 68 or GASB 73.</v>
      </c>
      <c r="D218" s="359"/>
      <c r="E218" s="360">
        <f>'Unit Data from Audit Worksheet'!F266</f>
        <v>0</v>
      </c>
      <c r="F218" s="353">
        <f>IF(L218&lt;0,"Error: Enter as a positive.",)</f>
        <v>0</v>
      </c>
      <c r="G218" s="355"/>
      <c r="H218" s="352">
        <f>'Unit Data from Audit Worksheet'!I266</f>
        <v>0</v>
      </c>
      <c r="I218" s="38"/>
      <c r="J218" s="351">
        <v>599</v>
      </c>
      <c r="K218" s="91" t="s">
        <v>680</v>
      </c>
      <c r="L218" s="599">
        <f t="shared" si="20"/>
        <v>0</v>
      </c>
      <c r="M218" s="629"/>
      <c r="P218" s="322"/>
      <c r="W218" s="3" t="b">
        <f t="shared" si="23"/>
        <v>1</v>
      </c>
      <c r="X218" s="596">
        <f t="shared" si="21"/>
        <v>0</v>
      </c>
      <c r="Y218" s="596">
        <f t="shared" si="22"/>
        <v>0</v>
      </c>
    </row>
    <row r="219" spans="1:27" ht="102.75" customHeight="1" x14ac:dyDescent="0.3">
      <c r="A219" s="340">
        <f>'Unit Data from Audit Worksheet'!A267</f>
        <v>602</v>
      </c>
      <c r="B219" s="354" t="str">
        <f>'Unit Data from Audit Worksheet'!C267</f>
        <v>LEO Note</v>
      </c>
      <c r="C219" s="339" t="str">
        <f>'Unit Data from Audit Worksheet'!D267</f>
        <v>If you have LEO pension assets and are reporting under GASB 68 please enter "Plan Fiduciary Net Position" which can be found on your RSI schedules and the Notes.</v>
      </c>
      <c r="D219" s="359"/>
      <c r="E219" s="360">
        <f>'Unit Data from Audit Worksheet'!F267</f>
        <v>0</v>
      </c>
      <c r="F219" s="353">
        <f>IF(L219&lt;0,"Error: Enter as a positive.",)</f>
        <v>0</v>
      </c>
      <c r="G219" s="355"/>
      <c r="H219" s="352">
        <f>'Unit Data from Audit Worksheet'!I267</f>
        <v>0</v>
      </c>
      <c r="I219" s="38"/>
      <c r="J219" s="351">
        <v>602</v>
      </c>
      <c r="K219" s="26" t="s">
        <v>682</v>
      </c>
      <c r="L219" s="599">
        <f t="shared" si="20"/>
        <v>0</v>
      </c>
      <c r="M219" s="629"/>
      <c r="P219" s="322"/>
      <c r="W219" s="3" t="b">
        <f t="shared" si="23"/>
        <v>1</v>
      </c>
      <c r="X219" s="596">
        <f t="shared" si="21"/>
        <v>0</v>
      </c>
      <c r="Y219" s="596">
        <f t="shared" si="22"/>
        <v>0</v>
      </c>
    </row>
    <row r="220" spans="1:27" ht="123" customHeight="1" x14ac:dyDescent="0.3">
      <c r="A220" s="340">
        <f>'Unit Data from Audit Worksheet'!A268</f>
        <v>619</v>
      </c>
      <c r="B220" s="354" t="str">
        <f>'Unit Data from Audit Worksheet'!C268</f>
        <v>LEO
RSI</v>
      </c>
      <c r="C220" s="92" t="str">
        <f>'Unit Data from Audit Worksheet'!D268</f>
        <v>LEOSSA – What is the plan’s fiduciary net position as a percentage of the total pension liability?  Please enter as percentage value; for example, 83.5% should be entered as 83.5.  If assets have not been set aside in a trust, please enter 0.0</v>
      </c>
      <c r="D220" s="93"/>
      <c r="E220" s="147">
        <f>'Unit Data from Audit Worksheet'!F268</f>
        <v>0</v>
      </c>
      <c r="F220" s="353" t="str">
        <f>IF(H220=L220,"","Column L does not equal Column H")</f>
        <v/>
      </c>
      <c r="G220" s="355"/>
      <c r="H220" s="100">
        <f>ROUND(IFERROR((L219/L218)*100,0),1)</f>
        <v>0</v>
      </c>
      <c r="I220" s="38"/>
      <c r="J220" s="342">
        <v>619</v>
      </c>
      <c r="K220" s="99" t="s">
        <v>865</v>
      </c>
      <c r="L220" s="936">
        <f t="shared" si="20"/>
        <v>0</v>
      </c>
      <c r="M220" s="629"/>
      <c r="P220" s="630"/>
      <c r="Q220" s="631">
        <f>IF(H220=L220,0,1)</f>
        <v>0</v>
      </c>
      <c r="W220" s="3" t="b">
        <f t="shared" si="23"/>
        <v>1</v>
      </c>
      <c r="X220" s="596">
        <f t="shared" si="21"/>
        <v>0</v>
      </c>
      <c r="Y220" s="596">
        <f t="shared" si="22"/>
        <v>0</v>
      </c>
    </row>
    <row r="221" spans="1:27" ht="113.25" customHeight="1" x14ac:dyDescent="0.3">
      <c r="A221" s="340">
        <v>621</v>
      </c>
      <c r="B221" s="55" t="s">
        <v>713</v>
      </c>
      <c r="C221" s="632" t="str">
        <f>'Unit Data from Audit Worksheet'!D270</f>
        <v xml:space="preserve">Unit's share of Retirement Health Benefit Fund Net OPEB Liability ($s)
- unit of government is a participating employer in the State's RHBF </v>
      </c>
      <c r="D221" s="93"/>
      <c r="E221" s="360">
        <f>'Unit Data from Audit Worksheet'!F270</f>
        <v>0</v>
      </c>
      <c r="F221" s="353">
        <f>IF(L221&lt;0,"Error: Enter as a positive.",)</f>
        <v>0</v>
      </c>
      <c r="G221" s="125"/>
      <c r="H221" s="352"/>
      <c r="I221" s="38"/>
      <c r="J221" s="633">
        <v>621</v>
      </c>
      <c r="K221" s="126" t="s">
        <v>870</v>
      </c>
      <c r="L221" s="599">
        <f t="shared" si="20"/>
        <v>0</v>
      </c>
      <c r="M221" s="629"/>
      <c r="P221" s="633"/>
      <c r="Q221" s="302"/>
      <c r="W221" s="3" t="b">
        <f t="shared" si="23"/>
        <v>1</v>
      </c>
      <c r="X221" s="596">
        <f t="shared" si="21"/>
        <v>0</v>
      </c>
      <c r="Y221" s="596">
        <f t="shared" si="22"/>
        <v>0</v>
      </c>
    </row>
    <row r="222" spans="1:27" s="18" customFormat="1" ht="127.5" customHeight="1" x14ac:dyDescent="0.3">
      <c r="A222" s="628">
        <f>'Unit Data from Audit Worksheet'!A271</f>
        <v>547</v>
      </c>
      <c r="B222" s="354" t="str">
        <f>'Unit Data from Audit Worksheet'!C271</f>
        <v>OPEB Note</v>
      </c>
      <c r="C222" s="354" t="str">
        <f>'Unit Data from Audit Worksheet'!D271</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v>
      </c>
      <c r="D222" s="359"/>
      <c r="E222" s="360">
        <f>'Unit Data from Audit Worksheet'!F271</f>
        <v>0</v>
      </c>
      <c r="F222" s="353" t="str">
        <f>IF(L225&lt;1,"Please answer this question","")</f>
        <v>Please answer this question</v>
      </c>
      <c r="G222" s="355"/>
      <c r="H222" s="352">
        <f>'Unit Data from Audit Worksheet'!I271</f>
        <v>0</v>
      </c>
      <c r="I222" s="38"/>
      <c r="J222" s="351">
        <v>547</v>
      </c>
      <c r="K222" s="634" t="s">
        <v>541</v>
      </c>
      <c r="L222" s="599">
        <f t="shared" si="20"/>
        <v>0</v>
      </c>
      <c r="M222" s="620"/>
      <c r="P222" s="322"/>
      <c r="Q222" s="589"/>
      <c r="R222" s="3"/>
      <c r="W222" s="3" t="b">
        <f t="shared" si="23"/>
        <v>1</v>
      </c>
      <c r="X222" s="596">
        <f t="shared" si="21"/>
        <v>0</v>
      </c>
      <c r="Y222" s="596">
        <f t="shared" si="22"/>
        <v>0</v>
      </c>
      <c r="AA222" s="3"/>
    </row>
    <row r="223" spans="1:27" s="18" customFormat="1" ht="99" customHeight="1" x14ac:dyDescent="0.3">
      <c r="A223" s="340">
        <f>'Unit Data from Audit Worksheet'!A272</f>
        <v>659</v>
      </c>
      <c r="B223" s="354" t="str">
        <f>'Unit Data from Audit Worksheet'!C272</f>
        <v>OPEB
 Note or RSI</v>
      </c>
      <c r="C223" s="339" t="str">
        <f>'Unit Data from Audit Worksheet'!D272</f>
        <v>Total OPEB benefits - total OPEB liability
If you do not provide benefit, please enter 0</v>
      </c>
      <c r="D223" s="359"/>
      <c r="E223" s="360">
        <f>'Unit Data from Audit Worksheet'!F272</f>
        <v>0</v>
      </c>
      <c r="F223" s="353">
        <f>IF(L223&lt;0,"Error: Enter as a positive.",)</f>
        <v>0</v>
      </c>
      <c r="G223" s="635" t="s">
        <v>1318</v>
      </c>
      <c r="H223" s="352">
        <f>'Unit Data from Audit Worksheet'!I272</f>
        <v>0</v>
      </c>
      <c r="I223" s="38"/>
      <c r="J223" s="342">
        <v>659</v>
      </c>
      <c r="K223" s="341" t="s">
        <v>814</v>
      </c>
      <c r="L223" s="613">
        <f t="shared" si="20"/>
        <v>0</v>
      </c>
      <c r="M223" s="620"/>
      <c r="P223" s="630"/>
      <c r="Q223" s="589"/>
      <c r="R223" s="3"/>
      <c r="W223" s="3" t="b">
        <f t="shared" si="23"/>
        <v>1</v>
      </c>
      <c r="X223" s="596">
        <f t="shared" si="21"/>
        <v>0</v>
      </c>
      <c r="Y223" s="596">
        <f t="shared" si="22"/>
        <v>0</v>
      </c>
      <c r="AA223" s="3"/>
    </row>
    <row r="224" spans="1:27" s="18" customFormat="1" ht="131.25" customHeight="1" x14ac:dyDescent="0.3">
      <c r="A224" s="340">
        <f>'Unit Data from Audit Worksheet'!A273</f>
        <v>660</v>
      </c>
      <c r="B224" s="354" t="str">
        <f>'Unit Data from Audit Worksheet'!C273</f>
        <v>OPEB
 Note or RSI</v>
      </c>
      <c r="C224" s="339" t="str">
        <f>'Unit Data from Audit Worksheet'!D273</f>
        <v>Total OPEB benefits- OPEB plan fiduciary net position
If no fiduciary net position, enter 0</v>
      </c>
      <c r="D224" s="359"/>
      <c r="E224" s="360">
        <f>'Unit Data from Audit Worksheet'!F273</f>
        <v>0</v>
      </c>
      <c r="F224" s="349">
        <f>IF(L224&lt;0,"Note: Number is normally positive.",)</f>
        <v>0</v>
      </c>
      <c r="G224" s="635" t="s">
        <v>1318</v>
      </c>
      <c r="H224" s="352">
        <f>'Unit Data from Audit Worksheet'!I273</f>
        <v>0</v>
      </c>
      <c r="I224" s="38"/>
      <c r="J224" s="342">
        <v>660</v>
      </c>
      <c r="K224" s="341" t="s">
        <v>815</v>
      </c>
      <c r="L224" s="613">
        <f t="shared" si="20"/>
        <v>0</v>
      </c>
      <c r="M224" s="620"/>
      <c r="P224" s="630"/>
      <c r="Q224" s="589"/>
      <c r="R224" s="3"/>
      <c r="W224" s="3" t="b">
        <f t="shared" si="23"/>
        <v>1</v>
      </c>
      <c r="X224" s="596">
        <f t="shared" si="21"/>
        <v>0</v>
      </c>
      <c r="Y224" s="596">
        <f t="shared" si="22"/>
        <v>0</v>
      </c>
      <c r="AA224" s="3"/>
    </row>
    <row r="225" spans="1:27" ht="134.25" customHeight="1" x14ac:dyDescent="0.3">
      <c r="A225" s="340">
        <f>'Unit Data from Audit Worksheet'!A274</f>
        <v>661</v>
      </c>
      <c r="B225" s="354" t="str">
        <f>'Unit Data from Audit Worksheet'!C274</f>
        <v>OPEB
RSI</v>
      </c>
      <c r="C225" s="339" t="str">
        <f>'Unit Data from Audit Worksheet'!D274</f>
        <v>Total OPEB benefits - What is the plan’s fiduciary net position as a percentage of the total OPEB liability?  Please enter as percentage value; for example, 83.5% should be entered as 83.5.  If assets have not been set aside in a trust, please enter 0.0</v>
      </c>
      <c r="D225" s="93"/>
      <c r="E225" s="338">
        <f>'Unit Data from Audit Worksheet'!F274</f>
        <v>0</v>
      </c>
      <c r="F225" s="353" t="str">
        <f>IF(H225=L225,"","Column L does not equal Column H")</f>
        <v/>
      </c>
      <c r="G225" s="635" t="s">
        <v>1318</v>
      </c>
      <c r="H225" s="172">
        <f>ROUND(IFERROR((L224/L223)*100,0),1)</f>
        <v>0</v>
      </c>
      <c r="I225" s="38"/>
      <c r="J225" s="342">
        <v>661</v>
      </c>
      <c r="K225" s="357" t="s">
        <v>817</v>
      </c>
      <c r="L225" s="636">
        <f>IF(D225="",E225,D225)</f>
        <v>0</v>
      </c>
      <c r="P225" s="630"/>
      <c r="Q225" s="631">
        <f>IF(H225=L225,0,1)</f>
        <v>0</v>
      </c>
      <c r="W225" s="3" t="b">
        <f t="shared" si="23"/>
        <v>1</v>
      </c>
      <c r="X225" s="596">
        <f t="shared" si="21"/>
        <v>0</v>
      </c>
      <c r="Y225" s="596">
        <f t="shared" si="22"/>
        <v>0</v>
      </c>
    </row>
    <row r="226" spans="1:27" ht="65.25" customHeight="1" x14ac:dyDescent="0.3">
      <c r="A226" s="340">
        <f>'Unit Data from Audit Worksheet'!A277</f>
        <v>371</v>
      </c>
      <c r="B226" s="354" t="str">
        <f>'Unit Data from Audit Worksheet'!C277</f>
        <v>Transfer Note</v>
      </c>
      <c r="C226" s="339" t="str">
        <f>'Unit Data from Audit Worksheet'!D277</f>
        <v>Amount of Transfers from the General Fund to the Debt Service Fund (Enter as positive)</v>
      </c>
      <c r="D226" s="359"/>
      <c r="E226" s="360">
        <f>'Unit Data from Audit Worksheet'!F277</f>
        <v>0</v>
      </c>
      <c r="F226" s="353">
        <f>IF(L226&lt;0,"Error: Enter as a positive.",)</f>
        <v>0</v>
      </c>
      <c r="G226" s="355"/>
      <c r="H226" s="352">
        <f>'Unit Data from Audit Worksheet'!I277</f>
        <v>0</v>
      </c>
      <c r="I226" s="38"/>
      <c r="J226" s="39">
        <v>371</v>
      </c>
      <c r="K226" s="350" t="s">
        <v>262</v>
      </c>
      <c r="L226" s="599">
        <f t="shared" si="20"/>
        <v>0</v>
      </c>
      <c r="P226" s="328"/>
      <c r="Q226" s="3"/>
      <c r="W226" s="3" t="b">
        <f t="shared" si="23"/>
        <v>1</v>
      </c>
      <c r="X226" s="596">
        <f t="shared" si="21"/>
        <v>0</v>
      </c>
      <c r="Y226" s="596">
        <f t="shared" si="22"/>
        <v>0</v>
      </c>
    </row>
    <row r="227" spans="1:27" ht="63" customHeight="1" x14ac:dyDescent="0.3">
      <c r="A227" s="340">
        <f>'Unit Data from Audit Worksheet'!A278</f>
        <v>513</v>
      </c>
      <c r="B227" s="354" t="str">
        <f>'Unit Data from Audit Worksheet'!C278</f>
        <v>Transfer Note</v>
      </c>
      <c r="C227" s="339" t="str">
        <f>'Unit Data from Audit Worksheet'!D278</f>
        <v>Amount of Transfers from the General Fund to the Electric Fund  (Enter as positive)</v>
      </c>
      <c r="D227" s="359"/>
      <c r="E227" s="360">
        <f>'Unit Data from Audit Worksheet'!F278</f>
        <v>0</v>
      </c>
      <c r="F227" s="353">
        <f>IF(L227&lt;0,"Error: Enter as a positive.",)</f>
        <v>0</v>
      </c>
      <c r="G227" s="355"/>
      <c r="H227" s="352">
        <f>'Unit Data from Audit Worksheet'!I278</f>
        <v>0</v>
      </c>
      <c r="I227" s="38"/>
      <c r="J227" s="351">
        <v>513</v>
      </c>
      <c r="K227" s="350" t="s">
        <v>263</v>
      </c>
      <c r="L227" s="599">
        <f t="shared" si="20"/>
        <v>0</v>
      </c>
      <c r="P227" s="322"/>
      <c r="W227" s="3" t="b">
        <f t="shared" si="23"/>
        <v>1</v>
      </c>
      <c r="X227" s="596">
        <f t="shared" si="21"/>
        <v>0</v>
      </c>
      <c r="Y227" s="596">
        <f t="shared" si="22"/>
        <v>0</v>
      </c>
    </row>
    <row r="228" spans="1:27" ht="89.25" customHeight="1" x14ac:dyDescent="0.3">
      <c r="A228" s="340">
        <f>'Unit Data from Audit Worksheet'!A279</f>
        <v>514</v>
      </c>
      <c r="B228" s="354" t="str">
        <f>'Unit Data from Audit Worksheet'!C279</f>
        <v>Transfer Note</v>
      </c>
      <c r="C228" s="339" t="str">
        <f>'Unit Data from Audit Worksheet'!D279</f>
        <v>Amount of Transfers from the Electric Fund to the General Fund  (Enter as positive)
Include:  Payment in Lieu of Taxes (PILOT)</v>
      </c>
      <c r="D228" s="359"/>
      <c r="E228" s="360">
        <f>'Unit Data from Audit Worksheet'!F279</f>
        <v>0</v>
      </c>
      <c r="F228" s="353">
        <f>IF(L228&lt;0,"Error: Enter as a positive.",)</f>
        <v>0</v>
      </c>
      <c r="G228" s="355"/>
      <c r="H228" s="352">
        <f>'Unit Data from Audit Worksheet'!I279</f>
        <v>0</v>
      </c>
      <c r="I228" s="38"/>
      <c r="J228" s="351">
        <v>514</v>
      </c>
      <c r="K228" s="350" t="s">
        <v>264</v>
      </c>
      <c r="L228" s="599">
        <f t="shared" si="20"/>
        <v>0</v>
      </c>
      <c r="P228" s="322"/>
      <c r="W228" s="3" t="b">
        <f t="shared" si="23"/>
        <v>1</v>
      </c>
      <c r="X228" s="596">
        <f t="shared" si="21"/>
        <v>0</v>
      </c>
      <c r="Y228" s="596">
        <f t="shared" si="22"/>
        <v>0</v>
      </c>
    </row>
    <row r="229" spans="1:27" ht="89.25" customHeight="1" x14ac:dyDescent="0.3">
      <c r="A229" s="615">
        <f>'Unit Data from Audit Worksheet'!A280</f>
        <v>990</v>
      </c>
      <c r="B229" s="358" t="str">
        <f>'Unit Data from Audit Worksheet'!C280</f>
        <v>Transfer Note</v>
      </c>
      <c r="C229" s="616" t="str">
        <f>'Unit Data from Audit Worksheet'!D280</f>
        <v>Amount of transfer out to the General Fund that is for Payment in Lieu of Taxes (PILOT)</v>
      </c>
      <c r="D229" s="359"/>
      <c r="E229" s="360">
        <f>'Unit Data from Audit Worksheet'!F280</f>
        <v>0</v>
      </c>
      <c r="F229" s="353"/>
      <c r="G229" s="355"/>
      <c r="H229" s="352">
        <f>'Unit Data from Audit Worksheet'!I280</f>
        <v>0</v>
      </c>
      <c r="I229" s="38"/>
      <c r="J229" s="369">
        <v>990</v>
      </c>
      <c r="K229" s="123" t="s">
        <v>1040</v>
      </c>
      <c r="L229" s="599">
        <f t="shared" si="20"/>
        <v>0</v>
      </c>
      <c r="P229" s="322"/>
      <c r="X229" s="596"/>
      <c r="Y229" s="596"/>
    </row>
    <row r="230" spans="1:27" ht="84.75" customHeight="1" x14ac:dyDescent="0.3">
      <c r="A230" s="637">
        <f>'Unit Data from Audit Worksheet'!A282</f>
        <v>6</v>
      </c>
      <c r="B230" s="53" t="str">
        <f>'Unit Data from Audit Worksheet'!C282</f>
        <v>Fund Balance Note</v>
      </c>
      <c r="C230" s="609" t="str">
        <f>'Unit Data from Audit Worksheet'!D282</f>
        <v>General Fund -  Total Encumbrances.  You will probably have to refer to the note disclosure where the amount of encumbrances is listed.</v>
      </c>
      <c r="D230" s="359"/>
      <c r="E230" s="151">
        <f>'Unit Data from Audit Worksheet'!F282</f>
        <v>0</v>
      </c>
      <c r="F230" s="37">
        <f>IF(L230&lt;0,"Error: Enter as a positive.",)</f>
        <v>0</v>
      </c>
      <c r="G230" s="71"/>
      <c r="H230" s="352">
        <f>'Unit Data from Audit Worksheet'!I282</f>
        <v>0</v>
      </c>
      <c r="I230" s="38"/>
      <c r="J230" s="41">
        <v>6</v>
      </c>
      <c r="K230" s="130" t="s">
        <v>265</v>
      </c>
      <c r="L230" s="599">
        <f t="shared" si="20"/>
        <v>0</v>
      </c>
      <c r="P230" s="322"/>
      <c r="W230" s="3" t="b">
        <f t="shared" ref="W230:W258" si="24">EXACT(A230,J230)</f>
        <v>1</v>
      </c>
      <c r="X230" s="596">
        <f t="shared" si="21"/>
        <v>0</v>
      </c>
      <c r="Y230" s="596">
        <f t="shared" si="22"/>
        <v>0</v>
      </c>
    </row>
    <row r="231" spans="1:27" ht="117.75" customHeight="1" x14ac:dyDescent="0.3">
      <c r="A231" s="340">
        <f>'Unit Data from Audit Worksheet'!A284</f>
        <v>541</v>
      </c>
      <c r="B231" s="354" t="str">
        <f>'Unit Data from Audit Worksheet'!C284</f>
        <v>Water Sewer - Budget Actual Statement</v>
      </c>
      <c r="C231" s="354" t="str">
        <f>'Unit Data from Audit Worksheet'!D284</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231" s="359"/>
      <c r="E231" s="360">
        <f>'Unit Data from Audit Worksheet'!F284</f>
        <v>0</v>
      </c>
      <c r="F231" s="353"/>
      <c r="G231" s="355"/>
      <c r="H231" s="352">
        <f>'Unit Data from Audit Worksheet'!I284</f>
        <v>0</v>
      </c>
      <c r="I231" s="38"/>
      <c r="J231" s="351">
        <v>541</v>
      </c>
      <c r="K231" s="86" t="s">
        <v>555</v>
      </c>
      <c r="L231" s="599">
        <f t="shared" si="20"/>
        <v>0</v>
      </c>
      <c r="P231" s="322"/>
      <c r="W231" s="3" t="b">
        <f t="shared" si="24"/>
        <v>1</v>
      </c>
      <c r="X231" s="596">
        <f t="shared" si="21"/>
        <v>0</v>
      </c>
      <c r="Y231" s="596">
        <f t="shared" si="22"/>
        <v>0</v>
      </c>
    </row>
    <row r="232" spans="1:27" ht="94.5" customHeight="1" x14ac:dyDescent="0.3">
      <c r="A232" s="340">
        <f>'Unit Data from Audit Worksheet'!A286</f>
        <v>542</v>
      </c>
      <c r="B232" s="354" t="str">
        <f>'Unit Data from Audit Worksheet'!C286</f>
        <v>Water Sewer - Disclosed in the Notes or in the recently approved Budget for next year.</v>
      </c>
      <c r="C232" s="339" t="str">
        <f>'Unit Data from Audit Worksheet'!D286</f>
        <v>Amount of the Water Sewer Fund Balance appropriated in next year's budget?</v>
      </c>
      <c r="D232" s="359"/>
      <c r="E232" s="360">
        <f>'Unit Data from Audit Worksheet'!F286</f>
        <v>0</v>
      </c>
      <c r="F232" s="353"/>
      <c r="G232" s="355"/>
      <c r="H232" s="352">
        <f>'Unit Data from Audit Worksheet'!I286</f>
        <v>0</v>
      </c>
      <c r="I232" s="38"/>
      <c r="J232" s="351">
        <v>542</v>
      </c>
      <c r="K232" s="350" t="s">
        <v>266</v>
      </c>
      <c r="L232" s="599">
        <f t="shared" si="20"/>
        <v>0</v>
      </c>
      <c r="N232" s="59" t="s">
        <v>546</v>
      </c>
      <c r="P232" s="322"/>
      <c r="W232" s="3" t="b">
        <f t="shared" si="24"/>
        <v>1</v>
      </c>
      <c r="X232" s="596">
        <f t="shared" si="21"/>
        <v>0</v>
      </c>
      <c r="Y232" s="596">
        <f t="shared" si="22"/>
        <v>0</v>
      </c>
    </row>
    <row r="233" spans="1:27" ht="93.75" customHeight="1" x14ac:dyDescent="0.3">
      <c r="A233" s="340">
        <f>'Unit Data from Audit Worksheet'!A289</f>
        <v>528</v>
      </c>
      <c r="B233" s="354" t="str">
        <f>'Unit Data from Audit Worksheet'!C289</f>
        <v>Analysis of Current Tax Levy Schedule</v>
      </c>
      <c r="C233" s="339" t="str">
        <f>'Unit Data from Audit Worksheet'!D289</f>
        <v>Please enter the Net Current year's levy for property excluding registered motor vehicles-- (after adjusting for discoveries and abatements)
Exclude Supplemental Taxes</v>
      </c>
      <c r="D233" s="359"/>
      <c r="E233" s="360">
        <f>'Unit Data from Audit Worksheet'!F289</f>
        <v>0</v>
      </c>
      <c r="F233" s="80" t="str">
        <f>IF(L233=0,"Must be completed if unit levys taxes","")</f>
        <v>Must be completed if unit levys taxes</v>
      </c>
      <c r="G233" s="355"/>
      <c r="H233" s="352"/>
      <c r="I233" s="38"/>
      <c r="J233" s="351">
        <v>528</v>
      </c>
      <c r="K233" s="638" t="s">
        <v>271</v>
      </c>
      <c r="L233" s="599">
        <f t="shared" si="20"/>
        <v>0</v>
      </c>
      <c r="N233" s="81"/>
      <c r="P233" s="322"/>
      <c r="W233" s="3" t="b">
        <f t="shared" si="24"/>
        <v>1</v>
      </c>
      <c r="X233" s="596">
        <f t="shared" si="21"/>
        <v>0</v>
      </c>
      <c r="Y233" s="596">
        <f t="shared" si="22"/>
        <v>0</v>
      </c>
    </row>
    <row r="234" spans="1:27" s="18" customFormat="1" ht="79.5" customHeight="1" x14ac:dyDescent="0.3">
      <c r="A234" s="340">
        <f>'Unit Data from Audit Worksheet'!A290</f>
        <v>529</v>
      </c>
      <c r="B234" s="354" t="str">
        <f>'Unit Data from Audit Worksheet'!C290</f>
        <v>Analysis of Current Tax Levy Schedule</v>
      </c>
      <c r="C234" s="339" t="str">
        <f>'Unit Data from Audit Worksheet'!D290</f>
        <v>Please enter the Net Current year's levy -- Motor vehicles (only) (after adjusting for discoveries and abatements)
Exclude supplemental taxes</v>
      </c>
      <c r="D234" s="359"/>
      <c r="E234" s="360">
        <f>'Unit Data from Audit Worksheet'!F290</f>
        <v>0</v>
      </c>
      <c r="F234" s="80" t="str">
        <f>IF(L234=0,"Must be completed if unit levys taxes","")</f>
        <v>Must be completed if unit levys taxes</v>
      </c>
      <c r="G234" s="355"/>
      <c r="H234" s="352"/>
      <c r="I234" s="38"/>
      <c r="J234" s="351">
        <v>529</v>
      </c>
      <c r="K234" s="638" t="s">
        <v>272</v>
      </c>
      <c r="L234" s="599">
        <f t="shared" si="20"/>
        <v>0</v>
      </c>
      <c r="N234" s="81"/>
      <c r="P234" s="322"/>
      <c r="Q234" s="589"/>
      <c r="R234" s="3"/>
      <c r="W234" s="3" t="b">
        <f t="shared" si="24"/>
        <v>1</v>
      </c>
      <c r="X234" s="596">
        <f t="shared" si="21"/>
        <v>0</v>
      </c>
      <c r="Y234" s="596">
        <f t="shared" si="22"/>
        <v>0</v>
      </c>
      <c r="AA234" s="3"/>
    </row>
    <row r="235" spans="1:27" s="18" customFormat="1" ht="75" customHeight="1" x14ac:dyDescent="0.3">
      <c r="A235" s="340">
        <f>'Unit Data from Audit Worksheet'!A291</f>
        <v>530</v>
      </c>
      <c r="B235" s="354" t="str">
        <f>'Unit Data from Audit Worksheet'!C291</f>
        <v>Analysis of Current Tax Levy Schedule</v>
      </c>
      <c r="C235" s="339" t="str">
        <f>'Unit Data from Audit Worksheet'!D291</f>
        <v>Uncollected Taxes - Curr Year's Levy Exclude Motor Vehicles
Exclude supplemental taxes</v>
      </c>
      <c r="D235" s="359"/>
      <c r="E235" s="360">
        <f>'Unit Data from Audit Worksheet'!F291</f>
        <v>0</v>
      </c>
      <c r="F235" s="80" t="str">
        <f>IF(L235=0,"Must be completed if unit levys taxes","")</f>
        <v>Must be completed if unit levys taxes</v>
      </c>
      <c r="G235" s="355"/>
      <c r="H235" s="352"/>
      <c r="I235" s="38"/>
      <c r="J235" s="351">
        <v>530</v>
      </c>
      <c r="K235" s="638" t="s">
        <v>273</v>
      </c>
      <c r="L235" s="599">
        <f t="shared" ref="L235:L241" si="25">IF(D235="",E235,D235)</f>
        <v>0</v>
      </c>
      <c r="N235" s="81"/>
      <c r="P235" s="322"/>
      <c r="Q235" s="589"/>
      <c r="R235" s="3"/>
      <c r="W235" s="3" t="b">
        <f t="shared" si="24"/>
        <v>1</v>
      </c>
      <c r="X235" s="596">
        <f t="shared" si="21"/>
        <v>0</v>
      </c>
      <c r="Y235" s="596">
        <f t="shared" si="22"/>
        <v>0</v>
      </c>
      <c r="AA235" s="3"/>
    </row>
    <row r="236" spans="1:27" s="18" customFormat="1" ht="68.25" customHeight="1" x14ac:dyDescent="0.3">
      <c r="A236" s="340">
        <f>'Unit Data from Audit Worksheet'!A292</f>
        <v>531</v>
      </c>
      <c r="B236" s="354" t="str">
        <f>'Unit Data from Audit Worksheet'!C292</f>
        <v>Analysis of Current Tax Levy Schedule</v>
      </c>
      <c r="C236" s="339" t="str">
        <f>'Unit Data from Audit Worksheet'!D292</f>
        <v>Uncollected Taxes - Curr Year's Levy Motor Vehicles
Exclude supplemental taxes</v>
      </c>
      <c r="D236" s="359"/>
      <c r="E236" s="360">
        <f>'Unit Data from Audit Worksheet'!F292</f>
        <v>0</v>
      </c>
      <c r="F236" s="80" t="str">
        <f>IF(L236=0,"Must be completed if unit levys taxes","")</f>
        <v>Must be completed if unit levys taxes</v>
      </c>
      <c r="G236" s="355"/>
      <c r="H236" s="352"/>
      <c r="I236" s="38"/>
      <c r="J236" s="351">
        <v>531</v>
      </c>
      <c r="K236" s="638" t="s">
        <v>274</v>
      </c>
      <c r="L236" s="599">
        <f t="shared" si="25"/>
        <v>0</v>
      </c>
      <c r="N236" s="81" t="str">
        <f>IF(T240=0,"Must be completed if unit levys taxes, zero acceptable if Motor Vehicle collection rate is 100%","")</f>
        <v>Must be completed if unit levys taxes, zero acceptable if Motor Vehicle collection rate is 100%</v>
      </c>
      <c r="P236" s="322"/>
      <c r="Q236" s="589"/>
      <c r="R236" s="3"/>
      <c r="W236" s="3" t="b">
        <f t="shared" si="24"/>
        <v>1</v>
      </c>
      <c r="X236" s="596">
        <f t="shared" si="21"/>
        <v>0</v>
      </c>
      <c r="Y236" s="596">
        <f t="shared" si="22"/>
        <v>0</v>
      </c>
      <c r="AA236" s="3"/>
    </row>
    <row r="237" spans="1:27" ht="90.75" customHeight="1" x14ac:dyDescent="0.3">
      <c r="A237" s="340">
        <f>'Unit Data from Audit Worksheet'!A293</f>
        <v>61</v>
      </c>
      <c r="B237" s="354" t="str">
        <f>'Unit Data from Audit Worksheet'!C293</f>
        <v>Analysis of Current Tax Levy Schedule</v>
      </c>
      <c r="C237" s="339" t="str">
        <f>'Unit Data from Audit Worksheet'!D293</f>
        <v>Tax collection rate- Total Levy UNIT-WIDE
Exclude supplemental taxes
(Enter as a percentage with two decimal places)</v>
      </c>
      <c r="D237" s="87"/>
      <c r="E237" s="148">
        <f>'Unit Data from Audit Worksheet'!F293</f>
        <v>0</v>
      </c>
      <c r="F237" s="85" t="str">
        <f>IF(L237=H237,"","Column H calculates the percentage using accounts 528, 529, 530, 531, please enter the correct amounts from the audit schedule for these cells")</f>
        <v/>
      </c>
      <c r="G237" s="355" t="str">
        <f>IF(Q237=1," Included in error count"," ")</f>
        <v xml:space="preserve"> </v>
      </c>
      <c r="H237" s="355">
        <f>ROUND(IFERROR(((L233+L234)-(L235+L236))/(L233+L234)*100,0),2)</f>
        <v>0</v>
      </c>
      <c r="I237" s="38"/>
      <c r="J237" s="351">
        <v>61</v>
      </c>
      <c r="K237" s="56" t="s">
        <v>268</v>
      </c>
      <c r="L237" s="639">
        <f t="shared" si="25"/>
        <v>0</v>
      </c>
      <c r="N237" s="81"/>
      <c r="P237" s="322"/>
      <c r="Q237" s="589">
        <f>IF(L237-H237&lt;&gt;0,1,0)</f>
        <v>0</v>
      </c>
      <c r="W237" s="3" t="b">
        <f t="shared" si="24"/>
        <v>1</v>
      </c>
      <c r="X237" s="596">
        <f t="shared" si="21"/>
        <v>0</v>
      </c>
      <c r="Y237" s="596">
        <f t="shared" si="22"/>
        <v>0</v>
      </c>
    </row>
    <row r="238" spans="1:27" ht="89.25" customHeight="1" x14ac:dyDescent="0.3">
      <c r="A238" s="340">
        <f>'Unit Data from Audit Worksheet'!A294</f>
        <v>102</v>
      </c>
      <c r="B238" s="354" t="str">
        <f>'Unit Data from Audit Worksheet'!C294</f>
        <v>Analysis of Current Tax Levy Schedule</v>
      </c>
      <c r="C238" s="339" t="str">
        <f>'Unit Data from Audit Worksheet'!D294</f>
        <v>Tax collection rate - Excluding Registered motor vehicles
Exclude supplemental taxes
(Enter as a percentage with two decimal places)</v>
      </c>
      <c r="D238" s="87"/>
      <c r="E238" s="148">
        <f>'Unit Data from Audit Worksheet'!F294</f>
        <v>0</v>
      </c>
      <c r="F238" s="85" t="str">
        <f>IF(L238=H238,"","Column H calculates the percentage using accounts 528 and 530,  please enter the correct amounts from the audit schedule for these cells")</f>
        <v/>
      </c>
      <c r="G238" s="355" t="str">
        <f>IF(Q238=1," Included in error count"," ")</f>
        <v xml:space="preserve"> </v>
      </c>
      <c r="H238" s="355">
        <f>ROUND(IFERROR(((L233)-(L235))/(L233)*100,0),2)</f>
        <v>0</v>
      </c>
      <c r="I238" s="38"/>
      <c r="J238" s="351">
        <v>102</v>
      </c>
      <c r="K238" s="56" t="s">
        <v>269</v>
      </c>
      <c r="L238" s="639">
        <f t="shared" si="25"/>
        <v>0</v>
      </c>
      <c r="N238" s="81"/>
      <c r="P238" s="322"/>
      <c r="Q238" s="589">
        <f>IF(L238-H238&lt;&gt;0,1,0)</f>
        <v>0</v>
      </c>
      <c r="W238" s="3" t="b">
        <f t="shared" si="24"/>
        <v>1</v>
      </c>
      <c r="X238" s="596">
        <f t="shared" si="21"/>
        <v>0</v>
      </c>
      <c r="Y238" s="596">
        <f t="shared" si="22"/>
        <v>0</v>
      </c>
    </row>
    <row r="239" spans="1:27" ht="87.75" customHeight="1" x14ac:dyDescent="0.3">
      <c r="A239" s="340">
        <f>'Unit Data from Audit Worksheet'!A295</f>
        <v>103</v>
      </c>
      <c r="B239" s="354" t="str">
        <f>'Unit Data from Audit Worksheet'!C295</f>
        <v>Analysis of Current Tax Levy Schedule</v>
      </c>
      <c r="C239" s="339" t="str">
        <f>'Unit Data from Audit Worksheet'!D295</f>
        <v>Tax collection rate - Registered motor vehicles
Exclude supplemental taxes
(Enter as a percentage with two decimal places)</v>
      </c>
      <c r="D239" s="87"/>
      <c r="E239" s="148">
        <f>'Unit Data from Audit Worksheet'!F295</f>
        <v>0</v>
      </c>
      <c r="F239" s="85" t="str">
        <f>IF(L239=H239,"","Column H calculates the percentage using accounts 529 and 531, please enter the correct amounts from the audit schedule for these cells")</f>
        <v/>
      </c>
      <c r="G239" s="355" t="str">
        <f>IF(Q239=1," Included in error count"," ")</f>
        <v xml:space="preserve"> </v>
      </c>
      <c r="H239" s="355">
        <f>ROUND(IFERROR(((L234)-(L236))/(L234)*100,0),2)</f>
        <v>0</v>
      </c>
      <c r="I239" s="38"/>
      <c r="J239" s="351">
        <v>103</v>
      </c>
      <c r="K239" s="56" t="s">
        <v>270</v>
      </c>
      <c r="L239" s="639">
        <f t="shared" si="25"/>
        <v>0</v>
      </c>
      <c r="N239" s="81"/>
      <c r="P239" s="322"/>
      <c r="Q239" s="589">
        <f>IF(L239-H239&lt;&gt;0,1,0)</f>
        <v>0</v>
      </c>
      <c r="W239" s="3" t="b">
        <f t="shared" si="24"/>
        <v>1</v>
      </c>
      <c r="X239" s="596">
        <f t="shared" si="21"/>
        <v>0</v>
      </c>
      <c r="Y239" s="596">
        <f t="shared" si="22"/>
        <v>0</v>
      </c>
    </row>
    <row r="240" spans="1:27" ht="86.25" customHeight="1" x14ac:dyDescent="0.3">
      <c r="A240" s="340">
        <f>'Unit Data from Audit Worksheet'!A296</f>
        <v>544</v>
      </c>
      <c r="B240" s="354" t="str">
        <f>'Unit Data from Audit Worksheet'!C296</f>
        <v>Analysis of Current Tax Levy Schedule</v>
      </c>
      <c r="C240" s="339" t="str">
        <f>'Unit Data from Audit Worksheet'!D296</f>
        <v>Property Tax Increase for Year Audited- enter amount of  increase in cents per $100 - leave blank if no increase 
Exclude supplemental taxes</v>
      </c>
      <c r="D240" s="359"/>
      <c r="E240" s="145">
        <f>'Unit Data from Audit Worksheet'!F296</f>
        <v>0</v>
      </c>
      <c r="F240" s="101"/>
      <c r="G240" s="355"/>
      <c r="H240" s="352">
        <f>'Unit Data from Audit Worksheet'!I296</f>
        <v>0</v>
      </c>
      <c r="I240" s="38"/>
      <c r="J240" s="351">
        <v>544</v>
      </c>
      <c r="K240" s="56" t="s">
        <v>53</v>
      </c>
      <c r="L240" s="640">
        <f t="shared" si="25"/>
        <v>0</v>
      </c>
      <c r="N240" s="59" t="s">
        <v>546</v>
      </c>
      <c r="P240" s="322"/>
      <c r="W240" s="3" t="b">
        <f t="shared" si="24"/>
        <v>1</v>
      </c>
      <c r="X240" s="596">
        <f t="shared" si="21"/>
        <v>0</v>
      </c>
      <c r="Y240" s="596">
        <f t="shared" si="22"/>
        <v>0</v>
      </c>
    </row>
    <row r="241" spans="1:25" ht="93.75" customHeight="1" x14ac:dyDescent="0.3">
      <c r="A241" s="340">
        <f>'Unit Data from Audit Worksheet'!A297</f>
        <v>545</v>
      </c>
      <c r="B241" s="354" t="str">
        <f>'Unit Data from Audit Worksheet'!C297</f>
        <v>Analysis of Current Tax Levy Schedule</v>
      </c>
      <c r="C241" s="339" t="str">
        <f>'Unit Data from Audit Worksheet'!D297</f>
        <v>Property Tax Increase for budget year after fiscal year being reported - enter amount of increase in cents per $100- leave blank if no increase
Exclude supplemental taxes</v>
      </c>
      <c r="D241" s="359"/>
      <c r="E241" s="145">
        <f>'Unit Data from Audit Worksheet'!F297</f>
        <v>0</v>
      </c>
      <c r="F241" s="353"/>
      <c r="G241" s="355"/>
      <c r="H241" s="352">
        <f>'Unit Data from Audit Worksheet'!I297</f>
        <v>0</v>
      </c>
      <c r="I241" s="38"/>
      <c r="J241" s="102">
        <v>545</v>
      </c>
      <c r="K241" s="56" t="s">
        <v>54</v>
      </c>
      <c r="L241" s="640">
        <f t="shared" si="25"/>
        <v>0</v>
      </c>
      <c r="N241" s="59" t="s">
        <v>546</v>
      </c>
      <c r="O241" s="608"/>
      <c r="P241" s="323"/>
      <c r="W241" s="3" t="b">
        <f t="shared" si="24"/>
        <v>1</v>
      </c>
      <c r="X241" s="596">
        <f t="shared" si="21"/>
        <v>0</v>
      </c>
      <c r="Y241" s="596">
        <f t="shared" si="22"/>
        <v>0</v>
      </c>
    </row>
    <row r="242" spans="1:25" ht="72.75" customHeight="1" x14ac:dyDescent="0.3">
      <c r="A242" s="340">
        <f>'Unit Data from Audit Worksheet'!A298</f>
        <v>624</v>
      </c>
      <c r="B242" s="354"/>
      <c r="C242" s="339" t="str">
        <f>'Unit Data from Audit Worksheet'!D298</f>
        <v>Does the County collect real estate property taxes on your behalf? Select "1" for "yes and "2" for "No"</v>
      </c>
      <c r="D242" s="359"/>
      <c r="E242" s="153">
        <f>'Unit Data from Audit Worksheet'!F298</f>
        <v>0</v>
      </c>
      <c r="F242" s="353"/>
      <c r="G242" s="355"/>
      <c r="H242" s="352"/>
      <c r="I242" s="38"/>
      <c r="J242" s="102">
        <v>624</v>
      </c>
      <c r="K242" s="56" t="s">
        <v>721</v>
      </c>
      <c r="L242" s="599">
        <f t="shared" ref="L242:L258" si="26">IF(D242="",E242,D242)</f>
        <v>0</v>
      </c>
      <c r="P242" s="323"/>
      <c r="W242" s="3" t="b">
        <f t="shared" si="24"/>
        <v>1</v>
      </c>
      <c r="X242" s="596">
        <f t="shared" si="21"/>
        <v>0</v>
      </c>
      <c r="Y242" s="596">
        <f t="shared" si="22"/>
        <v>0</v>
      </c>
    </row>
    <row r="243" spans="1:25" ht="72.75" customHeight="1" x14ac:dyDescent="0.3">
      <c r="A243" s="340">
        <f>'Unit Data from Audit Worksheet'!A299</f>
        <v>648</v>
      </c>
      <c r="B243" s="354"/>
      <c r="C243" s="339" t="str">
        <f>'Unit Data from Audit Worksheet'!D299</f>
        <v>Please enter your tax rate for ad valorem in effect for fiscal year audited.  Example 60 cents per 100 would be entered as .60</v>
      </c>
      <c r="D243" s="359"/>
      <c r="E243" s="153">
        <f>'Unit Data from Audit Worksheet'!F299</f>
        <v>0</v>
      </c>
      <c r="F243" s="353"/>
      <c r="G243" s="355"/>
      <c r="H243" s="352"/>
      <c r="I243" s="38"/>
      <c r="J243" s="102">
        <v>648</v>
      </c>
      <c r="K243" s="641" t="s">
        <v>1124</v>
      </c>
      <c r="L243" s="642">
        <f t="shared" si="26"/>
        <v>0</v>
      </c>
      <c r="P243" s="323"/>
      <c r="W243" s="3" t="b">
        <f t="shared" si="24"/>
        <v>1</v>
      </c>
      <c r="X243" s="596"/>
      <c r="Y243" s="596"/>
    </row>
    <row r="244" spans="1:25" ht="161.25" customHeight="1" x14ac:dyDescent="0.3">
      <c r="A244" s="615">
        <f>'Unit Data from Audit Worksheet'!A300</f>
        <v>991</v>
      </c>
      <c r="B244" s="358"/>
      <c r="C244" s="616" t="str">
        <f>'Unit Data from Audit Worksheet'!D300</f>
        <v>The Counties listed in cell H256 are scheduled to revalue property listing by 1/1/2022 according to the Dept. of Revenue records.  Please indicate if you expect your revaluation to: 
Enter  "20" for increase, 
            "21" for decrease, 
            "22" for no change,
            "23" if this question is not applicable</v>
      </c>
      <c r="D244" s="359"/>
      <c r="E244" s="153">
        <f>'Unit Data from Audit Worksheet'!F300</f>
        <v>0</v>
      </c>
      <c r="F244" s="353"/>
      <c r="G244" s="355"/>
      <c r="H244" s="352" t="str">
        <f>'Unit Data from Audit Worksheet'!H300</f>
        <v>Avery, Bladen, Chowan, Craven, Duplin, Guilford, Harnett, Hoke, Jones, Mitchell, Onslow, Pasquotank, Watauga</v>
      </c>
      <c r="I244" s="38"/>
      <c r="J244" s="337">
        <v>991</v>
      </c>
      <c r="K244" s="626" t="s">
        <v>1702</v>
      </c>
      <c r="L244" s="599">
        <f t="shared" si="26"/>
        <v>0</v>
      </c>
      <c r="P244" s="323"/>
      <c r="W244" s="3" t="b">
        <f t="shared" si="24"/>
        <v>1</v>
      </c>
      <c r="X244" s="596"/>
      <c r="Y244" s="596"/>
    </row>
    <row r="245" spans="1:25" ht="87.75" customHeight="1" x14ac:dyDescent="0.3">
      <c r="A245" s="340">
        <f>'Unit Data from Audit Worksheet'!A302</f>
        <v>620</v>
      </c>
      <c r="B245" s="354"/>
      <c r="C245" s="339" t="str">
        <f>'Unit Data from Audit Worksheet'!D302</f>
        <v>Do you expect to issue debt requiring LGC approval within 12 months from the date that the audit is submitted - select "1" for yes and "2" for no</v>
      </c>
      <c r="D245" s="359"/>
      <c r="E245" s="153">
        <f>'Unit Data from Audit Worksheet'!F302</f>
        <v>0</v>
      </c>
      <c r="F245" s="353"/>
      <c r="G245" s="355"/>
      <c r="H245" s="352">
        <f>'Unit Data from Audit Worksheet'!I302</f>
        <v>0</v>
      </c>
      <c r="I245" s="38"/>
      <c r="J245" s="102">
        <v>620</v>
      </c>
      <c r="K245" s="56" t="s">
        <v>1113</v>
      </c>
      <c r="L245" s="599">
        <f t="shared" si="26"/>
        <v>0</v>
      </c>
      <c r="N245" s="135"/>
      <c r="P245" s="323"/>
      <c r="W245" s="3" t="b">
        <f t="shared" si="24"/>
        <v>1</v>
      </c>
      <c r="X245" s="596">
        <f t="shared" si="21"/>
        <v>0</v>
      </c>
      <c r="Y245" s="596">
        <f t="shared" si="22"/>
        <v>0</v>
      </c>
    </row>
    <row r="246" spans="1:25" ht="87.75" customHeight="1" x14ac:dyDescent="0.3">
      <c r="A246" s="615">
        <f>+'TD Info Completed by Auditor'!D41</f>
        <v>906</v>
      </c>
      <c r="B246" s="336" t="s">
        <v>1110</v>
      </c>
      <c r="C246" s="615" t="str">
        <f>+'TD Info Completed by Auditor'!E41</f>
        <v>Is the Independent Auditor's Report Opinion Unmodified?</v>
      </c>
      <c r="D246" s="359"/>
      <c r="E246" s="342">
        <f>IF(+'TD Info Completed by Auditor'!G41="Yes",1,IF(+'TD Info Completed by Auditor'!G41="No",2,IF(+'TD Info Completed by Auditor'!G41="N/A",3,0)))</f>
        <v>0</v>
      </c>
      <c r="F246" s="353"/>
      <c r="G246" s="355"/>
      <c r="H246" s="352"/>
      <c r="I246" s="38"/>
      <c r="J246" s="124">
        <v>906</v>
      </c>
      <c r="K246" s="626" t="s">
        <v>920</v>
      </c>
      <c r="L246" s="599">
        <f t="shared" si="26"/>
        <v>0</v>
      </c>
      <c r="N246" s="135" t="s">
        <v>1319</v>
      </c>
      <c r="P246" s="325"/>
      <c r="W246" s="3" t="b">
        <f t="shared" si="24"/>
        <v>1</v>
      </c>
      <c r="X246" s="596"/>
      <c r="Y246" s="596"/>
    </row>
    <row r="247" spans="1:25" ht="87.75" customHeight="1" x14ac:dyDescent="0.3">
      <c r="A247" s="615">
        <f>+'TD Info Completed by Auditor'!D43</f>
        <v>907</v>
      </c>
      <c r="B247" s="336" t="s">
        <v>1110</v>
      </c>
      <c r="C247" s="615" t="str">
        <f>+'TD Info Completed by Auditor'!E43</f>
        <v xml:space="preserve">Is there a finding for lack of segregation of duties at this unit? </v>
      </c>
      <c r="D247" s="359"/>
      <c r="E247" s="342">
        <f>IF(+'TD Info Completed by Auditor'!G43="Yes",1,IF(+'TD Info Completed by Auditor'!G43="No",2,IF(+'TD Info Completed by Auditor'!G43="N/A",3,0)))</f>
        <v>0</v>
      </c>
      <c r="F247" s="353"/>
      <c r="G247" s="355"/>
      <c r="H247" s="352"/>
      <c r="I247" s="38"/>
      <c r="J247" s="124">
        <v>907</v>
      </c>
      <c r="K247" s="626" t="s">
        <v>921</v>
      </c>
      <c r="L247" s="599">
        <f t="shared" si="26"/>
        <v>0</v>
      </c>
      <c r="N247" s="135" t="s">
        <v>1319</v>
      </c>
      <c r="P247" s="325"/>
      <c r="W247" s="3" t="b">
        <f t="shared" si="24"/>
        <v>1</v>
      </c>
      <c r="X247" s="596"/>
      <c r="Y247" s="596"/>
    </row>
    <row r="248" spans="1:25" ht="87.75" customHeight="1" x14ac:dyDescent="0.3">
      <c r="A248" s="615">
        <f>+'TD Info Completed by Auditor'!D45</f>
        <v>951</v>
      </c>
      <c r="B248" s="336" t="s">
        <v>1110</v>
      </c>
      <c r="C248" s="616" t="str">
        <f>+'TD Info Completed by Auditor'!E45</f>
        <v>Is there a finding for lack of technical skills, knowledge and experience (SKE) at this unit?</v>
      </c>
      <c r="D248" s="359"/>
      <c r="E248" s="342">
        <f>IF(+'TD Info Completed by Auditor'!G45="Yes",1,IF(+'TD Info Completed by Auditor'!G45="No",2,IF(+'TD Info Completed by Auditor'!G45="N/A",3,0)))</f>
        <v>0</v>
      </c>
      <c r="F248" s="353"/>
      <c r="G248" s="355"/>
      <c r="H248" s="352"/>
      <c r="I248" s="38"/>
      <c r="J248" s="124">
        <v>951</v>
      </c>
      <c r="K248" s="626" t="s">
        <v>922</v>
      </c>
      <c r="L248" s="599">
        <f t="shared" si="26"/>
        <v>0</v>
      </c>
      <c r="N248" s="135" t="s">
        <v>1319</v>
      </c>
      <c r="P248" s="325"/>
      <c r="W248" s="3" t="b">
        <f t="shared" si="24"/>
        <v>1</v>
      </c>
      <c r="X248" s="596"/>
      <c r="Y248" s="596"/>
    </row>
    <row r="249" spans="1:25" ht="87.75" customHeight="1" x14ac:dyDescent="0.3">
      <c r="A249" s="615">
        <f>+'TD Info Completed by Auditor'!D47</f>
        <v>953</v>
      </c>
      <c r="B249" s="336" t="s">
        <v>1110</v>
      </c>
      <c r="C249" s="616" t="str">
        <f>+'TD Info Completed by Auditor'!E47</f>
        <v xml:space="preserve">Is there is a going concern finding noted in the audit report? </v>
      </c>
      <c r="D249" s="359"/>
      <c r="E249" s="342">
        <f>IF(+'TD Info Completed by Auditor'!G47="Yes",1,IF(+'TD Info Completed by Auditor'!G47="No",2,IF(+'TD Info Completed by Auditor'!G47="N/A",3,0)))</f>
        <v>0</v>
      </c>
      <c r="F249" s="353"/>
      <c r="G249" s="355"/>
      <c r="H249" s="352"/>
      <c r="I249" s="38"/>
      <c r="J249" s="124">
        <v>953</v>
      </c>
      <c r="K249" s="626" t="s">
        <v>1576</v>
      </c>
      <c r="L249" s="599">
        <f t="shared" si="26"/>
        <v>0</v>
      </c>
      <c r="N249" s="135" t="s">
        <v>1319</v>
      </c>
      <c r="P249" s="325"/>
      <c r="W249" s="3" t="b">
        <f t="shared" si="24"/>
        <v>1</v>
      </c>
      <c r="X249" s="596"/>
      <c r="Y249" s="596"/>
    </row>
    <row r="250" spans="1:25" ht="87.75" customHeight="1" x14ac:dyDescent="0.3">
      <c r="A250" s="615">
        <f>+'TD Info Completed by Auditor'!D49</f>
        <v>955</v>
      </c>
      <c r="B250" s="336" t="s">
        <v>1110</v>
      </c>
      <c r="C250" s="616" t="str">
        <f>+'TD Info Completed by Auditor'!E49</f>
        <v>Number of significant deficiency findings (other than in Questions 15-18 )</v>
      </c>
      <c r="D250" s="359"/>
      <c r="E250" s="1268" t="str">
        <f>IF(ISBLANK('TD Info Completed by Auditor'!G49),"",'TD Info Completed by Auditor'!G49)</f>
        <v/>
      </c>
      <c r="F250" s="353"/>
      <c r="G250" s="355"/>
      <c r="H250" s="1267" t="s">
        <v>1831</v>
      </c>
      <c r="I250" s="38"/>
      <c r="J250" s="124">
        <v>955</v>
      </c>
      <c r="K250" s="626" t="s">
        <v>1114</v>
      </c>
      <c r="L250" s="599" t="str">
        <f t="shared" si="26"/>
        <v/>
      </c>
      <c r="N250" s="135" t="s">
        <v>1319</v>
      </c>
      <c r="P250" s="325"/>
      <c r="W250" s="3" t="b">
        <f t="shared" si="24"/>
        <v>1</v>
      </c>
      <c r="X250" s="596"/>
      <c r="Y250" s="596"/>
    </row>
    <row r="251" spans="1:25" ht="87.75" customHeight="1" x14ac:dyDescent="0.3">
      <c r="A251" s="615">
        <f>+'TD Info Completed by Auditor'!D51</f>
        <v>957</v>
      </c>
      <c r="B251" s="336" t="s">
        <v>1110</v>
      </c>
      <c r="C251" s="616" t="str">
        <f>+'TD Info Completed by Auditor'!E51</f>
        <v>Number of material weaknesses findings (other than in Questions 15-18)</v>
      </c>
      <c r="D251" s="359"/>
      <c r="E251" s="1268" t="str">
        <f>IF(ISBLANK('TD Info Completed by Auditor'!G51),"",'TD Info Completed by Auditor'!G51)</f>
        <v/>
      </c>
      <c r="F251" s="353"/>
      <c r="G251" s="355"/>
      <c r="H251" s="1267" t="s">
        <v>1832</v>
      </c>
      <c r="I251" s="38"/>
      <c r="J251" s="124">
        <v>957</v>
      </c>
      <c r="K251" s="626" t="s">
        <v>1115</v>
      </c>
      <c r="L251" s="599" t="str">
        <f t="shared" si="26"/>
        <v/>
      </c>
      <c r="N251" s="135" t="s">
        <v>1319</v>
      </c>
      <c r="P251" s="325"/>
      <c r="W251" s="3" t="b">
        <f t="shared" si="24"/>
        <v>1</v>
      </c>
      <c r="X251" s="596"/>
      <c r="Y251" s="596"/>
    </row>
    <row r="252" spans="1:25" ht="87.75" customHeight="1" x14ac:dyDescent="0.3">
      <c r="A252" s="615">
        <f>+'TD Info Completed by Auditor'!D53</f>
        <v>959</v>
      </c>
      <c r="B252" s="336" t="s">
        <v>1110</v>
      </c>
      <c r="C252" s="616" t="str">
        <f>+'TD Info Completed by Auditor'!E53</f>
        <v>Did the Unit have debt service payments deferred or restructured in this fiscal year? (does not include refinancings designed to take advantage of lower interest rates)  Select Yes, No, or NA</v>
      </c>
      <c r="D252" s="359"/>
      <c r="E252" s="342">
        <f>IF(+'TD Info Completed by Auditor'!G53="Yes",1,IF(+'TD Info Completed by Auditor'!G53="No",2,IF(+'TD Info Completed by Auditor'!G53="N/A",3,0)))</f>
        <v>0</v>
      </c>
      <c r="F252" s="353"/>
      <c r="G252" s="355"/>
      <c r="H252" s="352"/>
      <c r="I252" s="38"/>
      <c r="J252" s="124">
        <v>959</v>
      </c>
      <c r="K252" s="626" t="s">
        <v>1321</v>
      </c>
      <c r="L252" s="599">
        <f t="shared" si="26"/>
        <v>0</v>
      </c>
      <c r="N252" s="135" t="s">
        <v>1319</v>
      </c>
      <c r="P252" s="325"/>
      <c r="W252" s="3" t="b">
        <f t="shared" si="24"/>
        <v>1</v>
      </c>
      <c r="X252" s="596"/>
      <c r="Y252" s="596"/>
    </row>
    <row r="253" spans="1:25" ht="222" customHeight="1" x14ac:dyDescent="0.3">
      <c r="A253" s="615">
        <f>+'TD Info Completed by Auditor'!D57</f>
        <v>974</v>
      </c>
      <c r="B253" s="336" t="s">
        <v>1110</v>
      </c>
      <c r="C253" s="616" t="str">
        <f>+'TD Info Completed by Auditor'!E57</f>
        <v>Did the Unit have any of the following occur:
1.  Bond covenants were not met
2.  Debt service payments made late?  Deferred payments authorized by LGC or other state
     agencies should not be counted as late for purposes of this question.</v>
      </c>
      <c r="D253" s="359"/>
      <c r="E253" s="342">
        <f>IF(+'TD Info Completed by Auditor'!G57="Yes",1,IF(+'TD Info Completed by Auditor'!G57="No",2,IF(+'TD Info Completed by Auditor'!G57="N/A",3,0)))</f>
        <v>0</v>
      </c>
      <c r="F253" s="353"/>
      <c r="G253" s="355"/>
      <c r="H253" s="352"/>
      <c r="I253" s="38"/>
      <c r="J253" s="124">
        <v>974</v>
      </c>
      <c r="K253" s="626" t="s">
        <v>1577</v>
      </c>
      <c r="L253" s="599">
        <f t="shared" si="26"/>
        <v>0</v>
      </c>
      <c r="N253" s="135" t="s">
        <v>1319</v>
      </c>
      <c r="P253" s="325"/>
      <c r="W253" s="3" t="b">
        <f t="shared" si="24"/>
        <v>1</v>
      </c>
      <c r="X253" s="596"/>
      <c r="Y253" s="596"/>
    </row>
    <row r="254" spans="1:25" ht="177.75" customHeight="1" x14ac:dyDescent="0.3">
      <c r="A254" s="615">
        <f>+'TD Info Completed by Auditor'!D55</f>
        <v>973</v>
      </c>
      <c r="B254" s="336" t="s">
        <v>1110</v>
      </c>
      <c r="C254" s="335" t="str">
        <f>+'TD Info Completed by Auditor'!E55</f>
        <v>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v>
      </c>
      <c r="D254" s="359"/>
      <c r="E254" s="342">
        <f>+'TD Info Completed by Auditor'!G55</f>
        <v>0</v>
      </c>
      <c r="F254" s="353"/>
      <c r="G254" s="355"/>
      <c r="H254" s="352"/>
      <c r="I254" s="38"/>
      <c r="J254" s="124">
        <v>973</v>
      </c>
      <c r="K254" s="626" t="s">
        <v>1273</v>
      </c>
      <c r="L254" s="599">
        <f t="shared" si="26"/>
        <v>0</v>
      </c>
      <c r="N254" s="135" t="s">
        <v>1319</v>
      </c>
      <c r="P254" s="325"/>
      <c r="W254" s="3" t="b">
        <f t="shared" si="24"/>
        <v>1</v>
      </c>
      <c r="X254" s="596"/>
      <c r="Y254" s="596"/>
    </row>
    <row r="255" spans="1:25" ht="87.75" customHeight="1" x14ac:dyDescent="0.3">
      <c r="A255" s="615">
        <f>+'TD Info Completed by Auditor'!D60</f>
        <v>965</v>
      </c>
      <c r="B255" s="336" t="s">
        <v>1110</v>
      </c>
      <c r="C255" s="616" t="str">
        <f>+'TD Info Completed by Auditor'!E60</f>
        <v xml:space="preserve">Is the Finance Officer bonded for at least $50,000? (GS 159-42(h) </v>
      </c>
      <c r="D255" s="359"/>
      <c r="E255" s="342">
        <f>IF(+'TD Info Completed by Auditor'!G60="Yes",1,IF(+'TD Info Completed by Auditor'!G60="No",2,IF(+'TD Info Completed by Auditor'!G60="N/A",3,0)))</f>
        <v>0</v>
      </c>
      <c r="F255" s="353"/>
      <c r="G255" s="355"/>
      <c r="H255" s="352"/>
      <c r="I255" s="38"/>
      <c r="J255" s="124">
        <v>965</v>
      </c>
      <c r="K255" s="626" t="s">
        <v>1804</v>
      </c>
      <c r="L255" s="599">
        <v>0</v>
      </c>
      <c r="N255" s="135" t="s">
        <v>1319</v>
      </c>
      <c r="P255" s="325"/>
      <c r="W255" s="3" t="b">
        <f t="shared" si="24"/>
        <v>1</v>
      </c>
      <c r="X255" s="596"/>
      <c r="Y255" s="596"/>
    </row>
    <row r="256" spans="1:25" ht="87.75" customHeight="1" x14ac:dyDescent="0.3">
      <c r="A256" s="615">
        <f>+'TD Info Completed by Auditor'!D68</f>
        <v>977</v>
      </c>
      <c r="B256" s="336" t="s">
        <v>1110</v>
      </c>
      <c r="C256" s="616" t="str">
        <f>+'TD Info Completed by Auditor'!E68</f>
        <v>Does the entity have an  effective pre-audit process to ensure that pervasive budgetary over- expenditures do not occur at the budget ordinance level? Select Yes or No</v>
      </c>
      <c r="D256" s="359"/>
      <c r="E256" s="342">
        <f>IF(+'TD Info Completed by Auditor'!G68="Yes",1,IF(+'TD Info Completed by Auditor'!G68="No",2,0))</f>
        <v>0</v>
      </c>
      <c r="F256" s="353"/>
      <c r="G256" s="355"/>
      <c r="H256" s="352"/>
      <c r="I256" s="38"/>
      <c r="J256" s="124">
        <v>977</v>
      </c>
      <c r="K256" s="626" t="s">
        <v>1579</v>
      </c>
      <c r="L256" s="599">
        <f t="shared" si="26"/>
        <v>0</v>
      </c>
      <c r="N256" s="135" t="s">
        <v>1319</v>
      </c>
      <c r="P256" s="325"/>
      <c r="W256" s="3" t="b">
        <f t="shared" si="24"/>
        <v>1</v>
      </c>
      <c r="X256" s="596"/>
      <c r="Y256" s="596"/>
    </row>
    <row r="257" spans="1:25" ht="87.75" customHeight="1" x14ac:dyDescent="0.3">
      <c r="A257" s="615">
        <f>+'TD Info Completed by Auditor'!D70</f>
        <v>978</v>
      </c>
      <c r="B257" s="336" t="s">
        <v>1110</v>
      </c>
      <c r="C257" s="616" t="str">
        <f>+'TD Info Completed by Auditor'!E70</f>
        <v>Did the audit disclose any statutory violations in the notes that were not covered by findings?  Select Yes or No</v>
      </c>
      <c r="D257" s="359"/>
      <c r="E257" s="342" t="str">
        <f>IF(+'TD Info Completed by Auditor'!G70="Yes",1,IF(+'TD Info Completed by Auditor'!G70="No",2,IF(+'TD Info Completed by Auditor'!G70="","0")))</f>
        <v>0</v>
      </c>
      <c r="F257" s="353"/>
      <c r="G257" s="355"/>
      <c r="H257" s="352"/>
      <c r="I257" s="38"/>
      <c r="J257" s="124">
        <v>978</v>
      </c>
      <c r="K257" s="626" t="s">
        <v>1578</v>
      </c>
      <c r="L257" s="599" t="str">
        <f t="shared" si="26"/>
        <v>0</v>
      </c>
      <c r="N257" s="135" t="s">
        <v>1319</v>
      </c>
      <c r="P257" s="325"/>
      <c r="W257" s="3" t="b">
        <f t="shared" si="24"/>
        <v>1</v>
      </c>
      <c r="X257" s="596"/>
      <c r="Y257" s="596"/>
    </row>
    <row r="258" spans="1:25" ht="87.75" customHeight="1" x14ac:dyDescent="0.3">
      <c r="A258" s="615">
        <f>+'TD Info Completed by Auditor'!D72</f>
        <v>979</v>
      </c>
      <c r="B258" s="336" t="s">
        <v>1110</v>
      </c>
      <c r="C258" s="616" t="str">
        <f>+'TD Info Completed by Auditor'!E72</f>
        <v>The Auditor will submit the Audit Report to the LGC by December 1, 2021   Select Yes or No</v>
      </c>
      <c r="D258" s="359"/>
      <c r="E258" s="342">
        <f>IF(+'TD Info Completed by Auditor'!G72="Yes",1,IF(+'TD Info Completed by Auditor'!G72="No",2,IF(+'TD Info Completed by Auditor'!G72="N/A",3,0)))</f>
        <v>0</v>
      </c>
      <c r="F258" s="353"/>
      <c r="G258" s="355"/>
      <c r="H258" s="352"/>
      <c r="I258" s="38"/>
      <c r="J258" s="124">
        <v>979</v>
      </c>
      <c r="K258" s="626" t="s">
        <v>1075</v>
      </c>
      <c r="L258" s="599">
        <f t="shared" si="26"/>
        <v>0</v>
      </c>
      <c r="N258" s="135" t="s">
        <v>1319</v>
      </c>
      <c r="P258" s="325"/>
      <c r="W258" s="3" t="b">
        <f t="shared" si="24"/>
        <v>1</v>
      </c>
      <c r="X258" s="596"/>
      <c r="Y258" s="596"/>
    </row>
    <row r="259" spans="1:25" ht="87.75" customHeight="1" x14ac:dyDescent="0.3">
      <c r="A259" s="615">
        <f>+'TD Info Completed by Auditor'!D76</f>
        <v>975</v>
      </c>
      <c r="B259" s="336" t="s">
        <v>1110</v>
      </c>
      <c r="C259" s="616" t="str">
        <f>+'TD Info Completed by Auditor'!E76</f>
        <v>The Performance Indicator Tab in this worksheet has at least one performance indicator of concern (indicated by a red shaded cell)</v>
      </c>
      <c r="D259" s="359"/>
      <c r="E259" s="342">
        <f>IF(+'TD Info Completed by Auditor'!G76="Yes",1,IF(+'TD Info Completed by Auditor'!G76="No",2,IF(+'TD Info Completed by Auditor'!G76="N/A",3,0)))</f>
        <v>0</v>
      </c>
      <c r="F259" s="353"/>
      <c r="G259" s="355"/>
      <c r="H259" s="352"/>
      <c r="I259" s="38"/>
      <c r="J259" s="124">
        <v>975</v>
      </c>
      <c r="K259" s="626" t="s">
        <v>1116</v>
      </c>
      <c r="L259" s="599">
        <f>IF(D259="",E259,D259)</f>
        <v>0</v>
      </c>
      <c r="N259" s="135" t="s">
        <v>1319</v>
      </c>
      <c r="P259" s="325"/>
      <c r="W259" s="3" t="b">
        <f>EXACT(A259,J259)</f>
        <v>1</v>
      </c>
      <c r="X259" s="596"/>
      <c r="Y259" s="596"/>
    </row>
    <row r="260" spans="1:25" ht="112.5" customHeight="1" x14ac:dyDescent="0.3">
      <c r="A260" s="615">
        <f>+'TD Info Completed by Auditor'!D78</f>
        <v>976</v>
      </c>
      <c r="B260" s="336" t="s">
        <v>1110</v>
      </c>
      <c r="C260" s="335" t="str">
        <f>+'TD Info Completed by Auditor'!E78</f>
        <v>If the answer to Question "975" above is “yes” did the auditor present or plan to present these issues to the governing body in an open meeting and inform the Local Gov. that they are required to submit a " Response to the Auditor's Findings, Recommendations, and Fiscal Matters" within 60 days, to the LGC.   Select Yes, No or N/A.</v>
      </c>
      <c r="D260" s="359"/>
      <c r="E260" s="342">
        <f>IF(+'TD Info Completed by Auditor'!G78="Yes",1,IF(+'TD Info Completed by Auditor'!G78="No",2,IF(+'TD Info Completed by Auditor'!G78="N/A",3,0)))</f>
        <v>0</v>
      </c>
      <c r="F260" s="353"/>
      <c r="G260" s="355"/>
      <c r="H260" s="352"/>
      <c r="I260" s="38"/>
      <c r="J260" s="124">
        <v>976</v>
      </c>
      <c r="K260" s="626" t="s">
        <v>1275</v>
      </c>
      <c r="L260" s="599">
        <f>IF(D260="",E260,D260)</f>
        <v>0</v>
      </c>
      <c r="N260" s="135" t="s">
        <v>1319</v>
      </c>
      <c r="P260" s="325"/>
      <c r="W260" s="3" t="b">
        <f>EXACT(A260,J260)</f>
        <v>1</v>
      </c>
      <c r="X260" s="596"/>
      <c r="Y260" s="596"/>
    </row>
    <row r="261" spans="1:25" ht="109.95" customHeight="1" x14ac:dyDescent="0.3">
      <c r="A261" s="643">
        <v>336</v>
      </c>
      <c r="B261" s="372"/>
      <c r="C261" s="644" t="s">
        <v>1385</v>
      </c>
      <c r="D261" s="645" t="s">
        <v>1286</v>
      </c>
      <c r="E261" s="646" t="s">
        <v>1287</v>
      </c>
      <c r="F261" s="373" t="s">
        <v>1285</v>
      </c>
      <c r="G261" s="355"/>
      <c r="H261" s="352"/>
      <c r="I261" s="38"/>
      <c r="J261" s="374">
        <v>336</v>
      </c>
      <c r="K261" s="647" t="s">
        <v>1290</v>
      </c>
      <c r="L261" s="648">
        <f>L10-L11-L12-L13-L14-L15-L16</f>
        <v>0</v>
      </c>
      <c r="M261" s="649"/>
      <c r="N261" s="388" t="s">
        <v>1288</v>
      </c>
      <c r="P261" s="325"/>
      <c r="X261" s="596"/>
      <c r="Y261" s="596"/>
    </row>
    <row r="262" spans="1:25" ht="129" customHeight="1" x14ac:dyDescent="0.3">
      <c r="A262" s="643">
        <v>44</v>
      </c>
      <c r="B262" s="372"/>
      <c r="C262" s="650" t="s">
        <v>1386</v>
      </c>
      <c r="D262" s="645" t="s">
        <v>1277</v>
      </c>
      <c r="E262" s="651" t="s">
        <v>1278</v>
      </c>
      <c r="F262" s="373" t="s">
        <v>1285</v>
      </c>
      <c r="G262" s="355"/>
      <c r="H262" s="352"/>
      <c r="I262" s="38"/>
      <c r="J262" s="374">
        <v>44</v>
      </c>
      <c r="K262" s="647" t="s">
        <v>1291</v>
      </c>
      <c r="L262" s="648">
        <f>L120-L121-L118</f>
        <v>0</v>
      </c>
      <c r="M262" s="649"/>
      <c r="N262" s="388" t="s">
        <v>1289</v>
      </c>
      <c r="P262" s="325"/>
      <c r="X262" s="596"/>
      <c r="Y262" s="596"/>
    </row>
    <row r="263" spans="1:25" ht="169.5" customHeight="1" x14ac:dyDescent="0.3">
      <c r="A263" s="643">
        <v>45</v>
      </c>
      <c r="B263" s="372"/>
      <c r="C263" s="652" t="s">
        <v>1387</v>
      </c>
      <c r="D263" s="645" t="s">
        <v>1279</v>
      </c>
      <c r="E263" s="646" t="s">
        <v>1280</v>
      </c>
      <c r="F263" s="373" t="s">
        <v>1285</v>
      </c>
      <c r="G263" s="355"/>
      <c r="H263" s="352"/>
      <c r="I263" s="38"/>
      <c r="J263" s="374">
        <v>45</v>
      </c>
      <c r="K263" s="647" t="s">
        <v>1292</v>
      </c>
      <c r="L263" s="648">
        <f>L124-L125-L126-L127-L128-L129-L123</f>
        <v>0</v>
      </c>
      <c r="M263" s="649"/>
      <c r="N263" s="388" t="s">
        <v>1310</v>
      </c>
      <c r="P263" s="325"/>
      <c r="X263" s="596"/>
      <c r="Y263" s="596"/>
    </row>
    <row r="264" spans="1:25" ht="87.75" customHeight="1" x14ac:dyDescent="0.3">
      <c r="A264" s="643">
        <v>47</v>
      </c>
      <c r="B264" s="372"/>
      <c r="C264" s="373" t="s">
        <v>1294</v>
      </c>
      <c r="D264" s="645" t="s">
        <v>1281</v>
      </c>
      <c r="E264" s="646" t="s">
        <v>1283</v>
      </c>
      <c r="F264" s="373" t="s">
        <v>1285</v>
      </c>
      <c r="G264" s="355"/>
      <c r="H264" s="352"/>
      <c r="I264" s="38"/>
      <c r="J264" s="374">
        <v>47</v>
      </c>
      <c r="K264" s="647" t="s">
        <v>1293</v>
      </c>
      <c r="L264" s="648">
        <f>L138-L139-L136</f>
        <v>0</v>
      </c>
      <c r="M264" s="649"/>
      <c r="N264" s="388" t="s">
        <v>1311</v>
      </c>
      <c r="P264" s="325"/>
      <c r="X264" s="596"/>
      <c r="Y264" s="596"/>
    </row>
    <row r="265" spans="1:25" ht="152.25" customHeight="1" x14ac:dyDescent="0.3">
      <c r="A265" s="643">
        <v>48</v>
      </c>
      <c r="B265" s="372"/>
      <c r="C265" s="373" t="s">
        <v>1295</v>
      </c>
      <c r="D265" s="645" t="s">
        <v>1282</v>
      </c>
      <c r="E265" s="646" t="s">
        <v>1284</v>
      </c>
      <c r="F265" s="373" t="s">
        <v>1285</v>
      </c>
      <c r="G265" s="355"/>
      <c r="H265" s="352"/>
      <c r="I265" s="38"/>
      <c r="J265" s="374">
        <v>48</v>
      </c>
      <c r="K265" s="647" t="s">
        <v>123</v>
      </c>
      <c r="L265" s="648">
        <f>L143-L144-L145-L146-L147-L148-L142</f>
        <v>0</v>
      </c>
      <c r="M265" s="649"/>
      <c r="N265" s="388" t="s">
        <v>1312</v>
      </c>
      <c r="P265" s="325"/>
      <c r="X265" s="596"/>
      <c r="Y265" s="596"/>
    </row>
    <row r="266" spans="1:25" ht="113.4" customHeight="1" x14ac:dyDescent="0.3">
      <c r="A266" s="653"/>
      <c r="B266" s="95"/>
      <c r="C266" s="654"/>
      <c r="D266" s="136"/>
      <c r="E266" s="144"/>
      <c r="F266" s="64"/>
      <c r="G266" s="138"/>
      <c r="H266" s="139"/>
      <c r="I266" s="38"/>
      <c r="J266" s="375">
        <v>998</v>
      </c>
      <c r="K266" s="376" t="s">
        <v>292</v>
      </c>
      <c r="L266" s="655" t="e">
        <f>HLOOKUP('Unit Data from Audit Worksheet'!$D$2,'2020 Data(H)'!A1:CZ402,247,FALSE)</f>
        <v>#N/A</v>
      </c>
      <c r="M266" s="649"/>
      <c r="N266" s="388" t="s">
        <v>1296</v>
      </c>
      <c r="P266" s="321"/>
      <c r="W266" s="3" t="b">
        <f>EXACT(A266,J266)</f>
        <v>0</v>
      </c>
      <c r="X266" s="596" t="e">
        <f t="shared" si="21"/>
        <v>#N/A</v>
      </c>
      <c r="Y266" s="596" t="e">
        <f t="shared" si="22"/>
        <v>#N/A</v>
      </c>
    </row>
    <row r="267" spans="1:25" ht="119.4" customHeight="1" x14ac:dyDescent="0.3">
      <c r="A267" s="653"/>
      <c r="B267" s="95"/>
      <c r="C267" s="654"/>
      <c r="D267" s="656"/>
      <c r="E267" s="657"/>
      <c r="F267" s="658"/>
      <c r="G267" s="659"/>
      <c r="H267" s="660"/>
      <c r="I267" s="38"/>
      <c r="J267" s="377">
        <v>995</v>
      </c>
      <c r="K267" s="378" t="s">
        <v>290</v>
      </c>
      <c r="L267" s="661" t="e">
        <f>HLOOKUP('Unit Data from Audit Worksheet'!$D$2,'2020 Data(H)'!A1:CZ402,244,FALSE)</f>
        <v>#N/A</v>
      </c>
      <c r="M267" s="649"/>
      <c r="N267" s="388" t="s">
        <v>1313</v>
      </c>
      <c r="P267" s="322"/>
      <c r="W267" s="3" t="b">
        <f>EXACT(A267,J267)</f>
        <v>0</v>
      </c>
      <c r="X267" s="662" t="e">
        <f t="shared" si="21"/>
        <v>#N/A</v>
      </c>
      <c r="Y267" s="596" t="e">
        <f t="shared" si="22"/>
        <v>#N/A</v>
      </c>
    </row>
    <row r="268" spans="1:25" ht="104.4" customHeight="1" x14ac:dyDescent="0.3">
      <c r="A268" s="653"/>
      <c r="B268" s="95"/>
      <c r="C268" s="654"/>
      <c r="D268" s="656"/>
      <c r="E268" s="657"/>
      <c r="F268" s="658"/>
      <c r="G268" s="659"/>
      <c r="H268" s="660"/>
      <c r="I268" s="38"/>
      <c r="J268" s="377">
        <v>996</v>
      </c>
      <c r="K268" s="378" t="s">
        <v>291</v>
      </c>
      <c r="L268" s="661" t="e">
        <f>HLOOKUP('Unit Data from Audit Worksheet'!$D$2,'2020 Data(H)'!A1:CZ402,245,FALSE)</f>
        <v>#N/A</v>
      </c>
      <c r="M268" s="649"/>
      <c r="N268" s="388" t="s">
        <v>1314</v>
      </c>
      <c r="P268" s="322"/>
      <c r="W268" s="3" t="b">
        <f>EXACT(A268,J268)</f>
        <v>0</v>
      </c>
      <c r="X268" s="662" t="e">
        <f t="shared" si="21"/>
        <v>#N/A</v>
      </c>
      <c r="Y268" s="596" t="e">
        <f t="shared" si="22"/>
        <v>#N/A</v>
      </c>
    </row>
    <row r="269" spans="1:25" ht="43.2" x14ac:dyDescent="0.3">
      <c r="A269" s="653"/>
      <c r="B269" s="95"/>
      <c r="C269" s="654"/>
      <c r="D269" s="656"/>
      <c r="E269" s="657"/>
      <c r="F269" s="658"/>
      <c r="G269" s="659"/>
      <c r="H269" s="663"/>
      <c r="I269" s="38"/>
      <c r="J269" s="169">
        <v>554</v>
      </c>
      <c r="K269" s="664" t="s">
        <v>578</v>
      </c>
      <c r="L269" s="625"/>
      <c r="N269" s="665"/>
      <c r="P269" s="323"/>
      <c r="X269" s="662"/>
      <c r="Y269" s="596"/>
    </row>
    <row r="270" spans="1:25" ht="43.2" x14ac:dyDescent="0.3">
      <c r="A270" s="653"/>
      <c r="B270" s="95"/>
      <c r="C270" s="654"/>
      <c r="D270" s="656"/>
      <c r="E270" s="657"/>
      <c r="F270" s="658"/>
      <c r="G270" s="659"/>
      <c r="H270" s="663"/>
      <c r="I270" s="38"/>
      <c r="J270" s="169">
        <v>555</v>
      </c>
      <c r="K270" s="664" t="s">
        <v>580</v>
      </c>
      <c r="L270" s="625"/>
      <c r="N270" s="665"/>
      <c r="P270" s="323"/>
      <c r="X270" s="662"/>
      <c r="Y270" s="596"/>
    </row>
    <row r="271" spans="1:25" ht="43.2" x14ac:dyDescent="0.3">
      <c r="A271" s="653"/>
      <c r="B271" s="95"/>
      <c r="C271" s="654"/>
      <c r="D271" s="656"/>
      <c r="E271" s="657"/>
      <c r="F271" s="658"/>
      <c r="G271" s="659"/>
      <c r="H271" s="663"/>
      <c r="I271" s="38"/>
      <c r="J271" s="169">
        <v>556</v>
      </c>
      <c r="K271" s="664" t="s">
        <v>582</v>
      </c>
      <c r="L271" s="625"/>
      <c r="N271" s="665"/>
      <c r="P271" s="323"/>
      <c r="X271" s="662"/>
      <c r="Y271" s="596"/>
    </row>
    <row r="272" spans="1:25" ht="43.2" x14ac:dyDescent="0.3">
      <c r="A272" s="653"/>
      <c r="B272" s="95"/>
      <c r="C272" s="654"/>
      <c r="D272" s="656"/>
      <c r="E272" s="657"/>
      <c r="F272" s="658"/>
      <c r="G272" s="659"/>
      <c r="H272" s="663"/>
      <c r="I272" s="38"/>
      <c r="J272" s="169">
        <v>557</v>
      </c>
      <c r="K272" s="664" t="s">
        <v>584</v>
      </c>
      <c r="L272" s="625"/>
      <c r="N272" s="665"/>
      <c r="P272" s="323"/>
      <c r="X272" s="662"/>
      <c r="Y272" s="596"/>
    </row>
    <row r="273" spans="1:25" ht="43.2" x14ac:dyDescent="0.3">
      <c r="A273" s="653"/>
      <c r="B273" s="95"/>
      <c r="C273" s="654"/>
      <c r="D273" s="656"/>
      <c r="E273" s="657"/>
      <c r="F273" s="658"/>
      <c r="G273" s="659"/>
      <c r="H273" s="663"/>
      <c r="I273" s="38"/>
      <c r="J273" s="169">
        <v>606</v>
      </c>
      <c r="K273" s="664" t="s">
        <v>866</v>
      </c>
      <c r="L273" s="625"/>
      <c r="N273" s="665"/>
      <c r="P273" s="323"/>
      <c r="X273" s="662"/>
      <c r="Y273" s="596"/>
    </row>
    <row r="274" spans="1:25" ht="39.75" customHeight="1" x14ac:dyDescent="0.3">
      <c r="A274" s="653"/>
      <c r="B274" s="95"/>
      <c r="C274" s="654"/>
      <c r="D274" s="656"/>
      <c r="E274" s="657"/>
      <c r="F274" s="658"/>
      <c r="G274" s="659"/>
      <c r="H274" s="663"/>
      <c r="I274" s="38"/>
      <c r="J274" s="329">
        <v>662</v>
      </c>
      <c r="K274" s="666" t="s">
        <v>867</v>
      </c>
      <c r="L274" s="667"/>
      <c r="N274" s="665"/>
      <c r="P274" s="329"/>
      <c r="X274" s="662"/>
      <c r="Y274" s="596"/>
    </row>
    <row r="275" spans="1:25" ht="39" customHeight="1" x14ac:dyDescent="0.3">
      <c r="A275" s="653"/>
      <c r="B275" s="95"/>
      <c r="C275" s="654"/>
      <c r="D275" s="656"/>
      <c r="E275" s="657"/>
      <c r="F275" s="658"/>
      <c r="G275" s="659"/>
      <c r="H275" s="663"/>
      <c r="I275" s="38"/>
      <c r="J275" s="329">
        <v>663</v>
      </c>
      <c r="K275" s="668" t="s">
        <v>868</v>
      </c>
      <c r="L275" s="667"/>
      <c r="N275" s="665"/>
      <c r="P275" s="329"/>
      <c r="X275" s="662"/>
      <c r="Y275" s="596"/>
    </row>
    <row r="276" spans="1:25" s="18" customFormat="1" ht="22.5" customHeight="1" x14ac:dyDescent="0.3">
      <c r="A276" s="653"/>
      <c r="B276" s="95"/>
      <c r="C276" s="654"/>
      <c r="D276" s="136"/>
      <c r="E276" s="137"/>
      <c r="F276" s="64"/>
      <c r="G276" s="138"/>
      <c r="H276" s="139"/>
      <c r="I276" s="38"/>
      <c r="J276" s="140"/>
      <c r="K276" s="669"/>
      <c r="L276" s="670"/>
      <c r="N276" s="386"/>
      <c r="P276" s="323"/>
      <c r="Q276" s="589"/>
      <c r="W276" s="18" t="b">
        <f t="shared" ref="W276:W284" si="27">EXACT(A276,J276)</f>
        <v>1</v>
      </c>
      <c r="X276" s="605">
        <f t="shared" si="21"/>
        <v>0</v>
      </c>
      <c r="Y276" s="605">
        <f t="shared" si="22"/>
        <v>0</v>
      </c>
    </row>
    <row r="277" spans="1:25" ht="99" customHeight="1" x14ac:dyDescent="0.3">
      <c r="A277" s="340">
        <f>'Unit Data from Audit Worksheet'!A304</f>
        <v>947</v>
      </c>
      <c r="B277" s="129"/>
      <c r="C277" s="339" t="str">
        <f>'Unit Data from Audit Worksheet'!D304</f>
        <v>First name of finance officer or interim finance officer (please enter “vacant” for first name if the position is currently vacant)</v>
      </c>
      <c r="D277" s="362"/>
      <c r="E277" s="184">
        <f>'Unit Data from Audit Worksheet'!F304</f>
        <v>0</v>
      </c>
      <c r="F277" s="353" t="str">
        <f>'Unit Data from Audit Worksheet'!G304</f>
        <v>Please do not leave blank</v>
      </c>
      <c r="G277" s="355"/>
      <c r="H277" s="352"/>
      <c r="I277" s="38"/>
      <c r="J277" s="173">
        <v>947</v>
      </c>
      <c r="K277" s="671" t="s">
        <v>803</v>
      </c>
      <c r="L277" s="672">
        <f t="shared" ref="L277:L290" si="28">IF(D277="",E277,D277)</f>
        <v>0</v>
      </c>
      <c r="N277" s="665"/>
      <c r="P277" s="329"/>
      <c r="Q277" s="631">
        <f t="shared" ref="Q277:Q284" si="29">IF(L277=0,1,0)</f>
        <v>1</v>
      </c>
      <c r="W277" s="3" t="b">
        <f t="shared" si="27"/>
        <v>1</v>
      </c>
      <c r="X277" s="596">
        <f t="shared" ref="X277:X291" si="30">E277-L277</f>
        <v>0</v>
      </c>
      <c r="Y277" s="596">
        <f t="shared" ref="Y277:Y291" si="31">D277-L277</f>
        <v>0</v>
      </c>
    </row>
    <row r="278" spans="1:25" ht="128.25" customHeight="1" x14ac:dyDescent="0.3">
      <c r="A278" s="340">
        <f>'Unit Data from Audit Worksheet'!A305</f>
        <v>948</v>
      </c>
      <c r="B278" s="129"/>
      <c r="C278" s="339" t="str">
        <f>'Unit Data from Audit Worksheet'!D305</f>
        <v>Last name of finance officer or interim finance officer (please enter “vacant” for last name if the position is currently vacant)</v>
      </c>
      <c r="D278" s="362"/>
      <c r="E278" s="673">
        <f>'Unit Data from Audit Worksheet'!F305</f>
        <v>0</v>
      </c>
      <c r="F278" s="353" t="str">
        <f>'Unit Data from Audit Worksheet'!G305</f>
        <v>Please do not leave blank</v>
      </c>
      <c r="G278" s="355"/>
      <c r="H278" s="352"/>
      <c r="I278" s="38"/>
      <c r="J278" s="173">
        <v>948</v>
      </c>
      <c r="K278" s="671" t="s">
        <v>804</v>
      </c>
      <c r="L278" s="672">
        <f t="shared" si="28"/>
        <v>0</v>
      </c>
      <c r="N278" s="665"/>
      <c r="P278" s="329"/>
      <c r="Q278" s="631">
        <f t="shared" si="29"/>
        <v>1</v>
      </c>
      <c r="W278" s="3" t="b">
        <f t="shared" si="27"/>
        <v>1</v>
      </c>
      <c r="X278" s="596">
        <f t="shared" si="30"/>
        <v>0</v>
      </c>
      <c r="Y278" s="596">
        <f t="shared" si="31"/>
        <v>0</v>
      </c>
    </row>
    <row r="279" spans="1:25" ht="61.5" customHeight="1" x14ac:dyDescent="0.3">
      <c r="A279" s="340">
        <f>'Unit Data from Audit Worksheet'!A306</f>
        <v>949</v>
      </c>
      <c r="B279" s="129"/>
      <c r="C279" s="339" t="str">
        <f>'Unit Data from Audit Worksheet'!D306</f>
        <v>Is the finance officer serving in a permanent role or an interim role? (select permanent/interim/vacant)</v>
      </c>
      <c r="D279" s="362"/>
      <c r="E279" s="184">
        <f>'Unit Data from Audit Worksheet'!F306</f>
        <v>0</v>
      </c>
      <c r="F279" s="353" t="str">
        <f>'Unit Data from Audit Worksheet'!G306</f>
        <v>Please do not leave blank</v>
      </c>
      <c r="G279" s="355"/>
      <c r="H279" s="352"/>
      <c r="I279" s="38"/>
      <c r="J279" s="173">
        <v>949</v>
      </c>
      <c r="K279" s="671" t="s">
        <v>830</v>
      </c>
      <c r="L279" s="672">
        <f t="shared" si="28"/>
        <v>0</v>
      </c>
      <c r="N279" s="665"/>
      <c r="P279" s="329"/>
      <c r="Q279" s="631">
        <f t="shared" si="29"/>
        <v>1</v>
      </c>
      <c r="W279" s="3" t="b">
        <f t="shared" si="27"/>
        <v>1</v>
      </c>
      <c r="X279" s="596">
        <f t="shared" si="30"/>
        <v>0</v>
      </c>
      <c r="Y279" s="596">
        <f t="shared" si="31"/>
        <v>0</v>
      </c>
    </row>
    <row r="280" spans="1:25" ht="93.75" customHeight="1" x14ac:dyDescent="0.3">
      <c r="A280" s="340">
        <f>'Unit Data from Audit Worksheet'!A307</f>
        <v>950</v>
      </c>
      <c r="B280" s="129"/>
      <c r="C280" s="339" t="str">
        <f>'Unit Data from Audit Worksheet'!D307</f>
        <v>Has the finance officer been formally appointed by the local government, public authority, or designated official?  (Y/N)</v>
      </c>
      <c r="D280" s="362"/>
      <c r="E280" s="184">
        <f>'Unit Data from Audit Worksheet'!F307</f>
        <v>0</v>
      </c>
      <c r="F280" s="353" t="str">
        <f>'Unit Data from Audit Worksheet'!G307</f>
        <v>Please do not leave blank</v>
      </c>
      <c r="G280" s="355"/>
      <c r="H280" s="352"/>
      <c r="I280" s="38"/>
      <c r="J280" s="173">
        <v>950</v>
      </c>
      <c r="K280" s="671" t="s">
        <v>831</v>
      </c>
      <c r="L280" s="672">
        <f t="shared" si="28"/>
        <v>0</v>
      </c>
      <c r="N280" s="665"/>
      <c r="P280" s="329"/>
      <c r="Q280" s="631">
        <f t="shared" si="29"/>
        <v>1</v>
      </c>
      <c r="W280" s="3" t="b">
        <f t="shared" si="27"/>
        <v>1</v>
      </c>
      <c r="X280" s="596">
        <f t="shared" si="30"/>
        <v>0</v>
      </c>
      <c r="Y280" s="596">
        <f t="shared" si="31"/>
        <v>0</v>
      </c>
    </row>
    <row r="281" spans="1:25" ht="153.75" customHeight="1" x14ac:dyDescent="0.3">
      <c r="A281" s="340">
        <f>'Unit Data from Audit Worksheet'!A308</f>
        <v>952</v>
      </c>
      <c r="B281" s="129"/>
      <c r="C281" s="339" t="str">
        <f>'Unit Data from Audit Worksheet'!D308</f>
        <v>Date on which the local government, public authority, or designated official appointed the finance officer? (If the date of appointment by the board is difficult to find you may enter January 1 and the year)      Date Format  MM/DD/YYYY</v>
      </c>
      <c r="D281" s="362"/>
      <c r="E281" s="133" t="str">
        <f>IF('Unit Data from Audit Worksheet'!F308&gt;0,'Unit Data from Audit Worksheet'!F308," ")</f>
        <v xml:space="preserve"> </v>
      </c>
      <c r="F281" s="353" t="str">
        <f>'Unit Data from Audit Worksheet'!G308</f>
        <v>Leave blank if data not available</v>
      </c>
      <c r="G281" s="355"/>
      <c r="H281" s="352"/>
      <c r="I281" s="38"/>
      <c r="J281" s="173">
        <v>952</v>
      </c>
      <c r="K281" s="671" t="s">
        <v>832</v>
      </c>
      <c r="L281" s="674" t="str">
        <f t="shared" si="28"/>
        <v xml:space="preserve"> </v>
      </c>
      <c r="N281" s="665"/>
      <c r="P281" s="329"/>
      <c r="Q281" s="631">
        <f t="shared" si="29"/>
        <v>0</v>
      </c>
      <c r="W281" s="3" t="b">
        <f t="shared" si="27"/>
        <v>1</v>
      </c>
      <c r="X281" s="596" t="e">
        <f t="shared" si="30"/>
        <v>#VALUE!</v>
      </c>
      <c r="Y281" s="596" t="e">
        <f t="shared" si="31"/>
        <v>#VALUE!</v>
      </c>
    </row>
    <row r="282" spans="1:25" ht="153.75" customHeight="1" x14ac:dyDescent="0.3">
      <c r="A282" s="340">
        <f>'Unit Data from Audit Worksheet'!A309</f>
        <v>954</v>
      </c>
      <c r="B282" s="129"/>
      <c r="C282" s="339" t="str">
        <f>'Unit Data from Audit Worksheet'!D309</f>
        <v>Has the finance officer or interim finance officer read, understand, and is in compliance with the requirements of N.C.G.S. 159, as applicable based on unit type and circumstances? (Y/N)</v>
      </c>
      <c r="D282" s="362"/>
      <c r="E282" s="184">
        <f>'Unit Data from Audit Worksheet'!F309</f>
        <v>0</v>
      </c>
      <c r="F282" s="353" t="str">
        <f>'Unit Data from Audit Worksheet'!G309</f>
        <v>Please do not leave blank</v>
      </c>
      <c r="G282" s="355"/>
      <c r="H282" s="352"/>
      <c r="I282" s="38"/>
      <c r="J282" s="173">
        <v>954</v>
      </c>
      <c r="K282" s="671" t="s">
        <v>833</v>
      </c>
      <c r="L282" s="672">
        <f t="shared" si="28"/>
        <v>0</v>
      </c>
      <c r="N282" s="665"/>
      <c r="P282" s="329"/>
      <c r="Q282" s="631">
        <f t="shared" si="29"/>
        <v>1</v>
      </c>
      <c r="W282" s="3" t="b">
        <f t="shared" si="27"/>
        <v>1</v>
      </c>
      <c r="X282" s="596">
        <f t="shared" si="30"/>
        <v>0</v>
      </c>
      <c r="Y282" s="596">
        <f t="shared" si="31"/>
        <v>0</v>
      </c>
    </row>
    <row r="283" spans="1:25" ht="153.75" customHeight="1" x14ac:dyDescent="0.3">
      <c r="A283" s="340">
        <f>'Unit Data from Audit Worksheet'!A310</f>
        <v>956</v>
      </c>
      <c r="B283" s="129"/>
      <c r="C283" s="339" t="str">
        <f>'Unit Data from Audit Worksheet'!D310</f>
        <v>Does the finance officer or interim finance officer maintain and update (or ensures the maintenance and update of)  financial records monthly, including reconciliation of bank accounts to the general ledger? (Y/N)</v>
      </c>
      <c r="D283" s="362"/>
      <c r="E283" s="184">
        <f>'Unit Data from Audit Worksheet'!F310</f>
        <v>0</v>
      </c>
      <c r="F283" s="353" t="str">
        <f>'Unit Data from Audit Worksheet'!G310</f>
        <v>Please do not leave blank</v>
      </c>
      <c r="G283" s="355"/>
      <c r="H283" s="352"/>
      <c r="I283" s="38"/>
      <c r="J283" s="173">
        <v>956</v>
      </c>
      <c r="K283" s="671" t="s">
        <v>834</v>
      </c>
      <c r="L283" s="672">
        <f t="shared" si="28"/>
        <v>0</v>
      </c>
      <c r="N283" s="665"/>
      <c r="P283" s="329"/>
      <c r="Q283" s="631">
        <f t="shared" si="29"/>
        <v>1</v>
      </c>
      <c r="W283" s="3" t="b">
        <f t="shared" si="27"/>
        <v>1</v>
      </c>
      <c r="X283" s="596">
        <f t="shared" si="30"/>
        <v>0</v>
      </c>
      <c r="Y283" s="596">
        <f t="shared" si="31"/>
        <v>0</v>
      </c>
    </row>
    <row r="284" spans="1:25" ht="201.6" x14ac:dyDescent="0.3">
      <c r="A284" s="340">
        <f>'Unit Data from Audit Worksheet'!A311</f>
        <v>958</v>
      </c>
      <c r="B284" s="129"/>
      <c r="C284" s="339" t="str">
        <f>'Unit Data from Audit Worksheet'!D311</f>
        <v>Has the finance officer or interim finance officer submitted (or ensured or confirmed submission of) all required and applicable reports including but not limited to  the FY2020 annual audit report (N.C.G.S. 159-34), the semi-annual report on cash and investments (LGC-203) due July 25, 2020 and January 25, 2020 (N.C.G.S. 159-33), and the annual financial information report (AFIR) due by counites and municipalities October 31, 2020 (N.C.G.S. 159-33.1), and any other reports due  during the fiscal year corresponding to the audit report being submitted? (Y/N)</v>
      </c>
      <c r="D284" s="362"/>
      <c r="E284" s="184">
        <f>'Unit Data from Audit Worksheet'!F311</f>
        <v>0</v>
      </c>
      <c r="F284" s="353" t="str">
        <f>'Unit Data from Audit Worksheet'!G311</f>
        <v>Please do not leave blank</v>
      </c>
      <c r="G284" s="355"/>
      <c r="H284" s="352"/>
      <c r="I284" s="38"/>
      <c r="J284" s="173">
        <v>958</v>
      </c>
      <c r="K284" s="671" t="s">
        <v>835</v>
      </c>
      <c r="L284" s="675">
        <f t="shared" si="28"/>
        <v>0</v>
      </c>
      <c r="N284" s="665"/>
      <c r="P284" s="329"/>
      <c r="Q284" s="631">
        <f t="shared" si="29"/>
        <v>1</v>
      </c>
      <c r="W284" s="3" t="b">
        <f t="shared" si="27"/>
        <v>1</v>
      </c>
      <c r="X284" s="596">
        <f t="shared" si="30"/>
        <v>0</v>
      </c>
      <c r="Y284" s="596">
        <f t="shared" si="31"/>
        <v>0</v>
      </c>
    </row>
    <row r="285" spans="1:25" ht="30.75" customHeight="1" x14ac:dyDescent="0.3">
      <c r="A285" s="676">
        <f>'Unit Data from Audit Worksheet'!A319</f>
        <v>960</v>
      </c>
      <c r="B285" s="180"/>
      <c r="C285" s="181" t="str">
        <f>'Unit Data from Audit Worksheet'!B319</f>
        <v>Name of Finance Officer</v>
      </c>
      <c r="D285" s="362"/>
      <c r="E285" s="677">
        <f>'Unit Data from Audit Worksheet'!D319</f>
        <v>0</v>
      </c>
      <c r="F285" s="678" t="str">
        <f>'Unit Data from Audit Worksheet'!F319</f>
        <v>Required</v>
      </c>
      <c r="G285" s="355"/>
      <c r="H285" s="352"/>
      <c r="I285" s="38"/>
      <c r="J285" s="183">
        <v>960</v>
      </c>
      <c r="K285" s="679" t="s">
        <v>826</v>
      </c>
      <c r="L285" s="680">
        <f t="shared" si="28"/>
        <v>0</v>
      </c>
      <c r="N285" s="623"/>
      <c r="P285" s="329"/>
      <c r="Q285" s="631">
        <f>IF(L285=0,1,0)</f>
        <v>1</v>
      </c>
      <c r="X285" s="596"/>
      <c r="Y285" s="596"/>
    </row>
    <row r="286" spans="1:25" ht="30.75" customHeight="1" x14ac:dyDescent="0.3">
      <c r="A286" s="676">
        <f>'Unit Data from Audit Worksheet'!A320</f>
        <v>962</v>
      </c>
      <c r="B286" s="180"/>
      <c r="C286" s="181" t="str">
        <f>'Unit Data from Audit Worksheet'!B320</f>
        <v>Title of Official</v>
      </c>
      <c r="D286" s="362"/>
      <c r="E286" s="677">
        <f>'Unit Data from Audit Worksheet'!D320</f>
        <v>0</v>
      </c>
      <c r="F286" s="678" t="str">
        <f>'Unit Data from Audit Worksheet'!F320</f>
        <v>Required</v>
      </c>
      <c r="G286" s="355"/>
      <c r="H286" s="352"/>
      <c r="I286" s="38"/>
      <c r="J286" s="183">
        <v>962</v>
      </c>
      <c r="K286" s="679" t="s">
        <v>785</v>
      </c>
      <c r="L286" s="680">
        <f t="shared" si="28"/>
        <v>0</v>
      </c>
      <c r="N286" s="623"/>
      <c r="P286" s="329"/>
      <c r="Q286" s="631">
        <f>IF(L286=0,1,0)</f>
        <v>1</v>
      </c>
      <c r="X286" s="596"/>
      <c r="Y286" s="596"/>
    </row>
    <row r="287" spans="1:25" ht="30.75" customHeight="1" x14ac:dyDescent="0.3">
      <c r="A287" s="676">
        <f>'Unit Data from Audit Worksheet'!A321</f>
        <v>964</v>
      </c>
      <c r="B287" s="180"/>
      <c r="C287" s="182" t="str">
        <f>'Unit Data from Audit Worksheet'!B321</f>
        <v>Date                        (Enter as "MM/DD/YYYY")</v>
      </c>
      <c r="D287" s="362"/>
      <c r="E287" s="681" t="str">
        <f>IF('Unit Data from Audit Worksheet'!D321&gt;0,'Unit Data from Audit Worksheet'!D321," ")</f>
        <v xml:space="preserve"> </v>
      </c>
      <c r="F287" s="678" t="str">
        <f>'Unit Data from Audit Worksheet'!F321</f>
        <v>Required</v>
      </c>
      <c r="G287" s="355"/>
      <c r="H287" s="352"/>
      <c r="I287" s="38"/>
      <c r="J287" s="183">
        <v>964</v>
      </c>
      <c r="K287" s="679" t="s">
        <v>878</v>
      </c>
      <c r="L287" s="682" t="str">
        <f t="shared" si="28"/>
        <v xml:space="preserve"> </v>
      </c>
      <c r="N287" s="623"/>
      <c r="P287" s="329"/>
      <c r="Q287" s="631">
        <f>IF(L287=0,1,0)</f>
        <v>0</v>
      </c>
      <c r="X287" s="596"/>
      <c r="Y287" s="596"/>
    </row>
    <row r="288" spans="1:25" ht="30.75" customHeight="1" x14ac:dyDescent="0.3">
      <c r="A288" s="676">
        <f>'Unit Data from Audit Worksheet'!A322</f>
        <v>966</v>
      </c>
      <c r="B288" s="180"/>
      <c r="C288" s="181" t="str">
        <f>'Unit Data from Audit Worksheet'!B322</f>
        <v>Telephone number</v>
      </c>
      <c r="D288" s="362"/>
      <c r="E288" s="677">
        <f>'Unit Data from Audit Worksheet'!D322</f>
        <v>0</v>
      </c>
      <c r="F288" s="678" t="str">
        <f>'Unit Data from Audit Worksheet'!F322</f>
        <v>Required</v>
      </c>
      <c r="G288" s="355"/>
      <c r="H288" s="352"/>
      <c r="I288" s="38"/>
      <c r="J288" s="183">
        <v>966</v>
      </c>
      <c r="K288" s="679" t="s">
        <v>787</v>
      </c>
      <c r="L288" s="680">
        <f t="shared" si="28"/>
        <v>0</v>
      </c>
      <c r="N288" s="623"/>
      <c r="P288" s="329"/>
      <c r="Q288" s="631">
        <f>IF(L288=0,1,0)</f>
        <v>1</v>
      </c>
      <c r="X288" s="596"/>
      <c r="Y288" s="596"/>
    </row>
    <row r="289" spans="1:25" ht="30.75" customHeight="1" x14ac:dyDescent="0.3">
      <c r="A289" s="676">
        <f>'Unit Data from Audit Worksheet'!A323</f>
        <v>968</v>
      </c>
      <c r="B289" s="180"/>
      <c r="C289" s="181" t="str">
        <f>'Unit Data from Audit Worksheet'!B323</f>
        <v>E-mail address</v>
      </c>
      <c r="D289" s="362"/>
      <c r="E289" s="677">
        <f>'Unit Data from Audit Worksheet'!D323</f>
        <v>0</v>
      </c>
      <c r="F289" s="678" t="str">
        <f>'Unit Data from Audit Worksheet'!F323</f>
        <v>Required</v>
      </c>
      <c r="G289" s="355"/>
      <c r="H289" s="352"/>
      <c r="I289" s="38"/>
      <c r="J289" s="183">
        <v>968</v>
      </c>
      <c r="K289" s="679" t="s">
        <v>788</v>
      </c>
      <c r="L289" s="680">
        <f t="shared" si="28"/>
        <v>0</v>
      </c>
      <c r="N289" s="623"/>
      <c r="P289" s="329"/>
      <c r="Q289" s="631">
        <f>IF(L289=0,1,0)</f>
        <v>1</v>
      </c>
      <c r="X289" s="596"/>
      <c r="Y289" s="596"/>
    </row>
    <row r="290" spans="1:25" ht="75.599999999999994" customHeight="1" x14ac:dyDescent="0.3">
      <c r="A290" s="683">
        <f>+'TD Info Completed by Auditor'!D74</f>
        <v>980</v>
      </c>
      <c r="B290" s="372" t="s">
        <v>1110</v>
      </c>
      <c r="C290" s="389" t="str">
        <f>+'TD Info Completed by Auditor'!E74</f>
        <v>Date the Auditor presented or plans to present the Audit to the Governing Board</v>
      </c>
      <c r="D290" s="362"/>
      <c r="E290" s="684" t="str">
        <f>IF('TD Info Completed by Auditor'!G74&gt;0,'TD Info Completed by Auditor'!G74," ")</f>
        <v xml:space="preserve"> </v>
      </c>
      <c r="F290" s="685" t="s">
        <v>1317</v>
      </c>
      <c r="G290" s="355"/>
      <c r="H290" s="352"/>
      <c r="I290" s="38"/>
      <c r="J290" s="390">
        <v>980</v>
      </c>
      <c r="K290" s="391" t="s">
        <v>1073</v>
      </c>
      <c r="L290" s="686" t="str">
        <f t="shared" si="28"/>
        <v xml:space="preserve"> </v>
      </c>
      <c r="N290" s="623"/>
      <c r="P290" s="329"/>
      <c r="Q290" s="631"/>
      <c r="X290" s="596"/>
      <c r="Y290" s="596"/>
    </row>
    <row r="291" spans="1:25" ht="83.4" customHeight="1" x14ac:dyDescent="0.3">
      <c r="A291" s="653"/>
      <c r="B291" s="95"/>
      <c r="C291" s="654"/>
      <c r="D291" s="656"/>
      <c r="E291" s="657"/>
      <c r="F291" s="658"/>
      <c r="G291" s="659"/>
      <c r="H291" s="660"/>
      <c r="I291" s="38"/>
      <c r="J291" s="173">
        <v>999</v>
      </c>
      <c r="K291" s="671" t="s">
        <v>293</v>
      </c>
      <c r="L291" s="687" t="e">
        <f>'Unit Data from Audit Worksheet'!D3</f>
        <v>#N/A</v>
      </c>
      <c r="M291" s="649"/>
      <c r="N291" s="688" t="s">
        <v>1316</v>
      </c>
      <c r="O291" s="688" t="s">
        <v>1315</v>
      </c>
      <c r="P291" s="329"/>
      <c r="W291" s="3" t="b">
        <f>EXACT(A291,J291)</f>
        <v>0</v>
      </c>
      <c r="X291" s="596" t="e">
        <f t="shared" si="30"/>
        <v>#N/A</v>
      </c>
      <c r="Y291" s="596" t="e">
        <f t="shared" si="31"/>
        <v>#N/A</v>
      </c>
    </row>
    <row r="292" spans="1:25" x14ac:dyDescent="0.3">
      <c r="A292" s="302"/>
      <c r="B292" s="302"/>
      <c r="C292" s="302"/>
      <c r="D292" s="302"/>
      <c r="E292" s="302"/>
      <c r="F292" s="302"/>
      <c r="G292" s="302"/>
      <c r="H292" s="302"/>
      <c r="I292" s="302"/>
      <c r="J292" s="3"/>
      <c r="K292" s="3"/>
      <c r="L292" s="3"/>
      <c r="N292" s="4"/>
      <c r="P292" s="330"/>
    </row>
    <row r="293" spans="1:25" x14ac:dyDescent="0.3">
      <c r="D293" s="690"/>
      <c r="E293" s="691"/>
      <c r="F293" s="691"/>
      <c r="G293" s="692"/>
      <c r="H293" s="691"/>
      <c r="I293" s="693"/>
      <c r="K293" s="10"/>
      <c r="L293" s="694"/>
      <c r="N293" s="4"/>
      <c r="P293" s="330"/>
    </row>
    <row r="294" spans="1:25" ht="18" x14ac:dyDescent="0.35">
      <c r="A294" s="162" t="s">
        <v>720</v>
      </c>
      <c r="B294" s="163"/>
      <c r="C294" s="164"/>
      <c r="D294" s="165"/>
      <c r="E294" s="166"/>
      <c r="F294" s="691"/>
      <c r="G294" s="692"/>
      <c r="H294" s="691"/>
      <c r="I294" s="693"/>
      <c r="L294" s="694"/>
      <c r="N294" s="4"/>
      <c r="P294" s="330"/>
    </row>
    <row r="295" spans="1:25" ht="117" customHeight="1" x14ac:dyDescent="0.7">
      <c r="A295" s="340">
        <f>'Unit Data from Audit Worksheet'!A88</f>
        <v>590</v>
      </c>
      <c r="B295" s="340" t="str">
        <f>'Unit Data from Audit Worksheet'!B88</f>
        <v>Fiscal Review</v>
      </c>
      <c r="C295" s="79" t="str">
        <f>'Unit Data from Audit Worksheet'!D88</f>
        <v>If you appropriated General Fund Balance in your 2021 budget and your "change in fund balance": (account # 23 above) is negative, please select from the drop down box in column F either "operations" or "capital", whichever best describes what the fund balance was used for.  If you select "Capital" please briefly describe in column G to the right the capital items.</v>
      </c>
      <c r="D295" s="78"/>
      <c r="E295" s="101">
        <f>'Unit Data from Audit Worksheet'!F88</f>
        <v>0</v>
      </c>
      <c r="F295" s="78">
        <f>'Unit Data from Audit Worksheet'!G88</f>
        <v>0</v>
      </c>
      <c r="G295" s="692"/>
      <c r="H295" s="691"/>
      <c r="I295" s="693"/>
      <c r="J295" s="155" t="e">
        <f>SUM(Q5:Q295)</f>
        <v>#N/A</v>
      </c>
      <c r="K295" s="154" t="s">
        <v>823</v>
      </c>
      <c r="L295" s="694" t="e">
        <f>SUM(G5:G245)</f>
        <v>#N/A</v>
      </c>
      <c r="N295" s="4"/>
      <c r="P295" s="330"/>
    </row>
    <row r="296" spans="1:25" ht="14.25" customHeight="1" x14ac:dyDescent="0.3">
      <c r="A296" s="302"/>
      <c r="B296" s="302"/>
      <c r="C296" s="302"/>
      <c r="D296" s="302"/>
      <c r="E296" s="302"/>
      <c r="F296" s="691"/>
      <c r="G296" s="692"/>
      <c r="H296" s="691"/>
      <c r="I296" s="693"/>
      <c r="K296" s="10"/>
      <c r="L296" s="695"/>
      <c r="P296" s="330"/>
      <c r="Q296" s="83"/>
    </row>
    <row r="297" spans="1:25" x14ac:dyDescent="0.3">
      <c r="A297" s="302"/>
      <c r="B297" s="302"/>
      <c r="C297" s="302"/>
      <c r="D297" s="302"/>
      <c r="E297" s="302"/>
      <c r="F297" s="691"/>
      <c r="G297" s="692"/>
      <c r="H297" s="691"/>
      <c r="I297" s="693"/>
      <c r="K297" s="10"/>
      <c r="L297" s="695"/>
      <c r="P297" s="330"/>
    </row>
    <row r="298" spans="1:25" ht="18.75" customHeight="1" x14ac:dyDescent="0.3">
      <c r="A298" s="302"/>
      <c r="B298" s="302"/>
      <c r="C298" s="302"/>
      <c r="D298" s="302"/>
      <c r="E298" s="302"/>
      <c r="F298" s="691"/>
      <c r="G298" s="692"/>
      <c r="H298" s="691"/>
      <c r="I298" s="693"/>
      <c r="J298" s="5">
        <f>SUM(J5:J245)</f>
        <v>98821</v>
      </c>
      <c r="K298" s="10"/>
      <c r="L298" s="695"/>
      <c r="P298" s="330"/>
    </row>
    <row r="299" spans="1:25" ht="30.75" customHeight="1" x14ac:dyDescent="0.3">
      <c r="A299" s="302"/>
      <c r="B299" s="302"/>
      <c r="C299" s="302"/>
      <c r="D299" s="302"/>
      <c r="E299" s="302"/>
      <c r="F299" s="691"/>
      <c r="G299" s="692"/>
      <c r="H299" s="691"/>
      <c r="I299" s="693"/>
      <c r="J299" s="5">
        <f>SUM(J261:J265)+SUM(J277:J290)</f>
        <v>13934</v>
      </c>
      <c r="K299" s="10"/>
      <c r="L299" s="695"/>
      <c r="P299" s="330"/>
    </row>
    <row r="300" spans="1:25" ht="30.75" customHeight="1" x14ac:dyDescent="0.3">
      <c r="A300" s="302"/>
      <c r="B300" s="302"/>
      <c r="C300" s="302"/>
      <c r="D300" s="302"/>
      <c r="E300" s="302"/>
      <c r="F300" s="691"/>
      <c r="G300" s="692"/>
      <c r="H300" s="691"/>
      <c r="I300" s="693"/>
      <c r="J300" s="5">
        <f>+J298+J299</f>
        <v>112755</v>
      </c>
      <c r="K300" s="10"/>
      <c r="L300" s="695"/>
      <c r="P300" s="330"/>
    </row>
    <row r="301" spans="1:25" ht="30.75" customHeight="1" x14ac:dyDescent="0.3">
      <c r="A301" s="302"/>
      <c r="B301" s="302"/>
      <c r="C301" s="302"/>
      <c r="D301" s="302"/>
      <c r="E301" s="302"/>
      <c r="F301" s="691"/>
      <c r="G301" s="692"/>
      <c r="H301" s="691"/>
      <c r="I301" s="693"/>
      <c r="J301" s="5">
        <f>+'Unit Data from Audit Worksheet'!A327</f>
        <v>96734</v>
      </c>
      <c r="K301" s="10"/>
      <c r="L301" s="695"/>
      <c r="P301" s="330"/>
    </row>
    <row r="302" spans="1:25" ht="30.75" customHeight="1" x14ac:dyDescent="0.3">
      <c r="A302" s="302"/>
      <c r="B302" s="302"/>
      <c r="C302" s="302"/>
      <c r="D302" s="302"/>
      <c r="E302" s="302"/>
      <c r="F302" s="691"/>
      <c r="G302" s="692"/>
      <c r="H302" s="691"/>
      <c r="I302" s="693"/>
      <c r="J302" s="5">
        <f>+J300-J301</f>
        <v>16021</v>
      </c>
      <c r="K302" s="10"/>
      <c r="L302" s="695"/>
      <c r="P302" s="330"/>
    </row>
    <row r="303" spans="1:25" ht="30.75" customHeight="1" x14ac:dyDescent="0.3">
      <c r="A303" s="302"/>
      <c r="B303" s="302"/>
      <c r="C303" s="302"/>
      <c r="D303" s="302"/>
      <c r="E303" s="302"/>
      <c r="F303" s="691"/>
      <c r="G303" s="692"/>
      <c r="H303" s="691"/>
      <c r="I303" s="693"/>
      <c r="K303" s="10"/>
      <c r="L303" s="695"/>
      <c r="P303" s="330"/>
    </row>
    <row r="304" spans="1:25" x14ac:dyDescent="0.3">
      <c r="A304" s="302"/>
      <c r="B304" s="302"/>
      <c r="C304" s="302"/>
      <c r="D304" s="302"/>
      <c r="E304" s="302"/>
      <c r="I304" s="693"/>
      <c r="K304" s="10"/>
      <c r="L304" s="695"/>
      <c r="P304" s="330"/>
    </row>
    <row r="305" spans="1:16" x14ac:dyDescent="0.3">
      <c r="A305" s="302"/>
      <c r="B305" s="302"/>
      <c r="C305" s="302"/>
      <c r="D305" s="302"/>
      <c r="E305" s="302"/>
      <c r="I305" s="693"/>
      <c r="L305" s="695"/>
      <c r="P305" s="330"/>
    </row>
    <row r="306" spans="1:16" x14ac:dyDescent="0.3">
      <c r="A306" s="5"/>
      <c r="B306" s="696"/>
      <c r="C306" s="26"/>
      <c r="D306" s="77"/>
      <c r="I306" s="693"/>
      <c r="L306" s="695"/>
      <c r="P306" s="330"/>
    </row>
    <row r="307" spans="1:16" x14ac:dyDescent="0.3">
      <c r="A307" s="5"/>
      <c r="B307" s="696"/>
      <c r="C307" s="26"/>
      <c r="D307" s="77"/>
      <c r="L307" s="695"/>
      <c r="P307" s="330"/>
    </row>
    <row r="308" spans="1:16" x14ac:dyDescent="0.3">
      <c r="D308" s="77"/>
      <c r="P308" s="330"/>
    </row>
    <row r="309" spans="1:16" x14ac:dyDescent="0.3">
      <c r="D309" s="77"/>
      <c r="P309" s="330"/>
    </row>
    <row r="310" spans="1:16" x14ac:dyDescent="0.3">
      <c r="D310" s="77"/>
      <c r="P310" s="330"/>
    </row>
    <row r="311" spans="1:16" x14ac:dyDescent="0.3">
      <c r="D311" s="77"/>
      <c r="P311" s="330"/>
    </row>
    <row r="312" spans="1:16" x14ac:dyDescent="0.3">
      <c r="A312" s="5"/>
      <c r="B312" s="696"/>
      <c r="C312" s="26"/>
      <c r="D312" s="77"/>
      <c r="P312" s="330"/>
    </row>
    <row r="313" spans="1:16" x14ac:dyDescent="0.3">
      <c r="A313" s="5"/>
      <c r="B313" s="696"/>
      <c r="C313" s="26"/>
      <c r="D313" s="77"/>
      <c r="P313" s="330"/>
    </row>
    <row r="314" spans="1:16" x14ac:dyDescent="0.3">
      <c r="D314" s="77"/>
      <c r="P314" s="330"/>
    </row>
    <row r="315" spans="1:16" x14ac:dyDescent="0.3">
      <c r="D315" s="77"/>
      <c r="P315" s="330"/>
    </row>
    <row r="316" spans="1:16" x14ac:dyDescent="0.3">
      <c r="D316" s="77"/>
      <c r="P316" s="330"/>
    </row>
    <row r="317" spans="1:16" x14ac:dyDescent="0.3">
      <c r="D317" s="77"/>
      <c r="P317" s="330"/>
    </row>
    <row r="318" spans="1:16" x14ac:dyDescent="0.3">
      <c r="A318" s="5"/>
      <c r="B318" s="696"/>
      <c r="C318" s="26"/>
      <c r="D318" s="77"/>
      <c r="P318" s="330"/>
    </row>
    <row r="319" spans="1:16" x14ac:dyDescent="0.3">
      <c r="A319" s="5"/>
      <c r="B319" s="696"/>
      <c r="C319" s="26"/>
      <c r="D319" s="77"/>
      <c r="P319" s="330"/>
    </row>
    <row r="320" spans="1:16" x14ac:dyDescent="0.3">
      <c r="D320" s="77"/>
      <c r="P320" s="330"/>
    </row>
    <row r="321" spans="1:16" x14ac:dyDescent="0.3">
      <c r="D321" s="77"/>
      <c r="P321" s="330"/>
    </row>
    <row r="322" spans="1:16" x14ac:dyDescent="0.3">
      <c r="D322" s="77"/>
      <c r="P322" s="330"/>
    </row>
    <row r="323" spans="1:16" x14ac:dyDescent="0.3">
      <c r="D323" s="77"/>
      <c r="P323" s="330"/>
    </row>
    <row r="324" spans="1:16" x14ac:dyDescent="0.3">
      <c r="A324" s="5"/>
      <c r="B324" s="696"/>
      <c r="C324" s="26"/>
      <c r="D324" s="77"/>
      <c r="P324" s="330"/>
    </row>
    <row r="325" spans="1:16" x14ac:dyDescent="0.3">
      <c r="A325" s="5"/>
      <c r="B325" s="696"/>
      <c r="C325" s="26"/>
      <c r="D325" s="77"/>
      <c r="P325" s="330"/>
    </row>
    <row r="326" spans="1:16" x14ac:dyDescent="0.3">
      <c r="A326" s="5"/>
      <c r="B326" s="696"/>
      <c r="C326" s="26"/>
      <c r="D326" s="77"/>
      <c r="P326" s="330"/>
    </row>
    <row r="327" spans="1:16" x14ac:dyDescent="0.3">
      <c r="A327" s="5"/>
      <c r="B327" s="696"/>
      <c r="C327" s="26"/>
      <c r="D327" s="77"/>
      <c r="P327" s="330"/>
    </row>
    <row r="328" spans="1:16" x14ac:dyDescent="0.3">
      <c r="D328" s="77"/>
      <c r="P328" s="330"/>
    </row>
    <row r="329" spans="1:16" x14ac:dyDescent="0.3">
      <c r="D329" s="77"/>
      <c r="P329" s="330"/>
    </row>
    <row r="330" spans="1:16" x14ac:dyDescent="0.3">
      <c r="D330" s="77"/>
      <c r="P330" s="330"/>
    </row>
    <row r="331" spans="1:16" x14ac:dyDescent="0.3">
      <c r="A331" s="5"/>
      <c r="B331" s="696"/>
      <c r="C331" s="26"/>
      <c r="D331" s="77"/>
      <c r="P331" s="330"/>
    </row>
    <row r="332" spans="1:16" x14ac:dyDescent="0.3">
      <c r="A332" s="5"/>
      <c r="B332" s="696"/>
      <c r="C332" s="26"/>
      <c r="D332" s="77"/>
      <c r="P332" s="330"/>
    </row>
    <row r="333" spans="1:16" x14ac:dyDescent="0.3">
      <c r="A333" s="5"/>
      <c r="B333" s="696"/>
      <c r="C333" s="26"/>
      <c r="D333" s="77"/>
      <c r="P333" s="330"/>
    </row>
    <row r="334" spans="1:16" x14ac:dyDescent="0.3">
      <c r="A334" s="5"/>
      <c r="B334" s="696"/>
      <c r="C334" s="26"/>
      <c r="D334" s="77"/>
      <c r="P334" s="330"/>
    </row>
    <row r="335" spans="1:16" x14ac:dyDescent="0.3">
      <c r="A335" s="5"/>
      <c r="B335" s="696"/>
      <c r="C335" s="26"/>
      <c r="D335" s="77"/>
      <c r="P335" s="330"/>
    </row>
    <row r="336" spans="1:16" x14ac:dyDescent="0.3">
      <c r="A336" s="5"/>
      <c r="B336" s="696"/>
      <c r="C336" s="26"/>
      <c r="D336" s="77"/>
      <c r="P336" s="330"/>
    </row>
    <row r="337" spans="1:16" x14ac:dyDescent="0.3">
      <c r="A337" s="5"/>
      <c r="B337" s="696"/>
      <c r="C337" s="26"/>
      <c r="D337" s="77"/>
      <c r="P337" s="330"/>
    </row>
    <row r="338" spans="1:16" x14ac:dyDescent="0.3">
      <c r="A338" s="5"/>
      <c r="B338" s="696"/>
      <c r="C338" s="26"/>
      <c r="D338" s="77"/>
      <c r="P338" s="330"/>
    </row>
    <row r="339" spans="1:16" x14ac:dyDescent="0.3">
      <c r="A339" s="5"/>
      <c r="B339" s="696"/>
      <c r="C339" s="26"/>
      <c r="D339" s="77"/>
      <c r="P339" s="330"/>
    </row>
    <row r="340" spans="1:16" x14ac:dyDescent="0.3">
      <c r="A340" s="5"/>
      <c r="B340" s="696"/>
      <c r="C340" s="26"/>
      <c r="D340" s="77"/>
      <c r="P340" s="330"/>
    </row>
    <row r="341" spans="1:16" x14ac:dyDescent="0.3">
      <c r="A341" s="5"/>
      <c r="B341" s="696"/>
      <c r="C341" s="26"/>
      <c r="D341" s="77"/>
      <c r="P341" s="330"/>
    </row>
    <row r="342" spans="1:16" x14ac:dyDescent="0.3">
      <c r="A342" s="5"/>
      <c r="B342" s="696"/>
      <c r="C342" s="26"/>
      <c r="D342" s="77"/>
      <c r="P342" s="330"/>
    </row>
    <row r="343" spans="1:16" x14ac:dyDescent="0.3">
      <c r="A343" s="5"/>
      <c r="B343" s="696"/>
      <c r="C343" s="26"/>
      <c r="D343" s="77"/>
      <c r="P343" s="330"/>
    </row>
    <row r="344" spans="1:16" x14ac:dyDescent="0.3">
      <c r="A344" s="5"/>
      <c r="B344" s="696"/>
      <c r="C344" s="26"/>
      <c r="D344" s="77"/>
      <c r="P344" s="330"/>
    </row>
    <row r="345" spans="1:16" x14ac:dyDescent="0.3">
      <c r="A345" s="5"/>
      <c r="B345" s="696"/>
      <c r="C345" s="26"/>
      <c r="D345" s="77"/>
      <c r="P345" s="330"/>
    </row>
    <row r="346" spans="1:16" x14ac:dyDescent="0.3">
      <c r="A346" s="5"/>
      <c r="B346" s="696"/>
      <c r="C346" s="26"/>
      <c r="D346" s="77"/>
      <c r="P346" s="330"/>
    </row>
    <row r="347" spans="1:16" x14ac:dyDescent="0.3">
      <c r="A347" s="5"/>
      <c r="B347" s="696"/>
      <c r="C347" s="26"/>
      <c r="D347" s="77"/>
      <c r="P347" s="330"/>
    </row>
    <row r="348" spans="1:16" x14ac:dyDescent="0.3">
      <c r="A348" s="5"/>
      <c r="B348" s="696"/>
      <c r="C348" s="26"/>
      <c r="D348" s="77"/>
      <c r="P348" s="330"/>
    </row>
    <row r="349" spans="1:16" x14ac:dyDescent="0.3">
      <c r="A349" s="5"/>
      <c r="B349" s="696"/>
      <c r="C349" s="26"/>
      <c r="D349" s="77"/>
      <c r="P349" s="330"/>
    </row>
    <row r="350" spans="1:16" x14ac:dyDescent="0.3">
      <c r="A350" s="5"/>
      <c r="B350" s="696"/>
      <c r="C350" s="26"/>
      <c r="D350" s="77"/>
      <c r="P350" s="330"/>
    </row>
    <row r="351" spans="1:16" x14ac:dyDescent="0.3">
      <c r="A351" s="5"/>
      <c r="B351" s="696"/>
      <c r="C351" s="26"/>
      <c r="D351" s="77"/>
      <c r="P351" s="330"/>
    </row>
    <row r="352" spans="1:16" x14ac:dyDescent="0.3">
      <c r="A352" s="5"/>
      <c r="B352" s="696"/>
      <c r="C352" s="26"/>
      <c r="D352" s="77"/>
      <c r="P352" s="330"/>
    </row>
    <row r="353" spans="1:16" x14ac:dyDescent="0.3">
      <c r="A353" s="5"/>
      <c r="B353" s="696"/>
      <c r="C353" s="26"/>
      <c r="D353" s="77"/>
      <c r="P353" s="330"/>
    </row>
    <row r="354" spans="1:16" x14ac:dyDescent="0.3">
      <c r="A354" s="5"/>
      <c r="B354" s="696"/>
      <c r="C354" s="26"/>
      <c r="D354" s="77"/>
      <c r="P354" s="330"/>
    </row>
    <row r="355" spans="1:16" x14ac:dyDescent="0.3">
      <c r="A355" s="5"/>
      <c r="B355" s="696"/>
      <c r="C355" s="26"/>
      <c r="D355" s="77"/>
      <c r="P355" s="330"/>
    </row>
    <row r="356" spans="1:16" x14ac:dyDescent="0.3">
      <c r="A356" s="5"/>
      <c r="B356" s="696"/>
      <c r="C356" s="26"/>
      <c r="D356" s="77"/>
      <c r="P356" s="330"/>
    </row>
    <row r="357" spans="1:16" x14ac:dyDescent="0.3">
      <c r="A357" s="5"/>
      <c r="B357" s="696"/>
      <c r="C357" s="26"/>
      <c r="D357" s="77"/>
      <c r="P357" s="330"/>
    </row>
    <row r="358" spans="1:16" x14ac:dyDescent="0.3">
      <c r="A358" s="5"/>
      <c r="B358" s="696"/>
      <c r="C358" s="26"/>
      <c r="D358" s="77"/>
      <c r="P358" s="330"/>
    </row>
    <row r="359" spans="1:16" x14ac:dyDescent="0.3">
      <c r="A359" s="5"/>
      <c r="B359" s="696"/>
      <c r="C359" s="26"/>
      <c r="D359" s="77"/>
      <c r="P359" s="330"/>
    </row>
    <row r="360" spans="1:16" x14ac:dyDescent="0.3">
      <c r="A360" s="5"/>
      <c r="B360" s="696"/>
      <c r="C360" s="26"/>
      <c r="D360" s="77"/>
      <c r="P360" s="330"/>
    </row>
    <row r="361" spans="1:16" x14ac:dyDescent="0.3">
      <c r="A361" s="5"/>
      <c r="B361" s="696"/>
      <c r="C361" s="26"/>
      <c r="D361" s="77"/>
      <c r="P361" s="330"/>
    </row>
    <row r="362" spans="1:16" x14ac:dyDescent="0.3">
      <c r="A362" s="5"/>
      <c r="B362" s="696"/>
      <c r="C362" s="26"/>
      <c r="D362" s="77"/>
      <c r="P362" s="330"/>
    </row>
    <row r="363" spans="1:16" x14ac:dyDescent="0.3">
      <c r="A363" s="5"/>
      <c r="B363" s="696"/>
      <c r="C363" s="26"/>
      <c r="D363" s="77"/>
      <c r="P363" s="330"/>
    </row>
    <row r="364" spans="1:16" x14ac:dyDescent="0.3">
      <c r="A364" s="5"/>
      <c r="B364" s="696"/>
      <c r="C364" s="26"/>
      <c r="D364" s="77"/>
      <c r="P364" s="330"/>
    </row>
    <row r="365" spans="1:16" x14ac:dyDescent="0.3">
      <c r="A365" s="5"/>
      <c r="B365" s="696"/>
      <c r="C365" s="26"/>
      <c r="D365" s="77"/>
      <c r="P365" s="330"/>
    </row>
    <row r="366" spans="1:16" x14ac:dyDescent="0.3">
      <c r="A366" s="5"/>
      <c r="B366" s="696"/>
      <c r="C366" s="26"/>
      <c r="D366" s="77"/>
      <c r="P366" s="330"/>
    </row>
    <row r="367" spans="1:16" x14ac:dyDescent="0.3">
      <c r="A367" s="5"/>
      <c r="B367" s="696"/>
      <c r="C367" s="26"/>
      <c r="D367" s="77"/>
      <c r="P367" s="330"/>
    </row>
    <row r="368" spans="1:16" x14ac:dyDescent="0.3">
      <c r="A368" s="5"/>
      <c r="B368" s="696"/>
      <c r="C368" s="26"/>
      <c r="D368" s="77"/>
      <c r="P368" s="330"/>
    </row>
    <row r="369" spans="1:16" x14ac:dyDescent="0.3">
      <c r="A369" s="5"/>
      <c r="B369" s="696"/>
      <c r="C369" s="26"/>
      <c r="D369" s="77"/>
      <c r="P369" s="330"/>
    </row>
    <row r="370" spans="1:16" x14ac:dyDescent="0.3">
      <c r="A370" s="5"/>
      <c r="B370" s="696"/>
      <c r="C370" s="26"/>
      <c r="D370" s="77"/>
      <c r="P370" s="330"/>
    </row>
    <row r="371" spans="1:16" x14ac:dyDescent="0.3">
      <c r="A371" s="5"/>
      <c r="B371" s="696"/>
      <c r="C371" s="26"/>
      <c r="D371" s="77"/>
      <c r="P371" s="330"/>
    </row>
    <row r="372" spans="1:16" x14ac:dyDescent="0.3">
      <c r="A372" s="5"/>
      <c r="B372" s="696"/>
      <c r="C372" s="26"/>
      <c r="D372" s="77"/>
      <c r="P372" s="330"/>
    </row>
    <row r="373" spans="1:16" x14ac:dyDescent="0.3">
      <c r="A373" s="5"/>
      <c r="B373" s="696"/>
      <c r="C373" s="26"/>
      <c r="D373" s="77"/>
      <c r="P373" s="330"/>
    </row>
    <row r="374" spans="1:16" x14ac:dyDescent="0.3">
      <c r="A374" s="5"/>
      <c r="B374" s="696"/>
      <c r="C374" s="26"/>
      <c r="D374" s="77"/>
      <c r="P374" s="330"/>
    </row>
    <row r="375" spans="1:16" x14ac:dyDescent="0.3">
      <c r="A375" s="5"/>
      <c r="B375" s="696"/>
      <c r="C375" s="26"/>
      <c r="D375" s="77"/>
      <c r="P375" s="330"/>
    </row>
    <row r="376" spans="1:16" x14ac:dyDescent="0.3">
      <c r="A376" s="5"/>
      <c r="B376" s="696"/>
      <c r="C376" s="26"/>
      <c r="D376" s="77"/>
      <c r="P376" s="330"/>
    </row>
    <row r="377" spans="1:16" x14ac:dyDescent="0.3">
      <c r="A377" s="5"/>
      <c r="B377" s="696"/>
      <c r="C377" s="26"/>
      <c r="D377" s="77"/>
      <c r="P377" s="330"/>
    </row>
    <row r="378" spans="1:16" x14ac:dyDescent="0.3">
      <c r="A378" s="5"/>
      <c r="B378" s="696"/>
      <c r="C378" s="26"/>
      <c r="D378" s="77"/>
      <c r="P378" s="330"/>
    </row>
    <row r="379" spans="1:16" x14ac:dyDescent="0.3">
      <c r="A379" s="5"/>
      <c r="B379" s="696"/>
      <c r="C379" s="26"/>
      <c r="D379" s="77"/>
      <c r="P379" s="330"/>
    </row>
    <row r="380" spans="1:16" x14ac:dyDescent="0.3">
      <c r="A380" s="5"/>
      <c r="B380" s="696"/>
      <c r="C380" s="26"/>
      <c r="D380" s="77"/>
      <c r="P380" s="330"/>
    </row>
    <row r="381" spans="1:16" x14ac:dyDescent="0.3">
      <c r="A381" s="5"/>
      <c r="B381" s="696"/>
      <c r="C381" s="26"/>
      <c r="D381" s="77"/>
      <c r="P381" s="330"/>
    </row>
    <row r="382" spans="1:16" x14ac:dyDescent="0.3">
      <c r="A382" s="5"/>
      <c r="B382" s="696"/>
      <c r="C382" s="26"/>
      <c r="D382" s="77"/>
      <c r="P382" s="330"/>
    </row>
    <row r="383" spans="1:16" x14ac:dyDescent="0.3">
      <c r="A383" s="5"/>
      <c r="B383" s="696"/>
      <c r="C383" s="26"/>
      <c r="D383" s="77"/>
      <c r="P383" s="330"/>
    </row>
    <row r="384" spans="1:16" x14ac:dyDescent="0.3">
      <c r="A384" s="5"/>
      <c r="B384" s="696"/>
      <c r="C384" s="26"/>
      <c r="D384" s="77"/>
      <c r="P384" s="330"/>
    </row>
    <row r="385" spans="1:16" x14ac:dyDescent="0.3">
      <c r="A385" s="5"/>
      <c r="B385" s="696"/>
      <c r="C385" s="26"/>
      <c r="D385" s="77"/>
      <c r="P385" s="330"/>
    </row>
    <row r="386" spans="1:16" x14ac:dyDescent="0.3">
      <c r="A386" s="5"/>
      <c r="B386" s="696"/>
      <c r="C386" s="26"/>
      <c r="D386" s="77"/>
      <c r="P386" s="330"/>
    </row>
    <row r="387" spans="1:16" x14ac:dyDescent="0.3">
      <c r="A387" s="5"/>
      <c r="B387" s="696"/>
      <c r="C387" s="26"/>
      <c r="D387" s="77"/>
      <c r="P387" s="330"/>
    </row>
    <row r="388" spans="1:16" x14ac:dyDescent="0.3">
      <c r="A388" s="5"/>
      <c r="B388" s="696"/>
      <c r="C388" s="26"/>
      <c r="D388" s="77"/>
      <c r="P388" s="330"/>
    </row>
    <row r="389" spans="1:16" x14ac:dyDescent="0.3">
      <c r="A389" s="5"/>
      <c r="B389" s="696"/>
      <c r="C389" s="26"/>
      <c r="D389" s="77"/>
      <c r="P389" s="330"/>
    </row>
    <row r="390" spans="1:16" x14ac:dyDescent="0.3">
      <c r="A390" s="5"/>
      <c r="B390" s="696"/>
      <c r="C390" s="26"/>
      <c r="D390" s="77"/>
      <c r="P390" s="330"/>
    </row>
    <row r="391" spans="1:16" x14ac:dyDescent="0.3">
      <c r="A391" s="5"/>
      <c r="B391" s="696"/>
      <c r="C391" s="26"/>
      <c r="D391" s="77"/>
      <c r="P391" s="330"/>
    </row>
    <row r="392" spans="1:16" x14ac:dyDescent="0.3">
      <c r="A392" s="5"/>
      <c r="B392" s="696"/>
      <c r="C392" s="26"/>
      <c r="D392" s="77"/>
      <c r="P392" s="330"/>
    </row>
    <row r="393" spans="1:16" x14ac:dyDescent="0.3">
      <c r="A393" s="5"/>
      <c r="B393" s="696"/>
      <c r="C393" s="26"/>
      <c r="D393" s="77"/>
      <c r="P393" s="330"/>
    </row>
    <row r="394" spans="1:16" x14ac:dyDescent="0.3">
      <c r="A394" s="5"/>
      <c r="B394" s="696"/>
      <c r="C394" s="26"/>
      <c r="D394" s="77"/>
      <c r="P394" s="330"/>
    </row>
    <row r="395" spans="1:16" x14ac:dyDescent="0.3">
      <c r="A395" s="5"/>
      <c r="B395" s="696"/>
      <c r="C395" s="26"/>
      <c r="D395" s="77"/>
      <c r="P395" s="330"/>
    </row>
    <row r="396" spans="1:16" x14ac:dyDescent="0.3">
      <c r="A396" s="5"/>
      <c r="B396" s="696"/>
      <c r="C396" s="26"/>
      <c r="D396" s="77"/>
      <c r="P396" s="330"/>
    </row>
    <row r="397" spans="1:16" x14ac:dyDescent="0.3">
      <c r="A397" s="5"/>
      <c r="B397" s="696"/>
      <c r="C397" s="26"/>
      <c r="D397" s="77"/>
      <c r="P397" s="330"/>
    </row>
    <row r="398" spans="1:16" x14ac:dyDescent="0.3">
      <c r="A398" s="5"/>
      <c r="B398" s="696"/>
      <c r="C398" s="26"/>
      <c r="D398" s="77"/>
      <c r="P398" s="330"/>
    </row>
    <row r="399" spans="1:16" x14ac:dyDescent="0.3">
      <c r="A399" s="5"/>
      <c r="B399" s="696"/>
      <c r="C399" s="26"/>
      <c r="D399" s="77"/>
      <c r="P399" s="330"/>
    </row>
    <row r="400" spans="1:16" x14ac:dyDescent="0.3">
      <c r="A400" s="5"/>
      <c r="B400" s="696"/>
      <c r="C400" s="26"/>
      <c r="D400" s="77"/>
      <c r="P400" s="330"/>
    </row>
    <row r="401" spans="1:16" x14ac:dyDescent="0.3">
      <c r="A401" s="5"/>
      <c r="B401" s="696"/>
      <c r="C401" s="26"/>
      <c r="D401" s="77"/>
      <c r="P401" s="330"/>
    </row>
    <row r="402" spans="1:16" x14ac:dyDescent="0.3">
      <c r="A402" s="5"/>
      <c r="B402" s="696"/>
      <c r="C402" s="26"/>
      <c r="D402" s="77"/>
      <c r="P402" s="330"/>
    </row>
    <row r="403" spans="1:16" x14ac:dyDescent="0.3">
      <c r="A403" s="5"/>
      <c r="B403" s="696"/>
      <c r="C403" s="26"/>
      <c r="D403" s="77"/>
      <c r="P403" s="330"/>
    </row>
    <row r="404" spans="1:16" x14ac:dyDescent="0.3">
      <c r="A404" s="5"/>
      <c r="B404" s="696"/>
      <c r="C404" s="26"/>
      <c r="D404" s="77"/>
      <c r="P404" s="330"/>
    </row>
    <row r="405" spans="1:16" x14ac:dyDescent="0.3">
      <c r="A405" s="5"/>
      <c r="B405" s="696"/>
      <c r="C405" s="26"/>
      <c r="D405" s="77"/>
      <c r="P405" s="330"/>
    </row>
    <row r="406" spans="1:16" x14ac:dyDescent="0.3">
      <c r="A406" s="5"/>
      <c r="B406" s="696"/>
      <c r="C406" s="26"/>
      <c r="D406" s="77"/>
      <c r="P406" s="330"/>
    </row>
    <row r="407" spans="1:16" x14ac:dyDescent="0.3">
      <c r="A407" s="5"/>
      <c r="B407" s="696"/>
      <c r="C407" s="26"/>
      <c r="D407" s="77"/>
      <c r="P407" s="330"/>
    </row>
    <row r="408" spans="1:16" x14ac:dyDescent="0.3">
      <c r="A408" s="5"/>
      <c r="B408" s="696"/>
      <c r="C408" s="26"/>
      <c r="D408" s="77"/>
      <c r="P408" s="330"/>
    </row>
    <row r="409" spans="1:16" x14ac:dyDescent="0.3">
      <c r="A409" s="5"/>
      <c r="B409" s="696"/>
      <c r="C409" s="26"/>
      <c r="D409" s="77"/>
      <c r="P409" s="330"/>
    </row>
    <row r="410" spans="1:16" x14ac:dyDescent="0.3">
      <c r="A410" s="5"/>
      <c r="B410" s="696"/>
      <c r="C410" s="26"/>
      <c r="D410" s="77"/>
      <c r="P410" s="330"/>
    </row>
    <row r="411" spans="1:16" x14ac:dyDescent="0.3">
      <c r="A411" s="5"/>
      <c r="B411" s="696"/>
      <c r="C411" s="26"/>
      <c r="D411" s="77"/>
      <c r="P411" s="330"/>
    </row>
    <row r="412" spans="1:16" x14ac:dyDescent="0.3">
      <c r="A412" s="5"/>
      <c r="B412" s="696"/>
      <c r="C412" s="26"/>
      <c r="D412" s="77"/>
      <c r="P412" s="330"/>
    </row>
    <row r="413" spans="1:16" x14ac:dyDescent="0.3">
      <c r="A413" s="5"/>
      <c r="B413" s="696"/>
      <c r="C413" s="26"/>
      <c r="D413" s="77"/>
      <c r="P413" s="330"/>
    </row>
    <row r="414" spans="1:16" x14ac:dyDescent="0.3">
      <c r="A414" s="5"/>
      <c r="B414" s="696"/>
      <c r="C414" s="26"/>
      <c r="D414" s="77"/>
      <c r="P414" s="330"/>
    </row>
    <row r="415" spans="1:16" x14ac:dyDescent="0.3">
      <c r="A415" s="5"/>
      <c r="B415" s="696"/>
      <c r="C415" s="26"/>
      <c r="D415" s="77"/>
      <c r="P415" s="330"/>
    </row>
    <row r="416" spans="1:16" x14ac:dyDescent="0.3">
      <c r="A416" s="5"/>
      <c r="B416" s="696"/>
      <c r="C416" s="26"/>
      <c r="D416" s="77"/>
      <c r="P416" s="330"/>
    </row>
    <row r="417" spans="1:16" x14ac:dyDescent="0.3">
      <c r="A417" s="5"/>
      <c r="B417" s="696"/>
      <c r="C417" s="26"/>
      <c r="D417" s="77"/>
      <c r="P417" s="330"/>
    </row>
    <row r="418" spans="1:16" x14ac:dyDescent="0.3">
      <c r="A418" s="5"/>
      <c r="B418" s="696"/>
      <c r="C418" s="26"/>
      <c r="D418" s="77"/>
      <c r="P418" s="330"/>
    </row>
    <row r="419" spans="1:16" x14ac:dyDescent="0.3">
      <c r="A419" s="5"/>
      <c r="B419" s="696"/>
      <c r="C419" s="26"/>
      <c r="D419" s="77"/>
      <c r="P419" s="330"/>
    </row>
    <row r="420" spans="1:16" x14ac:dyDescent="0.3">
      <c r="A420" s="5"/>
      <c r="B420" s="696"/>
      <c r="C420" s="26"/>
      <c r="D420" s="77"/>
      <c r="P420" s="330"/>
    </row>
    <row r="421" spans="1:16" x14ac:dyDescent="0.3">
      <c r="A421" s="5"/>
      <c r="B421" s="696"/>
      <c r="C421" s="26"/>
      <c r="D421" s="77"/>
      <c r="P421" s="330"/>
    </row>
    <row r="422" spans="1:16" x14ac:dyDescent="0.3">
      <c r="A422" s="5"/>
      <c r="B422" s="696"/>
      <c r="C422" s="26"/>
      <c r="D422" s="77"/>
      <c r="P422" s="330"/>
    </row>
    <row r="423" spans="1:16" x14ac:dyDescent="0.3">
      <c r="A423" s="5"/>
      <c r="B423" s="696"/>
      <c r="C423" s="26"/>
      <c r="D423" s="77"/>
      <c r="P423" s="330"/>
    </row>
    <row r="424" spans="1:16" x14ac:dyDescent="0.3">
      <c r="A424" s="5"/>
      <c r="B424" s="696"/>
      <c r="C424" s="26"/>
      <c r="D424" s="77"/>
      <c r="P424" s="330"/>
    </row>
    <row r="425" spans="1:16" x14ac:dyDescent="0.3">
      <c r="A425" s="5"/>
      <c r="B425" s="696"/>
      <c r="C425" s="26"/>
      <c r="D425" s="77"/>
      <c r="P425" s="330"/>
    </row>
    <row r="426" spans="1:16" x14ac:dyDescent="0.3">
      <c r="A426" s="5"/>
      <c r="B426" s="696"/>
      <c r="C426" s="26"/>
      <c r="D426" s="77"/>
      <c r="P426" s="330"/>
    </row>
    <row r="427" spans="1:16" x14ac:dyDescent="0.3">
      <c r="A427" s="5"/>
      <c r="B427" s="696"/>
      <c r="C427" s="26"/>
      <c r="D427" s="77"/>
      <c r="P427" s="330"/>
    </row>
    <row r="428" spans="1:16" x14ac:dyDescent="0.3">
      <c r="A428" s="5"/>
      <c r="B428" s="696"/>
      <c r="C428" s="26"/>
      <c r="D428" s="77"/>
      <c r="P428" s="330"/>
    </row>
    <row r="429" spans="1:16" x14ac:dyDescent="0.3">
      <c r="A429" s="5"/>
      <c r="B429" s="696"/>
      <c r="C429" s="26"/>
      <c r="D429" s="77"/>
    </row>
    <row r="430" spans="1:16" x14ac:dyDescent="0.3">
      <c r="A430" s="5"/>
      <c r="B430" s="696"/>
      <c r="C430" s="26"/>
      <c r="D430" s="77"/>
      <c r="P430" s="330"/>
    </row>
    <row r="431" spans="1:16" x14ac:dyDescent="0.3">
      <c r="A431" s="5"/>
      <c r="B431" s="696"/>
      <c r="C431" s="26"/>
      <c r="D431" s="77"/>
    </row>
    <row r="432" spans="1:16" x14ac:dyDescent="0.3">
      <c r="A432" s="5"/>
      <c r="B432" s="696"/>
      <c r="C432" s="26"/>
      <c r="D432" s="77"/>
    </row>
    <row r="433" spans="1:4" x14ac:dyDescent="0.3">
      <c r="A433" s="5"/>
      <c r="B433" s="696"/>
      <c r="C433" s="26"/>
      <c r="D433" s="77"/>
    </row>
    <row r="434" spans="1:4" x14ac:dyDescent="0.3">
      <c r="A434" s="5"/>
      <c r="B434" s="696"/>
      <c r="C434" s="26"/>
      <c r="D434" s="77"/>
    </row>
    <row r="435" spans="1:4" x14ac:dyDescent="0.3">
      <c r="A435" s="5"/>
      <c r="B435" s="696"/>
      <c r="C435" s="26"/>
      <c r="D435" s="77"/>
    </row>
    <row r="436" spans="1:4" x14ac:dyDescent="0.3">
      <c r="A436" s="5"/>
      <c r="B436" s="696"/>
      <c r="C436" s="26"/>
      <c r="D436" s="77"/>
    </row>
    <row r="437" spans="1:4" x14ac:dyDescent="0.3">
      <c r="A437" s="5"/>
      <c r="B437" s="696"/>
      <c r="C437" s="26"/>
      <c r="D437" s="77"/>
    </row>
    <row r="438" spans="1:4" x14ac:dyDescent="0.3">
      <c r="A438" s="5"/>
      <c r="B438" s="696"/>
      <c r="C438" s="26"/>
      <c r="D438" s="77"/>
    </row>
    <row r="439" spans="1:4" x14ac:dyDescent="0.3">
      <c r="A439" s="5"/>
      <c r="B439" s="696"/>
      <c r="C439" s="26"/>
      <c r="D439" s="77"/>
    </row>
    <row r="440" spans="1:4" x14ac:dyDescent="0.3">
      <c r="A440" s="5"/>
      <c r="B440" s="696"/>
      <c r="C440" s="26"/>
      <c r="D440" s="77"/>
    </row>
    <row r="441" spans="1:4" x14ac:dyDescent="0.3">
      <c r="A441" s="5"/>
      <c r="B441" s="696"/>
      <c r="C441" s="26"/>
      <c r="D441" s="77"/>
    </row>
    <row r="442" spans="1:4" x14ac:dyDescent="0.3">
      <c r="A442" s="5"/>
      <c r="B442" s="696"/>
      <c r="C442" s="26"/>
      <c r="D442" s="77"/>
    </row>
    <row r="443" spans="1:4" x14ac:dyDescent="0.3">
      <c r="D443" s="77"/>
    </row>
    <row r="444" spans="1:4" x14ac:dyDescent="0.3">
      <c r="D444" s="77"/>
    </row>
    <row r="445" spans="1:4" x14ac:dyDescent="0.3">
      <c r="D445" s="77"/>
    </row>
    <row r="446" spans="1:4" x14ac:dyDescent="0.3">
      <c r="D446" s="77"/>
    </row>
    <row r="447" spans="1:4" x14ac:dyDescent="0.3">
      <c r="D447" s="77"/>
    </row>
    <row r="448" spans="1:4" x14ac:dyDescent="0.3">
      <c r="D448" s="77"/>
    </row>
    <row r="449" spans="4:4" x14ac:dyDescent="0.3">
      <c r="D449" s="77"/>
    </row>
    <row r="450" spans="4:4" x14ac:dyDescent="0.3">
      <c r="D450" s="77"/>
    </row>
    <row r="451" spans="4:4" x14ac:dyDescent="0.3">
      <c r="D451" s="77"/>
    </row>
    <row r="452" spans="4:4" x14ac:dyDescent="0.3">
      <c r="D452" s="77"/>
    </row>
    <row r="453" spans="4:4" x14ac:dyDescent="0.3">
      <c r="D453" s="77"/>
    </row>
    <row r="454" spans="4:4" x14ac:dyDescent="0.3">
      <c r="D454" s="77"/>
    </row>
    <row r="455" spans="4:4" x14ac:dyDescent="0.3">
      <c r="D455" s="77"/>
    </row>
    <row r="456" spans="4:4" x14ac:dyDescent="0.3">
      <c r="D456" s="77"/>
    </row>
    <row r="457" spans="4:4" x14ac:dyDescent="0.3">
      <c r="D457" s="77"/>
    </row>
    <row r="458" spans="4:4" x14ac:dyDescent="0.3">
      <c r="D458" s="77"/>
    </row>
    <row r="459" spans="4:4" x14ac:dyDescent="0.3">
      <c r="D459" s="77"/>
    </row>
    <row r="460" spans="4:4" x14ac:dyDescent="0.3">
      <c r="D460" s="77"/>
    </row>
    <row r="461" spans="4:4" x14ac:dyDescent="0.3">
      <c r="D461" s="77"/>
    </row>
    <row r="462" spans="4:4" x14ac:dyDescent="0.3">
      <c r="D462" s="77"/>
    </row>
    <row r="463" spans="4:4" x14ac:dyDescent="0.3">
      <c r="D463" s="77"/>
    </row>
    <row r="464" spans="4:4" x14ac:dyDescent="0.3">
      <c r="D464" s="77"/>
    </row>
    <row r="465" spans="4:4" x14ac:dyDescent="0.3">
      <c r="D465" s="77"/>
    </row>
    <row r="466" spans="4:4" x14ac:dyDescent="0.3">
      <c r="D466" s="77"/>
    </row>
    <row r="467" spans="4:4" x14ac:dyDescent="0.3">
      <c r="D467" s="77"/>
    </row>
    <row r="468" spans="4:4" x14ac:dyDescent="0.3">
      <c r="D468" s="77"/>
    </row>
    <row r="469" spans="4:4" x14ac:dyDescent="0.3">
      <c r="D469" s="77"/>
    </row>
    <row r="470" spans="4:4" x14ac:dyDescent="0.3">
      <c r="D470" s="77"/>
    </row>
    <row r="471" spans="4:4" x14ac:dyDescent="0.3">
      <c r="D471" s="77"/>
    </row>
    <row r="472" spans="4:4" x14ac:dyDescent="0.3">
      <c r="D472" s="77"/>
    </row>
    <row r="473" spans="4:4" x14ac:dyDescent="0.3">
      <c r="D473" s="77"/>
    </row>
    <row r="474" spans="4:4" x14ac:dyDescent="0.3">
      <c r="D474" s="77"/>
    </row>
    <row r="475" spans="4:4" x14ac:dyDescent="0.3">
      <c r="D475" s="77"/>
    </row>
    <row r="476" spans="4:4" x14ac:dyDescent="0.3">
      <c r="D476" s="77"/>
    </row>
    <row r="477" spans="4:4" x14ac:dyDescent="0.3">
      <c r="D477" s="77"/>
    </row>
    <row r="478" spans="4:4" x14ac:dyDescent="0.3">
      <c r="D478" s="77"/>
    </row>
    <row r="479" spans="4:4" x14ac:dyDescent="0.3">
      <c r="D479" s="77"/>
    </row>
    <row r="480" spans="4:4" x14ac:dyDescent="0.3">
      <c r="D480" s="77"/>
    </row>
    <row r="481" spans="4:4" x14ac:dyDescent="0.3">
      <c r="D481" s="77"/>
    </row>
    <row r="482" spans="4:4" x14ac:dyDescent="0.3">
      <c r="D482" s="77"/>
    </row>
    <row r="483" spans="4:4" x14ac:dyDescent="0.3">
      <c r="D483" s="77"/>
    </row>
    <row r="484" spans="4:4" x14ac:dyDescent="0.3">
      <c r="D484" s="77"/>
    </row>
    <row r="485" spans="4:4" x14ac:dyDescent="0.3">
      <c r="D485" s="77"/>
    </row>
    <row r="486" spans="4:4" x14ac:dyDescent="0.3">
      <c r="D486" s="77"/>
    </row>
    <row r="487" spans="4:4" x14ac:dyDescent="0.3">
      <c r="D487" s="77"/>
    </row>
    <row r="488" spans="4:4" x14ac:dyDescent="0.3">
      <c r="D488" s="77"/>
    </row>
    <row r="489" spans="4:4" x14ac:dyDescent="0.3">
      <c r="D489" s="77"/>
    </row>
    <row r="490" spans="4:4" x14ac:dyDescent="0.3">
      <c r="D490" s="77"/>
    </row>
    <row r="491" spans="4:4" x14ac:dyDescent="0.3">
      <c r="D491" s="77"/>
    </row>
    <row r="492" spans="4:4" x14ac:dyDescent="0.3">
      <c r="D492" s="77"/>
    </row>
    <row r="493" spans="4:4" x14ac:dyDescent="0.3">
      <c r="D493" s="77"/>
    </row>
    <row r="494" spans="4:4" x14ac:dyDescent="0.3">
      <c r="D494" s="77"/>
    </row>
    <row r="495" spans="4:4" x14ac:dyDescent="0.3">
      <c r="D495" s="77"/>
    </row>
    <row r="496" spans="4:4" x14ac:dyDescent="0.3">
      <c r="D496" s="77"/>
    </row>
    <row r="497" spans="4:4" x14ac:dyDescent="0.3">
      <c r="D497" s="77"/>
    </row>
    <row r="498" spans="4:4" x14ac:dyDescent="0.3">
      <c r="D498" s="77"/>
    </row>
    <row r="499" spans="4:4" x14ac:dyDescent="0.3">
      <c r="D499" s="77"/>
    </row>
    <row r="500" spans="4:4" x14ac:dyDescent="0.3">
      <c r="D500" s="77"/>
    </row>
    <row r="501" spans="4:4" x14ac:dyDescent="0.3">
      <c r="D501" s="77"/>
    </row>
    <row r="502" spans="4:4" x14ac:dyDescent="0.3">
      <c r="D502" s="77"/>
    </row>
    <row r="503" spans="4:4" x14ac:dyDescent="0.3">
      <c r="D503" s="77"/>
    </row>
    <row r="504" spans="4:4" x14ac:dyDescent="0.3">
      <c r="D504" s="77"/>
    </row>
    <row r="505" spans="4:4" x14ac:dyDescent="0.3">
      <c r="D505" s="77"/>
    </row>
    <row r="506" spans="4:4" x14ac:dyDescent="0.3">
      <c r="D506" s="77"/>
    </row>
    <row r="507" spans="4:4" x14ac:dyDescent="0.3">
      <c r="D507" s="77"/>
    </row>
    <row r="508" spans="4:4" x14ac:dyDescent="0.3">
      <c r="D508" s="77"/>
    </row>
    <row r="509" spans="4:4" x14ac:dyDescent="0.3">
      <c r="D509" s="77"/>
    </row>
    <row r="510" spans="4:4" x14ac:dyDescent="0.3">
      <c r="D510" s="77"/>
    </row>
    <row r="511" spans="4:4" x14ac:dyDescent="0.3">
      <c r="D511" s="77"/>
    </row>
    <row r="512" spans="4:4" x14ac:dyDescent="0.3">
      <c r="D512" s="77"/>
    </row>
    <row r="513" spans="4:4" x14ac:dyDescent="0.3">
      <c r="D513" s="77"/>
    </row>
    <row r="514" spans="4:4" x14ac:dyDescent="0.3">
      <c r="D514" s="77"/>
    </row>
    <row r="515" spans="4:4" x14ac:dyDescent="0.3">
      <c r="D515" s="77"/>
    </row>
    <row r="516" spans="4:4" x14ac:dyDescent="0.3">
      <c r="D516" s="77"/>
    </row>
    <row r="517" spans="4:4" x14ac:dyDescent="0.3">
      <c r="D517" s="77"/>
    </row>
    <row r="518" spans="4:4" x14ac:dyDescent="0.3">
      <c r="D518" s="77"/>
    </row>
    <row r="519" spans="4:4" x14ac:dyDescent="0.3">
      <c r="D519" s="77"/>
    </row>
    <row r="520" spans="4:4" x14ac:dyDescent="0.3">
      <c r="D520" s="77"/>
    </row>
    <row r="521" spans="4:4" x14ac:dyDescent="0.3">
      <c r="D521" s="77"/>
    </row>
    <row r="522" spans="4:4" x14ac:dyDescent="0.3">
      <c r="D522" s="77"/>
    </row>
    <row r="523" spans="4:4" x14ac:dyDescent="0.3">
      <c r="D523" s="77"/>
    </row>
    <row r="524" spans="4:4" x14ac:dyDescent="0.3">
      <c r="D524" s="77"/>
    </row>
    <row r="525" spans="4:4" x14ac:dyDescent="0.3">
      <c r="D525" s="77"/>
    </row>
    <row r="526" spans="4:4" x14ac:dyDescent="0.3">
      <c r="D526" s="77"/>
    </row>
    <row r="527" spans="4:4" x14ac:dyDescent="0.3">
      <c r="D527" s="77"/>
    </row>
    <row r="528" spans="4:4" x14ac:dyDescent="0.3">
      <c r="D528" s="77"/>
    </row>
    <row r="529" spans="4:4" x14ac:dyDescent="0.3">
      <c r="D529" s="77"/>
    </row>
    <row r="530" spans="4:4" x14ac:dyDescent="0.3">
      <c r="D530" s="77"/>
    </row>
    <row r="531" spans="4:4" x14ac:dyDescent="0.3">
      <c r="D531" s="77"/>
    </row>
    <row r="532" spans="4:4" x14ac:dyDescent="0.3">
      <c r="D532" s="77"/>
    </row>
    <row r="533" spans="4:4" x14ac:dyDescent="0.3">
      <c r="D533" s="77"/>
    </row>
    <row r="534" spans="4:4" x14ac:dyDescent="0.3">
      <c r="D534" s="77"/>
    </row>
    <row r="535" spans="4:4" x14ac:dyDescent="0.3">
      <c r="D535" s="77"/>
    </row>
    <row r="536" spans="4:4" x14ac:dyDescent="0.3">
      <c r="D536" s="77"/>
    </row>
    <row r="537" spans="4:4" x14ac:dyDescent="0.3">
      <c r="D537" s="77"/>
    </row>
    <row r="538" spans="4:4" x14ac:dyDescent="0.3">
      <c r="D538" s="77"/>
    </row>
    <row r="539" spans="4:4" x14ac:dyDescent="0.3">
      <c r="D539" s="77"/>
    </row>
    <row r="540" spans="4:4" x14ac:dyDescent="0.3">
      <c r="D540" s="77"/>
    </row>
    <row r="541" spans="4:4" x14ac:dyDescent="0.3">
      <c r="D541" s="77"/>
    </row>
    <row r="542" spans="4:4" x14ac:dyDescent="0.3">
      <c r="D542" s="77"/>
    </row>
    <row r="543" spans="4:4" x14ac:dyDescent="0.3">
      <c r="D543" s="77"/>
    </row>
    <row r="544" spans="4:4" x14ac:dyDescent="0.3">
      <c r="D544" s="77"/>
    </row>
    <row r="545" spans="4:4" x14ac:dyDescent="0.3">
      <c r="D545" s="77"/>
    </row>
    <row r="546" spans="4:4" x14ac:dyDescent="0.3">
      <c r="D546" s="77"/>
    </row>
    <row r="547" spans="4:4" x14ac:dyDescent="0.3">
      <c r="D547" s="77"/>
    </row>
    <row r="548" spans="4:4" x14ac:dyDescent="0.3">
      <c r="D548" s="77"/>
    </row>
    <row r="549" spans="4:4" x14ac:dyDescent="0.3">
      <c r="D549" s="77"/>
    </row>
    <row r="550" spans="4:4" x14ac:dyDescent="0.3">
      <c r="D550" s="77"/>
    </row>
    <row r="551" spans="4:4" x14ac:dyDescent="0.3">
      <c r="D551" s="77"/>
    </row>
    <row r="552" spans="4:4" x14ac:dyDescent="0.3">
      <c r="D552" s="77"/>
    </row>
    <row r="553" spans="4:4" x14ac:dyDescent="0.3">
      <c r="D553" s="77"/>
    </row>
    <row r="554" spans="4:4" x14ac:dyDescent="0.3">
      <c r="D554" s="77"/>
    </row>
    <row r="555" spans="4:4" x14ac:dyDescent="0.3">
      <c r="D555" s="77"/>
    </row>
    <row r="556" spans="4:4" x14ac:dyDescent="0.3">
      <c r="D556" s="77"/>
    </row>
    <row r="557" spans="4:4" x14ac:dyDescent="0.3">
      <c r="D557" s="77"/>
    </row>
    <row r="558" spans="4:4" x14ac:dyDescent="0.3">
      <c r="D558" s="77"/>
    </row>
    <row r="559" spans="4:4" x14ac:dyDescent="0.3">
      <c r="D559" s="77"/>
    </row>
    <row r="560" spans="4:4" x14ac:dyDescent="0.3">
      <c r="D560" s="77"/>
    </row>
    <row r="561" spans="4:4" x14ac:dyDescent="0.3">
      <c r="D561" s="77"/>
    </row>
    <row r="562" spans="4:4" x14ac:dyDescent="0.3">
      <c r="D562" s="77"/>
    </row>
    <row r="563" spans="4:4" x14ac:dyDescent="0.3">
      <c r="D563" s="77"/>
    </row>
    <row r="564" spans="4:4" x14ac:dyDescent="0.3">
      <c r="D564" s="77"/>
    </row>
    <row r="565" spans="4:4" x14ac:dyDescent="0.3">
      <c r="D565" s="77"/>
    </row>
    <row r="566" spans="4:4" x14ac:dyDescent="0.3">
      <c r="D566" s="77"/>
    </row>
    <row r="567" spans="4:4" x14ac:dyDescent="0.3">
      <c r="D567" s="77"/>
    </row>
    <row r="568" spans="4:4" x14ac:dyDescent="0.3">
      <c r="D568" s="77"/>
    </row>
    <row r="569" spans="4:4" x14ac:dyDescent="0.3">
      <c r="D569" s="77"/>
    </row>
    <row r="570" spans="4:4" x14ac:dyDescent="0.3">
      <c r="D570" s="77"/>
    </row>
    <row r="571" spans="4:4" x14ac:dyDescent="0.3">
      <c r="D571" s="77"/>
    </row>
    <row r="572" spans="4:4" x14ac:dyDescent="0.3">
      <c r="D572" s="77"/>
    </row>
    <row r="573" spans="4:4" x14ac:dyDescent="0.3">
      <c r="D573" s="77"/>
    </row>
    <row r="574" spans="4:4" x14ac:dyDescent="0.3">
      <c r="D574" s="77"/>
    </row>
    <row r="575" spans="4:4" x14ac:dyDescent="0.3">
      <c r="D575" s="77"/>
    </row>
    <row r="576" spans="4:4" x14ac:dyDescent="0.3">
      <c r="D576" s="77"/>
    </row>
    <row r="577" spans="4:4" x14ac:dyDescent="0.3">
      <c r="D577" s="77"/>
    </row>
    <row r="578" spans="4:4" x14ac:dyDescent="0.3">
      <c r="D578" s="77"/>
    </row>
    <row r="579" spans="4:4" x14ac:dyDescent="0.3">
      <c r="D579" s="77"/>
    </row>
    <row r="580" spans="4:4" x14ac:dyDescent="0.3">
      <c r="D580" s="77"/>
    </row>
    <row r="581" spans="4:4" x14ac:dyDescent="0.3">
      <c r="D581" s="77"/>
    </row>
    <row r="582" spans="4:4" x14ac:dyDescent="0.3">
      <c r="D582" s="77"/>
    </row>
    <row r="583" spans="4:4" x14ac:dyDescent="0.3">
      <c r="D583" s="77"/>
    </row>
    <row r="584" spans="4:4" x14ac:dyDescent="0.3">
      <c r="D584" s="77"/>
    </row>
    <row r="585" spans="4:4" x14ac:dyDescent="0.3">
      <c r="D585" s="77"/>
    </row>
    <row r="586" spans="4:4" x14ac:dyDescent="0.3">
      <c r="D586" s="77"/>
    </row>
    <row r="587" spans="4:4" x14ac:dyDescent="0.3">
      <c r="D587" s="77"/>
    </row>
    <row r="588" spans="4:4" x14ac:dyDescent="0.3">
      <c r="D588" s="77"/>
    </row>
    <row r="589" spans="4:4" x14ac:dyDescent="0.3">
      <c r="D589" s="77"/>
    </row>
    <row r="590" spans="4:4" x14ac:dyDescent="0.3">
      <c r="D590" s="77"/>
    </row>
    <row r="591" spans="4:4" x14ac:dyDescent="0.3">
      <c r="D591" s="77"/>
    </row>
    <row r="592" spans="4:4" x14ac:dyDescent="0.3">
      <c r="D592" s="77"/>
    </row>
    <row r="593" spans="4:4" x14ac:dyDescent="0.3">
      <c r="D593" s="77"/>
    </row>
    <row r="594" spans="4:4" x14ac:dyDescent="0.3">
      <c r="D594" s="77"/>
    </row>
    <row r="595" spans="4:4" x14ac:dyDescent="0.3">
      <c r="D595" s="77"/>
    </row>
    <row r="596" spans="4:4" x14ac:dyDescent="0.3">
      <c r="D596" s="77"/>
    </row>
    <row r="597" spans="4:4" x14ac:dyDescent="0.3">
      <c r="D597" s="77"/>
    </row>
    <row r="598" spans="4:4" x14ac:dyDescent="0.3">
      <c r="D598" s="77"/>
    </row>
    <row r="599" spans="4:4" x14ac:dyDescent="0.3">
      <c r="D599" s="77"/>
    </row>
    <row r="600" spans="4:4" x14ac:dyDescent="0.3">
      <c r="D600" s="77"/>
    </row>
    <row r="601" spans="4:4" x14ac:dyDescent="0.3">
      <c r="D601" s="77"/>
    </row>
    <row r="602" spans="4:4" x14ac:dyDescent="0.3">
      <c r="D602" s="77"/>
    </row>
    <row r="603" spans="4:4" x14ac:dyDescent="0.3">
      <c r="D603" s="77"/>
    </row>
    <row r="604" spans="4:4" x14ac:dyDescent="0.3">
      <c r="D604" s="77"/>
    </row>
    <row r="605" spans="4:4" x14ac:dyDescent="0.3">
      <c r="D605" s="77"/>
    </row>
    <row r="606" spans="4:4" x14ac:dyDescent="0.3">
      <c r="D606" s="77"/>
    </row>
    <row r="607" spans="4:4" x14ac:dyDescent="0.3">
      <c r="D607" s="77"/>
    </row>
    <row r="608" spans="4:4" x14ac:dyDescent="0.3">
      <c r="D608" s="77"/>
    </row>
    <row r="609" spans="4:4" x14ac:dyDescent="0.3">
      <c r="D609" s="77"/>
    </row>
    <row r="610" spans="4:4" x14ac:dyDescent="0.3">
      <c r="D610" s="77"/>
    </row>
    <row r="611" spans="4:4" x14ac:dyDescent="0.3">
      <c r="D611" s="77"/>
    </row>
    <row r="612" spans="4:4" x14ac:dyDescent="0.3">
      <c r="D612" s="77"/>
    </row>
    <row r="613" spans="4:4" x14ac:dyDescent="0.3">
      <c r="D613" s="77"/>
    </row>
    <row r="614" spans="4:4" x14ac:dyDescent="0.3">
      <c r="D614" s="77"/>
    </row>
    <row r="615" spans="4:4" x14ac:dyDescent="0.3">
      <c r="D615" s="77"/>
    </row>
    <row r="616" spans="4:4" x14ac:dyDescent="0.3">
      <c r="D616" s="77"/>
    </row>
    <row r="617" spans="4:4" x14ac:dyDescent="0.3">
      <c r="D617" s="77"/>
    </row>
    <row r="618" spans="4:4" x14ac:dyDescent="0.3">
      <c r="D618" s="77"/>
    </row>
    <row r="619" spans="4:4" x14ac:dyDescent="0.3">
      <c r="D619" s="77"/>
    </row>
    <row r="620" spans="4:4" x14ac:dyDescent="0.3">
      <c r="D620" s="77"/>
    </row>
    <row r="621" spans="4:4" x14ac:dyDescent="0.3">
      <c r="D621" s="77"/>
    </row>
    <row r="622" spans="4:4" x14ac:dyDescent="0.3">
      <c r="D622" s="77"/>
    </row>
    <row r="623" spans="4:4" x14ac:dyDescent="0.3">
      <c r="D623" s="77"/>
    </row>
    <row r="624" spans="4:4" x14ac:dyDescent="0.3">
      <c r="D624" s="77"/>
    </row>
    <row r="625" spans="4:4" x14ac:dyDescent="0.3">
      <c r="D625" s="77"/>
    </row>
    <row r="626" spans="4:4" x14ac:dyDescent="0.3">
      <c r="D626" s="77"/>
    </row>
    <row r="627" spans="4:4" x14ac:dyDescent="0.3">
      <c r="D627" s="77"/>
    </row>
    <row r="628" spans="4:4" x14ac:dyDescent="0.3">
      <c r="D628" s="77"/>
    </row>
    <row r="629" spans="4:4" x14ac:dyDescent="0.3">
      <c r="D629" s="77"/>
    </row>
    <row r="630" spans="4:4" x14ac:dyDescent="0.3">
      <c r="D630" s="77"/>
    </row>
    <row r="631" spans="4:4" x14ac:dyDescent="0.3">
      <c r="D631" s="77"/>
    </row>
    <row r="632" spans="4:4" x14ac:dyDescent="0.3">
      <c r="D632" s="77"/>
    </row>
    <row r="633" spans="4:4" x14ac:dyDescent="0.3">
      <c r="D633" s="77"/>
    </row>
    <row r="634" spans="4:4" x14ac:dyDescent="0.3">
      <c r="D634" s="77"/>
    </row>
    <row r="635" spans="4:4" x14ac:dyDescent="0.3">
      <c r="D635" s="77"/>
    </row>
    <row r="636" spans="4:4" x14ac:dyDescent="0.3">
      <c r="D636" s="77"/>
    </row>
    <row r="637" spans="4:4" x14ac:dyDescent="0.3">
      <c r="D637" s="77"/>
    </row>
    <row r="638" spans="4:4" x14ac:dyDescent="0.3">
      <c r="D638" s="77"/>
    </row>
    <row r="639" spans="4:4" x14ac:dyDescent="0.3">
      <c r="D639" s="77"/>
    </row>
    <row r="640" spans="4:4" x14ac:dyDescent="0.3">
      <c r="D640" s="77"/>
    </row>
    <row r="641" spans="4:4" x14ac:dyDescent="0.3">
      <c r="D641" s="77"/>
    </row>
    <row r="642" spans="4:4" x14ac:dyDescent="0.3">
      <c r="D642" s="77"/>
    </row>
    <row r="643" spans="4:4" x14ac:dyDescent="0.3">
      <c r="D643" s="77"/>
    </row>
    <row r="644" spans="4:4" x14ac:dyDescent="0.3">
      <c r="D644" s="77"/>
    </row>
    <row r="645" spans="4:4" x14ac:dyDescent="0.3">
      <c r="D645" s="77"/>
    </row>
    <row r="646" spans="4:4" x14ac:dyDescent="0.3">
      <c r="D646" s="77"/>
    </row>
    <row r="647" spans="4:4" x14ac:dyDescent="0.3">
      <c r="D647" s="77"/>
    </row>
    <row r="648" spans="4:4" x14ac:dyDescent="0.3">
      <c r="D648" s="77"/>
    </row>
    <row r="649" spans="4:4" x14ac:dyDescent="0.3">
      <c r="D649" s="77"/>
    </row>
    <row r="650" spans="4:4" x14ac:dyDescent="0.3">
      <c r="D650" s="77"/>
    </row>
    <row r="651" spans="4:4" x14ac:dyDescent="0.3">
      <c r="D651" s="77"/>
    </row>
    <row r="652" spans="4:4" x14ac:dyDescent="0.3">
      <c r="D652" s="77"/>
    </row>
    <row r="653" spans="4:4" x14ac:dyDescent="0.3">
      <c r="D653" s="77"/>
    </row>
    <row r="654" spans="4:4" x14ac:dyDescent="0.3">
      <c r="D654" s="77"/>
    </row>
    <row r="655" spans="4:4" x14ac:dyDescent="0.3">
      <c r="D655" s="77"/>
    </row>
    <row r="656" spans="4:4" x14ac:dyDescent="0.3">
      <c r="D656" s="77"/>
    </row>
    <row r="657" spans="4:4" x14ac:dyDescent="0.3">
      <c r="D657" s="77"/>
    </row>
    <row r="658" spans="4:4" x14ac:dyDescent="0.3">
      <c r="D658" s="77"/>
    </row>
    <row r="659" spans="4:4" x14ac:dyDescent="0.3">
      <c r="D659" s="77"/>
    </row>
    <row r="660" spans="4:4" x14ac:dyDescent="0.3">
      <c r="D660" s="77"/>
    </row>
    <row r="661" spans="4:4" x14ac:dyDescent="0.3">
      <c r="D661" s="77"/>
    </row>
    <row r="662" spans="4:4" x14ac:dyDescent="0.3">
      <c r="D662" s="77"/>
    </row>
    <row r="663" spans="4:4" x14ac:dyDescent="0.3">
      <c r="D663" s="77"/>
    </row>
    <row r="664" spans="4:4" x14ac:dyDescent="0.3">
      <c r="D664" s="77"/>
    </row>
    <row r="665" spans="4:4" x14ac:dyDescent="0.3">
      <c r="D665" s="77"/>
    </row>
    <row r="666" spans="4:4" x14ac:dyDescent="0.3">
      <c r="D666" s="77"/>
    </row>
    <row r="667" spans="4:4" x14ac:dyDescent="0.3">
      <c r="D667" s="77"/>
    </row>
    <row r="668" spans="4:4" x14ac:dyDescent="0.3">
      <c r="D668" s="77"/>
    </row>
    <row r="669" spans="4:4" x14ac:dyDescent="0.3">
      <c r="D669" s="77"/>
    </row>
    <row r="670" spans="4:4" x14ac:dyDescent="0.3">
      <c r="D670" s="77"/>
    </row>
    <row r="671" spans="4:4" x14ac:dyDescent="0.3">
      <c r="D671" s="77"/>
    </row>
    <row r="672" spans="4:4" x14ac:dyDescent="0.3">
      <c r="D672" s="77"/>
    </row>
    <row r="673" spans="4:4" x14ac:dyDescent="0.3">
      <c r="D673" s="77"/>
    </row>
    <row r="674" spans="4:4" x14ac:dyDescent="0.3">
      <c r="D674" s="77"/>
    </row>
    <row r="675" spans="4:4" x14ac:dyDescent="0.3">
      <c r="D675" s="77"/>
    </row>
    <row r="676" spans="4:4" x14ac:dyDescent="0.3">
      <c r="D676" s="77"/>
    </row>
    <row r="677" spans="4:4" x14ac:dyDescent="0.3">
      <c r="D677" s="77"/>
    </row>
    <row r="678" spans="4:4" x14ac:dyDescent="0.3">
      <c r="D678" s="77"/>
    </row>
    <row r="679" spans="4:4" x14ac:dyDescent="0.3">
      <c r="D679" s="77"/>
    </row>
    <row r="680" spans="4:4" x14ac:dyDescent="0.3">
      <c r="D680" s="77"/>
    </row>
    <row r="681" spans="4:4" x14ac:dyDescent="0.3">
      <c r="D681" s="77"/>
    </row>
    <row r="682" spans="4:4" x14ac:dyDescent="0.3">
      <c r="D682" s="77"/>
    </row>
    <row r="683" spans="4:4" x14ac:dyDescent="0.3">
      <c r="D683" s="77"/>
    </row>
    <row r="684" spans="4:4" x14ac:dyDescent="0.3">
      <c r="D684" s="77"/>
    </row>
    <row r="685" spans="4:4" x14ac:dyDescent="0.3">
      <c r="D685" s="77"/>
    </row>
    <row r="686" spans="4:4" x14ac:dyDescent="0.3">
      <c r="D686" s="77"/>
    </row>
    <row r="687" spans="4:4" x14ac:dyDescent="0.3">
      <c r="D687" s="77"/>
    </row>
    <row r="688" spans="4:4" x14ac:dyDescent="0.3">
      <c r="D688" s="77"/>
    </row>
    <row r="689" spans="4:4" x14ac:dyDescent="0.3">
      <c r="D689" s="77"/>
    </row>
    <row r="690" spans="4:4" x14ac:dyDescent="0.3">
      <c r="D690" s="77"/>
    </row>
    <row r="691" spans="4:4" x14ac:dyDescent="0.3">
      <c r="D691" s="77"/>
    </row>
    <row r="692" spans="4:4" x14ac:dyDescent="0.3">
      <c r="D692" s="77"/>
    </row>
    <row r="693" spans="4:4" x14ac:dyDescent="0.3">
      <c r="D693" s="77"/>
    </row>
    <row r="694" spans="4:4" x14ac:dyDescent="0.3">
      <c r="D694" s="77"/>
    </row>
    <row r="695" spans="4:4" x14ac:dyDescent="0.3">
      <c r="D695" s="77"/>
    </row>
    <row r="696" spans="4:4" x14ac:dyDescent="0.3">
      <c r="D696" s="77"/>
    </row>
    <row r="697" spans="4:4" x14ac:dyDescent="0.3">
      <c r="D697" s="77"/>
    </row>
    <row r="698" spans="4:4" x14ac:dyDescent="0.3">
      <c r="D698" s="77"/>
    </row>
    <row r="699" spans="4:4" x14ac:dyDescent="0.3">
      <c r="D699" s="77"/>
    </row>
    <row r="700" spans="4:4" x14ac:dyDescent="0.3">
      <c r="D700" s="77"/>
    </row>
    <row r="701" spans="4:4" x14ac:dyDescent="0.3">
      <c r="D701" s="77"/>
    </row>
    <row r="702" spans="4:4" x14ac:dyDescent="0.3">
      <c r="D702" s="77"/>
    </row>
    <row r="703" spans="4:4" x14ac:dyDescent="0.3">
      <c r="D703" s="77"/>
    </row>
    <row r="704" spans="4:4" x14ac:dyDescent="0.3">
      <c r="D704" s="77"/>
    </row>
    <row r="705" spans="4:4" x14ac:dyDescent="0.3">
      <c r="D705" s="77"/>
    </row>
    <row r="706" spans="4:4" x14ac:dyDescent="0.3">
      <c r="D706" s="77"/>
    </row>
    <row r="707" spans="4:4" x14ac:dyDescent="0.3">
      <c r="D707" s="77"/>
    </row>
    <row r="708" spans="4:4" x14ac:dyDescent="0.3">
      <c r="D708" s="77"/>
    </row>
    <row r="709" spans="4:4" x14ac:dyDescent="0.3">
      <c r="D709" s="77"/>
    </row>
    <row r="710" spans="4:4" x14ac:dyDescent="0.3">
      <c r="D710" s="77"/>
    </row>
    <row r="711" spans="4:4" x14ac:dyDescent="0.3">
      <c r="D711" s="77"/>
    </row>
    <row r="712" spans="4:4" x14ac:dyDescent="0.3">
      <c r="D712" s="77"/>
    </row>
    <row r="713" spans="4:4" x14ac:dyDescent="0.3">
      <c r="D713" s="77"/>
    </row>
    <row r="714" spans="4:4" x14ac:dyDescent="0.3">
      <c r="D714" s="77"/>
    </row>
    <row r="715" spans="4:4" x14ac:dyDescent="0.3">
      <c r="D715" s="77"/>
    </row>
    <row r="716" spans="4:4" x14ac:dyDescent="0.3">
      <c r="D716" s="77"/>
    </row>
    <row r="717" spans="4:4" x14ac:dyDescent="0.3">
      <c r="D717" s="77"/>
    </row>
    <row r="718" spans="4:4" x14ac:dyDescent="0.3">
      <c r="D718" s="77"/>
    </row>
    <row r="719" spans="4:4" x14ac:dyDescent="0.3">
      <c r="D719" s="77"/>
    </row>
    <row r="720" spans="4:4" x14ac:dyDescent="0.3">
      <c r="D720" s="77"/>
    </row>
    <row r="721" spans="4:4" x14ac:dyDescent="0.3">
      <c r="D721" s="77"/>
    </row>
    <row r="722" spans="4:4" x14ac:dyDescent="0.3">
      <c r="D722" s="77"/>
    </row>
    <row r="723" spans="4:4" x14ac:dyDescent="0.3">
      <c r="D723" s="77"/>
    </row>
    <row r="724" spans="4:4" x14ac:dyDescent="0.3">
      <c r="D724" s="77"/>
    </row>
    <row r="725" spans="4:4" x14ac:dyDescent="0.3">
      <c r="D725" s="77"/>
    </row>
    <row r="726" spans="4:4" x14ac:dyDescent="0.3">
      <c r="D726" s="77"/>
    </row>
    <row r="727" spans="4:4" x14ac:dyDescent="0.3">
      <c r="D727" s="77"/>
    </row>
    <row r="728" spans="4:4" x14ac:dyDescent="0.3">
      <c r="D728" s="77"/>
    </row>
    <row r="729" spans="4:4" x14ac:dyDescent="0.3">
      <c r="D729" s="77"/>
    </row>
    <row r="730" spans="4:4" x14ac:dyDescent="0.3">
      <c r="D730" s="77"/>
    </row>
    <row r="731" spans="4:4" x14ac:dyDescent="0.3">
      <c r="D731" s="77"/>
    </row>
    <row r="732" spans="4:4" x14ac:dyDescent="0.3">
      <c r="D732" s="77"/>
    </row>
    <row r="733" spans="4:4" x14ac:dyDescent="0.3">
      <c r="D733" s="77"/>
    </row>
    <row r="734" spans="4:4" x14ac:dyDescent="0.3">
      <c r="D734" s="77"/>
    </row>
    <row r="735" spans="4:4" x14ac:dyDescent="0.3">
      <c r="D735" s="77"/>
    </row>
    <row r="736" spans="4:4" x14ac:dyDescent="0.3">
      <c r="D736" s="77"/>
    </row>
    <row r="737" spans="4:4" x14ac:dyDescent="0.3">
      <c r="D737" s="77"/>
    </row>
    <row r="738" spans="4:4" x14ac:dyDescent="0.3">
      <c r="D738" s="77"/>
    </row>
    <row r="739" spans="4:4" x14ac:dyDescent="0.3">
      <c r="D739" s="77"/>
    </row>
    <row r="740" spans="4:4" x14ac:dyDescent="0.3">
      <c r="D740" s="77"/>
    </row>
    <row r="741" spans="4:4" x14ac:dyDescent="0.3">
      <c r="D741" s="77"/>
    </row>
    <row r="742" spans="4:4" x14ac:dyDescent="0.3">
      <c r="D742" s="77"/>
    </row>
    <row r="743" spans="4:4" x14ac:dyDescent="0.3">
      <c r="D743" s="77"/>
    </row>
    <row r="744" spans="4:4" x14ac:dyDescent="0.3">
      <c r="D744" s="77"/>
    </row>
  </sheetData>
  <sheetProtection formatCells="0" formatColumns="0" formatRows="0"/>
  <conditionalFormatting sqref="G33">
    <cfRule type="cellIs" dxfId="86" priority="93" stopIfTrue="1" operator="notEqual">
      <formula>0</formula>
    </cfRule>
  </conditionalFormatting>
  <conditionalFormatting sqref="G34">
    <cfRule type="cellIs" dxfId="85" priority="92" stopIfTrue="1" operator="notEqual">
      <formula>0</formula>
    </cfRule>
  </conditionalFormatting>
  <conditionalFormatting sqref="G65">
    <cfRule type="cellIs" dxfId="84" priority="91" stopIfTrue="1" operator="notEqual">
      <formula>0</formula>
    </cfRule>
  </conditionalFormatting>
  <conditionalFormatting sqref="G79">
    <cfRule type="cellIs" dxfId="83" priority="90" stopIfTrue="1" operator="notEqual">
      <formula>0</formula>
    </cfRule>
  </conditionalFormatting>
  <conditionalFormatting sqref="G80:G90">
    <cfRule type="cellIs" dxfId="82" priority="89" stopIfTrue="1" operator="notEqual">
      <formula>0</formula>
    </cfRule>
  </conditionalFormatting>
  <conditionalFormatting sqref="G133">
    <cfRule type="cellIs" dxfId="81" priority="88" stopIfTrue="1" operator="notEqual">
      <formula>0</formula>
    </cfRule>
  </conditionalFormatting>
  <conditionalFormatting sqref="G151">
    <cfRule type="cellIs" dxfId="80" priority="87" stopIfTrue="1" operator="notEqual">
      <formula>0</formula>
    </cfRule>
  </conditionalFormatting>
  <conditionalFormatting sqref="G163">
    <cfRule type="cellIs" dxfId="79" priority="86" stopIfTrue="1" operator="notEqual">
      <formula>0</formula>
    </cfRule>
  </conditionalFormatting>
  <conditionalFormatting sqref="G164">
    <cfRule type="cellIs" dxfId="78" priority="85" stopIfTrue="1" operator="notEqual">
      <formula>0</formula>
    </cfRule>
  </conditionalFormatting>
  <conditionalFormatting sqref="G178">
    <cfRule type="cellIs" dxfId="77" priority="84" stopIfTrue="1" operator="notEqual">
      <formula>0</formula>
    </cfRule>
  </conditionalFormatting>
  <conditionalFormatting sqref="G179">
    <cfRule type="cellIs" dxfId="76" priority="83" stopIfTrue="1" operator="notEqual">
      <formula>0</formula>
    </cfRule>
  </conditionalFormatting>
  <conditionalFormatting sqref="H237:H239">
    <cfRule type="cellIs" priority="79" stopIfTrue="1" operator="equal">
      <formula>";;;"</formula>
    </cfRule>
  </conditionalFormatting>
  <conditionalFormatting sqref="H237">
    <cfRule type="cellIs" dxfId="75" priority="78" stopIfTrue="1" operator="equal">
      <formula>0</formula>
    </cfRule>
  </conditionalFormatting>
  <conditionalFormatting sqref="H238">
    <cfRule type="cellIs" dxfId="74" priority="77" stopIfTrue="1" operator="equal">
      <formula>0</formula>
    </cfRule>
  </conditionalFormatting>
  <conditionalFormatting sqref="H239">
    <cfRule type="cellIs" dxfId="73" priority="76" stopIfTrue="1" operator="equal">
      <formula>0</formula>
    </cfRule>
  </conditionalFormatting>
  <conditionalFormatting sqref="H239">
    <cfRule type="cellIs" dxfId="72" priority="75" stopIfTrue="1" operator="equal">
      <formula>0</formula>
    </cfRule>
  </conditionalFormatting>
  <conditionalFormatting sqref="H237">
    <cfRule type="cellIs" dxfId="71" priority="74" stopIfTrue="1" operator="equal">
      <formula>0</formula>
    </cfRule>
  </conditionalFormatting>
  <conditionalFormatting sqref="G21">
    <cfRule type="cellIs" dxfId="70" priority="73" stopIfTrue="1" operator="notEqual">
      <formula>0</formula>
    </cfRule>
  </conditionalFormatting>
  <conditionalFormatting sqref="G7">
    <cfRule type="containsText" dxfId="69" priority="71" stopIfTrue="1" operator="containsText" text="Included in error count">
      <formula>NOT(ISERROR(SEARCH("Included in error count",G7)))</formula>
    </cfRule>
    <cfRule type="cellIs" dxfId="68" priority="72" stopIfTrue="1" operator="equal">
      <formula>1</formula>
    </cfRule>
  </conditionalFormatting>
  <conditionalFormatting sqref="G55">
    <cfRule type="containsText" dxfId="67" priority="69" stopIfTrue="1" operator="containsText" text="Included in error count">
      <formula>NOT(ISERROR(SEARCH("Included in error count",G55)))</formula>
    </cfRule>
    <cfRule type="cellIs" dxfId="66" priority="70" stopIfTrue="1" operator="equal">
      <formula>1</formula>
    </cfRule>
  </conditionalFormatting>
  <conditionalFormatting sqref="G120:G121">
    <cfRule type="containsText" dxfId="65" priority="67" stopIfTrue="1" operator="containsText" text="Included in error count">
      <formula>NOT(ISERROR(SEARCH("Included in error count",G120)))</formula>
    </cfRule>
    <cfRule type="cellIs" dxfId="64" priority="68" stopIfTrue="1" operator="equal">
      <formula>1</formula>
    </cfRule>
  </conditionalFormatting>
  <conditionalFormatting sqref="G122">
    <cfRule type="containsText" dxfId="63" priority="65" stopIfTrue="1" operator="containsText" text="Included in error count">
      <formula>NOT(ISERROR(SEARCH("Included in error count",G122)))</formula>
    </cfRule>
    <cfRule type="cellIs" dxfId="62" priority="66" stopIfTrue="1" operator="equal">
      <formula>1</formula>
    </cfRule>
  </conditionalFormatting>
  <conditionalFormatting sqref="G131">
    <cfRule type="containsText" dxfId="61" priority="61" stopIfTrue="1" operator="containsText" text="Included in error count">
      <formula>NOT(ISERROR(SEARCH("Included in error count",G131)))</formula>
    </cfRule>
    <cfRule type="cellIs" dxfId="60" priority="62" stopIfTrue="1" operator="equal">
      <formula>1</formula>
    </cfRule>
  </conditionalFormatting>
  <conditionalFormatting sqref="G153">
    <cfRule type="containsText" dxfId="59" priority="57" stopIfTrue="1" operator="containsText" text="Included in error count">
      <formula>NOT(ISERROR(SEARCH("Included in error count",G153)))</formula>
    </cfRule>
    <cfRule type="cellIs" dxfId="58" priority="58" stopIfTrue="1" operator="equal">
      <formula>1</formula>
    </cfRule>
  </conditionalFormatting>
  <conditionalFormatting sqref="G237">
    <cfRule type="containsText" dxfId="57" priority="46" stopIfTrue="1" operator="containsText" text="Included in error count">
      <formula>NOT(ISERROR(SEARCH("Included in error count",G237)))</formula>
    </cfRule>
    <cfRule type="cellIs" dxfId="56" priority="47" stopIfTrue="1" operator="equal">
      <formula>1</formula>
    </cfRule>
  </conditionalFormatting>
  <conditionalFormatting sqref="G238">
    <cfRule type="containsText" dxfId="55" priority="44" stopIfTrue="1" operator="containsText" text="Included in error count">
      <formula>NOT(ISERROR(SEARCH("Included in error count",G238)))</formula>
    </cfRule>
    <cfRule type="cellIs" dxfId="54" priority="45" stopIfTrue="1" operator="equal">
      <formula>1</formula>
    </cfRule>
  </conditionalFormatting>
  <conditionalFormatting sqref="G239">
    <cfRule type="containsText" dxfId="53" priority="42" stopIfTrue="1" operator="containsText" text="Included in error count">
      <formula>NOT(ISERROR(SEARCH("Included in error count",G239)))</formula>
    </cfRule>
    <cfRule type="cellIs" dxfId="52" priority="43" stopIfTrue="1" operator="equal">
      <formula>1</formula>
    </cfRule>
  </conditionalFormatting>
  <conditionalFormatting sqref="G168">
    <cfRule type="containsText" dxfId="51" priority="40" stopIfTrue="1" operator="containsText" text="Included in error count">
      <formula>NOT(ISERROR(SEARCH("Included in error count",G168)))</formula>
    </cfRule>
    <cfRule type="cellIs" dxfId="50" priority="41"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78EA5-77E1-4814-8728-4098B30437CB}">
  <sheetPr>
    <tabColor theme="3" tint="0.79998168889431442"/>
    <pageSetUpPr fitToPage="1"/>
  </sheetPr>
  <dimension ref="A1:CC52"/>
  <sheetViews>
    <sheetView showGridLines="0" zoomScale="70" zoomScaleNormal="70" workbookViewId="0">
      <selection activeCell="I14" sqref="I14"/>
    </sheetView>
  </sheetViews>
  <sheetFormatPr defaultColWidth="9.109375" defaultRowHeight="14.4" x14ac:dyDescent="0.3"/>
  <cols>
    <col min="1" max="1" width="44.5546875" style="992" customWidth="1"/>
    <col min="2" max="2" width="17.109375" style="992" customWidth="1"/>
    <col min="3" max="3" width="19" style="992" customWidth="1"/>
    <col min="4" max="4" width="19.109375" style="992" customWidth="1"/>
    <col min="5" max="5" width="15.109375" style="992" customWidth="1"/>
    <col min="6" max="6" width="12.88671875" style="992" customWidth="1"/>
    <col min="7" max="7" width="43.88671875" style="1078" hidden="1" customWidth="1"/>
    <col min="8" max="8" width="77.5546875" style="992" customWidth="1"/>
    <col min="9" max="9" width="91" style="993" customWidth="1"/>
    <col min="10" max="10" width="46.109375" style="993" customWidth="1"/>
    <col min="11" max="11" width="9.109375" style="993" hidden="1" customWidth="1"/>
    <col min="12" max="12" width="36.88671875" style="267" hidden="1" customWidth="1"/>
    <col min="13" max="14" width="15.6640625" style="267" hidden="1" customWidth="1"/>
    <col min="15" max="15" width="56.33203125" style="267" customWidth="1"/>
    <col min="16" max="16" width="11.109375" style="991" customWidth="1"/>
    <col min="17" max="18" width="9.109375" style="992" customWidth="1"/>
    <col min="19" max="16384" width="9.109375" style="992"/>
  </cols>
  <sheetData>
    <row r="1" spans="1:78" ht="40.5" customHeight="1" thickBot="1" x14ac:dyDescent="0.35">
      <c r="A1" s="1333" t="s">
        <v>1655</v>
      </c>
      <c r="B1" s="1334"/>
      <c r="C1" s="1334"/>
      <c r="D1" s="1334"/>
      <c r="E1" s="1334"/>
      <c r="F1" s="1334"/>
      <c r="G1" s="1334"/>
      <c r="H1" s="1335"/>
      <c r="I1" s="1373" t="s">
        <v>1694</v>
      </c>
      <c r="J1" s="1374"/>
      <c r="K1" s="1065"/>
    </row>
    <row r="2" spans="1:78" ht="72" customHeight="1" thickBot="1" x14ac:dyDescent="0.35">
      <c r="A2" s="1336" t="s">
        <v>1656</v>
      </c>
      <c r="B2" s="1337"/>
      <c r="C2" s="1337"/>
      <c r="D2" s="1337"/>
      <c r="E2" s="1337"/>
      <c r="F2" s="1337"/>
      <c r="G2" s="1337"/>
      <c r="H2" s="1338"/>
      <c r="I2" s="1375" t="s">
        <v>1693</v>
      </c>
      <c r="J2" s="1379" t="s">
        <v>1384</v>
      </c>
      <c r="K2" s="1093"/>
    </row>
    <row r="3" spans="1:78" ht="15" customHeight="1" x14ac:dyDescent="0.3">
      <c r="A3" s="1240" t="s">
        <v>1049</v>
      </c>
      <c r="B3" s="1056"/>
      <c r="C3" s="1056"/>
      <c r="D3" s="1056"/>
      <c r="E3" s="1241"/>
      <c r="F3" s="1241"/>
      <c r="G3" s="1339"/>
      <c r="H3" s="1340"/>
      <c r="I3" s="1376"/>
      <c r="J3" s="1380"/>
      <c r="K3" s="1093"/>
    </row>
    <row r="4" spans="1:78" ht="21.75" customHeight="1" x14ac:dyDescent="0.3">
      <c r="A4" s="994" t="s">
        <v>1130</v>
      </c>
      <c r="B4" s="1341" t="str">
        <f>'Unit Data from Audit Worksheet'!D2</f>
        <v>Select Unit Name from Drop Down List</v>
      </c>
      <c r="C4" s="1341"/>
      <c r="D4" s="1341"/>
      <c r="E4" s="1342" t="s">
        <v>1657</v>
      </c>
      <c r="F4" s="1343"/>
      <c r="G4" s="995"/>
      <c r="H4" s="1344" t="s">
        <v>1052</v>
      </c>
      <c r="I4" s="1377"/>
      <c r="J4" s="1380"/>
      <c r="K4" s="1094"/>
      <c r="L4" s="996"/>
    </row>
    <row r="5" spans="1:78" ht="21.6" thickBot="1" x14ac:dyDescent="0.35">
      <c r="A5" s="997" t="s">
        <v>1051</v>
      </c>
      <c r="B5" s="1346" t="e">
        <f>'Unit Data from Audit Worksheet'!D3</f>
        <v>#N/A</v>
      </c>
      <c r="C5" s="1346"/>
      <c r="D5" s="1346"/>
      <c r="E5" s="1342"/>
      <c r="F5" s="1343"/>
      <c r="G5" s="998"/>
      <c r="H5" s="1345"/>
      <c r="I5" s="1378"/>
      <c r="J5" s="1381"/>
      <c r="K5" s="990"/>
      <c r="L5" s="167" t="s">
        <v>1098</v>
      </c>
    </row>
    <row r="6" spans="1:78" ht="185.1" customHeight="1" thickBot="1" x14ac:dyDescent="0.35">
      <c r="A6" s="1350"/>
      <c r="B6" s="1351"/>
      <c r="C6" s="1351"/>
      <c r="D6" s="1351"/>
      <c r="E6" s="1351"/>
      <c r="F6" s="1352"/>
      <c r="G6" s="1060"/>
      <c r="H6" s="1356" t="s">
        <v>1658</v>
      </c>
      <c r="I6" s="1082"/>
      <c r="J6" s="1382"/>
      <c r="K6" s="990"/>
      <c r="L6" s="999"/>
    </row>
    <row r="7" spans="1:78" ht="132" customHeight="1" thickBot="1" x14ac:dyDescent="0.35">
      <c r="A7" s="1353"/>
      <c r="B7" s="1354"/>
      <c r="C7" s="1354"/>
      <c r="D7" s="1354"/>
      <c r="E7" s="1354"/>
      <c r="F7" s="1355"/>
      <c r="G7" s="1060"/>
      <c r="H7" s="1357"/>
      <c r="I7" s="1000"/>
      <c r="J7" s="1383"/>
      <c r="K7" s="990"/>
      <c r="L7" s="999">
        <f>+(Import!$L$72+Import!$L$77+Import!$L$74-Import!$L$75-Import!$L$76)</f>
        <v>0</v>
      </c>
    </row>
    <row r="8" spans="1:78" ht="27.75" customHeight="1" thickBot="1" x14ac:dyDescent="0.35">
      <c r="A8" s="1359" t="s">
        <v>1659</v>
      </c>
      <c r="B8" s="1359"/>
      <c r="C8" s="1359"/>
      <c r="D8" s="1359"/>
      <c r="E8" s="1001" t="s">
        <v>1343</v>
      </c>
      <c r="F8" s="1001" t="s">
        <v>1660</v>
      </c>
      <c r="G8" s="1002" t="s">
        <v>1061</v>
      </c>
      <c r="H8" s="1358"/>
      <c r="I8" s="1003"/>
      <c r="J8" s="1384"/>
      <c r="K8" s="990"/>
      <c r="L8" s="998" t="b">
        <f>IF($L$7&gt;10000000,"25%",IF($L$7&gt;999999,"34%",IF($L$7&gt;99999,"71%",IF($L$7&gt;1,"100%"))))</f>
        <v>0</v>
      </c>
      <c r="M8" s="1004"/>
      <c r="O8" s="1005"/>
      <c r="P8" s="1006"/>
    </row>
    <row r="9" spans="1:78" ht="202.5" customHeight="1" thickBot="1" x14ac:dyDescent="0.35">
      <c r="A9" s="1360"/>
      <c r="B9" s="1361"/>
      <c r="C9" s="1361"/>
      <c r="D9" s="1362"/>
      <c r="E9" s="1007" t="b">
        <f>IF($L$7&gt;10000000,"25% -- Average of similar units is 46%",IF($L$7&gt;999999,"34% -- Average of similar units is 63%",IF($L$7&gt;99999,"71% -- Average of similar units is 132%",IF($L$7&gt;1,"100 %-- Average of similar units is 260%"))))</f>
        <v>0</v>
      </c>
      <c r="F9" s="1008" t="str">
        <f>'PI series #'!D6</f>
        <v/>
      </c>
      <c r="G9" s="1009"/>
      <c r="H9" s="1085" t="s">
        <v>1661</v>
      </c>
      <c r="I9" s="1098" t="s">
        <v>1546</v>
      </c>
      <c r="J9" s="1101"/>
      <c r="K9" s="990"/>
      <c r="L9" s="1113" t="e">
        <f>+'PI series #'!L6</f>
        <v>#VALUE!</v>
      </c>
      <c r="M9" s="1004"/>
      <c r="O9" s="1005"/>
      <c r="P9" s="1006"/>
    </row>
    <row r="10" spans="1:78" ht="202.5" hidden="1" customHeight="1" thickBot="1" x14ac:dyDescent="0.35">
      <c r="A10" s="1360"/>
      <c r="B10" s="1361"/>
      <c r="C10" s="1361"/>
      <c r="D10" s="1362"/>
      <c r="E10" s="1007" t="str">
        <f>IF($K$5&gt;99999999,"16%--Median of simiar units is 32%","20%--Median of similar units is 39%")</f>
        <v>20%--Median of similar units is 39%</v>
      </c>
      <c r="F10" s="1008"/>
      <c r="G10" s="1009"/>
      <c r="H10" s="1085" t="s">
        <v>1695</v>
      </c>
      <c r="I10" s="1098" t="s">
        <v>1546</v>
      </c>
      <c r="J10" s="1101"/>
      <c r="K10" s="1114">
        <f>IF($K$5&gt;99999999,16%,20%)</f>
        <v>0.2</v>
      </c>
      <c r="L10" s="1113" t="e">
        <f>+'PI series #'!L8</f>
        <v>#VALUE!</v>
      </c>
      <c r="M10" s="1004"/>
      <c r="O10" s="1005"/>
      <c r="P10" s="1006"/>
    </row>
    <row r="11" spans="1:78" ht="202.5" hidden="1" customHeight="1" thickBot="1" x14ac:dyDescent="0.35">
      <c r="A11" s="1360"/>
      <c r="B11" s="1361"/>
      <c r="C11" s="1361"/>
      <c r="D11" s="1362"/>
      <c r="E11" s="1115">
        <v>0.08</v>
      </c>
      <c r="F11" s="1008"/>
      <c r="G11" s="1009"/>
      <c r="H11" s="1085" t="s">
        <v>1592</v>
      </c>
      <c r="I11" s="1098" t="s">
        <v>1546</v>
      </c>
      <c r="J11" s="1101"/>
      <c r="K11" s="990"/>
      <c r="L11" s="1112" t="str">
        <f>++'PI series #'!D9</f>
        <v/>
      </c>
      <c r="M11" s="1004"/>
      <c r="O11" s="1005"/>
      <c r="P11" s="1006"/>
    </row>
    <row r="12" spans="1:78" ht="152.25" hidden="1" customHeight="1" thickBot="1" x14ac:dyDescent="0.35">
      <c r="A12" s="950" t="s">
        <v>1088</v>
      </c>
      <c r="B12" s="1119"/>
      <c r="C12" s="1119"/>
      <c r="D12" s="1120">
        <f>+Import!L65</f>
        <v>0</v>
      </c>
      <c r="E12" s="1121"/>
      <c r="F12" s="1120">
        <f>+D12</f>
        <v>0</v>
      </c>
      <c r="G12" s="1122"/>
      <c r="H12" s="1122" t="s">
        <v>1302</v>
      </c>
      <c r="I12" s="1125" t="s">
        <v>1089</v>
      </c>
      <c r="J12" s="1126"/>
      <c r="K12" s="991"/>
      <c r="L12" s="992"/>
      <c r="M12" s="992"/>
      <c r="N12" s="992"/>
      <c r="O12" s="992"/>
      <c r="P12" s="992"/>
      <c r="Y12" s="267"/>
      <c r="Z12" s="170" t="s">
        <v>1548</v>
      </c>
    </row>
    <row r="13" spans="1:78" ht="51.75" customHeight="1" thickBot="1" x14ac:dyDescent="0.35">
      <c r="A13" s="1011" t="s">
        <v>1696</v>
      </c>
      <c r="B13" s="1012"/>
      <c r="C13" s="1012"/>
      <c r="D13" s="1012"/>
      <c r="E13" s="1001" t="s">
        <v>1343</v>
      </c>
      <c r="F13" s="1001" t="s">
        <v>1660</v>
      </c>
      <c r="G13" s="1013"/>
      <c r="H13" s="1123" t="s">
        <v>1662</v>
      </c>
      <c r="I13" s="1083"/>
      <c r="J13" s="1083"/>
      <c r="K13" s="990"/>
      <c r="L13" s="1015" t="e">
        <f>HLOOKUP($B$5,'2019 Data(H)'!$E$2:$CB$305,244,FALSE)</f>
        <v>#N/A</v>
      </c>
      <c r="M13" s="1015" t="e">
        <f>HLOOKUP(B5,'2020 Data(H)'!E2:CZ350,244,FALSE)</f>
        <v>#N/A</v>
      </c>
      <c r="N13" s="1015" t="e">
        <f>Import!L268</f>
        <v>#N/A</v>
      </c>
      <c r="O13" s="1016"/>
      <c r="P13" s="1017"/>
      <c r="Q13" s="1018"/>
      <c r="R13" s="1018"/>
      <c r="S13" s="1018"/>
      <c r="T13" s="1018"/>
      <c r="U13" s="1018"/>
      <c r="V13" s="1018"/>
      <c r="W13" s="1018"/>
      <c r="X13" s="1018"/>
      <c r="Y13" s="1018"/>
      <c r="Z13" s="1018"/>
      <c r="AA13" s="1018"/>
      <c r="AB13" s="1018"/>
      <c r="AC13" s="1018"/>
      <c r="AD13" s="1018"/>
      <c r="AE13" s="1018"/>
      <c r="AF13" s="1018"/>
      <c r="AG13" s="1018"/>
      <c r="AH13" s="1018"/>
      <c r="AI13" s="1018"/>
      <c r="AJ13" s="1018"/>
      <c r="AK13" s="1018"/>
      <c r="AL13" s="1018"/>
      <c r="AM13" s="1018"/>
      <c r="AN13" s="1018"/>
      <c r="AO13" s="1018"/>
      <c r="AP13" s="1018"/>
      <c r="AQ13" s="1018"/>
      <c r="AR13" s="1018"/>
      <c r="AS13" s="1018"/>
      <c r="AT13" s="1018"/>
      <c r="AU13" s="1018"/>
      <c r="AV13" s="1018"/>
      <c r="AW13" s="1018"/>
      <c r="AX13" s="1018"/>
      <c r="AY13" s="1018"/>
      <c r="AZ13" s="1018"/>
      <c r="BA13" s="1018"/>
      <c r="BB13" s="1018"/>
      <c r="BC13" s="1018"/>
      <c r="BD13" s="1018"/>
      <c r="BE13" s="1018"/>
      <c r="BF13" s="1018"/>
      <c r="BG13" s="1018"/>
      <c r="BH13" s="1018"/>
      <c r="BI13" s="1018"/>
      <c r="BJ13" s="1018"/>
      <c r="BK13" s="1018"/>
      <c r="BL13" s="1018"/>
      <c r="BM13" s="1018"/>
      <c r="BN13" s="1018"/>
      <c r="BO13" s="1018"/>
      <c r="BP13" s="1018"/>
      <c r="BQ13" s="1018"/>
      <c r="BR13" s="1018"/>
      <c r="BS13" s="1018"/>
      <c r="BT13" s="1018"/>
      <c r="BU13" s="1018"/>
      <c r="BV13" s="1018"/>
      <c r="BW13" s="1018"/>
      <c r="BX13" s="1018"/>
      <c r="BY13" s="1018"/>
      <c r="BZ13" s="1018"/>
    </row>
    <row r="14" spans="1:78" ht="202.5" customHeight="1" thickBot="1" x14ac:dyDescent="0.35">
      <c r="A14" s="1019"/>
      <c r="B14" s="1020"/>
      <c r="C14" s="1020"/>
      <c r="D14" s="1021"/>
      <c r="E14" s="1022" t="s">
        <v>1053</v>
      </c>
      <c r="F14" s="1023" t="str">
        <f>'PI series #'!F12</f>
        <v/>
      </c>
      <c r="G14" s="1024"/>
      <c r="H14" s="1085" t="s">
        <v>1663</v>
      </c>
      <c r="I14" s="1099" t="s">
        <v>1062</v>
      </c>
      <c r="J14" s="1101"/>
      <c r="K14" s="990"/>
      <c r="L14" s="1015" t="e">
        <f>HLOOKUP($B$5,'2019 Data(H)'!$E$2:$CB$305,299,FALSE)</f>
        <v>#N/A</v>
      </c>
      <c r="M14" s="1015" t="e">
        <f>HLOOKUP(B4,'2020 Data(H)'!E1:CB428,347,FALSE)</f>
        <v>#N/A</v>
      </c>
      <c r="N14" s="1015" t="e">
        <f>+(Import!$L$120-Import!$L$121-Import!$L$118-Import!$L$119)/(Import!$L$124-Import!$L$125-Import!$L$126-Import!$L$127-Import!$L$128-Import!$L$129-Import!$L$123)</f>
        <v>#DIV/0!</v>
      </c>
    </row>
    <row r="15" spans="1:78" ht="27.75" customHeight="1" thickBot="1" x14ac:dyDescent="0.35">
      <c r="A15" s="1025"/>
      <c r="B15" s="1026" t="s">
        <v>1664</v>
      </c>
      <c r="C15" s="1026" t="s">
        <v>1665</v>
      </c>
      <c r="D15" s="1026" t="s">
        <v>1666</v>
      </c>
      <c r="E15" s="1001" t="s">
        <v>1343</v>
      </c>
      <c r="F15" s="1001" t="s">
        <v>1660</v>
      </c>
      <c r="G15" s="1027"/>
      <c r="H15" s="1014"/>
      <c r="I15" s="1083"/>
      <c r="J15" s="1083"/>
      <c r="K15" s="990"/>
      <c r="L15" s="1015"/>
      <c r="M15" s="1015"/>
      <c r="N15" s="1015"/>
    </row>
    <row r="16" spans="1:78" ht="69.599999999999994" customHeight="1" thickBot="1" x14ac:dyDescent="0.35">
      <c r="A16" s="1028" t="s">
        <v>1100</v>
      </c>
      <c r="B16" s="1029" t="e">
        <f>IF(L13=0,"Not Applicable",L16)</f>
        <v>#N/A</v>
      </c>
      <c r="C16" s="1029" t="e">
        <f>IF(M13=0,"Not Applicable",M16)</f>
        <v>#N/A</v>
      </c>
      <c r="D16" s="1029" t="e">
        <f>IF(N13=0,"Not Applicable",N16)</f>
        <v>#N/A</v>
      </c>
      <c r="E16" s="1030" t="s">
        <v>1667</v>
      </c>
      <c r="F16" s="1029" t="e">
        <f>D16</f>
        <v>#N/A</v>
      </c>
      <c r="G16" s="1031" t="s">
        <v>1101</v>
      </c>
      <c r="H16" s="1085" t="s">
        <v>1668</v>
      </c>
      <c r="I16" s="1099" t="s">
        <v>1101</v>
      </c>
      <c r="J16" s="1102"/>
      <c r="K16" s="990"/>
      <c r="L16" s="1033" t="e">
        <f>HLOOKUP(B5,'2019 Data(H)'!E2:CB305,300,FALSE)</f>
        <v>#N/A</v>
      </c>
      <c r="M16" s="1033" t="e">
        <f>HLOOKUP(B4,'2020 Data(H)'!F1:CC428,348,FALSE)</f>
        <v>#N/A</v>
      </c>
      <c r="N16" s="999">
        <f>+Import!$L$153-Import!$L$155+Import!$L$154-Import!$L$182</f>
        <v>0</v>
      </c>
    </row>
    <row r="17" spans="1:81" ht="109.95" customHeight="1" thickBot="1" x14ac:dyDescent="0.35">
      <c r="A17" s="1028" t="s">
        <v>1121</v>
      </c>
      <c r="B17" s="1034" t="e">
        <f>IF(L13=0,"Not Applicable",L17)</f>
        <v>#N/A</v>
      </c>
      <c r="C17" s="1034" t="e">
        <f t="shared" ref="C17:D17" si="0">IF(M13=0,"Not Applicable",M17)</f>
        <v>#N/A</v>
      </c>
      <c r="D17" s="1034" t="e">
        <f t="shared" si="0"/>
        <v>#N/A</v>
      </c>
      <c r="E17" s="1030" t="s">
        <v>1581</v>
      </c>
      <c r="F17" s="1035" t="e">
        <f>D17</f>
        <v>#N/A</v>
      </c>
      <c r="G17" s="1031" t="s">
        <v>1102</v>
      </c>
      <c r="H17" s="1085" t="s">
        <v>1669</v>
      </c>
      <c r="I17" s="1099" t="s">
        <v>1102</v>
      </c>
      <c r="J17" s="1101"/>
      <c r="K17" s="990"/>
      <c r="L17" s="1036" t="e">
        <f>HLOOKUP(B5,'2019 Data(H)'!E2:CB305,301,FALSE)</f>
        <v>#N/A</v>
      </c>
      <c r="M17" s="1036" t="e">
        <f>HLOOKUP(B4,'2020 Data(H)'!F1:CC428,349,FALSE)</f>
        <v>#N/A</v>
      </c>
      <c r="N17" s="1036" t="e">
        <f>+Import!L116/(Import!L155+Import!L158-Import!L154+Import!L182)</f>
        <v>#DIV/0!</v>
      </c>
      <c r="O17" s="988"/>
    </row>
    <row r="18" spans="1:81" ht="75" customHeight="1" thickBot="1" x14ac:dyDescent="0.4">
      <c r="A18" s="1363" t="s">
        <v>1582</v>
      </c>
      <c r="B18" s="1364"/>
      <c r="C18" s="1365"/>
      <c r="D18" s="1037" t="str">
        <f>IF(M18&lt;0,"Yes","No")</f>
        <v>No</v>
      </c>
      <c r="E18" s="1038"/>
      <c r="F18" s="1236"/>
      <c r="G18" s="1032" t="s">
        <v>1670</v>
      </c>
      <c r="H18" s="1085" t="s">
        <v>1671</v>
      </c>
      <c r="I18" s="1100" t="s">
        <v>1583</v>
      </c>
      <c r="J18" s="1102"/>
      <c r="K18" s="990"/>
      <c r="L18" s="1039"/>
      <c r="M18" s="1039">
        <f>((Import!L158+Import!L155)*0.03)-Import!L161</f>
        <v>0</v>
      </c>
      <c r="N18" s="267">
        <f>L18*0.03</f>
        <v>0</v>
      </c>
    </row>
    <row r="19" spans="1:81" ht="15" thickBot="1" x14ac:dyDescent="0.35">
      <c r="A19" s="1040"/>
      <c r="B19" s="1041"/>
      <c r="C19" s="1041"/>
      <c r="D19" s="1041"/>
      <c r="E19" s="1042"/>
      <c r="F19" s="1041"/>
      <c r="G19" s="1043"/>
      <c r="H19" s="1041"/>
      <c r="I19" s="1080"/>
      <c r="J19" s="1080"/>
    </row>
    <row r="20" spans="1:81" ht="27.75" customHeight="1" thickBot="1" x14ac:dyDescent="0.35">
      <c r="A20" s="1366" t="s">
        <v>1672</v>
      </c>
      <c r="B20" s="1367"/>
      <c r="C20" s="1367"/>
      <c r="D20" s="1367"/>
      <c r="E20" s="1001" t="s">
        <v>1343</v>
      </c>
      <c r="F20" s="1001" t="s">
        <v>1660</v>
      </c>
      <c r="G20" s="1044" t="s">
        <v>1120</v>
      </c>
      <c r="H20" s="1045"/>
      <c r="I20" s="1084"/>
      <c r="J20" s="1084"/>
      <c r="K20" s="990"/>
      <c r="L20" s="1015" t="e">
        <f>HLOOKUP(B5,'2019 Data(H)'!E2:CB310,243,FALSE)</f>
        <v>#N/A</v>
      </c>
      <c r="M20" s="1046" t="e">
        <f>HLOOKUP(B5,'2020 Data(H)'!E2:CZ350,243,FALSE)</f>
        <v>#N/A</v>
      </c>
      <c r="N20" s="1047" t="e">
        <f>+Import!L267</f>
        <v>#N/A</v>
      </c>
    </row>
    <row r="21" spans="1:81" ht="202.5" customHeight="1" thickBot="1" x14ac:dyDescent="0.35">
      <c r="A21" s="1368"/>
      <c r="B21" s="1369"/>
      <c r="C21" s="1369"/>
      <c r="D21" s="1370"/>
      <c r="E21" s="1030" t="s">
        <v>1053</v>
      </c>
      <c r="F21" s="1079" t="str">
        <f>'PI series #'!F18</f>
        <v/>
      </c>
      <c r="G21" s="1032"/>
      <c r="H21" s="1096" t="s">
        <v>1673</v>
      </c>
      <c r="I21" s="1086" t="s">
        <v>1107</v>
      </c>
      <c r="J21" s="1103"/>
      <c r="K21" s="990"/>
      <c r="L21" s="1046" t="e">
        <f>HLOOKUP(B5,'2019 Data(H)'!E2:CB310,302,FALSE)</f>
        <v>#N/A</v>
      </c>
      <c r="M21" s="1015" t="e">
        <f>HLOOKUP(B4,'2020 Data(H)'!F1:CC428,350,FALSE)</f>
        <v>#N/A</v>
      </c>
      <c r="N21" s="1015" t="e">
        <f>+(Import!L138-Import!L139-Import!L137-Import!L136)/(Import!L143-Import!L144-Import!L145-Import!L146-Import!L147-Import!L148-Import!L142)</f>
        <v>#DIV/0!</v>
      </c>
    </row>
    <row r="22" spans="1:81" ht="27.75" customHeight="1" thickBot="1" x14ac:dyDescent="0.35">
      <c r="A22" s="1049"/>
      <c r="B22" s="1050" t="s">
        <v>1664</v>
      </c>
      <c r="C22" s="1050" t="s">
        <v>1665</v>
      </c>
      <c r="D22" s="1050" t="s">
        <v>1666</v>
      </c>
      <c r="E22" s="1001" t="s">
        <v>1343</v>
      </c>
      <c r="F22" s="1001" t="s">
        <v>1660</v>
      </c>
      <c r="G22" s="1032"/>
      <c r="H22" s="1010"/>
      <c r="I22" s="1086"/>
      <c r="J22" s="1010"/>
      <c r="K22" s="990"/>
      <c r="L22" s="1046"/>
      <c r="M22" s="1015"/>
      <c r="N22" s="1015"/>
    </row>
    <row r="23" spans="1:81" ht="71.25" customHeight="1" thickBot="1" x14ac:dyDescent="0.35">
      <c r="A23" s="1028" t="s">
        <v>1100</v>
      </c>
      <c r="B23" s="1051" t="e">
        <f>IF(L20=0,"N/A",L23)</f>
        <v>#N/A</v>
      </c>
      <c r="C23" s="1051" t="e">
        <f>IF(M20=0,"N/A",M23)</f>
        <v>#N/A</v>
      </c>
      <c r="D23" s="1051" t="e">
        <f>IF(N20=0,"N/A",N23)</f>
        <v>#N/A</v>
      </c>
      <c r="E23" s="1030" t="s">
        <v>1348</v>
      </c>
      <c r="F23" s="1059" t="e">
        <f>D23</f>
        <v>#N/A</v>
      </c>
      <c r="G23" s="1032"/>
      <c r="H23" s="1096" t="s">
        <v>1674</v>
      </c>
      <c r="I23" s="1104" t="s">
        <v>1103</v>
      </c>
      <c r="J23" s="1102"/>
      <c r="K23" s="990"/>
      <c r="L23" s="1033" t="e">
        <f>HLOOKUP(B5,'2019 Data(H)'!E2:CB310,303,FALSE)</f>
        <v>#N/A</v>
      </c>
      <c r="M23" s="1033" t="e">
        <f>HLOOKUP(B4,'2020 Data(H)'!F1:CC428,351,FALSE)</f>
        <v>#N/A</v>
      </c>
      <c r="N23" s="1033">
        <f>+Import!L168-Import!L171+Import!L170-Import!L185</f>
        <v>0</v>
      </c>
    </row>
    <row r="24" spans="1:81" s="267" customFormat="1" ht="102.75" customHeight="1" thickBot="1" x14ac:dyDescent="0.35">
      <c r="A24" s="1028" t="s">
        <v>1121</v>
      </c>
      <c r="B24" s="1034" t="e">
        <f>IF(L20=0,"N/A",L24)</f>
        <v>#N/A</v>
      </c>
      <c r="C24" s="1034" t="e">
        <f>IF(M20=0,"N/A",M24)</f>
        <v>#N/A</v>
      </c>
      <c r="D24" s="1034" t="e">
        <f>IF(N20=0,"N/A",N24)</f>
        <v>#N/A</v>
      </c>
      <c r="E24" s="1030" t="s">
        <v>1581</v>
      </c>
      <c r="F24" s="1035" t="e">
        <f>D24</f>
        <v>#N/A</v>
      </c>
      <c r="G24" s="1032"/>
      <c r="H24" s="1085" t="s">
        <v>1669</v>
      </c>
      <c r="I24" s="1104" t="s">
        <v>1109</v>
      </c>
      <c r="J24" s="1101"/>
      <c r="K24" s="990"/>
      <c r="L24" s="1036" t="e">
        <f>HLOOKUP(B5,'2019 Data(H)'!E2:CB310,304,FALSE)</f>
        <v>#N/A</v>
      </c>
      <c r="M24" s="1036" t="e">
        <f>HLOOKUP(B4,'2020 Data(H)'!F1:CC428,352,FALSE)</f>
        <v>#N/A</v>
      </c>
      <c r="N24" s="1036" t="e">
        <f>+Import!L134/(Import!L174+Import!L171-Import!L170+Import!L185)</f>
        <v>#DIV/0!</v>
      </c>
      <c r="P24" s="991"/>
      <c r="Q24" s="992"/>
      <c r="R24" s="992"/>
      <c r="S24" s="992"/>
      <c r="T24" s="992"/>
      <c r="U24" s="992"/>
      <c r="V24" s="992"/>
      <c r="W24" s="992"/>
      <c r="X24" s="992"/>
      <c r="Y24" s="992"/>
      <c r="Z24" s="992"/>
      <c r="AA24" s="992"/>
      <c r="AB24" s="992"/>
      <c r="AC24" s="992"/>
      <c r="AD24" s="992"/>
      <c r="AE24" s="992"/>
      <c r="AF24" s="992"/>
      <c r="AG24" s="992"/>
      <c r="AH24" s="992"/>
      <c r="AI24" s="992"/>
      <c r="AJ24" s="992"/>
      <c r="AK24" s="992"/>
      <c r="AL24" s="992"/>
      <c r="AM24" s="992"/>
      <c r="AN24" s="992"/>
      <c r="AO24" s="992"/>
      <c r="AP24" s="992"/>
      <c r="AQ24" s="992"/>
      <c r="AR24" s="992"/>
      <c r="AS24" s="992"/>
      <c r="AT24" s="992"/>
      <c r="AU24" s="992"/>
      <c r="AV24" s="992"/>
      <c r="AW24" s="992"/>
      <c r="AX24" s="992"/>
      <c r="AY24" s="992"/>
      <c r="AZ24" s="992"/>
      <c r="BA24" s="992"/>
      <c r="BB24" s="992"/>
      <c r="BC24" s="992"/>
      <c r="BD24" s="992"/>
      <c r="BE24" s="992"/>
      <c r="BF24" s="992"/>
      <c r="BG24" s="992"/>
      <c r="BH24" s="992"/>
      <c r="BI24" s="992"/>
      <c r="BJ24" s="992"/>
      <c r="BK24" s="992"/>
      <c r="BL24" s="992"/>
      <c r="BM24" s="992"/>
      <c r="BN24" s="992"/>
      <c r="BO24" s="992"/>
      <c r="BP24" s="992"/>
      <c r="BQ24" s="992"/>
      <c r="BR24" s="992"/>
      <c r="BS24" s="992"/>
      <c r="BT24" s="992"/>
      <c r="BU24" s="992"/>
      <c r="BV24" s="992"/>
      <c r="BW24" s="992"/>
      <c r="BX24" s="992"/>
      <c r="BY24" s="992"/>
      <c r="BZ24" s="992"/>
      <c r="CA24" s="992"/>
      <c r="CB24" s="992"/>
      <c r="CC24" s="992"/>
    </row>
    <row r="25" spans="1:81" s="267" customFormat="1" ht="25.5" hidden="1" customHeight="1" thickBot="1" x14ac:dyDescent="0.35">
      <c r="A25" s="1087" t="s">
        <v>1346</v>
      </c>
      <c r="B25" s="1090"/>
      <c r="C25" s="1090"/>
      <c r="D25" s="1090"/>
      <c r="E25" s="1091"/>
      <c r="F25" s="1092"/>
      <c r="G25" s="1088"/>
      <c r="H25" s="1089"/>
      <c r="I25" s="1127"/>
      <c r="J25" s="1128"/>
      <c r="K25" s="990"/>
      <c r="L25" s="1036"/>
      <c r="M25" s="1036"/>
      <c r="N25" s="1036"/>
      <c r="P25" s="991"/>
      <c r="Q25" s="992"/>
      <c r="R25" s="992"/>
      <c r="S25" s="992"/>
      <c r="T25" s="992"/>
      <c r="U25" s="992"/>
      <c r="V25" s="992"/>
      <c r="W25" s="992"/>
      <c r="X25" s="992"/>
      <c r="Y25" s="992"/>
      <c r="Z25" s="992"/>
      <c r="AA25" s="992"/>
      <c r="AB25" s="992"/>
      <c r="AC25" s="992"/>
      <c r="AD25" s="992"/>
      <c r="AE25" s="992"/>
      <c r="AF25" s="992"/>
      <c r="AG25" s="992"/>
      <c r="AH25" s="992"/>
      <c r="AI25" s="992"/>
      <c r="AJ25" s="992"/>
      <c r="AK25" s="992"/>
      <c r="AL25" s="992"/>
      <c r="AM25" s="992"/>
      <c r="AN25" s="992"/>
      <c r="AO25" s="992"/>
      <c r="AP25" s="992"/>
      <c r="AQ25" s="992"/>
      <c r="AR25" s="992"/>
      <c r="AS25" s="992"/>
      <c r="AT25" s="992"/>
      <c r="AU25" s="992"/>
      <c r="AV25" s="992"/>
      <c r="AW25" s="992"/>
      <c r="AX25" s="992"/>
      <c r="AY25" s="992"/>
      <c r="AZ25" s="992"/>
      <c r="BA25" s="992"/>
      <c r="BB25" s="992"/>
      <c r="BC25" s="992"/>
      <c r="BD25" s="992"/>
      <c r="BE25" s="992"/>
      <c r="BF25" s="992"/>
      <c r="BG25" s="992"/>
      <c r="BH25" s="992"/>
      <c r="BI25" s="992"/>
      <c r="BJ25" s="992"/>
      <c r="BK25" s="992"/>
      <c r="BL25" s="992"/>
      <c r="BM25" s="992"/>
      <c r="BN25" s="992"/>
      <c r="BO25" s="992"/>
      <c r="BP25" s="992"/>
      <c r="BQ25" s="992"/>
      <c r="BR25" s="992"/>
      <c r="BS25" s="992"/>
      <c r="BT25" s="992"/>
      <c r="BU25" s="992"/>
      <c r="BV25" s="992"/>
      <c r="BW25" s="992"/>
      <c r="BX25" s="992"/>
      <c r="BY25" s="992"/>
      <c r="BZ25" s="992"/>
      <c r="CA25" s="992"/>
      <c r="CB25" s="992"/>
      <c r="CC25" s="992"/>
    </row>
    <row r="26" spans="1:81" s="267" customFormat="1" ht="88.5" hidden="1" customHeight="1" thickBot="1" x14ac:dyDescent="0.35">
      <c r="A26" s="1087" t="s">
        <v>729</v>
      </c>
      <c r="B26" s="1090"/>
      <c r="C26" s="1090"/>
      <c r="D26" s="1117" t="str">
        <f>+N26</f>
        <v/>
      </c>
      <c r="E26" s="1030" t="s">
        <v>1053</v>
      </c>
      <c r="F26" s="1116" t="str">
        <f>+N26</f>
        <v/>
      </c>
      <c r="G26" s="1088"/>
      <c r="H26" s="1096" t="s">
        <v>1673</v>
      </c>
      <c r="I26" s="1086" t="s">
        <v>1593</v>
      </c>
      <c r="J26" s="1101"/>
      <c r="K26" s="990"/>
      <c r="L26" s="1036"/>
      <c r="M26" s="1036"/>
      <c r="N26" s="1118" t="str">
        <f>IFERROR((+Import!L94-Import!L93)/Import!L95,"")</f>
        <v/>
      </c>
      <c r="P26" s="991"/>
      <c r="Q26" s="992"/>
      <c r="R26" s="992"/>
      <c r="S26" s="992"/>
      <c r="T26" s="992"/>
      <c r="U26" s="992"/>
      <c r="V26" s="992"/>
      <c r="W26" s="992"/>
      <c r="X26" s="992"/>
      <c r="Y26" s="992"/>
      <c r="Z26" s="992"/>
      <c r="AA26" s="992"/>
      <c r="AB26" s="992"/>
      <c r="AC26" s="992"/>
      <c r="AD26" s="992"/>
      <c r="AE26" s="992"/>
      <c r="AF26" s="992"/>
      <c r="AG26" s="992"/>
      <c r="AH26" s="992"/>
      <c r="AI26" s="992"/>
      <c r="AJ26" s="992"/>
      <c r="AK26" s="992"/>
      <c r="AL26" s="992"/>
      <c r="AM26" s="992"/>
      <c r="AN26" s="992"/>
      <c r="AO26" s="992"/>
      <c r="AP26" s="992"/>
      <c r="AQ26" s="992"/>
      <c r="AR26" s="992"/>
      <c r="AS26" s="992"/>
      <c r="AT26" s="992"/>
      <c r="AU26" s="992"/>
      <c r="AV26" s="992"/>
      <c r="AW26" s="992"/>
      <c r="AX26" s="992"/>
      <c r="AY26" s="992"/>
      <c r="AZ26" s="992"/>
      <c r="BA26" s="992"/>
      <c r="BB26" s="992"/>
      <c r="BC26" s="992"/>
      <c r="BD26" s="992"/>
      <c r="BE26" s="992"/>
      <c r="BF26" s="992"/>
      <c r="BG26" s="992"/>
      <c r="BH26" s="992"/>
      <c r="BI26" s="992"/>
      <c r="BJ26" s="992"/>
      <c r="BK26" s="992"/>
      <c r="BL26" s="992"/>
      <c r="BM26" s="992"/>
      <c r="BN26" s="992"/>
      <c r="BO26" s="992"/>
      <c r="BP26" s="992"/>
      <c r="BQ26" s="992"/>
      <c r="BR26" s="992"/>
      <c r="BS26" s="992"/>
      <c r="BT26" s="992"/>
      <c r="BU26" s="992"/>
      <c r="BV26" s="992"/>
      <c r="BW26" s="992"/>
      <c r="BX26" s="992"/>
      <c r="BY26" s="992"/>
      <c r="BZ26" s="992"/>
      <c r="CA26" s="992"/>
      <c r="CB26" s="992"/>
      <c r="CC26" s="992"/>
    </row>
    <row r="27" spans="1:81" s="267" customFormat="1" ht="18.600000000000001" thickBot="1" x14ac:dyDescent="0.35">
      <c r="A27" s="1052"/>
      <c r="B27" s="1053"/>
      <c r="C27" s="1053"/>
      <c r="D27" s="1053"/>
      <c r="E27" s="1054"/>
      <c r="F27" s="1053"/>
      <c r="G27" s="1055"/>
      <c r="H27" s="1053"/>
      <c r="I27" s="1105"/>
      <c r="J27" s="1080"/>
      <c r="K27" s="993"/>
      <c r="N27" s="1005"/>
      <c r="P27" s="991"/>
      <c r="Q27" s="992"/>
      <c r="R27" s="992"/>
      <c r="S27" s="992"/>
      <c r="T27" s="992"/>
      <c r="U27" s="992"/>
      <c r="V27" s="992"/>
      <c r="W27" s="992"/>
      <c r="X27" s="992"/>
      <c r="Y27" s="992"/>
      <c r="Z27" s="992"/>
      <c r="AA27" s="992"/>
      <c r="AB27" s="992"/>
      <c r="AC27" s="992"/>
      <c r="AD27" s="992"/>
      <c r="AE27" s="992"/>
      <c r="AF27" s="992"/>
      <c r="AG27" s="992"/>
      <c r="AH27" s="992"/>
      <c r="AI27" s="992"/>
      <c r="AJ27" s="992"/>
      <c r="AK27" s="992"/>
      <c r="AL27" s="992"/>
      <c r="AM27" s="992"/>
      <c r="AN27" s="992"/>
      <c r="AO27" s="992"/>
      <c r="AP27" s="992"/>
      <c r="AQ27" s="992"/>
      <c r="AR27" s="992"/>
      <c r="AS27" s="992"/>
      <c r="AT27" s="992"/>
      <c r="AU27" s="992"/>
      <c r="AV27" s="992"/>
      <c r="AW27" s="992"/>
      <c r="AX27" s="992"/>
      <c r="AY27" s="992"/>
      <c r="AZ27" s="992"/>
      <c r="BA27" s="992"/>
      <c r="BB27" s="992"/>
      <c r="BC27" s="992"/>
      <c r="BD27" s="992"/>
      <c r="BE27" s="992"/>
      <c r="BF27" s="992"/>
      <c r="BG27" s="992"/>
      <c r="BH27" s="992"/>
      <c r="BI27" s="992"/>
      <c r="BJ27" s="992"/>
      <c r="BK27" s="992"/>
      <c r="BL27" s="992"/>
      <c r="BM27" s="992"/>
      <c r="BN27" s="992"/>
      <c r="BO27" s="992"/>
      <c r="BP27" s="992"/>
      <c r="BQ27" s="992"/>
      <c r="BR27" s="992"/>
      <c r="BS27" s="992"/>
      <c r="BT27" s="992"/>
      <c r="BU27" s="992"/>
      <c r="BV27" s="992"/>
      <c r="BW27" s="992"/>
      <c r="BX27" s="992"/>
      <c r="BY27" s="992"/>
      <c r="BZ27" s="992"/>
      <c r="CA27" s="992"/>
      <c r="CB27" s="992"/>
      <c r="CC27" s="992"/>
    </row>
    <row r="28" spans="1:81" s="267" customFormat="1" ht="18.600000000000001" thickBot="1" x14ac:dyDescent="0.35">
      <c r="A28" s="1366" t="s">
        <v>1675</v>
      </c>
      <c r="B28" s="1367"/>
      <c r="C28" s="1371"/>
      <c r="D28" s="282" t="s">
        <v>1666</v>
      </c>
      <c r="E28" s="283" t="s">
        <v>1676</v>
      </c>
      <c r="F28" s="1056"/>
      <c r="G28" s="1057"/>
      <c r="H28" s="1058"/>
      <c r="I28" s="1107"/>
      <c r="J28" s="1058"/>
      <c r="K28" s="990"/>
      <c r="P28" s="991"/>
      <c r="Q28" s="992"/>
      <c r="R28" s="992"/>
      <c r="S28" s="992"/>
      <c r="T28" s="992"/>
      <c r="U28" s="992"/>
      <c r="V28" s="992"/>
      <c r="W28" s="992"/>
      <c r="X28" s="992"/>
      <c r="Y28" s="992"/>
      <c r="Z28" s="992"/>
      <c r="AA28" s="992"/>
      <c r="AB28" s="992"/>
      <c r="AC28" s="992"/>
      <c r="AD28" s="992"/>
      <c r="AE28" s="992"/>
      <c r="AF28" s="992"/>
      <c r="AG28" s="992"/>
      <c r="AH28" s="992"/>
      <c r="AI28" s="992"/>
      <c r="AJ28" s="992"/>
      <c r="AK28" s="992"/>
      <c r="AL28" s="992"/>
      <c r="AM28" s="992"/>
      <c r="AN28" s="992"/>
      <c r="AO28" s="992"/>
      <c r="AP28" s="992"/>
      <c r="AQ28" s="992"/>
      <c r="AR28" s="992"/>
      <c r="AS28" s="992"/>
      <c r="AT28" s="992"/>
      <c r="AU28" s="992"/>
      <c r="AV28" s="992"/>
      <c r="AW28" s="992"/>
      <c r="AX28" s="992"/>
      <c r="AY28" s="992"/>
      <c r="AZ28" s="992"/>
      <c r="BA28" s="992"/>
      <c r="BB28" s="992"/>
      <c r="BC28" s="992"/>
      <c r="BD28" s="992"/>
      <c r="BE28" s="992"/>
      <c r="BF28" s="992"/>
      <c r="BG28" s="992"/>
      <c r="BH28" s="992"/>
      <c r="BI28" s="992"/>
      <c r="BJ28" s="992"/>
      <c r="BK28" s="992"/>
      <c r="BL28" s="992"/>
      <c r="BM28" s="992"/>
      <c r="BN28" s="992"/>
      <c r="BO28" s="992"/>
      <c r="BP28" s="992"/>
      <c r="BQ28" s="992"/>
      <c r="BR28" s="992"/>
      <c r="BS28" s="992"/>
      <c r="BT28" s="992"/>
      <c r="BU28" s="992"/>
      <c r="BV28" s="992"/>
      <c r="BW28" s="992"/>
      <c r="BX28" s="992"/>
      <c r="BY28" s="992"/>
      <c r="BZ28" s="992"/>
      <c r="CA28" s="992"/>
      <c r="CB28" s="992"/>
      <c r="CC28" s="992"/>
    </row>
    <row r="29" spans="1:81" s="267" customFormat="1" ht="92.25" customHeight="1" thickBot="1" x14ac:dyDescent="0.35">
      <c r="A29" s="1372" t="s">
        <v>1677</v>
      </c>
      <c r="B29" s="1372"/>
      <c r="C29" s="1372"/>
      <c r="D29" s="1059" t="b">
        <f>IF(Import!L258=1,"Yes",IF(Import!L258=2,"No"))</f>
        <v>0</v>
      </c>
      <c r="E29" s="1030" t="s">
        <v>1057</v>
      </c>
      <c r="F29" s="1059" t="b">
        <f>D29</f>
        <v>0</v>
      </c>
      <c r="G29" s="1032"/>
      <c r="H29" s="1097" t="s">
        <v>1678</v>
      </c>
      <c r="I29" s="1104" t="s">
        <v>1077</v>
      </c>
      <c r="J29" s="1106"/>
      <c r="K29" s="990"/>
      <c r="P29" s="991"/>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c r="AU29" s="992"/>
      <c r="AV29" s="992"/>
      <c r="AW29" s="992"/>
      <c r="AX29" s="992"/>
      <c r="AY29" s="992"/>
      <c r="AZ29" s="992"/>
      <c r="BA29" s="992"/>
      <c r="BB29" s="992"/>
      <c r="BC29" s="992"/>
      <c r="BD29" s="992"/>
      <c r="BE29" s="992"/>
      <c r="BF29" s="992"/>
      <c r="BG29" s="992"/>
      <c r="BH29" s="992"/>
      <c r="BI29" s="992"/>
      <c r="BJ29" s="992"/>
      <c r="BK29" s="992"/>
      <c r="BL29" s="992"/>
      <c r="BM29" s="992"/>
      <c r="BN29" s="992"/>
      <c r="BO29" s="992"/>
      <c r="BP29" s="992"/>
      <c r="BQ29" s="992"/>
      <c r="BR29" s="992"/>
      <c r="BS29" s="992"/>
      <c r="BT29" s="992"/>
      <c r="BU29" s="992"/>
      <c r="BV29" s="992"/>
      <c r="BW29" s="992"/>
      <c r="BX29" s="992"/>
      <c r="BY29" s="992"/>
      <c r="BZ29" s="992"/>
      <c r="CA29" s="992"/>
      <c r="CB29" s="992"/>
      <c r="CC29" s="992"/>
    </row>
    <row r="30" spans="1:81" s="267" customFormat="1" ht="18" customHeight="1" thickBot="1" x14ac:dyDescent="0.35">
      <c r="A30" s="1347"/>
      <c r="B30" s="1348"/>
      <c r="C30" s="1349"/>
      <c r="D30" s="1061" t="s">
        <v>1666</v>
      </c>
      <c r="E30" s="283" t="s">
        <v>1676</v>
      </c>
      <c r="F30" s="1062"/>
      <c r="G30" s="1032"/>
      <c r="H30" s="1062"/>
      <c r="I30" s="1108"/>
      <c r="J30" s="1111"/>
      <c r="K30" s="990"/>
      <c r="P30" s="991"/>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c r="AU30" s="992"/>
      <c r="AV30" s="992"/>
      <c r="AW30" s="992"/>
      <c r="AX30" s="992"/>
      <c r="AY30" s="992"/>
      <c r="AZ30" s="992"/>
      <c r="BA30" s="992"/>
      <c r="BB30" s="992"/>
      <c r="BC30" s="992"/>
      <c r="BD30" s="992"/>
      <c r="BE30" s="992"/>
      <c r="BF30" s="992"/>
      <c r="BG30" s="992"/>
      <c r="BH30" s="992"/>
      <c r="BI30" s="992"/>
      <c r="BJ30" s="992"/>
      <c r="BK30" s="992"/>
      <c r="BL30" s="992"/>
      <c r="BM30" s="992"/>
      <c r="BN30" s="992"/>
      <c r="BO30" s="992"/>
      <c r="BP30" s="992"/>
      <c r="BQ30" s="992"/>
      <c r="BR30" s="992"/>
      <c r="BS30" s="992"/>
      <c r="BT30" s="992"/>
      <c r="BU30" s="992"/>
      <c r="BV30" s="992"/>
      <c r="BW30" s="992"/>
      <c r="BX30" s="992"/>
      <c r="BY30" s="992"/>
      <c r="BZ30" s="992"/>
      <c r="CA30" s="992"/>
      <c r="CB30" s="992"/>
      <c r="CC30" s="992"/>
    </row>
    <row r="31" spans="1:81" s="267" customFormat="1" ht="69.75" customHeight="1" thickBot="1" x14ac:dyDescent="0.35">
      <c r="A31" s="1372" t="s">
        <v>1258</v>
      </c>
      <c r="B31" s="1372"/>
      <c r="C31" s="1372"/>
      <c r="D31" s="1063" t="str">
        <f>IFERROR((Import!L67-Import!L68)/Import!L68,"")</f>
        <v/>
      </c>
      <c r="E31" s="1030" t="s">
        <v>1058</v>
      </c>
      <c r="F31" s="1064" t="str">
        <f>+D31</f>
        <v/>
      </c>
      <c r="G31" s="1032"/>
      <c r="H31" s="1085" t="s">
        <v>1679</v>
      </c>
      <c r="I31" s="1104" t="s">
        <v>1082</v>
      </c>
      <c r="J31" s="1106"/>
      <c r="K31" s="990"/>
      <c r="P31" s="991"/>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c r="AU31" s="992"/>
      <c r="AV31" s="992"/>
      <c r="AW31" s="992"/>
      <c r="AX31" s="992"/>
      <c r="AY31" s="992"/>
      <c r="AZ31" s="992"/>
      <c r="BA31" s="992"/>
      <c r="BB31" s="992"/>
      <c r="BC31" s="992"/>
      <c r="BD31" s="992"/>
      <c r="BE31" s="992"/>
      <c r="BF31" s="992"/>
      <c r="BG31" s="992"/>
      <c r="BH31" s="992"/>
      <c r="BI31" s="992"/>
      <c r="BJ31" s="992"/>
      <c r="BK31" s="992"/>
      <c r="BL31" s="992"/>
      <c r="BM31" s="992"/>
      <c r="BN31" s="992"/>
      <c r="BO31" s="992"/>
      <c r="BP31" s="992"/>
      <c r="BQ31" s="992"/>
      <c r="BR31" s="992"/>
      <c r="BS31" s="992"/>
      <c r="BT31" s="992"/>
      <c r="BU31" s="992"/>
      <c r="BV31" s="992"/>
      <c r="BW31" s="992"/>
      <c r="BX31" s="992"/>
      <c r="BY31" s="992"/>
      <c r="BZ31" s="992"/>
      <c r="CA31" s="992"/>
      <c r="CB31" s="992"/>
      <c r="CC31" s="992"/>
    </row>
    <row r="32" spans="1:81" s="267" customFormat="1" ht="18" customHeight="1" thickBot="1" x14ac:dyDescent="0.35">
      <c r="A32" s="1347"/>
      <c r="B32" s="1348"/>
      <c r="C32" s="1349"/>
      <c r="D32" s="1061" t="s">
        <v>1666</v>
      </c>
      <c r="E32" s="283" t="s">
        <v>1676</v>
      </c>
      <c r="F32" s="1062"/>
      <c r="G32" s="1032"/>
      <c r="H32" s="1062"/>
      <c r="I32" s="1108"/>
      <c r="J32" s="1111"/>
      <c r="K32" s="1065"/>
      <c r="P32" s="991"/>
      <c r="Q32" s="992"/>
      <c r="R32" s="992"/>
      <c r="S32" s="992"/>
      <c r="T32" s="992"/>
      <c r="U32" s="992"/>
      <c r="V32" s="992"/>
      <c r="W32" s="992"/>
      <c r="X32" s="992"/>
      <c r="Y32" s="992"/>
      <c r="Z32" s="992"/>
      <c r="AA32" s="992"/>
      <c r="AB32" s="992"/>
      <c r="AC32" s="992"/>
      <c r="AD32" s="992"/>
      <c r="AE32" s="992"/>
      <c r="AF32" s="992"/>
      <c r="AG32" s="992"/>
      <c r="AH32" s="992"/>
      <c r="AI32" s="992"/>
      <c r="AJ32" s="992"/>
      <c r="AK32" s="992"/>
      <c r="AL32" s="992"/>
      <c r="AM32" s="992"/>
      <c r="AN32" s="992"/>
      <c r="AO32" s="992"/>
      <c r="AP32" s="992"/>
      <c r="AQ32" s="992"/>
      <c r="AR32" s="992"/>
      <c r="AS32" s="992"/>
      <c r="AT32" s="992"/>
      <c r="AU32" s="992"/>
      <c r="AV32" s="992"/>
      <c r="AW32" s="992"/>
      <c r="AX32" s="992"/>
      <c r="AY32" s="992"/>
      <c r="AZ32" s="992"/>
      <c r="BA32" s="992"/>
      <c r="BB32" s="992"/>
      <c r="BC32" s="992"/>
      <c r="BD32" s="992"/>
      <c r="BE32" s="992"/>
      <c r="BF32" s="992"/>
      <c r="BG32" s="992"/>
      <c r="BH32" s="992"/>
      <c r="BI32" s="992"/>
      <c r="BJ32" s="992"/>
      <c r="BK32" s="992"/>
      <c r="BL32" s="992"/>
      <c r="BM32" s="992"/>
      <c r="BN32" s="992"/>
      <c r="BO32" s="992"/>
      <c r="BP32" s="992"/>
      <c r="BQ32" s="992"/>
      <c r="BR32" s="992"/>
      <c r="BS32" s="992"/>
      <c r="BT32" s="992"/>
      <c r="BU32" s="992"/>
      <c r="BV32" s="992"/>
      <c r="BW32" s="992"/>
      <c r="BX32" s="992"/>
      <c r="BY32" s="992"/>
      <c r="BZ32" s="992"/>
      <c r="CA32" s="992"/>
      <c r="CB32" s="992"/>
      <c r="CC32" s="992"/>
    </row>
    <row r="33" spans="1:81" s="267" customFormat="1" ht="74.25" customHeight="1" thickBot="1" x14ac:dyDescent="0.35">
      <c r="A33" s="1372" t="s">
        <v>1680</v>
      </c>
      <c r="B33" s="1372"/>
      <c r="C33" s="1372"/>
      <c r="D33" s="1059" t="b">
        <f>IF(Import!L244=20,"Increase",IF(Import!L244=21,"Decrease",IF(Import!L244=22,"No Change",IF(Import!L244=23,"N/A"))))</f>
        <v>0</v>
      </c>
      <c r="E33" s="1030" t="s">
        <v>1681</v>
      </c>
      <c r="F33" s="1059" t="b">
        <f>D33</f>
        <v>0</v>
      </c>
      <c r="G33" s="1032"/>
      <c r="H33" s="1085" t="s">
        <v>1682</v>
      </c>
      <c r="I33" s="1104" t="s">
        <v>1083</v>
      </c>
      <c r="J33" s="1106"/>
      <c r="K33" s="1066"/>
      <c r="P33" s="991"/>
      <c r="Q33" s="992"/>
      <c r="R33" s="992"/>
      <c r="S33" s="992"/>
      <c r="T33" s="992"/>
      <c r="U33" s="992"/>
      <c r="V33" s="992"/>
      <c r="W33" s="992"/>
      <c r="X33" s="992"/>
      <c r="Y33" s="992"/>
      <c r="Z33" s="992"/>
      <c r="AA33" s="992"/>
      <c r="AB33" s="992"/>
      <c r="AC33" s="992"/>
      <c r="AD33" s="992"/>
      <c r="AE33" s="992"/>
      <c r="AF33" s="992"/>
      <c r="AG33" s="992"/>
      <c r="AH33" s="992"/>
      <c r="AI33" s="992"/>
      <c r="AJ33" s="992"/>
      <c r="AK33" s="992"/>
      <c r="AL33" s="992"/>
      <c r="AM33" s="992"/>
      <c r="AN33" s="992"/>
      <c r="AO33" s="992"/>
      <c r="AP33" s="992"/>
      <c r="AQ33" s="992"/>
      <c r="AR33" s="992"/>
      <c r="AS33" s="992"/>
      <c r="AT33" s="992"/>
      <c r="AU33" s="992"/>
      <c r="AV33" s="992"/>
      <c r="AW33" s="992"/>
      <c r="AX33" s="992"/>
      <c r="AY33" s="992"/>
      <c r="AZ33" s="992"/>
      <c r="BA33" s="992"/>
      <c r="BB33" s="992"/>
      <c r="BC33" s="992"/>
      <c r="BD33" s="992"/>
      <c r="BE33" s="992"/>
      <c r="BF33" s="992"/>
      <c r="BG33" s="992"/>
      <c r="BH33" s="992"/>
      <c r="BI33" s="992"/>
      <c r="BJ33" s="992"/>
      <c r="BK33" s="992"/>
      <c r="BL33" s="992"/>
      <c r="BM33" s="992"/>
      <c r="BN33" s="992"/>
      <c r="BO33" s="992"/>
      <c r="BP33" s="992"/>
      <c r="BQ33" s="992"/>
      <c r="BR33" s="992"/>
      <c r="BS33" s="992"/>
      <c r="BT33" s="992"/>
      <c r="BU33" s="992"/>
      <c r="BV33" s="992"/>
      <c r="BW33" s="992"/>
      <c r="BX33" s="992"/>
      <c r="BY33" s="992"/>
      <c r="BZ33" s="992"/>
      <c r="CA33" s="992"/>
      <c r="CB33" s="992"/>
      <c r="CC33" s="992"/>
    </row>
    <row r="34" spans="1:81" s="267" customFormat="1" ht="18" customHeight="1" thickBot="1" x14ac:dyDescent="0.35">
      <c r="A34" s="1347"/>
      <c r="B34" s="1348"/>
      <c r="C34" s="1349"/>
      <c r="D34" s="1061" t="s">
        <v>1666</v>
      </c>
      <c r="E34" s="283" t="s">
        <v>1676</v>
      </c>
      <c r="F34" s="1062"/>
      <c r="G34" s="1032"/>
      <c r="H34" s="1095"/>
      <c r="I34" s="1108"/>
      <c r="J34" s="1111"/>
      <c r="K34" s="1067"/>
      <c r="P34" s="991"/>
      <c r="Q34" s="992"/>
      <c r="R34" s="992"/>
      <c r="S34" s="992"/>
      <c r="T34" s="992"/>
      <c r="U34" s="992"/>
      <c r="V34" s="992"/>
      <c r="W34" s="992"/>
      <c r="X34" s="992"/>
      <c r="Y34" s="992"/>
      <c r="Z34" s="992"/>
      <c r="AA34" s="992"/>
      <c r="AB34" s="992"/>
      <c r="AC34" s="992"/>
      <c r="AD34" s="992"/>
      <c r="AE34" s="992"/>
      <c r="AF34" s="992"/>
      <c r="AG34" s="992"/>
      <c r="AH34" s="992"/>
      <c r="AI34" s="992"/>
      <c r="AJ34" s="992"/>
      <c r="AK34" s="992"/>
      <c r="AL34" s="992"/>
      <c r="AM34" s="992"/>
      <c r="AN34" s="992"/>
      <c r="AO34" s="992"/>
      <c r="AP34" s="992"/>
      <c r="AQ34" s="992"/>
      <c r="AR34" s="992"/>
      <c r="AS34" s="992"/>
      <c r="AT34" s="992"/>
      <c r="AU34" s="992"/>
      <c r="AV34" s="992"/>
      <c r="AW34" s="992"/>
      <c r="AX34" s="992"/>
      <c r="AY34" s="992"/>
      <c r="AZ34" s="992"/>
      <c r="BA34" s="992"/>
      <c r="BB34" s="992"/>
      <c r="BC34" s="992"/>
      <c r="BD34" s="992"/>
      <c r="BE34" s="992"/>
      <c r="BF34" s="992"/>
      <c r="BG34" s="992"/>
      <c r="BH34" s="992"/>
      <c r="BI34" s="992"/>
      <c r="BJ34" s="992"/>
      <c r="BK34" s="992"/>
      <c r="BL34" s="992"/>
      <c r="BM34" s="992"/>
      <c r="BN34" s="992"/>
      <c r="BO34" s="992"/>
      <c r="BP34" s="992"/>
      <c r="BQ34" s="992"/>
      <c r="BR34" s="992"/>
      <c r="BS34" s="992"/>
      <c r="BT34" s="992"/>
      <c r="BU34" s="992"/>
      <c r="BV34" s="992"/>
      <c r="BW34" s="992"/>
      <c r="BX34" s="992"/>
      <c r="BY34" s="992"/>
      <c r="BZ34" s="992"/>
      <c r="CA34" s="992"/>
      <c r="CB34" s="992"/>
      <c r="CC34" s="992"/>
    </row>
    <row r="35" spans="1:81" s="267" customFormat="1" ht="71.25" customHeight="1" thickBot="1" x14ac:dyDescent="0.35">
      <c r="A35" s="1363" t="s">
        <v>1306</v>
      </c>
      <c r="B35" s="1364"/>
      <c r="C35" s="1365"/>
      <c r="D35" s="1068" t="str">
        <f>IF(Import!L256=1,"Yes",IF(Import!L256=2,"No",IF(Import!L256=0,"This question must be answered")))</f>
        <v>This question must be answered</v>
      </c>
      <c r="E35" s="1030" t="s">
        <v>1087</v>
      </c>
      <c r="F35" s="1030" t="str">
        <f>+D35</f>
        <v>This question must be answered</v>
      </c>
      <c r="G35" s="1032"/>
      <c r="H35" s="1085" t="s">
        <v>1683</v>
      </c>
      <c r="I35" s="1104" t="s">
        <v>1078</v>
      </c>
      <c r="J35" s="1106"/>
      <c r="K35" s="990"/>
      <c r="P35" s="991"/>
      <c r="Q35" s="992"/>
      <c r="R35" s="992"/>
      <c r="S35" s="992"/>
      <c r="T35" s="992"/>
      <c r="U35" s="992"/>
      <c r="V35" s="992"/>
      <c r="W35" s="992"/>
      <c r="X35" s="992"/>
      <c r="Y35" s="992"/>
      <c r="Z35" s="992"/>
      <c r="AA35" s="992"/>
      <c r="AB35" s="992"/>
      <c r="AC35" s="992"/>
      <c r="AD35" s="992"/>
      <c r="AE35" s="992"/>
      <c r="AF35" s="992"/>
      <c r="AG35" s="992"/>
      <c r="AH35" s="992"/>
      <c r="AI35" s="992"/>
      <c r="AJ35" s="992"/>
      <c r="AK35" s="992"/>
      <c r="AL35" s="992"/>
      <c r="AM35" s="992"/>
      <c r="AN35" s="992"/>
      <c r="AO35" s="992"/>
      <c r="AP35" s="992"/>
      <c r="AQ35" s="992"/>
      <c r="AR35" s="992"/>
      <c r="AS35" s="992"/>
      <c r="AT35" s="992"/>
      <c r="AU35" s="992"/>
      <c r="AV35" s="992"/>
      <c r="AW35" s="992"/>
      <c r="AX35" s="992"/>
      <c r="AY35" s="992"/>
      <c r="AZ35" s="992"/>
      <c r="BA35" s="992"/>
      <c r="BB35" s="992"/>
      <c r="BC35" s="992"/>
      <c r="BD35" s="992"/>
      <c r="BE35" s="992"/>
      <c r="BF35" s="992"/>
      <c r="BG35" s="992"/>
      <c r="BH35" s="992"/>
      <c r="BI35" s="992"/>
      <c r="BJ35" s="992"/>
      <c r="BK35" s="992"/>
      <c r="BL35" s="992"/>
      <c r="BM35" s="992"/>
      <c r="BN35" s="992"/>
      <c r="BO35" s="992"/>
      <c r="BP35" s="992"/>
      <c r="BQ35" s="992"/>
      <c r="BR35" s="992"/>
      <c r="BS35" s="992"/>
      <c r="BT35" s="992"/>
      <c r="BU35" s="992"/>
      <c r="BV35" s="992"/>
      <c r="BW35" s="992"/>
      <c r="BX35" s="992"/>
      <c r="BY35" s="992"/>
      <c r="BZ35" s="992"/>
      <c r="CA35" s="992"/>
      <c r="CB35" s="992"/>
      <c r="CC35" s="992"/>
    </row>
    <row r="36" spans="1:81" s="267" customFormat="1" ht="18" customHeight="1" thickBot="1" x14ac:dyDescent="0.35">
      <c r="A36" s="1347"/>
      <c r="B36" s="1348"/>
      <c r="C36" s="1349"/>
      <c r="D36" s="1061" t="s">
        <v>1666</v>
      </c>
      <c r="E36" s="283" t="s">
        <v>1676</v>
      </c>
      <c r="F36" s="1070"/>
      <c r="G36" s="1032"/>
      <c r="H36" s="1095"/>
      <c r="I36" s="1108"/>
      <c r="J36" s="1111"/>
      <c r="K36" s="990"/>
      <c r="P36" s="991"/>
      <c r="Q36" s="992"/>
      <c r="R36" s="992"/>
      <c r="S36" s="992"/>
      <c r="T36" s="992"/>
      <c r="U36" s="992"/>
      <c r="V36" s="992"/>
      <c r="W36" s="992"/>
      <c r="X36" s="992"/>
      <c r="Y36" s="992"/>
      <c r="Z36" s="992"/>
      <c r="AA36" s="992"/>
      <c r="AB36" s="992"/>
      <c r="AC36" s="992"/>
      <c r="AD36" s="992"/>
      <c r="AE36" s="992"/>
      <c r="AF36" s="992"/>
      <c r="AG36" s="992"/>
      <c r="AH36" s="992"/>
      <c r="AI36" s="992"/>
      <c r="AJ36" s="992"/>
      <c r="AK36" s="992"/>
      <c r="AL36" s="992"/>
      <c r="AM36" s="992"/>
      <c r="AN36" s="992"/>
      <c r="AO36" s="992"/>
      <c r="AP36" s="992"/>
      <c r="AQ36" s="992"/>
      <c r="AR36" s="992"/>
      <c r="AS36" s="992"/>
      <c r="AT36" s="992"/>
      <c r="AU36" s="992"/>
      <c r="AV36" s="992"/>
      <c r="AW36" s="992"/>
      <c r="AX36" s="992"/>
      <c r="AY36" s="992"/>
      <c r="AZ36" s="992"/>
      <c r="BA36" s="992"/>
      <c r="BB36" s="992"/>
      <c r="BC36" s="992"/>
      <c r="BD36" s="992"/>
      <c r="BE36" s="992"/>
      <c r="BF36" s="992"/>
      <c r="BG36" s="992"/>
      <c r="BH36" s="992"/>
      <c r="BI36" s="992"/>
      <c r="BJ36" s="992"/>
      <c r="BK36" s="992"/>
      <c r="BL36" s="992"/>
      <c r="BM36" s="992"/>
      <c r="BN36" s="992"/>
      <c r="BO36" s="992"/>
      <c r="BP36" s="992"/>
      <c r="BQ36" s="992"/>
      <c r="BR36" s="992"/>
      <c r="BS36" s="992"/>
      <c r="BT36" s="992"/>
      <c r="BU36" s="992"/>
      <c r="BV36" s="992"/>
      <c r="BW36" s="992"/>
      <c r="BX36" s="992"/>
      <c r="BY36" s="992"/>
      <c r="BZ36" s="992"/>
      <c r="CA36" s="992"/>
      <c r="CB36" s="992"/>
      <c r="CC36" s="992"/>
    </row>
    <row r="37" spans="1:81" s="267" customFormat="1" ht="81" customHeight="1" thickBot="1" x14ac:dyDescent="0.35">
      <c r="A37" s="1363" t="s">
        <v>1259</v>
      </c>
      <c r="B37" s="1364"/>
      <c r="C37" s="1365"/>
      <c r="D37" s="1063" t="str">
        <f>IF(Import!L191&gt;(Import!L155+Import!L158)*0.03,"Yes","No")</f>
        <v>No</v>
      </c>
      <c r="E37" s="1071"/>
      <c r="F37" s="1063" t="str">
        <f>+D37</f>
        <v>No</v>
      </c>
      <c r="G37" s="1032"/>
      <c r="H37" s="1010" t="s">
        <v>1684</v>
      </c>
      <c r="I37" s="1104" t="s">
        <v>1084</v>
      </c>
      <c r="J37" s="1106"/>
      <c r="K37" s="990"/>
      <c r="P37" s="991"/>
      <c r="Q37" s="992"/>
      <c r="R37" s="992"/>
      <c r="S37" s="992"/>
      <c r="T37" s="992"/>
      <c r="U37" s="992"/>
      <c r="V37" s="992"/>
      <c r="W37" s="992"/>
      <c r="X37" s="992"/>
      <c r="Y37" s="992"/>
      <c r="Z37" s="992"/>
      <c r="AA37" s="992"/>
      <c r="AB37" s="992"/>
      <c r="AC37" s="992"/>
      <c r="AD37" s="992"/>
      <c r="AE37" s="992"/>
      <c r="AF37" s="992"/>
      <c r="AG37" s="992"/>
      <c r="AH37" s="992"/>
      <c r="AI37" s="992"/>
      <c r="AJ37" s="992"/>
      <c r="AK37" s="992"/>
      <c r="AL37" s="992"/>
      <c r="AM37" s="992"/>
      <c r="AN37" s="992"/>
      <c r="AO37" s="992"/>
      <c r="AP37" s="992"/>
      <c r="AQ37" s="992"/>
      <c r="AR37" s="992"/>
      <c r="AS37" s="992"/>
      <c r="AT37" s="992"/>
      <c r="AU37" s="992"/>
      <c r="AV37" s="992"/>
      <c r="AW37" s="992"/>
      <c r="AX37" s="992"/>
      <c r="AY37" s="992"/>
      <c r="AZ37" s="992"/>
      <c r="BA37" s="992"/>
      <c r="BB37" s="992"/>
      <c r="BC37" s="992"/>
      <c r="BD37" s="992"/>
      <c r="BE37" s="992"/>
      <c r="BF37" s="992"/>
      <c r="BG37" s="992"/>
      <c r="BH37" s="992"/>
      <c r="BI37" s="992"/>
      <c r="BJ37" s="992"/>
      <c r="BK37" s="992"/>
      <c r="BL37" s="992"/>
      <c r="BM37" s="992"/>
      <c r="BN37" s="992"/>
      <c r="BO37" s="992"/>
      <c r="BP37" s="992"/>
      <c r="BQ37" s="992"/>
      <c r="BR37" s="992"/>
      <c r="BS37" s="992"/>
      <c r="BT37" s="992"/>
      <c r="BU37" s="992"/>
      <c r="BV37" s="992"/>
      <c r="BW37" s="992"/>
      <c r="BX37" s="992"/>
      <c r="BY37" s="992"/>
      <c r="BZ37" s="992"/>
      <c r="CA37" s="992"/>
      <c r="CB37" s="992"/>
      <c r="CC37" s="992"/>
    </row>
    <row r="38" spans="1:81" s="267" customFormat="1" ht="18" customHeight="1" thickBot="1" x14ac:dyDescent="0.35">
      <c r="A38" s="1347"/>
      <c r="B38" s="1348"/>
      <c r="C38" s="1349"/>
      <c r="D38" s="1061" t="s">
        <v>1666</v>
      </c>
      <c r="E38" s="283" t="s">
        <v>1676</v>
      </c>
      <c r="F38" s="1062"/>
      <c r="G38" s="1032"/>
      <c r="H38" s="1062"/>
      <c r="I38" s="1108"/>
      <c r="J38" s="1111"/>
      <c r="K38" s="990"/>
      <c r="P38" s="991"/>
      <c r="Q38" s="992"/>
      <c r="R38" s="992"/>
      <c r="S38" s="992"/>
      <c r="T38" s="992"/>
      <c r="U38" s="992"/>
      <c r="V38" s="992"/>
      <c r="W38" s="992"/>
      <c r="X38" s="992"/>
      <c r="Y38" s="992"/>
      <c r="Z38" s="992"/>
      <c r="AA38" s="992"/>
      <c r="AB38" s="992"/>
      <c r="AC38" s="992"/>
      <c r="AD38" s="992"/>
      <c r="AE38" s="992"/>
      <c r="AF38" s="992"/>
      <c r="AG38" s="992"/>
      <c r="AH38" s="992"/>
      <c r="AI38" s="992"/>
      <c r="AJ38" s="992"/>
      <c r="AK38" s="992"/>
      <c r="AL38" s="992"/>
      <c r="AM38" s="992"/>
      <c r="AN38" s="992"/>
      <c r="AO38" s="992"/>
      <c r="AP38" s="992"/>
      <c r="AQ38" s="992"/>
      <c r="AR38" s="992"/>
      <c r="AS38" s="992"/>
      <c r="AT38" s="992"/>
      <c r="AU38" s="992"/>
      <c r="AV38" s="992"/>
      <c r="AW38" s="992"/>
      <c r="AX38" s="992"/>
      <c r="AY38" s="992"/>
      <c r="AZ38" s="992"/>
      <c r="BA38" s="992"/>
      <c r="BB38" s="992"/>
      <c r="BC38" s="992"/>
      <c r="BD38" s="992"/>
      <c r="BE38" s="992"/>
      <c r="BF38" s="992"/>
      <c r="BG38" s="992"/>
      <c r="BH38" s="992"/>
      <c r="BI38" s="992"/>
      <c r="BJ38" s="992"/>
      <c r="BK38" s="992"/>
      <c r="BL38" s="992"/>
      <c r="BM38" s="992"/>
      <c r="BN38" s="992"/>
      <c r="BO38" s="992"/>
      <c r="BP38" s="992"/>
      <c r="BQ38" s="992"/>
      <c r="BR38" s="992"/>
      <c r="BS38" s="992"/>
      <c r="BT38" s="992"/>
      <c r="BU38" s="992"/>
      <c r="BV38" s="992"/>
      <c r="BW38" s="992"/>
      <c r="BX38" s="992"/>
      <c r="BY38" s="992"/>
      <c r="BZ38" s="992"/>
      <c r="CA38" s="992"/>
      <c r="CB38" s="992"/>
      <c r="CC38" s="992"/>
    </row>
    <row r="39" spans="1:81" s="267" customFormat="1" ht="128.25" customHeight="1" thickBot="1" x14ac:dyDescent="0.35">
      <c r="A39" s="1388" t="s">
        <v>1685</v>
      </c>
      <c r="B39" s="1388"/>
      <c r="C39" s="1388"/>
      <c r="D39" s="1030" t="str">
        <f>IFERROR(VLOOKUP(B5,UAL!A3:D141,4,FALSE),"Unit is not on the Unit Assistance List at this time")</f>
        <v>Unit is not on the Unit Assistance List at this time</v>
      </c>
      <c r="E39" s="1030" t="s">
        <v>1589</v>
      </c>
      <c r="F39" s="1030" t="str">
        <f>D39</f>
        <v>Unit is not on the Unit Assistance List at this time</v>
      </c>
      <c r="G39" s="1048"/>
      <c r="H39" s="1096" t="str">
        <f>IF(D39="Unit is not on the Unit Assistance List at this time","N/A-Unit is not on the Unit Assistance List.",L39)</f>
        <v>N/A-Unit is not on the Unit Assistance List.</v>
      </c>
      <c r="I39" s="1109"/>
      <c r="J39" s="1106"/>
      <c r="K39" s="990"/>
      <c r="L39" s="267" t="s">
        <v>1341</v>
      </c>
      <c r="P39" s="991"/>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c r="AU39" s="992"/>
      <c r="AV39" s="992"/>
      <c r="AW39" s="992"/>
      <c r="AX39" s="992"/>
      <c r="AY39" s="992"/>
      <c r="AZ39" s="992"/>
      <c r="BA39" s="992"/>
      <c r="BB39" s="992"/>
      <c r="BC39" s="992"/>
      <c r="BD39" s="992"/>
      <c r="BE39" s="992"/>
      <c r="BF39" s="992"/>
      <c r="BG39" s="992"/>
      <c r="BH39" s="992"/>
      <c r="BI39" s="992"/>
      <c r="BJ39" s="992"/>
      <c r="BK39" s="992"/>
      <c r="BL39" s="992"/>
      <c r="BM39" s="992"/>
      <c r="BN39" s="992"/>
      <c r="BO39" s="992"/>
      <c r="BP39" s="992"/>
      <c r="BQ39" s="992"/>
      <c r="BR39" s="992"/>
      <c r="BS39" s="992"/>
      <c r="BT39" s="992"/>
      <c r="BU39" s="992"/>
      <c r="BV39" s="992"/>
      <c r="BW39" s="992"/>
      <c r="BX39" s="992"/>
      <c r="BY39" s="992"/>
      <c r="BZ39" s="992"/>
      <c r="CA39" s="992"/>
      <c r="CB39" s="992"/>
      <c r="CC39" s="992"/>
    </row>
    <row r="40" spans="1:81" s="267" customFormat="1" ht="18" customHeight="1" thickBot="1" x14ac:dyDescent="0.35">
      <c r="A40" s="1347"/>
      <c r="B40" s="1348"/>
      <c r="C40" s="1349"/>
      <c r="D40" s="1061" t="s">
        <v>1666</v>
      </c>
      <c r="E40" s="283" t="s">
        <v>1676</v>
      </c>
      <c r="F40" s="1062"/>
      <c r="G40" s="1032"/>
      <c r="H40" s="1095"/>
      <c r="I40" s="1108"/>
      <c r="J40" s="1111"/>
      <c r="K40" s="990"/>
      <c r="P40" s="991"/>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c r="AU40" s="992"/>
      <c r="AV40" s="992"/>
      <c r="AW40" s="992"/>
      <c r="AX40" s="992"/>
      <c r="AY40" s="992"/>
      <c r="AZ40" s="992"/>
      <c r="BA40" s="992"/>
      <c r="BB40" s="992"/>
      <c r="BC40" s="992"/>
      <c r="BD40" s="992"/>
      <c r="BE40" s="992"/>
      <c r="BF40" s="992"/>
      <c r="BG40" s="992"/>
      <c r="BH40" s="992"/>
      <c r="BI40" s="992"/>
      <c r="BJ40" s="992"/>
      <c r="BK40" s="992"/>
      <c r="BL40" s="992"/>
      <c r="BM40" s="992"/>
      <c r="BN40" s="992"/>
      <c r="BO40" s="992"/>
      <c r="BP40" s="992"/>
      <c r="BQ40" s="992"/>
      <c r="BR40" s="992"/>
      <c r="BS40" s="992"/>
      <c r="BT40" s="992"/>
      <c r="BU40" s="992"/>
      <c r="BV40" s="992"/>
      <c r="BW40" s="992"/>
      <c r="BX40" s="992"/>
      <c r="BY40" s="992"/>
      <c r="BZ40" s="992"/>
      <c r="CA40" s="992"/>
      <c r="CB40" s="992"/>
      <c r="CC40" s="992"/>
    </row>
    <row r="41" spans="1:81" s="267" customFormat="1" ht="59.25" customHeight="1" thickBot="1" x14ac:dyDescent="0.35">
      <c r="A41" s="1366" t="s">
        <v>1308</v>
      </c>
      <c r="B41" s="1367"/>
      <c r="C41" s="1389"/>
      <c r="D41" s="1037" t="str">
        <f>IF(Import!L257=1,"Yes",IF(Import!L257=2,"No",IF(Import!L257="0","This questions must be answered")))</f>
        <v>This questions must be answered</v>
      </c>
      <c r="E41" s="1072"/>
      <c r="F41" s="1037" t="str">
        <f>+D41</f>
        <v>This questions must be answered</v>
      </c>
      <c r="G41" s="1032"/>
      <c r="H41" s="1085" t="s">
        <v>1686</v>
      </c>
      <c r="I41" s="1110" t="s">
        <v>1085</v>
      </c>
      <c r="J41" s="1106"/>
      <c r="K41" s="990"/>
      <c r="P41" s="991"/>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c r="AU41" s="992"/>
      <c r="AV41" s="992"/>
      <c r="AW41" s="992"/>
      <c r="AX41" s="992"/>
      <c r="AY41" s="992"/>
      <c r="AZ41" s="992"/>
      <c r="BA41" s="992"/>
      <c r="BB41" s="992"/>
      <c r="BC41" s="992"/>
      <c r="BD41" s="992"/>
      <c r="BE41" s="992"/>
      <c r="BF41" s="992"/>
      <c r="BG41" s="992"/>
      <c r="BH41" s="992"/>
      <c r="BI41" s="992"/>
      <c r="BJ41" s="992"/>
      <c r="BK41" s="992"/>
      <c r="BL41" s="992"/>
      <c r="BM41" s="992"/>
      <c r="BN41" s="992"/>
      <c r="BO41" s="992"/>
      <c r="BP41" s="992"/>
      <c r="BQ41" s="992"/>
      <c r="BR41" s="992"/>
      <c r="BS41" s="992"/>
      <c r="BT41" s="992"/>
      <c r="BU41" s="992"/>
      <c r="BV41" s="992"/>
      <c r="BW41" s="992"/>
      <c r="BX41" s="992"/>
      <c r="BY41" s="992"/>
      <c r="BZ41" s="992"/>
      <c r="CA41" s="992"/>
      <c r="CB41" s="992"/>
      <c r="CC41" s="992"/>
    </row>
    <row r="42" spans="1:81" s="267" customFormat="1" ht="18" customHeight="1" thickBot="1" x14ac:dyDescent="0.35">
      <c r="A42" s="1366" t="s">
        <v>1675</v>
      </c>
      <c r="B42" s="1367"/>
      <c r="C42" s="1371"/>
      <c r="D42" s="1061" t="s">
        <v>1666</v>
      </c>
      <c r="E42" s="283" t="s">
        <v>1676</v>
      </c>
      <c r="F42" s="1070"/>
      <c r="G42" s="1032"/>
      <c r="H42" s="1062"/>
      <c r="I42" s="1104"/>
      <c r="J42" s="1111"/>
      <c r="K42" s="990"/>
      <c r="P42" s="991"/>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c r="AU42" s="992"/>
      <c r="AV42" s="992"/>
      <c r="AW42" s="992"/>
      <c r="AX42" s="992"/>
      <c r="AY42" s="992"/>
      <c r="AZ42" s="992"/>
      <c r="BA42" s="992"/>
      <c r="BB42" s="992"/>
      <c r="BC42" s="992"/>
      <c r="BD42" s="992"/>
      <c r="BE42" s="992"/>
      <c r="BF42" s="992"/>
      <c r="BG42" s="992"/>
      <c r="BH42" s="992"/>
      <c r="BI42" s="992"/>
      <c r="BJ42" s="992"/>
      <c r="BK42" s="992"/>
      <c r="BL42" s="992"/>
      <c r="BM42" s="992"/>
      <c r="BN42" s="992"/>
      <c r="BO42" s="992"/>
      <c r="BP42" s="992"/>
      <c r="BQ42" s="992"/>
      <c r="BR42" s="992"/>
      <c r="BS42" s="992"/>
      <c r="BT42" s="992"/>
      <c r="BU42" s="992"/>
      <c r="BV42" s="992"/>
      <c r="BW42" s="992"/>
      <c r="BX42" s="992"/>
      <c r="BY42" s="992"/>
      <c r="BZ42" s="992"/>
      <c r="CA42" s="992"/>
      <c r="CB42" s="992"/>
      <c r="CC42" s="992"/>
    </row>
    <row r="43" spans="1:81" s="267" customFormat="1" ht="60.75" customHeight="1" thickBot="1" x14ac:dyDescent="0.35">
      <c r="A43" s="1363" t="s">
        <v>1325</v>
      </c>
      <c r="B43" s="1364"/>
      <c r="C43" s="1365"/>
      <c r="D43" s="1037" t="str">
        <f>IF(Import!L253=1,"Yes",IF(Import!L253=2,"No",IF(Import!L253=3,"N/A",IF(Import!L253=0,"This question must be answered"))))</f>
        <v>This question must be answered</v>
      </c>
      <c r="E43" s="1072"/>
      <c r="F43" s="1037" t="str">
        <f>D43</f>
        <v>This question must be answered</v>
      </c>
      <c r="G43" s="1032"/>
      <c r="H43" s="1085" t="s">
        <v>1687</v>
      </c>
      <c r="I43" s="1104" t="s">
        <v>1326</v>
      </c>
      <c r="J43" s="1106"/>
      <c r="K43" s="990"/>
      <c r="P43" s="991"/>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c r="AU43" s="992"/>
      <c r="AV43" s="992"/>
      <c r="AW43" s="992"/>
      <c r="AX43" s="992"/>
      <c r="AY43" s="992"/>
      <c r="AZ43" s="992"/>
      <c r="BA43" s="992"/>
      <c r="BB43" s="992"/>
      <c r="BC43" s="992"/>
      <c r="BD43" s="992"/>
      <c r="BE43" s="992"/>
      <c r="BF43" s="992"/>
      <c r="BG43" s="992"/>
      <c r="BH43" s="992"/>
      <c r="BI43" s="992"/>
      <c r="BJ43" s="992"/>
      <c r="BK43" s="992"/>
      <c r="BL43" s="992"/>
      <c r="BM43" s="992"/>
      <c r="BN43" s="992"/>
      <c r="BO43" s="992"/>
      <c r="BP43" s="992"/>
      <c r="BQ43" s="992"/>
      <c r="BR43" s="992"/>
      <c r="BS43" s="992"/>
      <c r="BT43" s="992"/>
      <c r="BU43" s="992"/>
      <c r="BV43" s="992"/>
      <c r="BW43" s="992"/>
      <c r="BX43" s="992"/>
      <c r="BY43" s="992"/>
      <c r="BZ43" s="992"/>
      <c r="CA43" s="992"/>
      <c r="CB43" s="992"/>
      <c r="CC43" s="992"/>
    </row>
    <row r="44" spans="1:81" s="267" customFormat="1" ht="18" customHeight="1" thickBot="1" x14ac:dyDescent="0.35">
      <c r="A44" s="1347"/>
      <c r="B44" s="1348"/>
      <c r="C44" s="1349"/>
      <c r="D44" s="1061" t="s">
        <v>1666</v>
      </c>
      <c r="E44" s="283" t="s">
        <v>1676</v>
      </c>
      <c r="F44" s="1062"/>
      <c r="G44" s="1032"/>
      <c r="H44" s="1095"/>
      <c r="I44" s="1104"/>
      <c r="J44" s="1111"/>
      <c r="K44" s="990"/>
      <c r="P44" s="991"/>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c r="AU44" s="992"/>
      <c r="AV44" s="992"/>
      <c r="AW44" s="992"/>
      <c r="AX44" s="992"/>
      <c r="AY44" s="992"/>
      <c r="AZ44" s="992"/>
      <c r="BA44" s="992"/>
      <c r="BB44" s="992"/>
      <c r="BC44" s="992"/>
      <c r="BD44" s="992"/>
      <c r="BE44" s="992"/>
      <c r="BF44" s="992"/>
      <c r="BG44" s="992"/>
      <c r="BH44" s="992"/>
      <c r="BI44" s="992"/>
      <c r="BJ44" s="992"/>
      <c r="BK44" s="992"/>
      <c r="BL44" s="992"/>
      <c r="BM44" s="992"/>
      <c r="BN44" s="992"/>
      <c r="BO44" s="992"/>
      <c r="BP44" s="992"/>
      <c r="BQ44" s="992"/>
      <c r="BR44" s="992"/>
      <c r="BS44" s="992"/>
      <c r="BT44" s="992"/>
      <c r="BU44" s="992"/>
      <c r="BV44" s="992"/>
      <c r="BW44" s="992"/>
      <c r="BX44" s="992"/>
      <c r="BY44" s="992"/>
      <c r="BZ44" s="992"/>
      <c r="CA44" s="992"/>
      <c r="CB44" s="992"/>
      <c r="CC44" s="992"/>
    </row>
    <row r="45" spans="1:81" s="267" customFormat="1" ht="67.5" customHeight="1" thickBot="1" x14ac:dyDescent="0.35">
      <c r="A45" s="1363" t="s">
        <v>1590</v>
      </c>
      <c r="B45" s="1364"/>
      <c r="C45" s="1365"/>
      <c r="D45" s="1059" t="b">
        <f>IF(Import!L193=1,"Yes",IF(Import!L193=2,"No",IF(Import!L193=3,"N/A")))</f>
        <v>0</v>
      </c>
      <c r="E45" s="1072"/>
      <c r="F45" s="1059" t="b">
        <f>+D45</f>
        <v>0</v>
      </c>
      <c r="G45" s="1032"/>
      <c r="H45" s="1085" t="s">
        <v>1688</v>
      </c>
      <c r="I45" s="1104" t="s">
        <v>1119</v>
      </c>
      <c r="J45" s="1106"/>
      <c r="K45" s="990"/>
      <c r="P45" s="991"/>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c r="AU45" s="992"/>
      <c r="AV45" s="992"/>
      <c r="AW45" s="992"/>
      <c r="AX45" s="992"/>
      <c r="AY45" s="992"/>
      <c r="AZ45" s="992"/>
      <c r="BA45" s="992"/>
      <c r="BB45" s="992"/>
      <c r="BC45" s="992"/>
      <c r="BD45" s="992"/>
      <c r="BE45" s="992"/>
      <c r="BF45" s="992"/>
      <c r="BG45" s="992"/>
      <c r="BH45" s="992"/>
      <c r="BI45" s="992"/>
      <c r="BJ45" s="992"/>
      <c r="BK45" s="992"/>
      <c r="BL45" s="992"/>
      <c r="BM45" s="992"/>
      <c r="BN45" s="992"/>
      <c r="BO45" s="992"/>
      <c r="BP45" s="992"/>
      <c r="BQ45" s="992"/>
      <c r="BR45" s="992"/>
      <c r="BS45" s="992"/>
      <c r="BT45" s="992"/>
      <c r="BU45" s="992"/>
      <c r="BV45" s="992"/>
      <c r="BW45" s="992"/>
      <c r="BX45" s="992"/>
      <c r="BY45" s="992"/>
      <c r="BZ45" s="992"/>
      <c r="CA45" s="992"/>
      <c r="CB45" s="992"/>
      <c r="CC45" s="992"/>
    </row>
    <row r="46" spans="1:81" s="267" customFormat="1" ht="18" customHeight="1" thickBot="1" x14ac:dyDescent="0.35">
      <c r="A46" s="1347"/>
      <c r="B46" s="1348"/>
      <c r="C46" s="1349"/>
      <c r="D46" s="1061" t="s">
        <v>1666</v>
      </c>
      <c r="E46" s="283" t="s">
        <v>1676</v>
      </c>
      <c r="F46" s="1062"/>
      <c r="G46" s="1032"/>
      <c r="H46" s="1095"/>
      <c r="I46" s="1108"/>
      <c r="J46" s="1111"/>
      <c r="K46" s="990"/>
      <c r="P46" s="991"/>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c r="AU46" s="992"/>
      <c r="AV46" s="992"/>
      <c r="AW46" s="992"/>
      <c r="AX46" s="992"/>
      <c r="AY46" s="992"/>
      <c r="AZ46" s="992"/>
      <c r="BA46" s="992"/>
      <c r="BB46" s="992"/>
      <c r="BC46" s="992"/>
      <c r="BD46" s="992"/>
      <c r="BE46" s="992"/>
      <c r="BF46" s="992"/>
      <c r="BG46" s="992"/>
      <c r="BH46" s="992"/>
      <c r="BI46" s="992"/>
      <c r="BJ46" s="992"/>
      <c r="BK46" s="992"/>
      <c r="BL46" s="992"/>
      <c r="BM46" s="992"/>
      <c r="BN46" s="992"/>
      <c r="BO46" s="992"/>
      <c r="BP46" s="992"/>
      <c r="BQ46" s="992"/>
      <c r="BR46" s="992"/>
      <c r="BS46" s="992"/>
      <c r="BT46" s="992"/>
      <c r="BU46" s="992"/>
      <c r="BV46" s="992"/>
      <c r="BW46" s="992"/>
      <c r="BX46" s="992"/>
      <c r="BY46" s="992"/>
      <c r="BZ46" s="992"/>
      <c r="CA46" s="992"/>
      <c r="CB46" s="992"/>
      <c r="CC46" s="992"/>
    </row>
    <row r="47" spans="1:81" s="267" customFormat="1" ht="68.25" customHeight="1" thickBot="1" x14ac:dyDescent="0.35">
      <c r="A47" s="1363" t="s">
        <v>1056</v>
      </c>
      <c r="B47" s="1364"/>
      <c r="C47" s="1365"/>
      <c r="D47" s="1073" t="e">
        <f>+M47+N47+L47+Import!L250+Import!L251+Import!L254</f>
        <v>#VALUE!</v>
      </c>
      <c r="E47" s="1072"/>
      <c r="F47" s="1074"/>
      <c r="G47" s="1032"/>
      <c r="H47" s="1085" t="s">
        <v>1689</v>
      </c>
      <c r="I47" s="1104" t="s">
        <v>1079</v>
      </c>
      <c r="J47" s="1106"/>
      <c r="K47" s="990"/>
      <c r="L47" s="1015">
        <f>IF(Import!L247=1,1,0)</f>
        <v>0</v>
      </c>
      <c r="M47" s="1015">
        <f>IF(Import!L248=1,1,0)</f>
        <v>0</v>
      </c>
      <c r="N47" s="1015">
        <f>IF(Import!L249=1,1,0)</f>
        <v>0</v>
      </c>
      <c r="P47" s="991"/>
      <c r="Q47" s="992"/>
      <c r="R47" s="992"/>
      <c r="S47" s="992"/>
      <c r="T47" s="992"/>
      <c r="U47" s="992"/>
      <c r="V47" s="992"/>
      <c r="W47" s="992"/>
      <c r="X47" s="992"/>
      <c r="Y47" s="992"/>
      <c r="Z47" s="992"/>
      <c r="AA47" s="992"/>
      <c r="AB47" s="992"/>
      <c r="AC47" s="992"/>
      <c r="AD47" s="992"/>
      <c r="AE47" s="992"/>
      <c r="AF47" s="992"/>
      <c r="AG47" s="992"/>
      <c r="AH47" s="992"/>
      <c r="AI47" s="992"/>
      <c r="AJ47" s="992"/>
      <c r="AK47" s="992"/>
      <c r="AL47" s="992"/>
      <c r="AM47" s="992"/>
      <c r="AN47" s="992"/>
      <c r="AO47" s="992"/>
      <c r="AP47" s="992"/>
      <c r="AQ47" s="992"/>
      <c r="AR47" s="992"/>
      <c r="AS47" s="992"/>
      <c r="AT47" s="992"/>
      <c r="AU47" s="992"/>
      <c r="AV47" s="992"/>
      <c r="AW47" s="992"/>
      <c r="AX47" s="992"/>
      <c r="AY47" s="992"/>
      <c r="AZ47" s="992"/>
      <c r="BA47" s="992"/>
      <c r="BB47" s="992"/>
      <c r="BC47" s="992"/>
      <c r="BD47" s="992"/>
      <c r="BE47" s="992"/>
      <c r="BF47" s="992"/>
      <c r="BG47" s="992"/>
      <c r="BH47" s="992"/>
      <c r="BI47" s="992"/>
      <c r="BJ47" s="992"/>
      <c r="BK47" s="992"/>
      <c r="BL47" s="992"/>
      <c r="BM47" s="992"/>
      <c r="BN47" s="992"/>
      <c r="BO47" s="992"/>
      <c r="BP47" s="992"/>
      <c r="BQ47" s="992"/>
      <c r="BR47" s="992"/>
      <c r="BS47" s="992"/>
      <c r="BT47" s="992"/>
      <c r="BU47" s="992"/>
      <c r="BV47" s="992"/>
      <c r="BW47" s="992"/>
      <c r="BX47" s="992"/>
      <c r="BY47" s="992"/>
      <c r="BZ47" s="992"/>
      <c r="CA47" s="992"/>
      <c r="CB47" s="992"/>
      <c r="CC47" s="992"/>
    </row>
    <row r="48" spans="1:81" s="267" customFormat="1" ht="18" customHeight="1" thickBot="1" x14ac:dyDescent="0.35">
      <c r="A48" s="1347"/>
      <c r="B48" s="1348"/>
      <c r="C48" s="1349"/>
      <c r="D48" s="1061" t="s">
        <v>1666</v>
      </c>
      <c r="E48" s="283" t="s">
        <v>1676</v>
      </c>
      <c r="F48" s="1062"/>
      <c r="G48" s="1032"/>
      <c r="H48" s="1095"/>
      <c r="I48" s="1104"/>
      <c r="J48" s="1111"/>
      <c r="K48" s="990"/>
      <c r="P48" s="991"/>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c r="AU48" s="992"/>
      <c r="AV48" s="992"/>
      <c r="AW48" s="992"/>
      <c r="AX48" s="992"/>
      <c r="AY48" s="992"/>
      <c r="AZ48" s="992"/>
      <c r="BA48" s="992"/>
      <c r="BB48" s="992"/>
      <c r="BC48" s="992"/>
      <c r="BD48" s="992"/>
      <c r="BE48" s="992"/>
      <c r="BF48" s="992"/>
      <c r="BG48" s="992"/>
      <c r="BH48" s="992"/>
      <c r="BI48" s="992"/>
      <c r="BJ48" s="992"/>
      <c r="BK48" s="992"/>
      <c r="BL48" s="992"/>
      <c r="BM48" s="992"/>
      <c r="BN48" s="992"/>
      <c r="BO48" s="992"/>
      <c r="BP48" s="992"/>
      <c r="BQ48" s="992"/>
      <c r="BR48" s="992"/>
      <c r="BS48" s="992"/>
      <c r="BT48" s="992"/>
      <c r="BU48" s="992"/>
      <c r="BV48" s="992"/>
      <c r="BW48" s="992"/>
      <c r="BX48" s="992"/>
      <c r="BY48" s="992"/>
      <c r="BZ48" s="992"/>
      <c r="CA48" s="992"/>
      <c r="CB48" s="992"/>
      <c r="CC48" s="992"/>
    </row>
    <row r="49" spans="1:81" s="267" customFormat="1" ht="114.75" customHeight="1" thickBot="1" x14ac:dyDescent="0.35">
      <c r="A49" s="1372" t="s">
        <v>1086</v>
      </c>
      <c r="B49" s="1372"/>
      <c r="C49" s="1372"/>
      <c r="D49" s="1069" t="e">
        <f>IF('Electric trans'!F29="No, unit exceeds limit by:","Yes","No")</f>
        <v>#N/A</v>
      </c>
      <c r="E49" s="1072"/>
      <c r="F49" s="1069" t="e">
        <f>+D49</f>
        <v>#N/A</v>
      </c>
      <c r="G49" s="1032"/>
      <c r="H49" s="1085" t="s">
        <v>1690</v>
      </c>
      <c r="I49" s="1104" t="s">
        <v>1127</v>
      </c>
      <c r="J49" s="1106"/>
      <c r="K49" s="990"/>
      <c r="P49" s="991"/>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c r="AU49" s="992"/>
      <c r="AV49" s="992"/>
      <c r="AW49" s="992"/>
      <c r="AX49" s="992"/>
      <c r="AY49" s="992"/>
      <c r="AZ49" s="992"/>
      <c r="BA49" s="992"/>
      <c r="BB49" s="992"/>
      <c r="BC49" s="992"/>
      <c r="BD49" s="992"/>
      <c r="BE49" s="992"/>
      <c r="BF49" s="992"/>
      <c r="BG49" s="992"/>
      <c r="BH49" s="992"/>
      <c r="BI49" s="992"/>
      <c r="BJ49" s="992"/>
      <c r="BK49" s="992"/>
      <c r="BL49" s="992"/>
      <c r="BM49" s="992"/>
      <c r="BN49" s="992"/>
      <c r="BO49" s="992"/>
      <c r="BP49" s="992"/>
      <c r="BQ49" s="992"/>
      <c r="BR49" s="992"/>
      <c r="BS49" s="992"/>
      <c r="BT49" s="992"/>
      <c r="BU49" s="992"/>
      <c r="BV49" s="992"/>
      <c r="BW49" s="992"/>
      <c r="BX49" s="992"/>
      <c r="BY49" s="992"/>
      <c r="BZ49" s="992"/>
      <c r="CA49" s="992"/>
      <c r="CB49" s="992"/>
      <c r="CC49" s="992"/>
    </row>
    <row r="50" spans="1:81" s="267" customFormat="1" ht="18" customHeight="1" thickBot="1" x14ac:dyDescent="0.35">
      <c r="A50" s="1385"/>
      <c r="B50" s="1386"/>
      <c r="C50" s="1387"/>
      <c r="D50" s="1061" t="s">
        <v>1666</v>
      </c>
      <c r="E50" s="283" t="s">
        <v>1676</v>
      </c>
      <c r="F50" s="1070"/>
      <c r="G50" s="1032"/>
      <c r="H50" s="1062"/>
      <c r="I50" s="1108"/>
      <c r="J50" s="1111"/>
      <c r="K50" s="990"/>
      <c r="P50" s="991"/>
      <c r="Q50" s="992"/>
      <c r="R50" s="992"/>
      <c r="S50" s="992"/>
      <c r="T50" s="992"/>
      <c r="U50" s="992"/>
      <c r="V50" s="992"/>
      <c r="W50" s="992"/>
      <c r="X50" s="992"/>
      <c r="Y50" s="992"/>
      <c r="Z50" s="992"/>
      <c r="AA50" s="992"/>
      <c r="AB50" s="992"/>
      <c r="AC50" s="992"/>
      <c r="AD50" s="992"/>
      <c r="AE50" s="992"/>
      <c r="AF50" s="992"/>
      <c r="AG50" s="992"/>
      <c r="AH50" s="992"/>
      <c r="AI50" s="992"/>
      <c r="AJ50" s="992"/>
      <c r="AK50" s="992"/>
      <c r="AL50" s="992"/>
      <c r="AM50" s="992"/>
      <c r="AN50" s="992"/>
      <c r="AO50" s="992"/>
      <c r="AP50" s="992"/>
      <c r="AQ50" s="992"/>
      <c r="AR50" s="992"/>
      <c r="AS50" s="992"/>
      <c r="AT50" s="992"/>
      <c r="AU50" s="992"/>
      <c r="AV50" s="992"/>
      <c r="AW50" s="992"/>
      <c r="AX50" s="992"/>
      <c r="AY50" s="992"/>
      <c r="AZ50" s="992"/>
      <c r="BA50" s="992"/>
      <c r="BB50" s="992"/>
      <c r="BC50" s="992"/>
      <c r="BD50" s="992"/>
      <c r="BE50" s="992"/>
      <c r="BF50" s="992"/>
      <c r="BG50" s="992"/>
      <c r="BH50" s="992"/>
      <c r="BI50" s="992"/>
      <c r="BJ50" s="992"/>
      <c r="BK50" s="992"/>
      <c r="BL50" s="992"/>
      <c r="BM50" s="992"/>
      <c r="BN50" s="992"/>
      <c r="BO50" s="992"/>
      <c r="BP50" s="992"/>
      <c r="BQ50" s="992"/>
      <c r="BR50" s="992"/>
      <c r="BS50" s="992"/>
      <c r="BT50" s="992"/>
      <c r="BU50" s="992"/>
      <c r="BV50" s="992"/>
      <c r="BW50" s="992"/>
      <c r="BX50" s="992"/>
      <c r="BY50" s="992"/>
      <c r="BZ50" s="992"/>
      <c r="CA50" s="992"/>
      <c r="CB50" s="992"/>
      <c r="CC50" s="992"/>
    </row>
    <row r="51" spans="1:81" s="267" customFormat="1" ht="114.75" customHeight="1" thickBot="1" x14ac:dyDescent="0.4">
      <c r="A51" s="1372" t="s">
        <v>1126</v>
      </c>
      <c r="B51" s="1372"/>
      <c r="C51" s="1372"/>
      <c r="D51" s="1059">
        <f>+Import!L254</f>
        <v>0</v>
      </c>
      <c r="E51" s="1072"/>
      <c r="F51" s="1074">
        <f>D51</f>
        <v>0</v>
      </c>
      <c r="G51" s="1032"/>
      <c r="H51" s="1085" t="s">
        <v>1692</v>
      </c>
      <c r="I51" s="1124" t="s">
        <v>1691</v>
      </c>
      <c r="J51" s="1106"/>
      <c r="K51" s="990"/>
      <c r="M51" s="1075">
        <f>'PI series #'!D49</f>
        <v>0</v>
      </c>
      <c r="P51" s="991"/>
      <c r="Q51" s="992"/>
      <c r="R51" s="992"/>
      <c r="S51" s="992"/>
      <c r="T51" s="992"/>
      <c r="U51" s="992"/>
      <c r="V51" s="992"/>
      <c r="W51" s="992"/>
      <c r="X51" s="992"/>
      <c r="Y51" s="992"/>
      <c r="Z51" s="992"/>
      <c r="AA51" s="992"/>
      <c r="AB51" s="992"/>
      <c r="AC51" s="992"/>
      <c r="AD51" s="992"/>
      <c r="AE51" s="992"/>
      <c r="AF51" s="992"/>
      <c r="AG51" s="992"/>
      <c r="AH51" s="992"/>
      <c r="AI51" s="992"/>
      <c r="AJ51" s="992"/>
      <c r="AK51" s="992"/>
      <c r="AL51" s="992"/>
      <c r="AM51" s="992"/>
      <c r="AN51" s="992"/>
      <c r="AO51" s="992"/>
      <c r="AP51" s="992"/>
      <c r="AQ51" s="992"/>
      <c r="AR51" s="992"/>
      <c r="AS51" s="992"/>
      <c r="AT51" s="992"/>
      <c r="AU51" s="992"/>
      <c r="AV51" s="992"/>
      <c r="AW51" s="992"/>
      <c r="AX51" s="992"/>
      <c r="AY51" s="992"/>
      <c r="AZ51" s="992"/>
      <c r="BA51" s="992"/>
      <c r="BB51" s="992"/>
      <c r="BC51" s="992"/>
      <c r="BD51" s="992"/>
      <c r="BE51" s="992"/>
      <c r="BF51" s="992"/>
      <c r="BG51" s="992"/>
      <c r="BH51" s="992"/>
      <c r="BI51" s="992"/>
      <c r="BJ51" s="992"/>
      <c r="BK51" s="992"/>
      <c r="BL51" s="992"/>
      <c r="BM51" s="992"/>
      <c r="BN51" s="992"/>
      <c r="BO51" s="992"/>
      <c r="BP51" s="992"/>
      <c r="BQ51" s="992"/>
      <c r="BR51" s="992"/>
      <c r="BS51" s="992"/>
      <c r="BT51" s="992"/>
      <c r="BU51" s="992"/>
      <c r="BV51" s="992"/>
      <c r="BW51" s="992"/>
      <c r="BX51" s="992"/>
      <c r="BY51" s="992"/>
      <c r="BZ51" s="992"/>
      <c r="CA51" s="992"/>
      <c r="CB51" s="992"/>
      <c r="CC51" s="992"/>
    </row>
    <row r="52" spans="1:81" s="993" customFormat="1" x14ac:dyDescent="0.3">
      <c r="A52" s="1076"/>
      <c r="B52" s="1076"/>
      <c r="C52" s="1076"/>
      <c r="D52" s="1076"/>
      <c r="E52" s="1076"/>
      <c r="F52" s="1076"/>
      <c r="G52" s="1077"/>
      <c r="H52" s="1076"/>
      <c r="I52" s="1081"/>
      <c r="J52" s="1081"/>
      <c r="L52" s="267"/>
      <c r="M52" s="267"/>
      <c r="N52" s="267"/>
      <c r="O52" s="267"/>
      <c r="P52" s="991"/>
      <c r="Q52" s="992"/>
      <c r="R52" s="992"/>
      <c r="S52" s="992"/>
      <c r="T52" s="992"/>
      <c r="U52" s="992"/>
      <c r="V52" s="992"/>
      <c r="W52" s="992"/>
      <c r="X52" s="992"/>
      <c r="Y52" s="992"/>
      <c r="Z52" s="992"/>
      <c r="AA52" s="992"/>
      <c r="AB52" s="992"/>
      <c r="AC52" s="992"/>
      <c r="AD52" s="992"/>
      <c r="AE52" s="992"/>
      <c r="AF52" s="992"/>
      <c r="AG52" s="992"/>
      <c r="AH52" s="992"/>
      <c r="AI52" s="992"/>
      <c r="AJ52" s="992"/>
      <c r="AK52" s="992"/>
      <c r="AL52" s="992"/>
      <c r="AM52" s="992"/>
      <c r="AN52" s="992"/>
      <c r="AO52" s="992"/>
      <c r="AP52" s="992"/>
      <c r="AQ52" s="992"/>
      <c r="AR52" s="992"/>
      <c r="AS52" s="992"/>
      <c r="AT52" s="992"/>
      <c r="AU52" s="992"/>
      <c r="AV52" s="992"/>
      <c r="AW52" s="992"/>
      <c r="AX52" s="992"/>
      <c r="AY52" s="992"/>
      <c r="AZ52" s="992"/>
      <c r="BA52" s="992"/>
      <c r="BB52" s="992"/>
      <c r="BC52" s="992"/>
      <c r="BD52" s="992"/>
      <c r="BE52" s="992"/>
      <c r="BF52" s="992"/>
      <c r="BG52" s="992"/>
      <c r="BH52" s="992"/>
      <c r="BI52" s="992"/>
      <c r="BJ52" s="992"/>
      <c r="BK52" s="992"/>
      <c r="BL52" s="992"/>
      <c r="BM52" s="992"/>
      <c r="BN52" s="992"/>
      <c r="BO52" s="992"/>
      <c r="BP52" s="992"/>
      <c r="BQ52" s="992"/>
      <c r="BR52" s="992"/>
      <c r="BS52" s="992"/>
      <c r="BT52" s="992"/>
      <c r="BU52" s="992"/>
      <c r="BV52" s="992"/>
      <c r="BW52" s="992"/>
      <c r="BX52" s="992"/>
      <c r="BY52" s="992"/>
      <c r="BZ52" s="992"/>
      <c r="CA52" s="992"/>
      <c r="CB52" s="992"/>
      <c r="CC52" s="992"/>
    </row>
  </sheetData>
  <mergeCells count="44">
    <mergeCell ref="I1:J1"/>
    <mergeCell ref="A51:C51"/>
    <mergeCell ref="I2:I5"/>
    <mergeCell ref="J2:J5"/>
    <mergeCell ref="J6:J8"/>
    <mergeCell ref="A45:C45"/>
    <mergeCell ref="A46:C46"/>
    <mergeCell ref="A47:C47"/>
    <mergeCell ref="A48:C48"/>
    <mergeCell ref="A49:C49"/>
    <mergeCell ref="A50:C50"/>
    <mergeCell ref="A39:C39"/>
    <mergeCell ref="A40:C40"/>
    <mergeCell ref="A41:C41"/>
    <mergeCell ref="A42:C42"/>
    <mergeCell ref="A43:C43"/>
    <mergeCell ref="A44:C44"/>
    <mergeCell ref="A33:C33"/>
    <mergeCell ref="A34:C34"/>
    <mergeCell ref="A35:C35"/>
    <mergeCell ref="A36:C36"/>
    <mergeCell ref="A37:C37"/>
    <mergeCell ref="A38:C38"/>
    <mergeCell ref="A32:C32"/>
    <mergeCell ref="A6:F7"/>
    <mergeCell ref="H6:H8"/>
    <mergeCell ref="A8:D8"/>
    <mergeCell ref="A9:D9"/>
    <mergeCell ref="A18:C18"/>
    <mergeCell ref="A20:D20"/>
    <mergeCell ref="A10:D10"/>
    <mergeCell ref="A11:D11"/>
    <mergeCell ref="A21:D21"/>
    <mergeCell ref="A28:C28"/>
    <mergeCell ref="A29:C29"/>
    <mergeCell ref="A30:C30"/>
    <mergeCell ref="A31:C31"/>
    <mergeCell ref="A1:H1"/>
    <mergeCell ref="A2:H2"/>
    <mergeCell ref="G3:H3"/>
    <mergeCell ref="B4:D4"/>
    <mergeCell ref="E4:F5"/>
    <mergeCell ref="H4:H5"/>
    <mergeCell ref="B5:D5"/>
  </mergeCells>
  <conditionalFormatting sqref="F14">
    <cfRule type="cellIs" dxfId="49" priority="28" operator="lessThan">
      <formula>1</formula>
    </cfRule>
  </conditionalFormatting>
  <conditionalFormatting sqref="F16">
    <cfRule type="cellIs" dxfId="48" priority="27" operator="lessThan">
      <formula>0</formula>
    </cfRule>
  </conditionalFormatting>
  <conditionalFormatting sqref="F17">
    <cfRule type="cellIs" dxfId="47" priority="26" operator="lessThan">
      <formula>0.16</formula>
    </cfRule>
  </conditionalFormatting>
  <conditionalFormatting sqref="F21">
    <cfRule type="cellIs" dxfId="46" priority="25" operator="lessThan">
      <formula>1</formula>
    </cfRule>
  </conditionalFormatting>
  <conditionalFormatting sqref="F23">
    <cfRule type="cellIs" dxfId="45" priority="24" operator="lessThan">
      <formula>0</formula>
    </cfRule>
  </conditionalFormatting>
  <conditionalFormatting sqref="F24">
    <cfRule type="cellIs" dxfId="44" priority="23" operator="lessThan">
      <formula>0.16</formula>
    </cfRule>
  </conditionalFormatting>
  <conditionalFormatting sqref="F29">
    <cfRule type="cellIs" dxfId="43" priority="22" operator="equal">
      <formula>"No"</formula>
    </cfRule>
  </conditionalFormatting>
  <conditionalFormatting sqref="F31">
    <cfRule type="cellIs" dxfId="42" priority="21" operator="lessThan">
      <formula>-0.03</formula>
    </cfRule>
  </conditionalFormatting>
  <conditionalFormatting sqref="F37">
    <cfRule type="cellIs" dxfId="41" priority="13" operator="equal">
      <formula>"Yes"</formula>
    </cfRule>
  </conditionalFormatting>
  <conditionalFormatting sqref="F39">
    <cfRule type="cellIs" dxfId="40" priority="20" operator="equal">
      <formula>"Yes"</formula>
    </cfRule>
  </conditionalFormatting>
  <conditionalFormatting sqref="F41">
    <cfRule type="cellIs" dxfId="39" priority="19" operator="equal">
      <formula>"Yes"</formula>
    </cfRule>
  </conditionalFormatting>
  <conditionalFormatting sqref="F43">
    <cfRule type="cellIs" dxfId="38" priority="18" operator="equal">
      <formula>"Yes"</formula>
    </cfRule>
  </conditionalFormatting>
  <conditionalFormatting sqref="F35">
    <cfRule type="cellIs" dxfId="37" priority="17" operator="equal">
      <formula>"No"</formula>
    </cfRule>
  </conditionalFormatting>
  <conditionalFormatting sqref="F50">
    <cfRule type="cellIs" dxfId="36" priority="15" operator="equal">
      <formula>"Yes"</formula>
    </cfRule>
  </conditionalFormatting>
  <conditionalFormatting sqref="F49">
    <cfRule type="cellIs" dxfId="35" priority="14" operator="equal">
      <formula>"Yes"</formula>
    </cfRule>
  </conditionalFormatting>
  <conditionalFormatting sqref="F45">
    <cfRule type="cellIs" dxfId="34" priority="12" operator="equal">
      <formula>"No"</formula>
    </cfRule>
  </conditionalFormatting>
  <conditionalFormatting sqref="F33">
    <cfRule type="cellIs" dxfId="33" priority="11" operator="equal">
      <formula>"Decrease"</formula>
    </cfRule>
  </conditionalFormatting>
  <conditionalFormatting sqref="F47">
    <cfRule type="expression" dxfId="32" priority="10">
      <formula>$D$47&gt;0</formula>
    </cfRule>
  </conditionalFormatting>
  <conditionalFormatting sqref="F51">
    <cfRule type="expression" dxfId="31" priority="9">
      <formula>M51&gt;0</formula>
    </cfRule>
  </conditionalFormatting>
  <conditionalFormatting sqref="F9">
    <cfRule type="expression" dxfId="30" priority="3">
      <formula>F9-L8&lt;0</formula>
    </cfRule>
  </conditionalFormatting>
  <conditionalFormatting sqref="F26">
    <cfRule type="cellIs" dxfId="29" priority="8" operator="lessThan">
      <formula>1</formula>
    </cfRule>
  </conditionalFormatting>
  <conditionalFormatting sqref="F10">
    <cfRule type="expression" dxfId="28" priority="7">
      <formula>$L$10&lt;0%</formula>
    </cfRule>
  </conditionalFormatting>
  <conditionalFormatting sqref="F11">
    <cfRule type="expression" dxfId="27" priority="5">
      <formula>$L$11&lt;8%</formula>
    </cfRule>
  </conditionalFormatting>
  <conditionalFormatting sqref="F12">
    <cfRule type="cellIs" dxfId="26" priority="2" operator="lessThan">
      <formula>0</formula>
    </cfRule>
  </conditionalFormatting>
  <conditionalFormatting sqref="F18">
    <cfRule type="expression" dxfId="25" priority="1">
      <formula>D18="Yes"</formula>
    </cfRule>
  </conditionalFormatting>
  <pageMargins left="0.25" right="0.25" top="0.05" bottom="0.05" header="0.3" footer="0.3"/>
  <pageSetup scale="65" fitToHeight="0" orientation="landscape" r:id="rId1"/>
  <rowBreaks count="4" manualBreakCount="4">
    <brk id="12" max="7" man="1"/>
    <brk id="18" max="7" man="1"/>
    <brk id="26" max="7" man="1"/>
    <brk id="41" max="7" man="1"/>
  </rowBreaks>
  <drawing r:id="rId2"/>
  <legacyDrawing r:id="rId3"/>
  <oleObjects>
    <mc:AlternateContent xmlns:mc="http://schemas.openxmlformats.org/markup-compatibility/2006">
      <mc:Choice Requires="x14">
        <oleObject progId="Excel.Sheet.12" shapeId="17409" r:id="rId4">
          <objectPr defaultSize="0" autoPict="0" r:id="rId5">
            <anchor moveWithCells="1">
              <from>
                <xdr:col>0</xdr:col>
                <xdr:colOff>289560</xdr:colOff>
                <xdr:row>5</xdr:row>
                <xdr:rowOff>251460</xdr:rowOff>
              </from>
              <to>
                <xdr:col>5</xdr:col>
                <xdr:colOff>480060</xdr:colOff>
                <xdr:row>6</xdr:row>
                <xdr:rowOff>1203960</xdr:rowOff>
              </to>
            </anchor>
          </objectPr>
        </oleObject>
      </mc:Choice>
      <mc:Fallback>
        <oleObject progId="Excel.Sheet.12" shapeId="17409" r:id="rId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ED8F8-0789-47C5-8DBB-AB7B88D9B55C}">
  <sheetPr codeName="Sheet6">
    <tabColor theme="3" tint="0.79998168889431442"/>
    <pageSetUpPr fitToPage="1"/>
  </sheetPr>
  <dimension ref="A1:BZ49"/>
  <sheetViews>
    <sheetView showGridLines="0" zoomScale="80" zoomScaleNormal="80" workbookViewId="0">
      <pane ySplit="4" topLeftCell="A5" activePane="bottomLeft" state="frozen"/>
      <selection pane="bottomLeft" activeCell="C6" sqref="C6"/>
    </sheetView>
  </sheetViews>
  <sheetFormatPr defaultColWidth="9.109375" defaultRowHeight="14.4" x14ac:dyDescent="0.3"/>
  <cols>
    <col min="1" max="1" width="44.5546875" style="493" customWidth="1"/>
    <col min="2" max="2" width="17.33203125" style="493" customWidth="1"/>
    <col min="3" max="3" width="17.88671875" style="493" customWidth="1"/>
    <col min="4" max="4" width="20.88671875" style="493" customWidth="1"/>
    <col min="5" max="5" width="16.109375" style="493" customWidth="1"/>
    <col min="6" max="6" width="14.88671875" style="493" customWidth="1"/>
    <col min="7" max="7" width="46.109375" style="500" customWidth="1"/>
    <col min="8" max="8" width="77.5546875" style="493" customWidth="1"/>
    <col min="9" max="9" width="34" style="493" customWidth="1"/>
    <col min="10" max="10" width="9.109375" style="493" customWidth="1"/>
    <col min="11" max="11" width="36.88671875" style="493" customWidth="1"/>
    <col min="12" max="12" width="15" style="493" customWidth="1"/>
    <col min="13" max="13" width="11.88671875" style="493" customWidth="1"/>
    <col min="14" max="24" width="9.109375" style="493" customWidth="1"/>
    <col min="25" max="25" width="9.109375" style="302" customWidth="1"/>
    <col min="26" max="26" width="36.88671875" style="573" hidden="1" customWidth="1"/>
    <col min="27" max="16384" width="9.109375" style="493"/>
  </cols>
  <sheetData>
    <row r="1" spans="1:78" x14ac:dyDescent="0.3">
      <c r="A1" s="494" t="s">
        <v>1049</v>
      </c>
      <c r="B1" s="495"/>
      <c r="C1" s="495"/>
      <c r="D1" s="495"/>
      <c r="E1" s="496" t="s">
        <v>1050</v>
      </c>
      <c r="F1" s="496">
        <v>2021</v>
      </c>
      <c r="G1" s="1407"/>
      <c r="H1" s="1408"/>
      <c r="I1" s="497"/>
      <c r="Z1" s="566" t="s">
        <v>1330</v>
      </c>
    </row>
    <row r="2" spans="1:78" ht="98.25" customHeight="1" x14ac:dyDescent="0.3">
      <c r="A2" s="498" t="s">
        <v>1130</v>
      </c>
      <c r="B2" s="1409" t="str">
        <f>'Unit Data from Audit Worksheet'!D2</f>
        <v>Select Unit Name from Drop Down List</v>
      </c>
      <c r="C2" s="1409"/>
      <c r="D2" s="1409"/>
      <c r="E2" s="1413" t="s">
        <v>1584</v>
      </c>
      <c r="F2" s="1413"/>
      <c r="G2" s="1413"/>
      <c r="H2" s="1410" t="s">
        <v>1345</v>
      </c>
      <c r="I2" s="499"/>
      <c r="J2" s="500"/>
      <c r="K2" s="501"/>
      <c r="Z2" s="159"/>
    </row>
    <row r="3" spans="1:78" ht="38.25" customHeight="1" x14ac:dyDescent="0.3">
      <c r="A3" s="502" t="s">
        <v>1051</v>
      </c>
      <c r="B3" s="1412" t="e">
        <f>'Unit Data from Audit Worksheet'!D3</f>
        <v>#N/A</v>
      </c>
      <c r="C3" s="1412"/>
      <c r="D3" s="1412"/>
      <c r="E3" s="1414"/>
      <c r="F3" s="1414"/>
      <c r="G3" s="1414"/>
      <c r="H3" s="1411"/>
      <c r="I3" s="497"/>
      <c r="K3" s="503" t="s">
        <v>1098</v>
      </c>
      <c r="Z3" s="159"/>
    </row>
    <row r="4" spans="1:78" ht="106.5" customHeight="1" x14ac:dyDescent="0.3">
      <c r="A4" s="582"/>
      <c r="B4" s="583">
        <v>2019</v>
      </c>
      <c r="C4" s="583">
        <v>2020</v>
      </c>
      <c r="D4" s="583">
        <v>2021</v>
      </c>
      <c r="E4" s="584" t="s">
        <v>1343</v>
      </c>
      <c r="F4" s="583" t="s">
        <v>1060</v>
      </c>
      <c r="G4" s="585"/>
      <c r="H4" s="583" t="s">
        <v>1052</v>
      </c>
      <c r="I4" s="584" t="s">
        <v>1384</v>
      </c>
      <c r="J4" s="504"/>
      <c r="Z4" s="159"/>
    </row>
    <row r="5" spans="1:78" x14ac:dyDescent="0.3">
      <c r="A5" s="578" t="s">
        <v>730</v>
      </c>
      <c r="B5" s="579"/>
      <c r="C5" s="579"/>
      <c r="D5" s="579"/>
      <c r="E5" s="580"/>
      <c r="F5" s="577"/>
      <c r="G5" s="580"/>
      <c r="H5" s="579"/>
      <c r="I5" s="581"/>
      <c r="J5" s="504"/>
      <c r="K5" s="506">
        <f>+(Import!$L$72+Import!$L$77+Import!$L$74-Import!$L$75-Import!$L$76)</f>
        <v>0</v>
      </c>
      <c r="L5" s="493" t="s">
        <v>1139</v>
      </c>
      <c r="Z5" s="568"/>
    </row>
    <row r="6" spans="1:78" ht="143.25" customHeight="1" x14ac:dyDescent="0.3">
      <c r="A6" s="403" t="s">
        <v>886</v>
      </c>
      <c r="B6" s="399" t="e">
        <f>HLOOKUP($B$3,'2019 Data(H)'!$E$2:$CZ$299,291,FALSE)</f>
        <v>#N/A</v>
      </c>
      <c r="C6" s="399" t="e">
        <f>HLOOKUP($B$2,'2020 Data(H)'!$E$1:$CZ$428,339,FALSE)</f>
        <v>#N/A</v>
      </c>
      <c r="D6" s="399" t="str">
        <f>IFERROR((Import!$L$52+Import!$L$53-Import!$L$57-Import!$L$58-Import!$L$230-Import!$L$62+Import!$L$89)/(Import!$L$72+Import!$L$77+Import!$L$74-Import!$L$75-Import!$L$76),"")</f>
        <v/>
      </c>
      <c r="E6" s="551" t="b">
        <f>IF(K5&gt;10000000,"25% -- Average of similar units is 46%",IF(K5&gt;999999,"34% -- Average of similar units is 63%",IF(K5&gt;99999,"71% -- Average of similar units is 132%",IF(K5&gt;1,"100 %-- Average of similar units is 260%"))))</f>
        <v>0</v>
      </c>
      <c r="F6" s="953"/>
      <c r="G6" s="973" t="s">
        <v>1546</v>
      </c>
      <c r="H6" s="942" t="s">
        <v>1585</v>
      </c>
      <c r="I6" s="550"/>
      <c r="J6" s="504"/>
      <c r="K6" s="507" t="b">
        <f>IF($K$5&gt;10000000,"25%",IF($K$5&gt;999999,"34%",IF($K$5&gt;99999,"71%",IF($K$5&gt;1,"100%"))))</f>
        <v>0</v>
      </c>
      <c r="L6" s="508" t="e">
        <f>+D6-K6</f>
        <v>#VALUE!</v>
      </c>
      <c r="Z6" s="159" t="s">
        <v>1331</v>
      </c>
    </row>
    <row r="7" spans="1:78" ht="22.5" customHeight="1" x14ac:dyDescent="0.3">
      <c r="A7" s="403"/>
      <c r="B7" s="401"/>
      <c r="C7" s="401"/>
      <c r="D7" s="401"/>
      <c r="E7" s="551"/>
      <c r="F7" s="402"/>
      <c r="G7" s="549"/>
      <c r="H7" s="546"/>
      <c r="I7" s="985"/>
      <c r="J7" s="504"/>
      <c r="K7" s="552"/>
      <c r="L7" s="508"/>
      <c r="Z7" s="159"/>
    </row>
    <row r="8" spans="1:78" ht="137.25" customHeight="1" x14ac:dyDescent="0.3">
      <c r="A8" s="951" t="s">
        <v>1595</v>
      </c>
      <c r="B8" s="952" t="e">
        <f>HLOOKUP($B$3,'2019 Data(H)'!$E$2:$CZ$299,291,FALSE)</f>
        <v>#N/A</v>
      </c>
      <c r="C8" s="952" t="e">
        <f>HLOOKUP($B$2,'2020 Data(H)'!$E$1:$CZ$428,339,FALSE)</f>
        <v>#N/A</v>
      </c>
      <c r="D8" s="952" t="str">
        <f>IFERROR((Import!$L$52+Import!$L$53-Import!$L$57-Import!$L$58-Import!$L$230-Import!$L$62+Import!$L$89)/(Import!$L$72+Import!$L$77+Import!$L$74-Import!$L$75-Import!$L$76),"")</f>
        <v/>
      </c>
      <c r="E8" s="979" t="str">
        <f>IF($K$5&gt;99999999,"16%--Median of simiar units is 32%","20%--Median of similar units is 39%")</f>
        <v>20%--Median of similar units is 39%</v>
      </c>
      <c r="F8" s="953"/>
      <c r="G8" s="974" t="s">
        <v>1061</v>
      </c>
      <c r="H8" s="975" t="s">
        <v>1298</v>
      </c>
      <c r="I8" s="954"/>
      <c r="J8" s="504"/>
      <c r="K8" s="569">
        <f>IF($K$5&gt;99999999,16%,20%)</f>
        <v>0.2</v>
      </c>
      <c r="L8" s="508" t="e">
        <f>+D8-K8</f>
        <v>#VALUE!</v>
      </c>
      <c r="Z8" s="159" t="s">
        <v>1547</v>
      </c>
    </row>
    <row r="9" spans="1:78" ht="120" customHeight="1" x14ac:dyDescent="0.3">
      <c r="A9" s="950" t="s">
        <v>1597</v>
      </c>
      <c r="B9" s="952" t="e">
        <f>HLOOKUP($B$3,'2019 Data(H)'!$E$2:$CZ$299,291,FALSE)</f>
        <v>#N/A</v>
      </c>
      <c r="C9" s="952" t="e">
        <f>HLOOKUP($B$2,'2020 Data(H)'!$E$1:$CZ$428,339,FALSE)</f>
        <v>#N/A</v>
      </c>
      <c r="D9" s="952" t="str">
        <f>IFERROR((Import!$L$52+Import!$L$53-Import!$L$57-Import!$L$58-Import!$L$230-Import!$L$62+Import!$L$89)/(Import!$L$72+Import!$L$77+Import!$L$74-Import!$L$75-Import!$L$76),"")</f>
        <v/>
      </c>
      <c r="E9" s="979">
        <v>0.08</v>
      </c>
      <c r="F9" s="953" t="str">
        <f>+K9</f>
        <v/>
      </c>
      <c r="G9" s="974" t="s">
        <v>1061</v>
      </c>
      <c r="H9" s="975" t="s">
        <v>1592</v>
      </c>
      <c r="I9" s="532"/>
      <c r="J9" s="504"/>
      <c r="K9" s="952" t="str">
        <f>+IF(D9&gt;7.9999%,D9,"Less than 8%")</f>
        <v/>
      </c>
      <c r="L9" s="508"/>
      <c r="Z9" s="159"/>
    </row>
    <row r="10" spans="1:78" ht="152.25" customHeight="1" thickBot="1" x14ac:dyDescent="0.35">
      <c r="A10" s="950" t="s">
        <v>1088</v>
      </c>
      <c r="B10" s="582"/>
      <c r="C10" s="582"/>
      <c r="D10" s="955">
        <f>+Import!L65</f>
        <v>0</v>
      </c>
      <c r="E10" s="956"/>
      <c r="F10" s="955">
        <f>+D10</f>
        <v>0</v>
      </c>
      <c r="G10" s="557" t="s">
        <v>1089</v>
      </c>
      <c r="H10" s="557" t="s">
        <v>1302</v>
      </c>
      <c r="I10" s="530"/>
      <c r="J10" s="504"/>
      <c r="Z10" s="159" t="s">
        <v>1548</v>
      </c>
    </row>
    <row r="11" spans="1:78" ht="78" customHeight="1" x14ac:dyDescent="0.3">
      <c r="A11" s="567" t="s">
        <v>732</v>
      </c>
      <c r="B11" s="295">
        <f>+B4</f>
        <v>2019</v>
      </c>
      <c r="C11" s="295">
        <f>+C4</f>
        <v>2020</v>
      </c>
      <c r="D11" s="295">
        <f>+D4</f>
        <v>2021</v>
      </c>
      <c r="E11" s="512"/>
      <c r="F11" s="513"/>
      <c r="G11" s="1415" t="s">
        <v>1344</v>
      </c>
      <c r="H11" s="1416"/>
      <c r="I11" s="548"/>
      <c r="J11" s="504"/>
      <c r="K11" s="514" t="e">
        <f>HLOOKUP($B$3,'2019 Data(H)'!$E$2:$CZ$305,244,FALSE)</f>
        <v>#N/A</v>
      </c>
      <c r="L11" s="514" t="e">
        <f>HLOOKUP(B3,'2020 Data(H)'!E2:CZ350,244,FALSE)</f>
        <v>#N/A</v>
      </c>
      <c r="M11" s="514" t="e">
        <f>Import!L268</f>
        <v>#N/A</v>
      </c>
      <c r="N11" s="515"/>
      <c r="O11" s="515"/>
      <c r="P11" s="515"/>
      <c r="Q11" s="515"/>
      <c r="R11" s="515"/>
      <c r="S11" s="515"/>
      <c r="T11" s="515"/>
      <c r="U11" s="515"/>
      <c r="V11" s="515"/>
      <c r="W11" s="515"/>
      <c r="X11" s="515"/>
      <c r="Z11" s="159"/>
      <c r="AA11" s="515"/>
      <c r="AB11" s="515"/>
      <c r="AC11" s="515"/>
      <c r="AD11" s="515"/>
      <c r="AE11" s="515"/>
      <c r="AF11" s="515"/>
      <c r="AG11" s="515"/>
      <c r="AH11" s="515"/>
      <c r="AI11" s="515"/>
      <c r="AJ11" s="515"/>
      <c r="AK11" s="515"/>
      <c r="AL11" s="515"/>
      <c r="AM11" s="515"/>
      <c r="AN11" s="515"/>
      <c r="AO11" s="515"/>
      <c r="AP11" s="515"/>
      <c r="AQ11" s="515"/>
      <c r="AR11" s="515"/>
      <c r="AS11" s="515"/>
      <c r="AT11" s="515"/>
      <c r="AU11" s="515"/>
      <c r="AV11" s="515"/>
      <c r="AW11" s="515"/>
      <c r="AX11" s="515"/>
      <c r="AY11" s="515"/>
      <c r="AZ11" s="515"/>
      <c r="BA11" s="515"/>
      <c r="BB11" s="515"/>
      <c r="BC11" s="515"/>
      <c r="BD11" s="515"/>
      <c r="BE11" s="515"/>
      <c r="BF11" s="515"/>
      <c r="BG11" s="515"/>
      <c r="BH11" s="515"/>
      <c r="BI11" s="515"/>
      <c r="BJ11" s="515"/>
      <c r="BK11" s="515"/>
      <c r="BL11" s="515"/>
      <c r="BM11" s="515"/>
      <c r="BN11" s="515"/>
      <c r="BO11" s="515"/>
      <c r="BP11" s="515"/>
      <c r="BQ11" s="515"/>
      <c r="BR11" s="515"/>
      <c r="BS11" s="515"/>
      <c r="BT11" s="515"/>
      <c r="BU11" s="515"/>
      <c r="BV11" s="515"/>
      <c r="BW11" s="515"/>
      <c r="BX11" s="515"/>
      <c r="BY11" s="515"/>
      <c r="BZ11" s="515"/>
    </row>
    <row r="12" spans="1:78" ht="119.4" customHeight="1" x14ac:dyDescent="0.3">
      <c r="A12" s="407" t="s">
        <v>729</v>
      </c>
      <c r="B12" s="555" t="e">
        <f>IF(K11=0,"Not Applicable",(K12))</f>
        <v>#N/A</v>
      </c>
      <c r="C12" s="555" t="e">
        <f>IF(L11=0,"Not Applicable",(L12))</f>
        <v>#N/A</v>
      </c>
      <c r="D12" s="555" t="e">
        <f>IF(M11=0,"Not Applicable",M12)</f>
        <v>#N/A</v>
      </c>
      <c r="E12" s="556" t="s">
        <v>1053</v>
      </c>
      <c r="F12" s="945" t="str">
        <f>M12</f>
        <v/>
      </c>
      <c r="G12" s="556" t="s">
        <v>1062</v>
      </c>
      <c r="H12" s="557" t="s">
        <v>1091</v>
      </c>
      <c r="I12" s="550"/>
      <c r="J12" s="504"/>
      <c r="K12" s="514" t="e">
        <f>HLOOKUP($B$3,'2019 Data(H)'!$E$2:$CZ$305,299,FALSE)</f>
        <v>#N/A</v>
      </c>
      <c r="L12" s="514" t="e">
        <f>HLOOKUP(B2,'2020 Data(H)'!E1:CB428,347,FALSE)</f>
        <v>#N/A</v>
      </c>
      <c r="M12" s="516" t="str">
        <f>IFERROR((Import!$L$120-Import!$L$121-Import!$L$118-Import!$L$119)/(Import!$L$124-Import!$L$125-Import!$L$126-Import!$L$127-Import!$L$128-Import!$L$129-Import!$L$123),"")</f>
        <v/>
      </c>
      <c r="Z12" s="159" t="s">
        <v>1332</v>
      </c>
    </row>
    <row r="13" spans="1:78" ht="69.599999999999994" customHeight="1" x14ac:dyDescent="0.3">
      <c r="A13" s="407" t="s">
        <v>1100</v>
      </c>
      <c r="B13" s="558" t="e">
        <f>IF(K11=0,"Not Applicable",K13)</f>
        <v>#N/A</v>
      </c>
      <c r="C13" s="405" t="e">
        <f>IF(L11=0,"Not Applicable",L13)</f>
        <v>#N/A</v>
      </c>
      <c r="D13" s="559" t="e">
        <f>IF(M11=0,"Not Applicable",M13)</f>
        <v>#N/A</v>
      </c>
      <c r="E13" s="556" t="s">
        <v>1348</v>
      </c>
      <c r="F13" s="946" t="e">
        <f>D13</f>
        <v>#N/A</v>
      </c>
      <c r="G13" s="556" t="s">
        <v>1101</v>
      </c>
      <c r="H13" s="557" t="s">
        <v>1092</v>
      </c>
      <c r="I13" s="550"/>
      <c r="J13" s="504"/>
      <c r="K13" s="265" t="e">
        <f>HLOOKUP(B3,'2019 Data(H)'!E2:CB305,300,FALSE)</f>
        <v>#N/A</v>
      </c>
      <c r="L13" s="265" t="e">
        <f>HLOOKUP(B2,'2020 Data(H)'!F1:CZ428,348,FALSE)</f>
        <v>#N/A</v>
      </c>
      <c r="M13" s="938">
        <f>+Import!$L$153-Import!$L$155+Import!$L$154-Import!$L$182</f>
        <v>0</v>
      </c>
      <c r="Z13" s="159" t="s">
        <v>1332</v>
      </c>
    </row>
    <row r="14" spans="1:78" ht="109.95" customHeight="1" x14ac:dyDescent="0.3">
      <c r="A14" s="407" t="s">
        <v>1121</v>
      </c>
      <c r="B14" s="406" t="e">
        <f>IF(K11=0,"Not Applicable",K14)</f>
        <v>#N/A</v>
      </c>
      <c r="C14" s="406" t="e">
        <f>IF(L11=0,"Not Applicable",L14)</f>
        <v>#N/A</v>
      </c>
      <c r="D14" s="406" t="e">
        <f>IF(M11=0,"Not Applicable",M14)</f>
        <v>#N/A</v>
      </c>
      <c r="E14" s="556" t="s">
        <v>1581</v>
      </c>
      <c r="F14" s="400" t="e">
        <f>D14</f>
        <v>#N/A</v>
      </c>
      <c r="G14" s="556" t="s">
        <v>1102</v>
      </c>
      <c r="H14" s="557" t="s">
        <v>1299</v>
      </c>
      <c r="I14" s="550"/>
      <c r="J14" s="504"/>
      <c r="K14" s="266" t="e">
        <f>HLOOKUP(B3,'2019 Data(H)'!E2:CZ305,301,FALSE)</f>
        <v>#N/A</v>
      </c>
      <c r="L14" s="266" t="e">
        <f>HLOOKUP(B2,'2020 Data(H)'!F1:CZ428,349,FALSE)</f>
        <v>#N/A</v>
      </c>
      <c r="M14" s="266" t="str">
        <f>IFERROR(Import!L116/(Import!L155+Import!L158-Import!L154+Import!L182),"")</f>
        <v/>
      </c>
      <c r="Z14" s="159" t="s">
        <v>1332</v>
      </c>
    </row>
    <row r="15" spans="1:78" ht="99.75" customHeight="1" thickBot="1" x14ac:dyDescent="0.35">
      <c r="A15" s="1405" t="s">
        <v>1582</v>
      </c>
      <c r="B15" s="1406"/>
      <c r="C15" s="1406"/>
      <c r="D15" s="939" t="str">
        <f>IF(K15&lt;0,"Yes","No")</f>
        <v>No</v>
      </c>
      <c r="E15" s="984"/>
      <c r="F15" s="940" t="str">
        <f>D15</f>
        <v>No</v>
      </c>
      <c r="G15" s="553" t="s">
        <v>1583</v>
      </c>
      <c r="H15" s="560" t="s">
        <v>1097</v>
      </c>
      <c r="I15" s="554"/>
      <c r="J15" s="504"/>
      <c r="K15" s="294">
        <f>((Import!L158+Import!L155)*0.03)-Import!L161</f>
        <v>0</v>
      </c>
      <c r="Z15" s="159" t="s">
        <v>1332</v>
      </c>
    </row>
    <row r="16" spans="1:78" ht="37.5" customHeight="1" thickBot="1" x14ac:dyDescent="0.35">
      <c r="A16" s="287"/>
      <c r="B16" s="509"/>
      <c r="C16" s="509"/>
      <c r="D16" s="509"/>
      <c r="E16" s="510"/>
      <c r="F16" s="509"/>
      <c r="G16" s="511"/>
      <c r="H16" s="509"/>
      <c r="I16" s="509"/>
      <c r="Z16" s="570"/>
    </row>
    <row r="17" spans="1:26" ht="116.25" customHeight="1" thickBot="1" x14ac:dyDescent="0.35">
      <c r="A17" s="505" t="s">
        <v>731</v>
      </c>
      <c r="B17" s="296">
        <f>+B4</f>
        <v>2019</v>
      </c>
      <c r="C17" s="296">
        <f>+C4</f>
        <v>2020</v>
      </c>
      <c r="D17" s="296">
        <f>+D4</f>
        <v>2021</v>
      </c>
      <c r="E17" s="517"/>
      <c r="F17" s="518"/>
      <c r="G17" s="576" t="s">
        <v>1120</v>
      </c>
      <c r="H17" s="943" t="s">
        <v>1090</v>
      </c>
      <c r="I17" s="519"/>
      <c r="J17" s="504"/>
      <c r="K17" s="514" t="e">
        <f>HLOOKUP(B3,'2019 Data(H)'!E2:CZ310,243,FALSE)</f>
        <v>#N/A</v>
      </c>
      <c r="L17" s="268" t="e">
        <f>HLOOKUP(B3,'2020 Data(H)'!E2:CZ350,243,FALSE)</f>
        <v>#N/A</v>
      </c>
      <c r="M17" s="520" t="e">
        <f>+Import!L267</f>
        <v>#N/A</v>
      </c>
      <c r="Z17" s="568"/>
    </row>
    <row r="18" spans="1:26" ht="78" customHeight="1" x14ac:dyDescent="0.3">
      <c r="A18" s="297" t="s">
        <v>729</v>
      </c>
      <c r="B18" s="521" t="e">
        <f>IF(K17=0,"Not Applicable",K18)</f>
        <v>#N/A</v>
      </c>
      <c r="C18" s="521" t="e">
        <f>IF(L17=0,"Not Applicable",L18)</f>
        <v>#N/A</v>
      </c>
      <c r="D18" s="521" t="e">
        <f>IF(M17=0,"Not Applicable",M18)</f>
        <v>#N/A</v>
      </c>
      <c r="E18" s="556" t="s">
        <v>1053</v>
      </c>
      <c r="F18" s="947" t="str">
        <f>+M18</f>
        <v/>
      </c>
      <c r="G18" s="958" t="s">
        <v>1107</v>
      </c>
      <c r="H18" s="970" t="s">
        <v>1091</v>
      </c>
      <c r="I18" s="550"/>
      <c r="J18" s="504"/>
      <c r="K18" s="268" t="e">
        <f>HLOOKUP(B3,'2019 Data(H)'!E2:CZ310,302,FALSE)</f>
        <v>#N/A</v>
      </c>
      <c r="L18" s="514" t="e">
        <f>HLOOKUP(B2,'2020 Data(H)'!F1:CZ428,350,FALSE)</f>
        <v>#N/A</v>
      </c>
      <c r="M18" s="514" t="str">
        <f>IFERROR((Import!L138-Import!L139-Import!L137-Import!L136)/(Import!L143-Import!L144-Import!L145-Import!L146-Import!L147-Import!L148-Import!L142),"")</f>
        <v/>
      </c>
      <c r="Z18" s="571" t="s">
        <v>1333</v>
      </c>
    </row>
    <row r="19" spans="1:26" ht="60.75" customHeight="1" x14ac:dyDescent="0.3">
      <c r="A19" s="284" t="s">
        <v>1100</v>
      </c>
      <c r="B19" s="383" t="e">
        <f>IF(K17=0,"Not Applicable",K19)</f>
        <v>#N/A</v>
      </c>
      <c r="C19" s="383" t="e">
        <f>IF(L17=0,"Not Applicable",L19)</f>
        <v>#N/A</v>
      </c>
      <c r="D19" s="383" t="e">
        <f>IF(M17=0,"Not Applicable",M19)</f>
        <v>#N/A</v>
      </c>
      <c r="E19" s="556" t="s">
        <v>1348</v>
      </c>
      <c r="F19" s="948" t="e">
        <f>D19</f>
        <v>#N/A</v>
      </c>
      <c r="G19" s="958" t="s">
        <v>1103</v>
      </c>
      <c r="H19" s="970" t="s">
        <v>1092</v>
      </c>
      <c r="I19" s="550"/>
      <c r="J19" s="504"/>
      <c r="K19" s="265" t="e">
        <f>HLOOKUP(B3,'2019 Data(H)'!E2:CZ310,303,FALSE)</f>
        <v>#N/A</v>
      </c>
      <c r="L19" s="265" t="e">
        <f>HLOOKUP(B2,'2020 Data(H)'!F1:CZ428,351,FALSE)</f>
        <v>#N/A</v>
      </c>
      <c r="M19" s="265">
        <f>+Import!L168-Import!L171+Import!L170-Import!L185</f>
        <v>0</v>
      </c>
      <c r="Z19" s="571" t="s">
        <v>1333</v>
      </c>
    </row>
    <row r="20" spans="1:26" ht="88.5" customHeight="1" thickBot="1" x14ac:dyDescent="0.35">
      <c r="A20" s="298" t="s">
        <v>1121</v>
      </c>
      <c r="B20" s="384" t="e">
        <f>IF(K17=0,"Not Applicable",K20)</f>
        <v>#N/A</v>
      </c>
      <c r="C20" s="384" t="e">
        <f>IF(L17=0,"Not Applicable",L20)</f>
        <v>#N/A</v>
      </c>
      <c r="D20" s="384" t="e">
        <f>IF(M17=0,"Not Applicable",M20)</f>
        <v>#N/A</v>
      </c>
      <c r="E20" s="983" t="s">
        <v>1581</v>
      </c>
      <c r="F20" s="949" t="str">
        <f>+M20</f>
        <v/>
      </c>
      <c r="G20" s="972" t="s">
        <v>1109</v>
      </c>
      <c r="H20" s="971" t="s">
        <v>1299</v>
      </c>
      <c r="I20" s="554"/>
      <c r="J20" s="504"/>
      <c r="K20" s="266" t="e">
        <f>HLOOKUP(B3,'2019 Data(H)'!E2:CZ310,304,FALSE)</f>
        <v>#N/A</v>
      </c>
      <c r="L20" s="266" t="e">
        <f>HLOOKUP(B2,'2020 Data(H)'!F1:CZ428,352,FALSE)</f>
        <v>#N/A</v>
      </c>
      <c r="M20" s="266" t="str">
        <f>IFERROR(Import!L134/(Import!L174+Import!L171-Import!L170+Import!L185),"")</f>
        <v/>
      </c>
      <c r="Z20" s="571" t="s">
        <v>1333</v>
      </c>
    </row>
    <row r="21" spans="1:26" ht="15.75" customHeight="1" x14ac:dyDescent="0.3">
      <c r="A21" s="408"/>
      <c r="B21" s="409"/>
      <c r="C21" s="409"/>
      <c r="D21" s="409"/>
      <c r="E21" s="561"/>
      <c r="F21" s="562"/>
      <c r="G21" s="563"/>
      <c r="H21" s="563"/>
      <c r="I21" s="977"/>
      <c r="J21" s="504"/>
      <c r="K21" s="266"/>
      <c r="L21" s="266"/>
      <c r="M21" s="266"/>
      <c r="Z21" s="571"/>
    </row>
    <row r="22" spans="1:26" ht="50.25" customHeight="1" x14ac:dyDescent="0.3">
      <c r="A22" s="978" t="s">
        <v>1346</v>
      </c>
      <c r="B22" s="409"/>
      <c r="C22" s="409"/>
      <c r="D22" s="409"/>
      <c r="E22" s="561"/>
      <c r="F22" s="562"/>
      <c r="G22" s="563"/>
      <c r="H22" s="563"/>
      <c r="I22" s="977"/>
      <c r="J22" s="504"/>
      <c r="K22" s="266"/>
      <c r="L22" s="266"/>
      <c r="M22" s="266"/>
      <c r="Z22" s="571"/>
    </row>
    <row r="23" spans="1:26" ht="88.5" customHeight="1" x14ac:dyDescent="0.3">
      <c r="A23" s="404" t="s">
        <v>729</v>
      </c>
      <c r="B23" s="410"/>
      <c r="C23" s="410"/>
      <c r="D23" s="987" t="str">
        <f>+M23</f>
        <v/>
      </c>
      <c r="E23" s="556" t="s">
        <v>1053</v>
      </c>
      <c r="F23" s="986" t="str">
        <f>+M23</f>
        <v/>
      </c>
      <c r="G23" s="557" t="s">
        <v>1593</v>
      </c>
      <c r="H23" s="557" t="s">
        <v>1091</v>
      </c>
      <c r="I23" s="532"/>
      <c r="J23" s="504"/>
      <c r="K23" s="266">
        <v>1000</v>
      </c>
      <c r="L23" s="266"/>
      <c r="M23" s="976" t="str">
        <f>IFERROR((+Import!L94-Import!L93)/Import!L95,"")</f>
        <v/>
      </c>
      <c r="Z23" s="571" t="s">
        <v>1347</v>
      </c>
    </row>
    <row r="24" spans="1:26" x14ac:dyDescent="0.3">
      <c r="A24" s="285"/>
      <c r="B24" s="524"/>
      <c r="C24" s="524"/>
      <c r="D24" s="524"/>
      <c r="E24" s="525"/>
      <c r="F24" s="524"/>
      <c r="G24" s="526"/>
      <c r="H24" s="524"/>
      <c r="I24" s="524"/>
      <c r="M24" s="272"/>
      <c r="Z24" s="572"/>
    </row>
    <row r="25" spans="1:26" x14ac:dyDescent="0.3">
      <c r="A25" s="527" t="s">
        <v>1054</v>
      </c>
      <c r="B25" s="286"/>
      <c r="C25" s="286"/>
      <c r="D25" s="286">
        <f>+D4</f>
        <v>2021</v>
      </c>
      <c r="E25" s="283" t="s">
        <v>1594</v>
      </c>
      <c r="F25" s="509"/>
      <c r="G25" s="283"/>
      <c r="H25" s="282" t="s">
        <v>1052</v>
      </c>
      <c r="I25" s="495"/>
    </row>
    <row r="26" spans="1:26" ht="148.5" customHeight="1" x14ac:dyDescent="0.3">
      <c r="A26" s="1393" t="s">
        <v>1117</v>
      </c>
      <c r="B26" s="1394"/>
      <c r="C26" s="1395"/>
      <c r="D26" s="529" t="b">
        <f>IF(Import!L258=1,"Yes",IF(Import!L258=2,"No"))</f>
        <v>0</v>
      </c>
      <c r="E26" s="964" t="s">
        <v>1057</v>
      </c>
      <c r="F26" s="529" t="b">
        <f>D26</f>
        <v>0</v>
      </c>
      <c r="G26" s="531" t="s">
        <v>1077</v>
      </c>
      <c r="H26" s="574" t="s">
        <v>1093</v>
      </c>
      <c r="I26" s="532"/>
      <c r="J26" s="504"/>
      <c r="Z26" s="571" t="s">
        <v>1334</v>
      </c>
    </row>
    <row r="27" spans="1:26" ht="18" customHeight="1" x14ac:dyDescent="0.3">
      <c r="A27" s="287"/>
      <c r="B27" s="509"/>
      <c r="C27" s="509"/>
      <c r="D27" s="282">
        <f>+D4</f>
        <v>2021</v>
      </c>
      <c r="E27" s="980"/>
      <c r="F27" s="509"/>
      <c r="G27" s="959"/>
      <c r="H27" s="509"/>
      <c r="I27" s="509"/>
      <c r="Z27" s="570"/>
    </row>
    <row r="28" spans="1:26" ht="121.2" customHeight="1" x14ac:dyDescent="0.3">
      <c r="A28" s="1393" t="s">
        <v>1258</v>
      </c>
      <c r="B28" s="1394"/>
      <c r="C28" s="1395"/>
      <c r="D28" s="289" t="e">
        <f>(+Import!L67-Import!L68)/Import!L68</f>
        <v>#DIV/0!</v>
      </c>
      <c r="E28" s="964" t="s">
        <v>1058</v>
      </c>
      <c r="F28" s="290" t="e">
        <f>+D28</f>
        <v>#DIV/0!</v>
      </c>
      <c r="G28" s="958" t="s">
        <v>1082</v>
      </c>
      <c r="H28" s="531" t="s">
        <v>1300</v>
      </c>
      <c r="I28" s="532"/>
      <c r="J28" s="504"/>
      <c r="Z28" s="159" t="s">
        <v>1335</v>
      </c>
    </row>
    <row r="29" spans="1:26" ht="18" customHeight="1" x14ac:dyDescent="0.3">
      <c r="A29" s="287"/>
      <c r="B29" s="509"/>
      <c r="C29" s="509"/>
      <c r="D29" s="282">
        <f>+D4</f>
        <v>2021</v>
      </c>
      <c r="E29" s="980"/>
      <c r="F29" s="509"/>
      <c r="G29" s="511"/>
      <c r="H29" s="509"/>
      <c r="I29" s="509"/>
      <c r="J29" s="533"/>
      <c r="Z29" s="570"/>
    </row>
    <row r="30" spans="1:26" ht="91.5" customHeight="1" x14ac:dyDescent="0.3">
      <c r="A30" s="1393" t="s">
        <v>1586</v>
      </c>
      <c r="B30" s="1394"/>
      <c r="C30" s="1395"/>
      <c r="D30" s="529" t="b">
        <f>IF(Import!L244=20,"Increase",IF(Import!L244=21,"Decrease",IF(Import!L244=22,"No Change",IF(Import!L244=23,"N/A"))))</f>
        <v>0</v>
      </c>
      <c r="E30" s="964" t="s">
        <v>1059</v>
      </c>
      <c r="F30" s="529" t="b">
        <f>D30</f>
        <v>0</v>
      </c>
      <c r="G30" s="531" t="s">
        <v>1083</v>
      </c>
      <c r="H30" s="969" t="s">
        <v>1587</v>
      </c>
      <c r="I30" s="392"/>
      <c r="J30" s="276"/>
      <c r="K30" s="504"/>
      <c r="Z30" s="159" t="s">
        <v>1335</v>
      </c>
    </row>
    <row r="31" spans="1:26" ht="18" customHeight="1" x14ac:dyDescent="0.3">
      <c r="A31" s="287"/>
      <c r="B31" s="509"/>
      <c r="C31" s="509"/>
      <c r="D31" s="282">
        <f>+D4</f>
        <v>2021</v>
      </c>
      <c r="E31" s="510"/>
      <c r="F31" s="509"/>
      <c r="G31" s="959"/>
      <c r="H31" s="960"/>
      <c r="I31" s="509"/>
      <c r="J31" s="534"/>
      <c r="Z31" s="570"/>
    </row>
    <row r="32" spans="1:26" ht="103.5" customHeight="1" x14ac:dyDescent="0.3">
      <c r="A32" s="1393" t="s">
        <v>1306</v>
      </c>
      <c r="B32" s="1399"/>
      <c r="C32" s="535"/>
      <c r="D32" s="291" t="str">
        <f>IF(Import!L256=1,"Yes",IF(Import!L256=2,"No",IF(Import!L256=0,"Question required to be answered")))</f>
        <v>Question required to be answered</v>
      </c>
      <c r="E32" s="528" t="s">
        <v>1087</v>
      </c>
      <c r="F32" s="522" t="str">
        <f>+D32</f>
        <v>Question required to be answered</v>
      </c>
      <c r="G32" s="958" t="s">
        <v>1078</v>
      </c>
      <c r="H32" s="531" t="s">
        <v>1301</v>
      </c>
      <c r="I32" s="532"/>
      <c r="J32" s="504"/>
      <c r="Z32" s="159" t="s">
        <v>1336</v>
      </c>
    </row>
    <row r="33" spans="1:26" ht="18" customHeight="1" x14ac:dyDescent="0.3">
      <c r="A33" s="287"/>
      <c r="B33" s="509"/>
      <c r="C33" s="509"/>
      <c r="D33" s="282">
        <f>+D4</f>
        <v>2021</v>
      </c>
      <c r="E33" s="510"/>
      <c r="F33" s="536"/>
      <c r="G33" s="959"/>
      <c r="H33" s="960"/>
      <c r="I33" s="509"/>
      <c r="Z33" s="570"/>
    </row>
    <row r="34" spans="1:26" ht="89.25" customHeight="1" x14ac:dyDescent="0.3">
      <c r="A34" s="1400" t="s">
        <v>1259</v>
      </c>
      <c r="B34" s="1401"/>
      <c r="C34" s="537"/>
      <c r="D34" s="292" t="str">
        <f>IF(Import!L191&gt;(Import!L155+Import!L158)*0.03,"Yes","No")</f>
        <v>No</v>
      </c>
      <c r="E34" s="981"/>
      <c r="F34" s="380" t="str">
        <f>+D34</f>
        <v>No</v>
      </c>
      <c r="G34" s="958" t="s">
        <v>1084</v>
      </c>
      <c r="H34" s="531" t="s">
        <v>1094</v>
      </c>
      <c r="I34" s="532"/>
      <c r="J34" s="504"/>
      <c r="M34" s="493" t="s">
        <v>1055</v>
      </c>
      <c r="Z34" s="159" t="s">
        <v>1336</v>
      </c>
    </row>
    <row r="35" spans="1:26" ht="18" customHeight="1" x14ac:dyDescent="0.3">
      <c r="A35" s="287"/>
      <c r="B35" s="509"/>
      <c r="C35" s="509"/>
      <c r="D35" s="282">
        <f>+D4</f>
        <v>2021</v>
      </c>
      <c r="E35" s="510"/>
      <c r="F35" s="509"/>
      <c r="G35" s="511"/>
      <c r="H35" s="509"/>
      <c r="I35" s="509"/>
      <c r="Z35" s="570"/>
    </row>
    <row r="36" spans="1:26" ht="165" customHeight="1" x14ac:dyDescent="0.3">
      <c r="A36" s="1396" t="s">
        <v>1588</v>
      </c>
      <c r="B36" s="1397"/>
      <c r="C36" s="1398"/>
      <c r="D36" s="963" t="str">
        <f>IFERROR(VLOOKUP(B3,UAL!A3:D141,4,FALSE),"Unit is not on the Unit Assistance List at this time")</f>
        <v>Unit is not on the Unit Assistance List at this time</v>
      </c>
      <c r="E36" s="964" t="s">
        <v>1589</v>
      </c>
      <c r="F36" s="965" t="str">
        <f>D36</f>
        <v>Unit is not on the Unit Assistance List at this time</v>
      </c>
      <c r="G36" s="538"/>
      <c r="H36" s="539" t="s">
        <v>1341</v>
      </c>
      <c r="I36" s="532"/>
      <c r="J36" s="504"/>
      <c r="K36" s="540" t="e">
        <f>VLOOKUP(B3,UAL!A3:D141,4,FALSE)</f>
        <v>#N/A</v>
      </c>
      <c r="Z36" s="159" t="s">
        <v>1337</v>
      </c>
    </row>
    <row r="37" spans="1:26" ht="18" customHeight="1" x14ac:dyDescent="0.3">
      <c r="A37" s="287"/>
      <c r="B37" s="509"/>
      <c r="C37" s="509"/>
      <c r="D37" s="282">
        <f>+D4</f>
        <v>2021</v>
      </c>
      <c r="E37" s="510"/>
      <c r="F37" s="509"/>
      <c r="G37" s="511"/>
      <c r="H37" s="509"/>
      <c r="I37" s="509"/>
      <c r="Z37" s="570"/>
    </row>
    <row r="38" spans="1:26" ht="43.2" x14ac:dyDescent="0.3">
      <c r="A38" s="1403" t="s">
        <v>1308</v>
      </c>
      <c r="B38" s="1404"/>
      <c r="C38" s="961"/>
      <c r="D38" s="293" t="str">
        <f>IF(Import!L257=1,"Yes",IF(Import!L257=2,"No",IF(Import!L257="0","This questions must be answered")))</f>
        <v>This questions must be answered</v>
      </c>
      <c r="E38" s="528"/>
      <c r="F38" s="564" t="str">
        <f>+D38</f>
        <v>This questions must be answered</v>
      </c>
      <c r="G38" s="958" t="s">
        <v>1085</v>
      </c>
      <c r="H38" s="531" t="s">
        <v>1122</v>
      </c>
      <c r="I38" s="532"/>
      <c r="J38" s="504"/>
      <c r="Z38" s="159" t="s">
        <v>1336</v>
      </c>
    </row>
    <row r="39" spans="1:26" ht="18" customHeight="1" x14ac:dyDescent="0.3">
      <c r="A39" s="962"/>
      <c r="B39" s="960"/>
      <c r="C39" s="960"/>
      <c r="D39" s="282">
        <f>+D4</f>
        <v>2021</v>
      </c>
      <c r="E39" s="510"/>
      <c r="F39" s="536"/>
      <c r="G39" s="959"/>
      <c r="H39" s="960"/>
      <c r="I39" s="509"/>
      <c r="Z39" s="570"/>
    </row>
    <row r="40" spans="1:26" ht="57.75" customHeight="1" x14ac:dyDescent="0.3">
      <c r="A40" s="1396" t="s">
        <v>1325</v>
      </c>
      <c r="B40" s="1402"/>
      <c r="C40" s="961"/>
      <c r="D40" s="293" t="str">
        <f>IF(Import!L253=1,"Yes",IF(Import!L253=2,"No",IF(Import!L253=3,"N/A",IF(Import!L253=0,"This questions must be answered"))))</f>
        <v>This questions must be answered</v>
      </c>
      <c r="E40" s="528"/>
      <c r="F40" s="529" t="str">
        <f>D40</f>
        <v>This questions must be answered</v>
      </c>
      <c r="G40" s="958" t="s">
        <v>1326</v>
      </c>
      <c r="H40" s="531" t="s">
        <v>1342</v>
      </c>
      <c r="I40" s="532"/>
      <c r="J40" s="504"/>
      <c r="Z40" s="575" t="s">
        <v>1338</v>
      </c>
    </row>
    <row r="41" spans="1:26" ht="18" customHeight="1" x14ac:dyDescent="0.3">
      <c r="A41" s="962"/>
      <c r="B41" s="960"/>
      <c r="C41" s="960"/>
      <c r="D41" s="282">
        <f>+D4</f>
        <v>2021</v>
      </c>
      <c r="E41" s="510"/>
      <c r="F41" s="509"/>
      <c r="G41" s="959"/>
      <c r="H41" s="960"/>
      <c r="I41" s="509"/>
      <c r="Z41" s="570"/>
    </row>
    <row r="42" spans="1:26" ht="67.5" customHeight="1" x14ac:dyDescent="0.3">
      <c r="A42" s="1396" t="s">
        <v>1590</v>
      </c>
      <c r="B42" s="1397"/>
      <c r="C42" s="1398"/>
      <c r="D42" s="541" t="b">
        <f>IF(Import!L193=1,"Yes",IF(Import!L193=2,"No",IF(Import!L193=3,"N/A")))</f>
        <v>0</v>
      </c>
      <c r="E42" s="528"/>
      <c r="F42" s="529" t="b">
        <f>+D42</f>
        <v>0</v>
      </c>
      <c r="G42" s="958" t="s">
        <v>1119</v>
      </c>
      <c r="H42" s="531" t="s">
        <v>1095</v>
      </c>
      <c r="I42" s="532"/>
      <c r="J42" s="504"/>
      <c r="Z42" s="159" t="s">
        <v>1335</v>
      </c>
    </row>
    <row r="43" spans="1:26" ht="18" customHeight="1" x14ac:dyDescent="0.3">
      <c r="A43" s="287"/>
      <c r="B43" s="509"/>
      <c r="C43" s="509"/>
      <c r="D43" s="282">
        <f>+D4</f>
        <v>2021</v>
      </c>
      <c r="E43" s="510"/>
      <c r="F43" s="509"/>
      <c r="G43" s="511"/>
      <c r="H43" s="509"/>
      <c r="I43" s="509"/>
      <c r="Z43" s="570"/>
    </row>
    <row r="44" spans="1:26" ht="68.25" customHeight="1" x14ac:dyDescent="0.3">
      <c r="A44" s="288" t="s">
        <v>1056</v>
      </c>
      <c r="B44" s="542"/>
      <c r="C44" s="535"/>
      <c r="D44" s="398" t="e">
        <f>+K44+L44+M44+Import!L250+Import!L251+Import!L254</f>
        <v>#VALUE!</v>
      </c>
      <c r="E44" s="528"/>
      <c r="F44" s="385"/>
      <c r="G44" s="523" t="s">
        <v>1079</v>
      </c>
      <c r="H44" s="531" t="s">
        <v>1096</v>
      </c>
      <c r="I44" s="532"/>
      <c r="J44" s="504"/>
      <c r="K44" s="514">
        <f>IF(Import!L247=1,1,0)</f>
        <v>0</v>
      </c>
      <c r="L44" s="514">
        <f>IF(Import!L248=1,1,0)</f>
        <v>0</v>
      </c>
      <c r="M44" s="514">
        <f>IF(Import!L249=1,1,0)</f>
        <v>0</v>
      </c>
      <c r="Z44" s="159"/>
    </row>
    <row r="45" spans="1:26" ht="18" customHeight="1" x14ac:dyDescent="0.3">
      <c r="A45" s="287"/>
      <c r="B45" s="509"/>
      <c r="C45" s="509"/>
      <c r="D45" s="282">
        <f>+D4</f>
        <v>2021</v>
      </c>
      <c r="E45" s="510"/>
      <c r="F45" s="509"/>
      <c r="G45" s="511"/>
      <c r="H45" s="509"/>
      <c r="I45" s="509"/>
      <c r="Z45" s="570"/>
    </row>
    <row r="46" spans="1:26" ht="184.95" customHeight="1" x14ac:dyDescent="0.3">
      <c r="A46" s="1396" t="s">
        <v>1086</v>
      </c>
      <c r="B46" s="1397"/>
      <c r="C46" s="1398"/>
      <c r="D46" s="966" t="e">
        <f>IF('Electric trans'!F29="No, unit exceeds limit by:","Yes","No")</f>
        <v>#N/A</v>
      </c>
      <c r="E46" s="964"/>
      <c r="F46" s="967" t="e">
        <f>+D46</f>
        <v>#N/A</v>
      </c>
      <c r="G46" s="958" t="s">
        <v>1127</v>
      </c>
      <c r="H46" s="531" t="s">
        <v>1303</v>
      </c>
      <c r="I46" s="532"/>
      <c r="J46" s="504"/>
      <c r="Z46" s="159" t="s">
        <v>1339</v>
      </c>
    </row>
    <row r="47" spans="1:26" ht="18" customHeight="1" x14ac:dyDescent="0.3">
      <c r="A47" s="495"/>
      <c r="B47" s="495"/>
      <c r="C47" s="495"/>
      <c r="D47" s="543"/>
      <c r="E47" s="544"/>
      <c r="F47" s="543"/>
      <c r="G47" s="545"/>
      <c r="H47" s="495"/>
      <c r="I47" s="509"/>
      <c r="Z47" s="566"/>
    </row>
    <row r="48" spans="1:26" ht="116.25" customHeight="1" x14ac:dyDescent="0.3">
      <c r="A48" s="1390" t="s">
        <v>1126</v>
      </c>
      <c r="B48" s="1391"/>
      <c r="C48" s="1392"/>
      <c r="D48" s="968">
        <f>+Import!L254</f>
        <v>0</v>
      </c>
      <c r="E48" s="556" t="s">
        <v>1327</v>
      </c>
      <c r="F48" s="982">
        <f>+D48</f>
        <v>0</v>
      </c>
      <c r="G48" s="546"/>
      <c r="H48" s="393"/>
      <c r="I48" s="565"/>
      <c r="J48" s="504"/>
      <c r="Z48" s="159" t="s">
        <v>1340</v>
      </c>
    </row>
    <row r="49" spans="1:26" x14ac:dyDescent="0.3">
      <c r="A49" s="534"/>
      <c r="B49" s="534"/>
      <c r="C49" s="534"/>
      <c r="G49" s="547"/>
      <c r="H49" s="534"/>
      <c r="I49" s="534"/>
      <c r="Z49" s="572"/>
    </row>
  </sheetData>
  <sheetProtection algorithmName="SHA-512" hashValue="OdP7madICm+rePBhWkMVWxRS4ARp1xbrNuCZ560kV4PaE53zkp6pzYuTnhm7+lN04UB8PmEcFoER1Y0Fb7/Nbg==" saltValue="2j7NjvWy3yQJ5gvkW1e1iQ==" spinCount="100000" sheet="1" objects="1" scenarios="1"/>
  <mergeCells count="18">
    <mergeCell ref="A26:C26"/>
    <mergeCell ref="A15:C15"/>
    <mergeCell ref="G1:H1"/>
    <mergeCell ref="B2:D2"/>
    <mergeCell ref="H2:H3"/>
    <mergeCell ref="B3:D3"/>
    <mergeCell ref="E2:G3"/>
    <mergeCell ref="G11:H11"/>
    <mergeCell ref="A48:C48"/>
    <mergeCell ref="A28:C28"/>
    <mergeCell ref="A30:C30"/>
    <mergeCell ref="A36:C36"/>
    <mergeCell ref="A46:C46"/>
    <mergeCell ref="A32:B32"/>
    <mergeCell ref="A34:B34"/>
    <mergeCell ref="A40:B40"/>
    <mergeCell ref="A38:B38"/>
    <mergeCell ref="A42:C42"/>
  </mergeCells>
  <conditionalFormatting sqref="F12">
    <cfRule type="cellIs" dxfId="24" priority="50" operator="lessThan">
      <formula>1</formula>
    </cfRule>
  </conditionalFormatting>
  <conditionalFormatting sqref="F13">
    <cfRule type="cellIs" dxfId="23" priority="49" operator="lessThan">
      <formula>0</formula>
    </cfRule>
  </conditionalFormatting>
  <conditionalFormatting sqref="F14">
    <cfRule type="cellIs" dxfId="22" priority="48" operator="lessThan">
      <formula>0.16</formula>
    </cfRule>
  </conditionalFormatting>
  <conditionalFormatting sqref="F18">
    <cfRule type="cellIs" dxfId="21" priority="43" operator="lessThan">
      <formula>1</formula>
    </cfRule>
  </conditionalFormatting>
  <conditionalFormatting sqref="F19">
    <cfRule type="cellIs" dxfId="20" priority="42" operator="lessThan">
      <formula>0</formula>
    </cfRule>
  </conditionalFormatting>
  <conditionalFormatting sqref="F20">
    <cfRule type="cellIs" dxfId="19" priority="41" operator="lessThan">
      <formula>0.16</formula>
    </cfRule>
  </conditionalFormatting>
  <conditionalFormatting sqref="F26">
    <cfRule type="cellIs" dxfId="18" priority="40" operator="equal">
      <formula>"No"</formula>
    </cfRule>
  </conditionalFormatting>
  <conditionalFormatting sqref="F28">
    <cfRule type="cellIs" dxfId="17" priority="38" operator="lessThan">
      <formula>-0.03</formula>
    </cfRule>
  </conditionalFormatting>
  <conditionalFormatting sqref="F34">
    <cfRule type="cellIs" dxfId="16" priority="18" operator="equal">
      <formula>"Yes"</formula>
    </cfRule>
  </conditionalFormatting>
  <conditionalFormatting sqref="F36">
    <cfRule type="cellIs" dxfId="15" priority="36" operator="equal">
      <formula>"Yes"</formula>
    </cfRule>
  </conditionalFormatting>
  <conditionalFormatting sqref="F38">
    <cfRule type="cellIs" dxfId="14" priority="34" operator="equal">
      <formula>"Yes"</formula>
    </cfRule>
  </conditionalFormatting>
  <conditionalFormatting sqref="F40">
    <cfRule type="cellIs" dxfId="13" priority="33" operator="equal">
      <formula>"Yes"</formula>
    </cfRule>
  </conditionalFormatting>
  <conditionalFormatting sqref="F32">
    <cfRule type="cellIs" dxfId="12" priority="32" operator="equal">
      <formula>"No"</formula>
    </cfRule>
  </conditionalFormatting>
  <conditionalFormatting sqref="F10">
    <cfRule type="cellIs" dxfId="11" priority="30" operator="lessThan">
      <formula>0</formula>
    </cfRule>
  </conditionalFormatting>
  <conditionalFormatting sqref="F47">
    <cfRule type="cellIs" dxfId="10" priority="25" operator="equal">
      <formula>"Yes"</formula>
    </cfRule>
  </conditionalFormatting>
  <conditionalFormatting sqref="F46">
    <cfRule type="cellIs" dxfId="9" priority="24" operator="equal">
      <formula>"Yes"</formula>
    </cfRule>
  </conditionalFormatting>
  <conditionalFormatting sqref="F42">
    <cfRule type="cellIs" dxfId="8" priority="17" operator="equal">
      <formula>"No"</formula>
    </cfRule>
  </conditionalFormatting>
  <conditionalFormatting sqref="F30">
    <cfRule type="cellIs" dxfId="7" priority="16" operator="equal">
      <formula>"Decrease"</formula>
    </cfRule>
  </conditionalFormatting>
  <conditionalFormatting sqref="F48">
    <cfRule type="cellIs" dxfId="6" priority="13" operator="greaterThan">
      <formula>0</formula>
    </cfRule>
  </conditionalFormatting>
  <conditionalFormatting sqref="F44">
    <cfRule type="expression" dxfId="5" priority="12">
      <formula>$D$44&gt;0</formula>
    </cfRule>
  </conditionalFormatting>
  <conditionalFormatting sqref="F15">
    <cfRule type="cellIs" dxfId="4" priority="8" operator="equal">
      <formula>"Yes"</formula>
    </cfRule>
  </conditionalFormatting>
  <conditionalFormatting sqref="F9">
    <cfRule type="cellIs" dxfId="3" priority="6" operator="equal">
      <formula>"Less than 8%"</formula>
    </cfRule>
  </conditionalFormatting>
  <conditionalFormatting sqref="F23">
    <cfRule type="cellIs" dxfId="2" priority="5" operator="lessThan">
      <formula>1</formula>
    </cfRule>
  </conditionalFormatting>
  <conditionalFormatting sqref="F8">
    <cfRule type="cellIs" dxfId="1" priority="3" operator="lessThan">
      <formula>$L$8&lt;0%</formula>
    </cfRule>
  </conditionalFormatting>
  <conditionalFormatting sqref="F6">
    <cfRule type="cellIs" dxfId="0" priority="1" operator="lessThan">
      <formula>$L$8&lt;0%</formula>
    </cfRule>
  </conditionalFormatting>
  <pageMargins left="0.25" right="0.25" top="0.75" bottom="0.75" header="0.3" footer="0.3"/>
  <pageSetup scale="4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theme="3" tint="0.79998168889431442"/>
  </sheetPr>
  <dimension ref="A2:H41"/>
  <sheetViews>
    <sheetView showGridLines="0" workbookViewId="0">
      <selection activeCell="K26" sqref="K26"/>
    </sheetView>
  </sheetViews>
  <sheetFormatPr defaultColWidth="9.109375" defaultRowHeight="14.4" x14ac:dyDescent="0.3"/>
  <cols>
    <col min="1" max="1" width="9.109375" style="302"/>
    <col min="2" max="2" width="10.44140625" style="302" bestFit="1" customWidth="1"/>
    <col min="3" max="3" width="29.88671875" style="302" customWidth="1"/>
    <col min="4" max="4" width="40.5546875" style="302" customWidth="1"/>
    <col min="5" max="5" width="3.6640625" style="302" customWidth="1"/>
    <col min="6" max="6" width="13.44140625" style="302" customWidth="1"/>
    <col min="7" max="7" width="3.5546875" style="302" customWidth="1"/>
    <col min="8" max="8" width="14.109375" style="302" customWidth="1"/>
    <col min="9" max="16384" width="9.109375" style="302"/>
  </cols>
  <sheetData>
    <row r="2" spans="1:8" ht="54.75" customHeight="1" x14ac:dyDescent="0.3">
      <c r="A2" s="1420" t="s">
        <v>112</v>
      </c>
      <c r="B2" s="1420"/>
      <c r="C2" s="1420"/>
      <c r="D2" s="1420"/>
      <c r="E2" s="1420"/>
      <c r="F2" s="454"/>
      <c r="G2" s="454"/>
      <c r="H2" s="455"/>
    </row>
    <row r="4" spans="1:8" ht="15.6" x14ac:dyDescent="0.3">
      <c r="A4" s="455"/>
      <c r="B4" s="456" t="str">
        <f>'Unit Data from Audit Worksheet'!D2</f>
        <v>Select Unit Name from Drop Down List</v>
      </c>
      <c r="C4" s="457"/>
      <c r="D4" s="19"/>
      <c r="E4" s="20"/>
      <c r="F4" s="458">
        <f>'Unit Data from Audit Worksheet'!F5</f>
        <v>2021</v>
      </c>
      <c r="G4" s="455"/>
      <c r="H4" s="458">
        <f>'Unit Data from Audit Worksheet'!F5</f>
        <v>2021</v>
      </c>
    </row>
    <row r="5" spans="1:8" ht="41.4" x14ac:dyDescent="0.4">
      <c r="A5" s="459"/>
      <c r="B5" s="460" t="s">
        <v>72</v>
      </c>
      <c r="C5" s="459"/>
      <c r="D5" s="459"/>
      <c r="E5" s="459"/>
      <c r="F5" s="458" t="s">
        <v>73</v>
      </c>
      <c r="G5" s="459"/>
      <c r="H5" s="461" t="s">
        <v>74</v>
      </c>
    </row>
    <row r="6" spans="1:8" x14ac:dyDescent="0.3">
      <c r="A6" s="455"/>
      <c r="B6" s="462" t="s">
        <v>75</v>
      </c>
      <c r="C6" s="455"/>
      <c r="D6" s="463"/>
      <c r="E6" s="463"/>
      <c r="F6" s="463"/>
      <c r="G6" s="463"/>
      <c r="H6" s="463"/>
    </row>
    <row r="7" spans="1:8" x14ac:dyDescent="0.3">
      <c r="A7" s="455"/>
      <c r="B7" s="463" t="s">
        <v>76</v>
      </c>
      <c r="C7" s="455"/>
      <c r="D7" s="463"/>
      <c r="E7" s="463" t="s">
        <v>31</v>
      </c>
      <c r="F7" s="464">
        <f>Import!L52</f>
        <v>0</v>
      </c>
      <c r="G7" s="465"/>
      <c r="H7" s="464">
        <f>F7</f>
        <v>0</v>
      </c>
    </row>
    <row r="8" spans="1:8" ht="44.25" customHeight="1" x14ac:dyDescent="0.3">
      <c r="A8" s="455"/>
      <c r="B8" s="1417" t="s">
        <v>77</v>
      </c>
      <c r="C8" s="1417"/>
      <c r="D8" s="1417"/>
      <c r="E8" s="463" t="s">
        <v>31</v>
      </c>
      <c r="F8" s="466">
        <f>Import!L53</f>
        <v>0</v>
      </c>
      <c r="G8" s="467"/>
      <c r="H8" s="467"/>
    </row>
    <row r="9" spans="1:8" x14ac:dyDescent="0.3">
      <c r="A9" s="455"/>
      <c r="B9" s="455"/>
      <c r="C9" s="463" t="s">
        <v>181</v>
      </c>
      <c r="D9" s="455"/>
      <c r="E9" s="463" t="s">
        <v>31</v>
      </c>
      <c r="F9" s="468">
        <f>Import!L57</f>
        <v>0</v>
      </c>
      <c r="G9" s="467"/>
      <c r="H9" s="453">
        <f>F9</f>
        <v>0</v>
      </c>
    </row>
    <row r="10" spans="1:8" x14ac:dyDescent="0.3">
      <c r="A10" s="455"/>
      <c r="B10" s="455"/>
      <c r="C10" s="463" t="s">
        <v>78</v>
      </c>
      <c r="D10" s="455"/>
      <c r="E10" s="463" t="s">
        <v>31</v>
      </c>
      <c r="F10" s="453">
        <f>Import!L230</f>
        <v>0</v>
      </c>
      <c r="G10" s="467"/>
      <c r="H10" s="453">
        <f>F10</f>
        <v>0</v>
      </c>
    </row>
    <row r="11" spans="1:8" x14ac:dyDescent="0.3">
      <c r="A11" s="455"/>
      <c r="B11" s="455"/>
      <c r="C11" s="463" t="s">
        <v>79</v>
      </c>
      <c r="D11" s="455"/>
      <c r="E11" s="463" t="s">
        <v>31</v>
      </c>
      <c r="F11" s="469">
        <f>Import!L58</f>
        <v>0</v>
      </c>
      <c r="G11" s="470"/>
      <c r="H11" s="469">
        <f>F11</f>
        <v>0</v>
      </c>
    </row>
    <row r="12" spans="1:8" x14ac:dyDescent="0.3">
      <c r="A12" s="455"/>
      <c r="B12" s="21" t="s">
        <v>80</v>
      </c>
      <c r="C12" s="471" t="s">
        <v>81</v>
      </c>
      <c r="D12" s="472"/>
      <c r="E12" s="473" t="s">
        <v>31</v>
      </c>
      <c r="F12" s="474">
        <f>F7+F8-SUM(F9:F11)</f>
        <v>0</v>
      </c>
      <c r="G12" s="475"/>
      <c r="H12" s="474">
        <f>H7+H8-SUM(H9:H11)</f>
        <v>0</v>
      </c>
    </row>
    <row r="13" spans="1:8" x14ac:dyDescent="0.3">
      <c r="A13" s="455"/>
      <c r="B13" s="455"/>
      <c r="C13" s="463"/>
      <c r="D13" s="463"/>
      <c r="E13" s="463" t="s">
        <v>31</v>
      </c>
      <c r="F13" s="463"/>
      <c r="G13" s="463"/>
      <c r="H13" s="463"/>
    </row>
    <row r="14" spans="1:8" x14ac:dyDescent="0.3">
      <c r="A14" s="455"/>
      <c r="B14" s="463" t="s">
        <v>82</v>
      </c>
      <c r="C14" s="455"/>
      <c r="D14" s="463"/>
      <c r="E14" s="463" t="s">
        <v>31</v>
      </c>
      <c r="F14" s="476">
        <f>Import!L65</f>
        <v>0</v>
      </c>
      <c r="G14" s="463"/>
      <c r="H14" s="463"/>
    </row>
    <row r="15" spans="1:8" x14ac:dyDescent="0.3">
      <c r="A15" s="455"/>
      <c r="B15" s="463" t="s">
        <v>83</v>
      </c>
      <c r="C15" s="455"/>
      <c r="D15" s="463"/>
      <c r="E15" s="463" t="s">
        <v>31</v>
      </c>
      <c r="F15" s="477">
        <f>F14-F12</f>
        <v>0</v>
      </c>
      <c r="G15" s="463"/>
      <c r="H15" s="463"/>
    </row>
    <row r="16" spans="1:8" x14ac:dyDescent="0.3">
      <c r="A16" s="455"/>
      <c r="B16" s="478" t="s">
        <v>84</v>
      </c>
      <c r="C16" s="455"/>
      <c r="D16" s="463"/>
      <c r="E16" s="463"/>
      <c r="F16" s="463"/>
      <c r="G16" s="463"/>
      <c r="H16" s="463"/>
    </row>
    <row r="17" spans="2:8" x14ac:dyDescent="0.3">
      <c r="B17" s="479" t="s">
        <v>85</v>
      </c>
      <c r="C17" s="463" t="s">
        <v>86</v>
      </c>
      <c r="D17" s="455"/>
      <c r="E17" s="463" t="s">
        <v>31</v>
      </c>
      <c r="F17" s="480">
        <f>Import!L61</f>
        <v>0</v>
      </c>
      <c r="G17" s="463"/>
      <c r="H17" s="463"/>
    </row>
    <row r="18" spans="2:8" ht="15" thickBot="1" x14ac:dyDescent="0.35">
      <c r="B18" s="21" t="s">
        <v>80</v>
      </c>
      <c r="C18" s="471" t="s">
        <v>87</v>
      </c>
      <c r="D18" s="472"/>
      <c r="E18" s="473" t="s">
        <v>31</v>
      </c>
      <c r="F18" s="481">
        <f>(F15-SUM(F17:F17))</f>
        <v>0</v>
      </c>
      <c r="G18" s="463"/>
      <c r="H18" s="463"/>
    </row>
    <row r="19" spans="2:8" ht="15" thickTop="1" x14ac:dyDescent="0.3">
      <c r="B19" s="455"/>
      <c r="C19" s="463"/>
      <c r="D19" s="463"/>
      <c r="E19" s="463"/>
      <c r="F19" s="463"/>
      <c r="G19" s="463"/>
      <c r="H19" s="463"/>
    </row>
    <row r="20" spans="2:8" ht="15" thickBot="1" x14ac:dyDescent="0.35">
      <c r="B20" s="463" t="s">
        <v>88</v>
      </c>
      <c r="C20" s="455"/>
      <c r="D20" s="463"/>
      <c r="E20" s="463" t="s">
        <v>31</v>
      </c>
      <c r="F20" s="482">
        <f>Import!L60</f>
        <v>0</v>
      </c>
      <c r="G20" s="463"/>
      <c r="H20" s="463"/>
    </row>
    <row r="21" spans="2:8" ht="15.6" thickTop="1" thickBot="1" x14ac:dyDescent="0.35">
      <c r="B21" s="455"/>
      <c r="C21" s="483" t="str">
        <f>IF(F18&gt;F20, "Restricted-Stabilization by State Statute understated by ",IF(F20&gt;F18, "Restricted-Stabilization by State Statute overstated by ","Restricted-Stabilization by State Statutue Reportedly Correctly. "))</f>
        <v xml:space="preserve">Restricted-Stabilization by State Statutue Reportedly Correctly. </v>
      </c>
      <c r="D21" s="455"/>
      <c r="E21" s="463" t="s">
        <v>31</v>
      </c>
      <c r="F21" s="484">
        <f>ABS(F18-F20)</f>
        <v>0</v>
      </c>
      <c r="G21" s="463"/>
      <c r="H21" s="463"/>
    </row>
    <row r="22" spans="2:8" ht="50.25" customHeight="1" thickTop="1" x14ac:dyDescent="0.3">
      <c r="B22" s="455"/>
      <c r="C22" s="1418" t="str">
        <f>IF(F18&gt;F20,"Since Restricted-Stabilization by State Statute was understated, verfiy that the unit did not appropriate fund balance in excess of legal amount available in row 12 above.","")</f>
        <v/>
      </c>
      <c r="D22" s="1418"/>
      <c r="E22" s="1418"/>
      <c r="F22" s="1418"/>
      <c r="G22" s="463"/>
      <c r="H22" s="463"/>
    </row>
    <row r="23" spans="2:8" x14ac:dyDescent="0.3">
      <c r="B23" s="455"/>
      <c r="C23" s="1419" t="s">
        <v>89</v>
      </c>
      <c r="D23" s="463"/>
      <c r="E23" s="463"/>
      <c r="F23" s="463"/>
      <c r="G23" s="463"/>
      <c r="H23" s="485" t="s">
        <v>90</v>
      </c>
    </row>
    <row r="24" spans="2:8" x14ac:dyDescent="0.3">
      <c r="B24" s="455"/>
      <c r="C24" s="1419"/>
      <c r="D24" s="463"/>
      <c r="E24" s="463"/>
      <c r="F24" s="458" t="s">
        <v>91</v>
      </c>
      <c r="G24" s="463"/>
      <c r="H24" s="458" t="s">
        <v>99</v>
      </c>
    </row>
    <row r="25" spans="2:8" x14ac:dyDescent="0.3">
      <c r="B25" s="455"/>
      <c r="C25" s="462" t="s">
        <v>92</v>
      </c>
      <c r="D25" s="463"/>
      <c r="E25" s="463"/>
      <c r="F25" s="463"/>
      <c r="G25" s="463"/>
      <c r="H25" s="463"/>
    </row>
    <row r="26" spans="2:8" ht="25.2" customHeight="1" x14ac:dyDescent="0.3">
      <c r="B26" s="455"/>
      <c r="C26" s="463" t="s">
        <v>93</v>
      </c>
      <c r="D26" s="463"/>
      <c r="E26" s="463" t="s">
        <v>31</v>
      </c>
      <c r="F26" s="464">
        <f>Import!L72</f>
        <v>0</v>
      </c>
      <c r="G26" s="465"/>
      <c r="H26" s="486">
        <f>F26</f>
        <v>0</v>
      </c>
    </row>
    <row r="27" spans="2:8" x14ac:dyDescent="0.3">
      <c r="B27" s="455"/>
      <c r="C27" s="479" t="s">
        <v>94</v>
      </c>
      <c r="D27" s="463"/>
      <c r="E27" s="463"/>
      <c r="F27" s="463"/>
      <c r="G27" s="463"/>
      <c r="H27" s="463"/>
    </row>
    <row r="28" spans="2:8" x14ac:dyDescent="0.3">
      <c r="B28" s="455"/>
      <c r="C28" s="463" t="s">
        <v>95</v>
      </c>
      <c r="D28" s="455"/>
      <c r="E28" s="463" t="s">
        <v>31</v>
      </c>
      <c r="F28" s="487">
        <f>Import!L74</f>
        <v>0</v>
      </c>
      <c r="G28" s="467"/>
      <c r="H28" s="488">
        <f>F28</f>
        <v>0</v>
      </c>
    </row>
    <row r="29" spans="2:8" x14ac:dyDescent="0.3">
      <c r="B29" s="455"/>
      <c r="C29" s="463" t="s">
        <v>96</v>
      </c>
      <c r="D29" s="455"/>
      <c r="E29" s="463" t="s">
        <v>31</v>
      </c>
      <c r="F29" s="489">
        <f>Import!L75+Import!L76</f>
        <v>0</v>
      </c>
      <c r="G29" s="467"/>
      <c r="H29" s="490">
        <f>F29</f>
        <v>0</v>
      </c>
    </row>
    <row r="30" spans="2:8" ht="15" thickBot="1" x14ac:dyDescent="0.35">
      <c r="B30" s="455"/>
      <c r="C30" s="463" t="s">
        <v>97</v>
      </c>
      <c r="D30" s="463"/>
      <c r="E30" s="463" t="s">
        <v>31</v>
      </c>
      <c r="F30" s="491">
        <f>SUM(F26:F28)-F29</f>
        <v>0</v>
      </c>
      <c r="G30" s="465"/>
      <c r="H30" s="491">
        <f>SUM(H26:H28)-H29</f>
        <v>0</v>
      </c>
    </row>
    <row r="31" spans="2:8" ht="15" thickTop="1" x14ac:dyDescent="0.3">
      <c r="B31" s="455"/>
      <c r="C31" s="463"/>
      <c r="D31" s="463"/>
      <c r="E31" s="463"/>
      <c r="F31" s="463"/>
      <c r="G31" s="463"/>
      <c r="H31" s="463"/>
    </row>
    <row r="32" spans="2:8" ht="15" thickBot="1" x14ac:dyDescent="0.35">
      <c r="B32" s="21" t="s">
        <v>80</v>
      </c>
      <c r="C32" s="483" t="s">
        <v>98</v>
      </c>
      <c r="D32" s="21"/>
      <c r="E32" s="483" t="s">
        <v>31</v>
      </c>
      <c r="F32" s="492" t="e">
        <f>F12/F30</f>
        <v>#DIV/0!</v>
      </c>
      <c r="G32" s="463"/>
      <c r="H32" s="492" t="e">
        <f>H12/H30</f>
        <v>#DIV/0!</v>
      </c>
    </row>
    <row r="33" spans="1:8" ht="15" thickTop="1" x14ac:dyDescent="0.3">
      <c r="C33" s="463"/>
      <c r="D33" s="463"/>
      <c r="E33" s="463"/>
      <c r="F33" s="463"/>
      <c r="G33" s="463"/>
      <c r="H33" s="463"/>
    </row>
    <row r="34" spans="1:8" ht="15.6" x14ac:dyDescent="0.3">
      <c r="A34" s="23"/>
      <c r="C34" s="22"/>
    </row>
    <row r="36" spans="1:8" x14ac:dyDescent="0.3">
      <c r="F36" s="303"/>
    </row>
    <row r="37" spans="1:8" x14ac:dyDescent="0.3">
      <c r="F37" s="127"/>
    </row>
    <row r="38" spans="1:8" x14ac:dyDescent="0.3">
      <c r="F38" s="127"/>
    </row>
    <row r="39" spans="1:8" x14ac:dyDescent="0.3">
      <c r="F39" s="127"/>
    </row>
    <row r="40" spans="1:8" x14ac:dyDescent="0.3">
      <c r="F40" s="127"/>
    </row>
    <row r="41" spans="1:8" x14ac:dyDescent="0.3">
      <c r="F41" s="127"/>
    </row>
  </sheetData>
  <sheetProtection algorithmName="SHA-512" hashValue="uhfBl+lZAygvVgXMHQ2BmtW2G+cSdFryzwsr8mDm0R9N2tN20xM8R0A2xrbk2WbBBHPu0aJ8CDqkxYYTc95/AA==" saltValue="4BX0DA0NDQFR1osMfFRNtQ==" spinCount="100000" sheet="1" formatCells="0" formatColumns="0" formatRows="0"/>
  <mergeCells count="4">
    <mergeCell ref="B8:D8"/>
    <mergeCell ref="C22:F22"/>
    <mergeCell ref="C23:C24"/>
    <mergeCell ref="A2:E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4CC87-E13B-4F65-8BC5-C28CE910D5ED}">
  <sheetPr codeName="Sheet9"/>
  <dimension ref="A3:M27"/>
  <sheetViews>
    <sheetView workbookViewId="0">
      <pane xSplit="2" ySplit="4" topLeftCell="C5" activePane="bottomRight" state="frozen"/>
      <selection pane="topRight" activeCell="B1" sqref="B1"/>
      <selection pane="bottomLeft" activeCell="A5" sqref="A5"/>
      <selection pane="bottomRight" activeCell="B4" sqref="B4"/>
    </sheetView>
  </sheetViews>
  <sheetFormatPr defaultColWidth="9.109375" defaultRowHeight="14.4" x14ac:dyDescent="0.3"/>
  <cols>
    <col min="1" max="3" width="22.6640625" style="302" customWidth="1"/>
    <col min="4" max="4" width="18.6640625" style="716" customWidth="1"/>
    <col min="5" max="10" width="18.6640625" style="302" customWidth="1"/>
    <col min="11" max="16384" width="9.109375" style="302"/>
  </cols>
  <sheetData>
    <row r="3" spans="1:13" x14ac:dyDescent="0.3">
      <c r="D3" s="720">
        <v>2019</v>
      </c>
      <c r="E3" s="720">
        <v>2018</v>
      </c>
      <c r="F3" s="720">
        <v>2017</v>
      </c>
      <c r="G3" s="720">
        <v>2016</v>
      </c>
      <c r="H3" s="720">
        <v>2015</v>
      </c>
      <c r="I3" s="720">
        <v>2014</v>
      </c>
      <c r="J3" s="720">
        <v>2013</v>
      </c>
      <c r="K3" s="716"/>
      <c r="L3" s="716"/>
      <c r="M3" s="716"/>
    </row>
    <row r="4" spans="1:13" x14ac:dyDescent="0.3">
      <c r="A4" s="305" t="s">
        <v>781</v>
      </c>
      <c r="B4" s="305"/>
      <c r="C4" s="305" t="s">
        <v>782</v>
      </c>
      <c r="D4" s="719" t="s">
        <v>728</v>
      </c>
      <c r="E4" s="719" t="s">
        <v>728</v>
      </c>
      <c r="F4" s="719" t="s">
        <v>728</v>
      </c>
      <c r="G4" s="719" t="s">
        <v>728</v>
      </c>
      <c r="H4" s="719" t="s">
        <v>728</v>
      </c>
      <c r="I4" s="719" t="s">
        <v>728</v>
      </c>
      <c r="J4" s="719" t="s">
        <v>728</v>
      </c>
      <c r="K4" s="731"/>
    </row>
    <row r="5" spans="1:13" x14ac:dyDescent="0.3">
      <c r="A5" s="305">
        <v>5119</v>
      </c>
      <c r="B5" s="305" t="s">
        <v>758</v>
      </c>
      <c r="C5" s="305">
        <v>647</v>
      </c>
      <c r="D5" s="716">
        <v>20578691</v>
      </c>
      <c r="E5" s="716">
        <v>3249248</v>
      </c>
      <c r="F5" s="716">
        <v>2957570</v>
      </c>
      <c r="G5" s="716">
        <v>5709008</v>
      </c>
      <c r="H5" s="716">
        <v>5114434</v>
      </c>
      <c r="I5" s="716">
        <v>4562229</v>
      </c>
      <c r="J5" s="716">
        <v>4029652</v>
      </c>
    </row>
    <row r="6" spans="1:13" x14ac:dyDescent="0.3">
      <c r="A6" s="305">
        <v>5120</v>
      </c>
      <c r="B6" s="305" t="s">
        <v>759</v>
      </c>
      <c r="C6" s="305">
        <v>647</v>
      </c>
      <c r="D6" s="716">
        <v>0</v>
      </c>
      <c r="E6" s="716">
        <v>0</v>
      </c>
      <c r="F6" s="716">
        <v>0</v>
      </c>
      <c r="G6" s="716">
        <v>0</v>
      </c>
      <c r="H6" s="716">
        <v>0</v>
      </c>
      <c r="I6" s="716">
        <v>0</v>
      </c>
      <c r="J6" s="716">
        <v>0</v>
      </c>
    </row>
    <row r="7" spans="1:13" x14ac:dyDescent="0.3">
      <c r="A7" s="305">
        <v>5131</v>
      </c>
      <c r="B7" s="305" t="s">
        <v>760</v>
      </c>
      <c r="C7" s="305">
        <v>647</v>
      </c>
      <c r="D7" s="716">
        <v>37089245</v>
      </c>
      <c r="E7" s="716">
        <v>20299814</v>
      </c>
      <c r="F7" s="716">
        <v>8051571</v>
      </c>
      <c r="G7" s="716">
        <v>7371500</v>
      </c>
      <c r="H7" s="716">
        <v>5966665</v>
      </c>
      <c r="I7" s="716">
        <v>8207298</v>
      </c>
      <c r="J7" s="716">
        <v>7347048</v>
      </c>
    </row>
    <row r="8" spans="1:13" x14ac:dyDescent="0.3">
      <c r="A8" s="305">
        <v>5135</v>
      </c>
      <c r="B8" s="305" t="s">
        <v>761</v>
      </c>
      <c r="C8" s="305">
        <v>647</v>
      </c>
      <c r="D8" s="716">
        <v>0</v>
      </c>
      <c r="E8" s="716">
        <v>0</v>
      </c>
      <c r="F8" s="716">
        <v>4056482</v>
      </c>
      <c r="G8" s="716">
        <v>3922669</v>
      </c>
      <c r="H8" s="716">
        <v>3148233</v>
      </c>
      <c r="I8" s="716">
        <v>2755127</v>
      </c>
      <c r="J8" s="716">
        <v>2755127</v>
      </c>
    </row>
    <row r="9" spans="1:13" x14ac:dyDescent="0.3">
      <c r="A9" s="305">
        <v>5144</v>
      </c>
      <c r="B9" s="305" t="s">
        <v>762</v>
      </c>
      <c r="C9" s="305">
        <v>647</v>
      </c>
      <c r="D9" s="716">
        <v>7441890</v>
      </c>
      <c r="E9" s="716">
        <v>7441890</v>
      </c>
      <c r="F9" s="716">
        <v>4932241</v>
      </c>
      <c r="G9" s="716">
        <v>590997</v>
      </c>
      <c r="H9" s="716">
        <v>0</v>
      </c>
      <c r="I9" s="716">
        <v>3000000</v>
      </c>
      <c r="J9" s="716">
        <v>2390166</v>
      </c>
    </row>
    <row r="10" spans="1:13" x14ac:dyDescent="0.3">
      <c r="A10" s="305">
        <v>5155</v>
      </c>
      <c r="B10" s="305" t="s">
        <v>763</v>
      </c>
      <c r="C10" s="305">
        <v>647</v>
      </c>
      <c r="D10" s="716">
        <v>1008755</v>
      </c>
      <c r="E10" s="716">
        <v>781534</v>
      </c>
      <c r="F10" s="716">
        <v>663572</v>
      </c>
      <c r="G10" s="716">
        <v>6557774</v>
      </c>
      <c r="H10" s="716">
        <v>611355</v>
      </c>
      <c r="I10" s="716">
        <v>784361</v>
      </c>
      <c r="J10" s="716">
        <v>1022379</v>
      </c>
    </row>
    <row r="11" spans="1:13" x14ac:dyDescent="0.3">
      <c r="A11" s="305">
        <v>5158</v>
      </c>
      <c r="B11" s="305" t="s">
        <v>764</v>
      </c>
      <c r="C11" s="305">
        <v>647</v>
      </c>
      <c r="D11" s="716">
        <v>9</v>
      </c>
      <c r="E11" s="716">
        <v>9</v>
      </c>
      <c r="F11" s="716">
        <v>9</v>
      </c>
      <c r="G11" s="716">
        <v>9</v>
      </c>
      <c r="H11" s="716">
        <v>9</v>
      </c>
      <c r="I11" s="716">
        <v>9</v>
      </c>
      <c r="J11" s="716">
        <v>9</v>
      </c>
    </row>
    <row r="12" spans="1:13" x14ac:dyDescent="0.3">
      <c r="A12" s="305">
        <v>5159</v>
      </c>
      <c r="B12" s="305" t="s">
        <v>765</v>
      </c>
      <c r="C12" s="305">
        <v>647</v>
      </c>
      <c r="D12" s="716">
        <v>225639888</v>
      </c>
      <c r="E12" s="716">
        <v>219009306</v>
      </c>
      <c r="F12" s="716">
        <v>181812071</v>
      </c>
      <c r="G12" s="716">
        <v>193933610</v>
      </c>
      <c r="H12" s="716">
        <v>181583886</v>
      </c>
      <c r="I12" s="716">
        <v>0</v>
      </c>
      <c r="J12" s="716">
        <v>0</v>
      </c>
    </row>
    <row r="13" spans="1:13" x14ac:dyDescent="0.3">
      <c r="A13" s="305">
        <v>5164</v>
      </c>
      <c r="B13" s="305" t="s">
        <v>766</v>
      </c>
      <c r="C13" s="305">
        <v>647</v>
      </c>
      <c r="D13" s="716">
        <v>7132135</v>
      </c>
      <c r="E13" s="716">
        <v>5438631</v>
      </c>
      <c r="F13" s="716">
        <v>2427428</v>
      </c>
      <c r="G13" s="716">
        <v>157674</v>
      </c>
      <c r="H13" s="716">
        <v>0</v>
      </c>
      <c r="I13" s="716">
        <v>0</v>
      </c>
      <c r="J13" s="716">
        <v>0</v>
      </c>
    </row>
    <row r="14" spans="1:13" x14ac:dyDescent="0.3">
      <c r="A14" s="305">
        <v>5173</v>
      </c>
      <c r="B14" s="305" t="s">
        <v>767</v>
      </c>
      <c r="C14" s="305">
        <v>647</v>
      </c>
      <c r="D14" s="716">
        <v>422216</v>
      </c>
      <c r="E14" s="716">
        <v>2615544</v>
      </c>
      <c r="F14" s="716">
        <v>880554</v>
      </c>
      <c r="G14" s="716">
        <v>154942</v>
      </c>
      <c r="H14" s="716">
        <v>107456</v>
      </c>
      <c r="I14" s="716">
        <v>46240</v>
      </c>
      <c r="J14" s="716">
        <v>23390</v>
      </c>
    </row>
    <row r="15" spans="1:13" x14ac:dyDescent="0.3">
      <c r="A15" s="305">
        <v>5178</v>
      </c>
      <c r="B15" s="305" t="s">
        <v>768</v>
      </c>
      <c r="C15" s="305">
        <v>647</v>
      </c>
      <c r="D15" s="716">
        <v>75835</v>
      </c>
      <c r="E15" s="716">
        <v>66039</v>
      </c>
      <c r="F15" s="716">
        <v>57100</v>
      </c>
      <c r="G15" s="716">
        <v>52316</v>
      </c>
      <c r="H15" s="716">
        <v>23715</v>
      </c>
      <c r="I15" s="716">
        <v>899285</v>
      </c>
      <c r="J15" s="716">
        <v>1169608</v>
      </c>
    </row>
    <row r="16" spans="1:13" x14ac:dyDescent="0.3">
      <c r="A16" s="305">
        <v>5180</v>
      </c>
      <c r="B16" s="305" t="s">
        <v>769</v>
      </c>
      <c r="C16" s="305">
        <v>647</v>
      </c>
      <c r="D16" s="716">
        <v>4586780</v>
      </c>
      <c r="E16" s="716">
        <v>5165281</v>
      </c>
      <c r="F16" s="716">
        <v>4432068</v>
      </c>
      <c r="G16" s="716">
        <v>3558985</v>
      </c>
      <c r="H16" s="716">
        <v>2657915</v>
      </c>
      <c r="I16" s="716">
        <v>2071596</v>
      </c>
      <c r="J16" s="716">
        <v>1986034</v>
      </c>
    </row>
    <row r="17" spans="1:10" x14ac:dyDescent="0.3">
      <c r="A17" s="305">
        <v>5191</v>
      </c>
      <c r="B17" s="305" t="s">
        <v>770</v>
      </c>
      <c r="C17" s="305">
        <v>647</v>
      </c>
      <c r="D17" s="716">
        <v>111303046</v>
      </c>
      <c r="E17" s="716">
        <v>108974619</v>
      </c>
      <c r="F17" s="716">
        <v>120290900</v>
      </c>
      <c r="G17" s="716">
        <v>127448981</v>
      </c>
      <c r="H17" s="716">
        <v>153873846</v>
      </c>
      <c r="I17" s="716">
        <v>135252125</v>
      </c>
      <c r="J17" s="716">
        <v>169055200</v>
      </c>
    </row>
    <row r="18" spans="1:10" x14ac:dyDescent="0.3">
      <c r="A18" s="305">
        <v>50074</v>
      </c>
      <c r="B18" s="305" t="s">
        <v>771</v>
      </c>
      <c r="C18" s="305">
        <v>647</v>
      </c>
      <c r="D18" s="716">
        <v>7494829</v>
      </c>
      <c r="E18" s="716">
        <v>7189658</v>
      </c>
      <c r="F18" s="716">
        <v>7048523</v>
      </c>
      <c r="G18" s="716">
        <v>6615510</v>
      </c>
      <c r="H18" s="716">
        <v>5452410</v>
      </c>
      <c r="I18" s="716">
        <v>4803926</v>
      </c>
      <c r="J18" s="716">
        <v>5340180</v>
      </c>
    </row>
    <row r="19" spans="1:10" x14ac:dyDescent="0.3">
      <c r="A19" s="305">
        <v>50075</v>
      </c>
      <c r="B19" s="305" t="s">
        <v>772</v>
      </c>
      <c r="C19" s="305">
        <v>647</v>
      </c>
      <c r="D19" s="716">
        <v>266214000</v>
      </c>
      <c r="E19" s="716">
        <v>265541000</v>
      </c>
      <c r="F19" s="716">
        <v>274532000</v>
      </c>
      <c r="G19" s="716">
        <v>286138000</v>
      </c>
      <c r="H19" s="716">
        <v>295124000</v>
      </c>
      <c r="I19" s="716">
        <v>264645000</v>
      </c>
      <c r="J19" s="716">
        <v>231434000</v>
      </c>
    </row>
    <row r="20" spans="1:10" x14ac:dyDescent="0.3">
      <c r="A20" s="305">
        <v>50110</v>
      </c>
      <c r="B20" s="305" t="s">
        <v>773</v>
      </c>
      <c r="C20" s="305">
        <v>647</v>
      </c>
      <c r="D20" s="716">
        <v>46833536</v>
      </c>
      <c r="E20" s="716">
        <v>45660075</v>
      </c>
      <c r="F20" s="716">
        <v>8463820</v>
      </c>
      <c r="G20" s="716">
        <v>2663591</v>
      </c>
      <c r="H20" s="716">
        <v>2371109</v>
      </c>
      <c r="I20" s="716">
        <v>2878268</v>
      </c>
      <c r="J20" s="716">
        <v>4203755</v>
      </c>
    </row>
    <row r="21" spans="1:10" x14ac:dyDescent="0.3">
      <c r="A21" s="305">
        <v>50144</v>
      </c>
      <c r="B21" s="305" t="s">
        <v>774</v>
      </c>
      <c r="C21" s="305">
        <v>647</v>
      </c>
      <c r="D21" s="716">
        <v>4258932</v>
      </c>
      <c r="E21" s="716">
        <v>853434</v>
      </c>
      <c r="F21" s="716">
        <v>1622119</v>
      </c>
      <c r="G21" s="716">
        <v>1743258</v>
      </c>
      <c r="H21" s="716">
        <v>1740179</v>
      </c>
      <c r="I21" s="716">
        <v>1739958</v>
      </c>
      <c r="J21" s="716">
        <v>1739695</v>
      </c>
    </row>
    <row r="22" spans="1:10" x14ac:dyDescent="0.3">
      <c r="A22" s="305">
        <v>50159</v>
      </c>
      <c r="B22" s="305" t="s">
        <v>775</v>
      </c>
      <c r="C22" s="305">
        <v>647</v>
      </c>
      <c r="D22" s="716">
        <v>28636370</v>
      </c>
      <c r="E22" s="716">
        <v>23180822</v>
      </c>
      <c r="F22" s="716">
        <v>16487675</v>
      </c>
      <c r="G22" s="716">
        <v>10909425</v>
      </c>
      <c r="H22" s="716">
        <v>7878571</v>
      </c>
      <c r="I22" s="716">
        <v>5300679</v>
      </c>
      <c r="J22" s="716">
        <v>4801051</v>
      </c>
    </row>
    <row r="23" spans="1:10" x14ac:dyDescent="0.3">
      <c r="A23" s="305">
        <v>50160</v>
      </c>
      <c r="B23" s="305" t="s">
        <v>776</v>
      </c>
      <c r="C23" s="305">
        <v>647</v>
      </c>
      <c r="D23" s="716">
        <v>1134799</v>
      </c>
      <c r="E23" s="716">
        <v>894858</v>
      </c>
      <c r="F23" s="716">
        <v>1002425</v>
      </c>
      <c r="G23" s="716">
        <v>354061</v>
      </c>
      <c r="H23" s="716">
        <v>392698</v>
      </c>
      <c r="I23" s="716">
        <v>442800</v>
      </c>
      <c r="J23" s="716">
        <v>942821</v>
      </c>
    </row>
    <row r="24" spans="1:10" x14ac:dyDescent="0.3">
      <c r="A24" s="305">
        <v>50180</v>
      </c>
      <c r="B24" s="305" t="s">
        <v>777</v>
      </c>
      <c r="C24" s="305">
        <v>647</v>
      </c>
      <c r="D24" s="716">
        <v>13193040</v>
      </c>
      <c r="E24" s="716">
        <v>17058564</v>
      </c>
      <c r="F24" s="716">
        <v>16187505</v>
      </c>
      <c r="G24" s="716">
        <v>16428100</v>
      </c>
      <c r="H24" s="716">
        <v>16688416</v>
      </c>
      <c r="I24" s="716">
        <v>17840940</v>
      </c>
      <c r="J24" s="716">
        <v>18042019</v>
      </c>
    </row>
    <row r="25" spans="1:10" x14ac:dyDescent="0.3">
      <c r="A25" s="305">
        <v>50405</v>
      </c>
      <c r="B25" s="305" t="s">
        <v>778</v>
      </c>
      <c r="C25" s="305">
        <v>647</v>
      </c>
      <c r="D25" s="716">
        <v>302046</v>
      </c>
      <c r="E25" s="716">
        <v>1055143</v>
      </c>
      <c r="F25" s="716">
        <v>0</v>
      </c>
      <c r="G25" s="716">
        <v>0</v>
      </c>
      <c r="H25" s="716">
        <v>0</v>
      </c>
      <c r="I25" s="716">
        <v>0</v>
      </c>
      <c r="J25" s="716">
        <v>0</v>
      </c>
    </row>
    <row r="26" spans="1:10" x14ac:dyDescent="0.3">
      <c r="A26" s="305">
        <v>50425</v>
      </c>
      <c r="B26" s="305" t="s">
        <v>779</v>
      </c>
      <c r="C26" s="305">
        <v>647</v>
      </c>
      <c r="D26" s="716">
        <v>20836222</v>
      </c>
      <c r="E26" s="716">
        <v>16328642</v>
      </c>
      <c r="F26" s="716">
        <v>15202516</v>
      </c>
      <c r="G26" s="716">
        <v>12384500</v>
      </c>
      <c r="H26" s="716">
        <v>9788553</v>
      </c>
      <c r="I26" s="716">
        <v>7967199</v>
      </c>
      <c r="J26" s="716">
        <v>6398918</v>
      </c>
    </row>
    <row r="27" spans="1:10" x14ac:dyDescent="0.3">
      <c r="A27" s="305">
        <v>50431</v>
      </c>
      <c r="B27" s="305" t="s">
        <v>780</v>
      </c>
      <c r="C27" s="305">
        <v>647</v>
      </c>
      <c r="D27" s="716">
        <v>25542629</v>
      </c>
      <c r="E27" s="716">
        <v>24964077</v>
      </c>
      <c r="F27" s="716">
        <v>23618105</v>
      </c>
      <c r="G27" s="716">
        <v>22744716</v>
      </c>
      <c r="H27" s="716">
        <v>16714796</v>
      </c>
      <c r="I27" s="716">
        <v>13788676</v>
      </c>
      <c r="J27" s="716">
        <v>10895689</v>
      </c>
    </row>
  </sheetData>
  <sheetProtection algorithmName="SHA-512" hashValue="zOJPBrBVacUhgC9ekTj45SG0iQCVqB0xg4zl4NXbCuUm+YsFjQ4emom1W6XDJ2q3oZ95XoQFIfIcoGM1GhHieA==" saltValue="qzrC+Ng8WmGKQcPPNBdYiA==" spinCount="100000" sheet="1" objects="1" scenarios="1"/>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313B3-4389-4319-BFF6-0DABAB34D46A}">
  <sheetPr codeName="Sheet10"/>
  <dimension ref="A1:K160"/>
  <sheetViews>
    <sheetView workbookViewId="0">
      <selection activeCell="K20" sqref="K20"/>
    </sheetView>
  </sheetViews>
  <sheetFormatPr defaultColWidth="9.109375" defaultRowHeight="14.4" x14ac:dyDescent="0.3"/>
  <cols>
    <col min="1" max="1" width="9.109375" style="267"/>
    <col min="2" max="2" width="54.109375" style="267" customWidth="1"/>
    <col min="3" max="3" width="23.6640625" style="267" customWidth="1"/>
    <col min="4" max="4" width="19.6640625" style="267" customWidth="1"/>
    <col min="5" max="10" width="9.109375" style="267"/>
    <col min="11" max="11" width="54.109375" style="267" customWidth="1"/>
    <col min="12" max="16384" width="9.109375" style="267"/>
  </cols>
  <sheetData>
    <row r="1" spans="1:11" ht="43.2" x14ac:dyDescent="0.3">
      <c r="A1" s="267" t="s">
        <v>781</v>
      </c>
      <c r="B1" s="267" t="s">
        <v>923</v>
      </c>
      <c r="C1" s="277" t="s">
        <v>900</v>
      </c>
      <c r="D1" s="278" t="s">
        <v>1118</v>
      </c>
      <c r="E1" s="267" t="s">
        <v>1600</v>
      </c>
    </row>
    <row r="3" spans="1:11" ht="23.4" x14ac:dyDescent="0.45">
      <c r="A3" s="267">
        <v>50001</v>
      </c>
      <c r="B3" s="267" t="s">
        <v>924</v>
      </c>
      <c r="C3" s="267">
        <v>50</v>
      </c>
      <c r="D3" s="167" t="s">
        <v>51</v>
      </c>
      <c r="E3" s="310" t="s">
        <v>1260</v>
      </c>
    </row>
    <row r="4" spans="1:11" x14ac:dyDescent="0.3">
      <c r="A4" s="267">
        <v>50006</v>
      </c>
      <c r="B4" s="267" t="s">
        <v>925</v>
      </c>
      <c r="C4" s="267">
        <v>50</v>
      </c>
      <c r="D4" s="167" t="s">
        <v>51</v>
      </c>
    </row>
    <row r="5" spans="1:11" x14ac:dyDescent="0.3">
      <c r="A5" s="267">
        <v>50013</v>
      </c>
      <c r="B5" s="267" t="s">
        <v>927</v>
      </c>
      <c r="C5" s="267">
        <v>50</v>
      </c>
      <c r="D5" s="167" t="s">
        <v>51</v>
      </c>
    </row>
    <row r="6" spans="1:11" x14ac:dyDescent="0.3">
      <c r="A6" s="267">
        <v>50016</v>
      </c>
      <c r="B6" s="988" t="s">
        <v>1601</v>
      </c>
      <c r="C6" s="267">
        <v>50</v>
      </c>
      <c r="D6" s="167" t="s">
        <v>51</v>
      </c>
      <c r="K6" s="988"/>
    </row>
    <row r="7" spans="1:11" x14ac:dyDescent="0.3">
      <c r="A7" s="267">
        <v>50019</v>
      </c>
      <c r="B7" s="988" t="s">
        <v>1602</v>
      </c>
      <c r="C7" s="267">
        <v>50</v>
      </c>
      <c r="D7" s="167" t="s">
        <v>51</v>
      </c>
      <c r="K7" s="988"/>
    </row>
    <row r="8" spans="1:11" x14ac:dyDescent="0.3">
      <c r="A8" s="267">
        <v>50504</v>
      </c>
      <c r="B8" s="267" t="s">
        <v>928</v>
      </c>
      <c r="C8" s="267">
        <v>50</v>
      </c>
      <c r="D8" s="167" t="s">
        <v>51</v>
      </c>
    </row>
    <row r="9" spans="1:11" x14ac:dyDescent="0.3">
      <c r="A9" s="267">
        <v>50021</v>
      </c>
      <c r="B9" s="988" t="s">
        <v>1603</v>
      </c>
      <c r="C9" s="267">
        <v>50</v>
      </c>
      <c r="D9" s="167" t="s">
        <v>51</v>
      </c>
      <c r="K9" s="988"/>
    </row>
    <row r="10" spans="1:11" x14ac:dyDescent="0.3">
      <c r="A10" s="267">
        <v>50024</v>
      </c>
      <c r="B10" s="267" t="s">
        <v>929</v>
      </c>
      <c r="C10" s="267">
        <v>50</v>
      </c>
      <c r="D10" s="167" t="s">
        <v>51</v>
      </c>
    </row>
    <row r="11" spans="1:11" x14ac:dyDescent="0.3">
      <c r="A11" s="267">
        <v>50029</v>
      </c>
      <c r="B11" s="267" t="s">
        <v>930</v>
      </c>
      <c r="C11" s="267">
        <v>50</v>
      </c>
      <c r="D11" s="167" t="s">
        <v>51</v>
      </c>
    </row>
    <row r="12" spans="1:11" x14ac:dyDescent="0.3">
      <c r="A12" s="267">
        <v>50031</v>
      </c>
      <c r="B12" s="988" t="s">
        <v>1604</v>
      </c>
      <c r="C12" s="267">
        <v>50</v>
      </c>
      <c r="D12" s="167" t="s">
        <v>51</v>
      </c>
      <c r="K12" s="988"/>
    </row>
    <row r="13" spans="1:11" x14ac:dyDescent="0.3">
      <c r="A13" s="267">
        <v>50469</v>
      </c>
      <c r="B13" s="267" t="s">
        <v>931</v>
      </c>
      <c r="C13" s="267">
        <v>50</v>
      </c>
      <c r="D13" s="167" t="s">
        <v>51</v>
      </c>
    </row>
    <row r="14" spans="1:11" x14ac:dyDescent="0.3">
      <c r="A14" s="267">
        <v>50034</v>
      </c>
      <c r="B14" s="267" t="s">
        <v>933</v>
      </c>
      <c r="C14" s="267">
        <v>50</v>
      </c>
      <c r="D14" s="167" t="s">
        <v>51</v>
      </c>
    </row>
    <row r="15" spans="1:11" x14ac:dyDescent="0.3">
      <c r="A15" s="267">
        <v>50038</v>
      </c>
      <c r="B15" s="267" t="s">
        <v>934</v>
      </c>
      <c r="C15" s="267">
        <v>50</v>
      </c>
      <c r="D15" s="167" t="s">
        <v>51</v>
      </c>
    </row>
    <row r="16" spans="1:11" x14ac:dyDescent="0.3">
      <c r="A16" s="267">
        <v>50506</v>
      </c>
      <c r="B16" s="267" t="s">
        <v>935</v>
      </c>
      <c r="C16" s="267">
        <v>50</v>
      </c>
      <c r="D16" s="167" t="s">
        <v>51</v>
      </c>
    </row>
    <row r="17" spans="1:11" x14ac:dyDescent="0.3">
      <c r="A17" s="267">
        <v>50045</v>
      </c>
      <c r="B17" s="267" t="s">
        <v>936</v>
      </c>
      <c r="C17" s="267">
        <v>50</v>
      </c>
      <c r="D17" s="167" t="s">
        <v>51</v>
      </c>
    </row>
    <row r="18" spans="1:11" x14ac:dyDescent="0.3">
      <c r="A18" s="267">
        <v>50049</v>
      </c>
      <c r="B18" s="267" t="s">
        <v>937</v>
      </c>
      <c r="C18" s="267">
        <v>50</v>
      </c>
      <c r="D18" s="167" t="s">
        <v>51</v>
      </c>
    </row>
    <row r="19" spans="1:11" x14ac:dyDescent="0.3">
      <c r="A19" s="267">
        <v>50055</v>
      </c>
      <c r="B19" s="988" t="s">
        <v>1605</v>
      </c>
      <c r="C19" s="267">
        <v>50</v>
      </c>
      <c r="D19" s="167" t="s">
        <v>51</v>
      </c>
      <c r="K19" s="988"/>
    </row>
    <row r="20" spans="1:11" x14ac:dyDescent="0.3">
      <c r="A20" s="267">
        <v>50466</v>
      </c>
      <c r="B20" s="267" t="s">
        <v>1606</v>
      </c>
      <c r="C20" s="267">
        <v>50</v>
      </c>
      <c r="D20" s="167" t="s">
        <v>51</v>
      </c>
    </row>
    <row r="21" spans="1:11" x14ac:dyDescent="0.3">
      <c r="A21" s="267">
        <v>50069</v>
      </c>
      <c r="B21" s="267" t="s">
        <v>938</v>
      </c>
      <c r="C21" s="267">
        <v>50</v>
      </c>
      <c r="D21" s="167" t="s">
        <v>51</v>
      </c>
    </row>
    <row r="22" spans="1:11" x14ac:dyDescent="0.3">
      <c r="A22" s="267">
        <v>50467</v>
      </c>
      <c r="B22" s="267" t="s">
        <v>939</v>
      </c>
      <c r="C22" s="267">
        <v>50</v>
      </c>
      <c r="D22" s="167" t="s">
        <v>51</v>
      </c>
    </row>
    <row r="23" spans="1:11" x14ac:dyDescent="0.3">
      <c r="A23" s="267">
        <v>50510</v>
      </c>
      <c r="B23" s="267" t="s">
        <v>940</v>
      </c>
      <c r="C23" s="267">
        <v>50</v>
      </c>
      <c r="D23" s="167" t="s">
        <v>51</v>
      </c>
    </row>
    <row r="24" spans="1:11" x14ac:dyDescent="0.3">
      <c r="A24" s="267">
        <v>50078</v>
      </c>
      <c r="B24" s="267" t="s">
        <v>1607</v>
      </c>
      <c r="C24" s="267">
        <v>50</v>
      </c>
      <c r="D24" s="167" t="s">
        <v>51</v>
      </c>
    </row>
    <row r="25" spans="1:11" x14ac:dyDescent="0.3">
      <c r="A25" s="267">
        <v>50080</v>
      </c>
      <c r="B25" s="267" t="s">
        <v>1608</v>
      </c>
      <c r="C25" s="267">
        <v>50</v>
      </c>
      <c r="D25" s="167" t="s">
        <v>51</v>
      </c>
    </row>
    <row r="26" spans="1:11" x14ac:dyDescent="0.3">
      <c r="A26" s="267">
        <v>50468</v>
      </c>
      <c r="B26" s="988" t="s">
        <v>1609</v>
      </c>
      <c r="C26" s="267">
        <v>50</v>
      </c>
      <c r="D26" s="167" t="s">
        <v>51</v>
      </c>
      <c r="K26" s="988"/>
    </row>
    <row r="27" spans="1:11" x14ac:dyDescent="0.3">
      <c r="A27" s="267">
        <v>50086</v>
      </c>
      <c r="B27" s="267" t="s">
        <v>942</v>
      </c>
      <c r="C27" s="267">
        <v>50</v>
      </c>
      <c r="D27" s="167" t="s">
        <v>51</v>
      </c>
    </row>
    <row r="28" spans="1:11" x14ac:dyDescent="0.3">
      <c r="A28" s="267">
        <v>50087</v>
      </c>
      <c r="B28" s="267" t="s">
        <v>943</v>
      </c>
      <c r="C28" s="267">
        <v>50</v>
      </c>
      <c r="D28" s="167" t="s">
        <v>51</v>
      </c>
    </row>
    <row r="29" spans="1:11" x14ac:dyDescent="0.3">
      <c r="A29" s="267">
        <v>50091</v>
      </c>
      <c r="B29" s="988" t="s">
        <v>1610</v>
      </c>
      <c r="C29" s="267">
        <v>50</v>
      </c>
      <c r="D29" s="167" t="s">
        <v>51</v>
      </c>
      <c r="K29" s="988"/>
    </row>
    <row r="30" spans="1:11" x14ac:dyDescent="0.3">
      <c r="A30" s="267">
        <v>50098</v>
      </c>
      <c r="B30" s="267" t="s">
        <v>1611</v>
      </c>
      <c r="C30" s="267">
        <v>50</v>
      </c>
      <c r="D30" s="167" t="s">
        <v>51</v>
      </c>
    </row>
    <row r="31" spans="1:11" x14ac:dyDescent="0.3">
      <c r="A31" s="267">
        <v>50100</v>
      </c>
      <c r="B31" s="267" t="s">
        <v>1612</v>
      </c>
      <c r="C31" s="267">
        <v>50</v>
      </c>
      <c r="D31" s="167" t="s">
        <v>51</v>
      </c>
    </row>
    <row r="32" spans="1:11" x14ac:dyDescent="0.3">
      <c r="A32" s="267">
        <v>50513</v>
      </c>
      <c r="B32" s="267" t="s">
        <v>944</v>
      </c>
      <c r="C32" s="267">
        <v>50</v>
      </c>
      <c r="D32" s="167" t="s">
        <v>51</v>
      </c>
    </row>
    <row r="33" spans="1:11" x14ac:dyDescent="0.3">
      <c r="A33" s="267">
        <v>50106</v>
      </c>
      <c r="B33" s="267" t="s">
        <v>945</v>
      </c>
      <c r="C33" s="267">
        <v>50</v>
      </c>
      <c r="D33" s="167" t="s">
        <v>51</v>
      </c>
    </row>
    <row r="34" spans="1:11" x14ac:dyDescent="0.3">
      <c r="A34" s="267">
        <v>50472</v>
      </c>
      <c r="B34" s="267" t="s">
        <v>946</v>
      </c>
      <c r="C34" s="267">
        <v>50</v>
      </c>
      <c r="D34" s="167" t="s">
        <v>51</v>
      </c>
    </row>
    <row r="35" spans="1:11" x14ac:dyDescent="0.3">
      <c r="A35" s="267">
        <v>50112</v>
      </c>
      <c r="B35" s="267" t="s">
        <v>947</v>
      </c>
      <c r="C35" s="267">
        <v>50</v>
      </c>
      <c r="D35" s="167" t="s">
        <v>51</v>
      </c>
    </row>
    <row r="36" spans="1:11" x14ac:dyDescent="0.3">
      <c r="A36" s="267">
        <v>50113</v>
      </c>
      <c r="B36" s="267" t="s">
        <v>948</v>
      </c>
      <c r="C36" s="267">
        <v>50</v>
      </c>
      <c r="D36" s="167" t="s">
        <v>51</v>
      </c>
    </row>
    <row r="37" spans="1:11" x14ac:dyDescent="0.3">
      <c r="A37" s="267">
        <v>50116</v>
      </c>
      <c r="B37" s="988" t="s">
        <v>1613</v>
      </c>
      <c r="C37" s="267">
        <v>50</v>
      </c>
      <c r="D37" s="167" t="s">
        <v>51</v>
      </c>
      <c r="K37" s="988"/>
    </row>
    <row r="38" spans="1:11" x14ac:dyDescent="0.3">
      <c r="A38" s="267">
        <v>50121</v>
      </c>
      <c r="B38" s="267" t="s">
        <v>950</v>
      </c>
      <c r="C38" s="267">
        <v>50</v>
      </c>
      <c r="D38" s="167" t="s">
        <v>51</v>
      </c>
    </row>
    <row r="39" spans="1:11" x14ac:dyDescent="0.3">
      <c r="A39" s="267">
        <v>50122</v>
      </c>
      <c r="B39" s="267" t="s">
        <v>951</v>
      </c>
      <c r="C39" s="267">
        <v>50</v>
      </c>
      <c r="D39" s="167" t="s">
        <v>51</v>
      </c>
    </row>
    <row r="40" spans="1:11" x14ac:dyDescent="0.3">
      <c r="A40" s="267">
        <v>50125</v>
      </c>
      <c r="B40" s="267" t="s">
        <v>952</v>
      </c>
      <c r="C40" s="267">
        <v>50</v>
      </c>
      <c r="D40" s="167" t="s">
        <v>51</v>
      </c>
    </row>
    <row r="41" spans="1:11" x14ac:dyDescent="0.3">
      <c r="A41" s="267">
        <v>50126</v>
      </c>
      <c r="B41" s="988" t="s">
        <v>1614</v>
      </c>
      <c r="C41" s="267">
        <v>50</v>
      </c>
      <c r="D41" s="167" t="s">
        <v>51</v>
      </c>
      <c r="K41" s="988"/>
    </row>
    <row r="42" spans="1:11" x14ac:dyDescent="0.3">
      <c r="A42" s="267">
        <v>50127</v>
      </c>
      <c r="B42" s="267" t="s">
        <v>1615</v>
      </c>
      <c r="C42" s="267">
        <v>50</v>
      </c>
      <c r="D42" s="167" t="s">
        <v>51</v>
      </c>
    </row>
    <row r="43" spans="1:11" x14ac:dyDescent="0.3">
      <c r="A43" s="267">
        <v>50128</v>
      </c>
      <c r="B43" s="267" t="s">
        <v>954</v>
      </c>
      <c r="C43" s="267">
        <v>50</v>
      </c>
      <c r="D43" s="167" t="s">
        <v>51</v>
      </c>
    </row>
    <row r="44" spans="1:11" x14ac:dyDescent="0.3">
      <c r="A44" s="267">
        <v>50129</v>
      </c>
      <c r="B44" s="267" t="s">
        <v>955</v>
      </c>
      <c r="C44" s="267">
        <v>50</v>
      </c>
      <c r="D44" s="167" t="s">
        <v>51</v>
      </c>
    </row>
    <row r="45" spans="1:11" x14ac:dyDescent="0.3">
      <c r="A45" s="267">
        <v>50130</v>
      </c>
      <c r="B45" s="267" t="s">
        <v>956</v>
      </c>
      <c r="C45" s="267">
        <v>50</v>
      </c>
      <c r="D45" s="167" t="s">
        <v>51</v>
      </c>
    </row>
    <row r="46" spans="1:11" x14ac:dyDescent="0.3">
      <c r="A46" s="267">
        <v>50570</v>
      </c>
      <c r="B46" s="267" t="s">
        <v>957</v>
      </c>
      <c r="C46" s="267">
        <v>50</v>
      </c>
      <c r="D46" s="167" t="s">
        <v>51</v>
      </c>
    </row>
    <row r="47" spans="1:11" x14ac:dyDescent="0.3">
      <c r="A47" s="267">
        <v>50139</v>
      </c>
      <c r="B47" s="267" t="s">
        <v>959</v>
      </c>
      <c r="C47" s="267">
        <v>50</v>
      </c>
      <c r="D47" s="167" t="s">
        <v>51</v>
      </c>
    </row>
    <row r="48" spans="1:11" x14ac:dyDescent="0.3">
      <c r="A48" s="267">
        <v>50142</v>
      </c>
      <c r="B48" s="267" t="s">
        <v>960</v>
      </c>
      <c r="C48" s="267">
        <v>50</v>
      </c>
      <c r="D48" s="167" t="s">
        <v>51</v>
      </c>
    </row>
    <row r="49" spans="1:11" x14ac:dyDescent="0.3">
      <c r="A49" s="267">
        <v>50143</v>
      </c>
      <c r="B49" s="267" t="s">
        <v>961</v>
      </c>
      <c r="C49" s="267">
        <v>50</v>
      </c>
      <c r="D49" s="167" t="s">
        <v>51</v>
      </c>
    </row>
    <row r="50" spans="1:11" x14ac:dyDescent="0.3">
      <c r="A50" s="267">
        <v>50148</v>
      </c>
      <c r="B50" s="267" t="s">
        <v>761</v>
      </c>
      <c r="C50" s="267">
        <v>50</v>
      </c>
      <c r="D50" s="167" t="s">
        <v>51</v>
      </c>
    </row>
    <row r="51" spans="1:11" x14ac:dyDescent="0.3">
      <c r="A51" s="267">
        <v>50151</v>
      </c>
      <c r="B51" s="267" t="s">
        <v>1616</v>
      </c>
      <c r="C51" s="267">
        <v>50</v>
      </c>
      <c r="D51" s="167" t="s">
        <v>51</v>
      </c>
    </row>
    <row r="52" spans="1:11" x14ac:dyDescent="0.3">
      <c r="A52" s="267">
        <v>50153</v>
      </c>
      <c r="B52" s="267" t="s">
        <v>962</v>
      </c>
      <c r="C52" s="267">
        <v>50</v>
      </c>
      <c r="D52" s="167" t="s">
        <v>51</v>
      </c>
    </row>
    <row r="53" spans="1:11" x14ac:dyDescent="0.3">
      <c r="A53" s="267">
        <v>50154</v>
      </c>
      <c r="B53" s="267" t="s">
        <v>963</v>
      </c>
      <c r="C53" s="267">
        <v>50</v>
      </c>
      <c r="D53" s="167" t="s">
        <v>51</v>
      </c>
    </row>
    <row r="54" spans="1:11" x14ac:dyDescent="0.3">
      <c r="A54" s="267">
        <v>50517</v>
      </c>
      <c r="B54" s="988" t="s">
        <v>1617</v>
      </c>
      <c r="C54" s="267">
        <v>50</v>
      </c>
      <c r="D54" s="167" t="s">
        <v>51</v>
      </c>
      <c r="K54" s="988"/>
    </row>
    <row r="55" spans="1:11" x14ac:dyDescent="0.3">
      <c r="A55" s="267">
        <v>50448</v>
      </c>
      <c r="B55" s="267" t="s">
        <v>964</v>
      </c>
      <c r="C55" s="267">
        <v>50</v>
      </c>
      <c r="D55" s="167" t="s">
        <v>51</v>
      </c>
    </row>
    <row r="56" spans="1:11" x14ac:dyDescent="0.3">
      <c r="A56" s="267">
        <v>50163</v>
      </c>
      <c r="B56" s="267" t="s">
        <v>965</v>
      </c>
      <c r="C56" s="267">
        <v>50</v>
      </c>
      <c r="D56" s="167" t="s">
        <v>51</v>
      </c>
    </row>
    <row r="57" spans="1:11" x14ac:dyDescent="0.3">
      <c r="A57" s="267">
        <v>50165</v>
      </c>
      <c r="B57" s="267" t="s">
        <v>966</v>
      </c>
      <c r="C57" s="267">
        <v>50</v>
      </c>
      <c r="D57" s="167" t="s">
        <v>51</v>
      </c>
    </row>
    <row r="58" spans="1:11" x14ac:dyDescent="0.3">
      <c r="A58" s="267">
        <v>50166</v>
      </c>
      <c r="B58" s="267" t="s">
        <v>967</v>
      </c>
      <c r="C58" s="267">
        <v>50</v>
      </c>
      <c r="D58" s="167" t="s">
        <v>51</v>
      </c>
    </row>
    <row r="59" spans="1:11" x14ac:dyDescent="0.3">
      <c r="A59" s="267">
        <v>50167</v>
      </c>
      <c r="B59" s="267" t="s">
        <v>968</v>
      </c>
      <c r="C59" s="267">
        <v>50</v>
      </c>
      <c r="D59" s="167" t="s">
        <v>51</v>
      </c>
    </row>
    <row r="60" spans="1:11" x14ac:dyDescent="0.3">
      <c r="A60" s="267">
        <v>50171</v>
      </c>
      <c r="B60" s="988" t="s">
        <v>1618</v>
      </c>
      <c r="C60" s="267">
        <v>50</v>
      </c>
      <c r="D60" s="167" t="s">
        <v>51</v>
      </c>
      <c r="K60" s="988"/>
    </row>
    <row r="61" spans="1:11" x14ac:dyDescent="0.3">
      <c r="A61" s="267">
        <v>50440</v>
      </c>
      <c r="B61" s="267" t="s">
        <v>1619</v>
      </c>
      <c r="C61" s="267">
        <v>50</v>
      </c>
      <c r="D61" s="167" t="s">
        <v>51</v>
      </c>
    </row>
    <row r="62" spans="1:11" x14ac:dyDescent="0.3">
      <c r="A62" s="267">
        <v>50175</v>
      </c>
      <c r="B62" s="988" t="s">
        <v>762</v>
      </c>
      <c r="C62" s="267">
        <v>50</v>
      </c>
      <c r="D62" s="167" t="s">
        <v>51</v>
      </c>
      <c r="K62" s="988"/>
    </row>
    <row r="63" spans="1:11" x14ac:dyDescent="0.3">
      <c r="A63" s="267">
        <v>50177</v>
      </c>
      <c r="B63" s="988" t="s">
        <v>1620</v>
      </c>
      <c r="C63" s="267">
        <v>50</v>
      </c>
      <c r="D63" s="167" t="s">
        <v>51</v>
      </c>
      <c r="K63" s="988"/>
    </row>
    <row r="64" spans="1:11" x14ac:dyDescent="0.3">
      <c r="A64" s="267">
        <v>50183</v>
      </c>
      <c r="B64" s="267" t="s">
        <v>969</v>
      </c>
      <c r="C64" s="267">
        <v>50</v>
      </c>
      <c r="D64" s="167" t="s">
        <v>51</v>
      </c>
    </row>
    <row r="65" spans="1:11" x14ac:dyDescent="0.3">
      <c r="A65" s="267">
        <v>50184</v>
      </c>
      <c r="B65" s="267" t="s">
        <v>970</v>
      </c>
      <c r="C65" s="267">
        <v>50</v>
      </c>
      <c r="D65" s="167" t="s">
        <v>51</v>
      </c>
    </row>
    <row r="66" spans="1:11" x14ac:dyDescent="0.3">
      <c r="A66" s="267">
        <v>50186</v>
      </c>
      <c r="B66" s="267" t="s">
        <v>971</v>
      </c>
      <c r="C66" s="267">
        <v>50</v>
      </c>
      <c r="D66" s="167" t="s">
        <v>51</v>
      </c>
    </row>
    <row r="67" spans="1:11" x14ac:dyDescent="0.3">
      <c r="A67" s="267">
        <v>50476</v>
      </c>
      <c r="B67" s="267" t="s">
        <v>836</v>
      </c>
      <c r="C67" s="267">
        <v>50</v>
      </c>
      <c r="D67" s="167" t="s">
        <v>51</v>
      </c>
    </row>
    <row r="68" spans="1:11" x14ac:dyDescent="0.3">
      <c r="A68" s="267">
        <v>50192</v>
      </c>
      <c r="B68" s="267" t="s">
        <v>837</v>
      </c>
      <c r="C68" s="267">
        <v>50</v>
      </c>
      <c r="D68" s="167" t="s">
        <v>51</v>
      </c>
    </row>
    <row r="69" spans="1:11" x14ac:dyDescent="0.3">
      <c r="A69" s="267">
        <v>50518</v>
      </c>
      <c r="B69" s="267" t="s">
        <v>838</v>
      </c>
      <c r="C69" s="267">
        <v>50</v>
      </c>
      <c r="D69" s="167" t="s">
        <v>51</v>
      </c>
    </row>
    <row r="70" spans="1:11" x14ac:dyDescent="0.3">
      <c r="A70" s="267">
        <v>50231</v>
      </c>
      <c r="B70" s="267" t="s">
        <v>839</v>
      </c>
      <c r="C70" s="267">
        <v>50</v>
      </c>
      <c r="D70" s="167" t="s">
        <v>51</v>
      </c>
    </row>
    <row r="71" spans="1:11" x14ac:dyDescent="0.3">
      <c r="A71" s="267">
        <v>50235</v>
      </c>
      <c r="B71" s="267" t="s">
        <v>841</v>
      </c>
      <c r="C71" s="267">
        <v>50</v>
      </c>
      <c r="D71" s="167" t="s">
        <v>51</v>
      </c>
    </row>
    <row r="72" spans="1:11" x14ac:dyDescent="0.3">
      <c r="A72" s="267">
        <v>50233</v>
      </c>
      <c r="B72" s="267" t="s">
        <v>840</v>
      </c>
      <c r="C72" s="267">
        <v>50</v>
      </c>
      <c r="D72" s="167" t="s">
        <v>51</v>
      </c>
    </row>
    <row r="73" spans="1:11" x14ac:dyDescent="0.3">
      <c r="A73" s="267">
        <v>50236</v>
      </c>
      <c r="B73" s="267" t="s">
        <v>842</v>
      </c>
      <c r="C73" s="267">
        <v>50</v>
      </c>
      <c r="D73" s="167" t="s">
        <v>51</v>
      </c>
    </row>
    <row r="74" spans="1:11" x14ac:dyDescent="0.3">
      <c r="A74" s="267">
        <v>50239</v>
      </c>
      <c r="B74" s="267" t="s">
        <v>843</v>
      </c>
      <c r="C74" s="267">
        <v>50</v>
      </c>
      <c r="D74" s="167" t="s">
        <v>51</v>
      </c>
    </row>
    <row r="75" spans="1:11" x14ac:dyDescent="0.3">
      <c r="A75" s="267">
        <v>50249</v>
      </c>
      <c r="B75" s="267" t="s">
        <v>844</v>
      </c>
      <c r="C75" s="267">
        <v>50</v>
      </c>
      <c r="D75" s="167" t="s">
        <v>51</v>
      </c>
    </row>
    <row r="76" spans="1:11" x14ac:dyDescent="0.3">
      <c r="A76" s="267">
        <v>50254</v>
      </c>
      <c r="B76" s="267" t="s">
        <v>1621</v>
      </c>
      <c r="C76" s="267">
        <v>50</v>
      </c>
      <c r="D76" s="167" t="s">
        <v>51</v>
      </c>
    </row>
    <row r="77" spans="1:11" x14ac:dyDescent="0.3">
      <c r="A77" s="267">
        <v>50255</v>
      </c>
      <c r="B77" s="988" t="s">
        <v>1622</v>
      </c>
      <c r="C77" s="267">
        <v>50</v>
      </c>
      <c r="D77" s="167" t="s">
        <v>51</v>
      </c>
      <c r="K77" s="988"/>
    </row>
    <row r="78" spans="1:11" x14ac:dyDescent="0.3">
      <c r="A78" s="267">
        <v>50257</v>
      </c>
      <c r="B78" s="267" t="s">
        <v>974</v>
      </c>
      <c r="C78" s="267">
        <v>50</v>
      </c>
      <c r="D78" s="167" t="s">
        <v>51</v>
      </c>
    </row>
    <row r="79" spans="1:11" x14ac:dyDescent="0.3">
      <c r="A79" s="267">
        <v>50452</v>
      </c>
      <c r="B79" s="988" t="s">
        <v>1623</v>
      </c>
      <c r="C79" s="267">
        <v>50</v>
      </c>
      <c r="D79" s="167" t="s">
        <v>51</v>
      </c>
      <c r="K79" s="988"/>
    </row>
    <row r="80" spans="1:11" x14ac:dyDescent="0.3">
      <c r="A80" s="267">
        <v>50260</v>
      </c>
      <c r="B80" s="267" t="s">
        <v>975</v>
      </c>
      <c r="C80" s="267">
        <v>50</v>
      </c>
      <c r="D80" s="167" t="s">
        <v>51</v>
      </c>
    </row>
    <row r="81" spans="1:11" x14ac:dyDescent="0.3">
      <c r="A81" s="267">
        <v>50268</v>
      </c>
      <c r="B81" s="988" t="s">
        <v>1624</v>
      </c>
      <c r="C81" s="267">
        <v>50</v>
      </c>
      <c r="D81" s="167" t="s">
        <v>51</v>
      </c>
      <c r="K81" s="988"/>
    </row>
    <row r="82" spans="1:11" x14ac:dyDescent="0.3">
      <c r="A82" s="267">
        <v>50269</v>
      </c>
      <c r="B82" s="267" t="s">
        <v>976</v>
      </c>
      <c r="C82" s="267">
        <v>50</v>
      </c>
      <c r="D82" s="167" t="s">
        <v>51</v>
      </c>
    </row>
    <row r="83" spans="1:11" x14ac:dyDescent="0.3">
      <c r="A83" s="267">
        <v>50480</v>
      </c>
      <c r="B83" s="267" t="s">
        <v>977</v>
      </c>
      <c r="C83" s="267">
        <v>50</v>
      </c>
      <c r="D83" s="167" t="s">
        <v>51</v>
      </c>
    </row>
    <row r="84" spans="1:11" x14ac:dyDescent="0.3">
      <c r="A84" s="267">
        <v>50278</v>
      </c>
      <c r="B84" s="267" t="s">
        <v>978</v>
      </c>
      <c r="C84" s="267">
        <v>50</v>
      </c>
      <c r="D84" s="167" t="s">
        <v>51</v>
      </c>
    </row>
    <row r="85" spans="1:11" x14ac:dyDescent="0.3">
      <c r="A85" s="267">
        <v>50280</v>
      </c>
      <c r="B85" s="267" t="s">
        <v>979</v>
      </c>
      <c r="C85" s="267">
        <v>50</v>
      </c>
      <c r="D85" s="167" t="s">
        <v>51</v>
      </c>
    </row>
    <row r="86" spans="1:11" x14ac:dyDescent="0.3">
      <c r="A86" s="267">
        <v>50281</v>
      </c>
      <c r="B86" s="267" t="s">
        <v>980</v>
      </c>
      <c r="C86" s="267">
        <v>50</v>
      </c>
      <c r="D86" s="167" t="s">
        <v>51</v>
      </c>
    </row>
    <row r="87" spans="1:11" x14ac:dyDescent="0.3">
      <c r="A87" s="267">
        <v>50478</v>
      </c>
      <c r="B87" s="267" t="s">
        <v>981</v>
      </c>
      <c r="C87" s="267">
        <v>50</v>
      </c>
      <c r="D87" s="167" t="s">
        <v>51</v>
      </c>
    </row>
    <row r="88" spans="1:11" x14ac:dyDescent="0.3">
      <c r="A88" s="267">
        <v>50283</v>
      </c>
      <c r="B88" s="267" t="s">
        <v>983</v>
      </c>
      <c r="C88" s="267">
        <v>50</v>
      </c>
      <c r="D88" s="167" t="s">
        <v>51</v>
      </c>
    </row>
    <row r="89" spans="1:11" x14ac:dyDescent="0.3">
      <c r="A89" s="267">
        <v>50285</v>
      </c>
      <c r="B89" s="267" t="s">
        <v>984</v>
      </c>
      <c r="C89" s="267">
        <v>50</v>
      </c>
      <c r="D89" s="167" t="s">
        <v>51</v>
      </c>
    </row>
    <row r="90" spans="1:11" x14ac:dyDescent="0.3">
      <c r="A90" s="267">
        <v>50296</v>
      </c>
      <c r="B90" s="267" t="s">
        <v>987</v>
      </c>
      <c r="C90" s="267">
        <v>50</v>
      </c>
      <c r="D90" s="167" t="s">
        <v>51</v>
      </c>
    </row>
    <row r="91" spans="1:11" x14ac:dyDescent="0.3">
      <c r="A91" s="267">
        <v>50297</v>
      </c>
      <c r="B91" s="267" t="s">
        <v>988</v>
      </c>
      <c r="C91" s="267">
        <v>50</v>
      </c>
      <c r="D91" s="167" t="s">
        <v>51</v>
      </c>
    </row>
    <row r="92" spans="1:11" x14ac:dyDescent="0.3">
      <c r="A92" s="267">
        <v>50305</v>
      </c>
      <c r="B92" s="988" t="s">
        <v>1625</v>
      </c>
      <c r="C92" s="267">
        <v>50</v>
      </c>
      <c r="D92" s="167" t="s">
        <v>51</v>
      </c>
      <c r="K92" s="988"/>
    </row>
    <row r="93" spans="1:11" x14ac:dyDescent="0.3">
      <c r="A93" s="267">
        <v>50479</v>
      </c>
      <c r="B93" s="267" t="s">
        <v>989</v>
      </c>
      <c r="C93" s="267">
        <v>50</v>
      </c>
      <c r="D93" s="167" t="s">
        <v>51</v>
      </c>
    </row>
    <row r="94" spans="1:11" x14ac:dyDescent="0.3">
      <c r="A94" s="267">
        <v>50307</v>
      </c>
      <c r="B94" s="267" t="s">
        <v>990</v>
      </c>
      <c r="C94" s="267">
        <v>50</v>
      </c>
      <c r="D94" s="167" t="s">
        <v>51</v>
      </c>
    </row>
    <row r="95" spans="1:11" x14ac:dyDescent="0.3">
      <c r="A95" s="267">
        <v>50310</v>
      </c>
      <c r="B95" s="267" t="s">
        <v>991</v>
      </c>
      <c r="C95" s="267">
        <v>50</v>
      </c>
      <c r="D95" s="167" t="s">
        <v>51</v>
      </c>
    </row>
    <row r="96" spans="1:11" x14ac:dyDescent="0.3">
      <c r="A96" s="267">
        <v>50311</v>
      </c>
      <c r="B96" s="267" t="s">
        <v>992</v>
      </c>
      <c r="C96" s="267">
        <v>50</v>
      </c>
      <c r="D96" s="167" t="s">
        <v>51</v>
      </c>
    </row>
    <row r="97" spans="1:11" x14ac:dyDescent="0.3">
      <c r="A97" s="267">
        <v>50314</v>
      </c>
      <c r="B97" s="267" t="s">
        <v>993</v>
      </c>
      <c r="C97" s="267">
        <v>50</v>
      </c>
      <c r="D97" s="167" t="s">
        <v>51</v>
      </c>
    </row>
    <row r="98" spans="1:11" x14ac:dyDescent="0.3">
      <c r="A98" s="267">
        <v>50316</v>
      </c>
      <c r="B98" s="267" t="s">
        <v>994</v>
      </c>
      <c r="C98" s="267">
        <v>50</v>
      </c>
      <c r="D98" s="167" t="s">
        <v>51</v>
      </c>
    </row>
    <row r="99" spans="1:11" x14ac:dyDescent="0.3">
      <c r="A99" s="267">
        <v>50318</v>
      </c>
      <c r="B99" s="267" t="s">
        <v>995</v>
      </c>
      <c r="C99" s="267">
        <v>50</v>
      </c>
      <c r="D99" s="167" t="s">
        <v>51</v>
      </c>
    </row>
    <row r="100" spans="1:11" x14ac:dyDescent="0.3">
      <c r="A100" s="267">
        <v>50323</v>
      </c>
      <c r="B100" s="267" t="s">
        <v>996</v>
      </c>
      <c r="C100" s="267">
        <v>50</v>
      </c>
      <c r="D100" s="167" t="s">
        <v>51</v>
      </c>
    </row>
    <row r="101" spans="1:11" x14ac:dyDescent="0.3">
      <c r="A101" s="267">
        <v>50321</v>
      </c>
      <c r="B101" s="267" t="s">
        <v>1626</v>
      </c>
      <c r="C101" s="267">
        <v>50</v>
      </c>
      <c r="D101" s="167" t="s">
        <v>51</v>
      </c>
    </row>
    <row r="102" spans="1:11" x14ac:dyDescent="0.3">
      <c r="A102" s="267">
        <v>50325</v>
      </c>
      <c r="B102" s="267" t="s">
        <v>997</v>
      </c>
      <c r="C102" s="267">
        <v>50</v>
      </c>
      <c r="D102" s="167" t="s">
        <v>51</v>
      </c>
    </row>
    <row r="103" spans="1:11" x14ac:dyDescent="0.3">
      <c r="A103" s="267">
        <v>50327</v>
      </c>
      <c r="B103" s="267" t="s">
        <v>998</v>
      </c>
      <c r="C103" s="267">
        <v>50</v>
      </c>
      <c r="D103" s="167" t="s">
        <v>51</v>
      </c>
    </row>
    <row r="104" spans="1:11" x14ac:dyDescent="0.3">
      <c r="A104" s="267">
        <v>50328</v>
      </c>
      <c r="B104" s="267" t="s">
        <v>768</v>
      </c>
      <c r="C104" s="267">
        <v>50</v>
      </c>
      <c r="D104" s="167" t="s">
        <v>51</v>
      </c>
    </row>
    <row r="105" spans="1:11" x14ac:dyDescent="0.3">
      <c r="A105" s="267">
        <v>50332</v>
      </c>
      <c r="B105" s="267" t="s">
        <v>999</v>
      </c>
      <c r="C105" s="267">
        <v>50</v>
      </c>
      <c r="D105" s="167" t="s">
        <v>51</v>
      </c>
    </row>
    <row r="106" spans="1:11" x14ac:dyDescent="0.3">
      <c r="A106" s="267">
        <v>50334</v>
      </c>
      <c r="B106" s="988" t="s">
        <v>1627</v>
      </c>
      <c r="C106" s="267">
        <v>50</v>
      </c>
      <c r="D106" s="167" t="s">
        <v>51</v>
      </c>
      <c r="K106" s="988"/>
    </row>
    <row r="107" spans="1:11" x14ac:dyDescent="0.3">
      <c r="A107" s="267">
        <v>50336</v>
      </c>
      <c r="B107" s="267" t="s">
        <v>1628</v>
      </c>
      <c r="C107" s="267">
        <v>50</v>
      </c>
      <c r="D107" s="167" t="s">
        <v>51</v>
      </c>
    </row>
    <row r="108" spans="1:11" x14ac:dyDescent="0.3">
      <c r="A108" s="267">
        <v>50337</v>
      </c>
      <c r="B108" s="988" t="s">
        <v>1629</v>
      </c>
      <c r="C108" s="267">
        <v>50</v>
      </c>
      <c r="D108" s="167" t="s">
        <v>51</v>
      </c>
      <c r="K108" s="988"/>
    </row>
    <row r="109" spans="1:11" x14ac:dyDescent="0.3">
      <c r="A109" s="267">
        <v>50338</v>
      </c>
      <c r="B109" s="988" t="s">
        <v>1630</v>
      </c>
      <c r="C109" s="267">
        <v>50</v>
      </c>
      <c r="D109" s="167" t="s">
        <v>51</v>
      </c>
      <c r="K109" s="988"/>
    </row>
    <row r="110" spans="1:11" x14ac:dyDescent="0.3">
      <c r="A110" s="267">
        <v>50340</v>
      </c>
      <c r="B110" s="267" t="s">
        <v>1631</v>
      </c>
      <c r="C110" s="267">
        <v>50</v>
      </c>
      <c r="D110" s="167" t="s">
        <v>51</v>
      </c>
    </row>
    <row r="111" spans="1:11" x14ac:dyDescent="0.3">
      <c r="A111" s="267">
        <v>50343</v>
      </c>
      <c r="B111" s="267" t="s">
        <v>1000</v>
      </c>
      <c r="C111" s="267">
        <v>50</v>
      </c>
      <c r="D111" s="167" t="s">
        <v>51</v>
      </c>
    </row>
    <row r="112" spans="1:11" x14ac:dyDescent="0.3">
      <c r="A112" s="267">
        <v>50348</v>
      </c>
      <c r="B112" s="267" t="s">
        <v>1002</v>
      </c>
      <c r="C112" s="267">
        <v>50</v>
      </c>
      <c r="D112" s="167" t="s">
        <v>51</v>
      </c>
    </row>
    <row r="113" spans="1:11" x14ac:dyDescent="0.3">
      <c r="A113" s="267">
        <v>50541</v>
      </c>
      <c r="B113" s="267" t="s">
        <v>1003</v>
      </c>
      <c r="C113" s="267">
        <v>50</v>
      </c>
      <c r="D113" s="167" t="s">
        <v>51</v>
      </c>
    </row>
    <row r="114" spans="1:11" x14ac:dyDescent="0.3">
      <c r="A114" s="267">
        <v>50355</v>
      </c>
      <c r="B114" s="267" t="s">
        <v>1004</v>
      </c>
      <c r="C114" s="267">
        <v>50</v>
      </c>
      <c r="D114" s="167" t="s">
        <v>51</v>
      </c>
    </row>
    <row r="115" spans="1:11" x14ac:dyDescent="0.3">
      <c r="A115" s="267">
        <v>50357</v>
      </c>
      <c r="B115" s="988" t="s">
        <v>1632</v>
      </c>
      <c r="C115" s="267">
        <v>50</v>
      </c>
      <c r="D115" s="167" t="s">
        <v>51</v>
      </c>
      <c r="K115" s="988"/>
    </row>
    <row r="116" spans="1:11" x14ac:dyDescent="0.3">
      <c r="A116" s="267">
        <v>50360</v>
      </c>
      <c r="B116" s="267" t="s">
        <v>1005</v>
      </c>
      <c r="C116" s="267">
        <v>50</v>
      </c>
      <c r="D116" s="167" t="s">
        <v>51</v>
      </c>
    </row>
    <row r="117" spans="1:11" x14ac:dyDescent="0.3">
      <c r="A117" s="267">
        <v>50370</v>
      </c>
      <c r="B117" s="267" t="s">
        <v>1006</v>
      </c>
      <c r="C117" s="267">
        <v>50</v>
      </c>
      <c r="D117" s="167" t="s">
        <v>51</v>
      </c>
    </row>
    <row r="118" spans="1:11" x14ac:dyDescent="0.3">
      <c r="A118" s="267">
        <v>50374</v>
      </c>
      <c r="B118" s="267" t="s">
        <v>1633</v>
      </c>
      <c r="C118" s="267">
        <v>50</v>
      </c>
      <c r="D118" s="167" t="s">
        <v>51</v>
      </c>
    </row>
    <row r="119" spans="1:11" x14ac:dyDescent="0.3">
      <c r="A119" s="267">
        <v>50483</v>
      </c>
      <c r="B119" s="267" t="s">
        <v>1634</v>
      </c>
      <c r="C119" s="267">
        <v>50</v>
      </c>
      <c r="D119" s="167" t="s">
        <v>51</v>
      </c>
    </row>
    <row r="120" spans="1:11" x14ac:dyDescent="0.3">
      <c r="A120" s="267">
        <v>50386</v>
      </c>
      <c r="B120" s="267" t="s">
        <v>1635</v>
      </c>
      <c r="C120" s="267">
        <v>50</v>
      </c>
      <c r="D120" s="167" t="s">
        <v>51</v>
      </c>
    </row>
    <row r="121" spans="1:11" x14ac:dyDescent="0.3">
      <c r="A121" s="267">
        <v>50389</v>
      </c>
      <c r="B121" s="267" t="s">
        <v>1008</v>
      </c>
      <c r="C121" s="267">
        <v>50</v>
      </c>
      <c r="D121" s="167" t="s">
        <v>51</v>
      </c>
    </row>
    <row r="122" spans="1:11" x14ac:dyDescent="0.3">
      <c r="A122" s="267">
        <v>50500</v>
      </c>
      <c r="B122" s="267" t="s">
        <v>1009</v>
      </c>
      <c r="C122" s="267">
        <v>50</v>
      </c>
      <c r="D122" s="167" t="s">
        <v>51</v>
      </c>
    </row>
    <row r="123" spans="1:11" x14ac:dyDescent="0.3">
      <c r="A123" s="267">
        <v>50390</v>
      </c>
      <c r="B123" s="988" t="s">
        <v>1636</v>
      </c>
      <c r="C123" s="267">
        <v>50</v>
      </c>
      <c r="D123" s="167" t="s">
        <v>51</v>
      </c>
      <c r="K123" s="988"/>
    </row>
    <row r="124" spans="1:11" x14ac:dyDescent="0.3">
      <c r="A124" s="267">
        <v>50396</v>
      </c>
      <c r="B124" s="267" t="s">
        <v>1010</v>
      </c>
      <c r="C124" s="267">
        <v>50</v>
      </c>
      <c r="D124" s="167" t="s">
        <v>51</v>
      </c>
    </row>
    <row r="125" spans="1:11" x14ac:dyDescent="0.3">
      <c r="A125" s="267">
        <v>50399</v>
      </c>
      <c r="B125" s="267" t="s">
        <v>1012</v>
      </c>
      <c r="C125" s="267">
        <v>50</v>
      </c>
      <c r="D125" s="167" t="s">
        <v>51</v>
      </c>
    </row>
    <row r="126" spans="1:11" x14ac:dyDescent="0.3">
      <c r="A126" s="267">
        <v>50401</v>
      </c>
      <c r="B126" s="267" t="s">
        <v>1013</v>
      </c>
      <c r="C126" s="267">
        <v>50</v>
      </c>
      <c r="D126" s="167" t="s">
        <v>51</v>
      </c>
    </row>
    <row r="127" spans="1:11" x14ac:dyDescent="0.3">
      <c r="A127" s="267">
        <v>50402</v>
      </c>
      <c r="B127" s="988" t="s">
        <v>1637</v>
      </c>
      <c r="C127" s="267">
        <v>50</v>
      </c>
      <c r="D127" s="167" t="s">
        <v>51</v>
      </c>
      <c r="K127" s="988"/>
    </row>
    <row r="128" spans="1:11" x14ac:dyDescent="0.3">
      <c r="A128" s="267">
        <v>50486</v>
      </c>
      <c r="B128" s="267" t="s">
        <v>1638</v>
      </c>
      <c r="C128" s="267">
        <v>50</v>
      </c>
      <c r="D128" s="167" t="s">
        <v>51</v>
      </c>
    </row>
    <row r="129" spans="1:11" x14ac:dyDescent="0.3">
      <c r="A129" s="267">
        <v>50409</v>
      </c>
      <c r="B129" s="267" t="s">
        <v>1639</v>
      </c>
      <c r="C129" s="267">
        <v>50</v>
      </c>
      <c r="D129" s="167" t="s">
        <v>51</v>
      </c>
    </row>
    <row r="130" spans="1:11" x14ac:dyDescent="0.3">
      <c r="A130" s="267">
        <v>50420</v>
      </c>
      <c r="B130" s="267" t="s">
        <v>1014</v>
      </c>
      <c r="C130" s="267">
        <v>50</v>
      </c>
      <c r="D130" s="167" t="s">
        <v>51</v>
      </c>
    </row>
    <row r="131" spans="1:11" x14ac:dyDescent="0.3">
      <c r="A131" s="267">
        <v>50421</v>
      </c>
      <c r="B131" s="988" t="s">
        <v>1640</v>
      </c>
      <c r="C131" s="267">
        <v>50</v>
      </c>
      <c r="D131" s="167" t="s">
        <v>51</v>
      </c>
      <c r="K131" s="988"/>
    </row>
    <row r="132" spans="1:11" x14ac:dyDescent="0.3">
      <c r="A132" s="267">
        <v>50423</v>
      </c>
      <c r="B132" s="267" t="s">
        <v>1015</v>
      </c>
      <c r="C132" s="267">
        <v>50</v>
      </c>
      <c r="D132" s="167" t="s">
        <v>51</v>
      </c>
    </row>
    <row r="133" spans="1:11" x14ac:dyDescent="0.3">
      <c r="A133" s="267">
        <v>50432</v>
      </c>
      <c r="B133" s="988" t="s">
        <v>1641</v>
      </c>
      <c r="C133" s="267">
        <v>50</v>
      </c>
      <c r="D133" s="167" t="s">
        <v>51</v>
      </c>
      <c r="K133" s="988"/>
    </row>
    <row r="134" spans="1:11" x14ac:dyDescent="0.3">
      <c r="A134" s="267">
        <v>50499</v>
      </c>
      <c r="B134" s="988" t="s">
        <v>1642</v>
      </c>
      <c r="C134" s="267">
        <v>50</v>
      </c>
      <c r="D134" s="167" t="s">
        <v>51</v>
      </c>
      <c r="K134" s="988"/>
    </row>
    <row r="135" spans="1:11" x14ac:dyDescent="0.3">
      <c r="A135" s="267">
        <v>5103</v>
      </c>
      <c r="B135" s="267" t="s">
        <v>926</v>
      </c>
      <c r="C135" s="267">
        <v>51</v>
      </c>
      <c r="D135" s="167" t="s">
        <v>51</v>
      </c>
    </row>
    <row r="136" spans="1:11" x14ac:dyDescent="0.3">
      <c r="A136" s="267">
        <v>5107</v>
      </c>
      <c r="B136" s="267" t="s">
        <v>932</v>
      </c>
      <c r="C136" s="267">
        <v>51</v>
      </c>
      <c r="D136" s="167" t="s">
        <v>51</v>
      </c>
    </row>
    <row r="137" spans="1:11" x14ac:dyDescent="0.3">
      <c r="A137" s="267">
        <v>5116</v>
      </c>
      <c r="B137" s="988" t="s">
        <v>1643</v>
      </c>
      <c r="C137" s="267">
        <v>51</v>
      </c>
      <c r="D137" s="167" t="s">
        <v>51</v>
      </c>
      <c r="K137" s="988"/>
    </row>
    <row r="138" spans="1:11" x14ac:dyDescent="0.3">
      <c r="A138" s="267">
        <v>5119</v>
      </c>
      <c r="B138" s="988" t="s">
        <v>1644</v>
      </c>
      <c r="C138" s="267">
        <v>51</v>
      </c>
      <c r="D138" s="167" t="s">
        <v>51</v>
      </c>
      <c r="K138" s="988"/>
    </row>
    <row r="139" spans="1:11" x14ac:dyDescent="0.3">
      <c r="A139" s="267">
        <v>5123</v>
      </c>
      <c r="B139" s="267" t="s">
        <v>1645</v>
      </c>
      <c r="C139" s="267">
        <v>51</v>
      </c>
      <c r="D139" s="167" t="s">
        <v>51</v>
      </c>
    </row>
    <row r="140" spans="1:11" x14ac:dyDescent="0.3">
      <c r="A140" s="267">
        <v>5129</v>
      </c>
      <c r="B140" s="988" t="s">
        <v>1646</v>
      </c>
      <c r="C140" s="267">
        <v>51</v>
      </c>
      <c r="D140" s="167" t="s">
        <v>51</v>
      </c>
      <c r="K140" s="988"/>
    </row>
    <row r="141" spans="1:11" x14ac:dyDescent="0.3">
      <c r="A141" s="267">
        <v>5132</v>
      </c>
      <c r="B141" s="267" t="s">
        <v>949</v>
      </c>
      <c r="C141" s="267">
        <v>51</v>
      </c>
      <c r="D141" s="167" t="s">
        <v>51</v>
      </c>
    </row>
    <row r="142" spans="1:11" x14ac:dyDescent="0.3">
      <c r="A142" s="267">
        <v>5137</v>
      </c>
      <c r="B142" s="267" t="s">
        <v>1647</v>
      </c>
      <c r="C142" s="267">
        <v>51</v>
      </c>
      <c r="D142" s="167" t="s">
        <v>51</v>
      </c>
    </row>
    <row r="143" spans="1:11" x14ac:dyDescent="0.3">
      <c r="A143" s="267">
        <v>5147</v>
      </c>
      <c r="B143" s="267" t="s">
        <v>972</v>
      </c>
      <c r="C143" s="267">
        <v>51</v>
      </c>
      <c r="D143" s="167" t="s">
        <v>51</v>
      </c>
    </row>
    <row r="144" spans="1:11" x14ac:dyDescent="0.3">
      <c r="A144" s="267">
        <v>5156</v>
      </c>
      <c r="B144" s="267" t="s">
        <v>973</v>
      </c>
      <c r="C144" s="267">
        <v>51</v>
      </c>
      <c r="D144" s="167" t="s">
        <v>51</v>
      </c>
    </row>
    <row r="145" spans="1:11" x14ac:dyDescent="0.3">
      <c r="A145" s="267">
        <v>5157</v>
      </c>
      <c r="B145" s="267" t="s">
        <v>1648</v>
      </c>
      <c r="C145" s="267">
        <v>51</v>
      </c>
      <c r="D145" s="167" t="s">
        <v>51</v>
      </c>
    </row>
    <row r="146" spans="1:11" x14ac:dyDescent="0.3">
      <c r="A146" s="267">
        <v>5165</v>
      </c>
      <c r="B146" s="267" t="s">
        <v>982</v>
      </c>
      <c r="C146" s="267">
        <v>51</v>
      </c>
      <c r="D146" s="167" t="s">
        <v>51</v>
      </c>
    </row>
    <row r="147" spans="1:11" x14ac:dyDescent="0.3">
      <c r="A147" s="267">
        <v>5167</v>
      </c>
      <c r="B147" s="267" t="s">
        <v>985</v>
      </c>
      <c r="C147" s="267">
        <v>51</v>
      </c>
      <c r="D147" s="167" t="s">
        <v>51</v>
      </c>
    </row>
    <row r="148" spans="1:11" x14ac:dyDescent="0.3">
      <c r="A148" s="267">
        <v>5170</v>
      </c>
      <c r="B148" s="267" t="s">
        <v>986</v>
      </c>
      <c r="C148" s="267">
        <v>51</v>
      </c>
      <c r="D148" s="167" t="s">
        <v>51</v>
      </c>
    </row>
    <row r="149" spans="1:11" x14ac:dyDescent="0.3">
      <c r="A149" s="267">
        <v>5172</v>
      </c>
      <c r="B149" s="267" t="s">
        <v>1649</v>
      </c>
      <c r="C149" s="267">
        <v>51</v>
      </c>
      <c r="D149" s="167" t="s">
        <v>51</v>
      </c>
    </row>
    <row r="150" spans="1:11" x14ac:dyDescent="0.3">
      <c r="A150" s="267">
        <v>5182</v>
      </c>
      <c r="B150" s="267" t="s">
        <v>1001</v>
      </c>
      <c r="C150" s="267">
        <v>51</v>
      </c>
      <c r="D150" s="167" t="s">
        <v>51</v>
      </c>
    </row>
    <row r="151" spans="1:11" x14ac:dyDescent="0.3">
      <c r="A151" s="267">
        <v>5188</v>
      </c>
      <c r="B151" s="267" t="s">
        <v>1011</v>
      </c>
      <c r="C151" s="267">
        <v>51</v>
      </c>
      <c r="D151" s="167" t="s">
        <v>51</v>
      </c>
    </row>
    <row r="152" spans="1:11" x14ac:dyDescent="0.3">
      <c r="A152" s="267">
        <v>591706</v>
      </c>
      <c r="B152" s="989" t="s">
        <v>1650</v>
      </c>
      <c r="C152" s="267">
        <v>59</v>
      </c>
      <c r="D152" s="167" t="s">
        <v>51</v>
      </c>
      <c r="K152" s="989"/>
    </row>
    <row r="153" spans="1:11" x14ac:dyDescent="0.3">
      <c r="A153" s="267">
        <v>591612</v>
      </c>
      <c r="B153" s="989" t="s">
        <v>1651</v>
      </c>
      <c r="C153" s="267">
        <v>59</v>
      </c>
      <c r="D153" s="167" t="s">
        <v>51</v>
      </c>
      <c r="K153" s="989"/>
    </row>
    <row r="154" spans="1:11" x14ac:dyDescent="0.3">
      <c r="A154" s="267">
        <v>591604</v>
      </c>
      <c r="B154" s="267" t="s">
        <v>941</v>
      </c>
      <c r="C154" s="267">
        <v>59</v>
      </c>
      <c r="D154" s="167" t="s">
        <v>51</v>
      </c>
    </row>
    <row r="155" spans="1:11" x14ac:dyDescent="0.3">
      <c r="A155" s="267">
        <v>591632</v>
      </c>
      <c r="B155" s="988" t="s">
        <v>953</v>
      </c>
      <c r="C155" s="267">
        <v>59</v>
      </c>
      <c r="D155" s="167" t="s">
        <v>51</v>
      </c>
      <c r="K155" s="988"/>
    </row>
    <row r="156" spans="1:11" x14ac:dyDescent="0.3">
      <c r="A156" s="267">
        <v>591607</v>
      </c>
      <c r="B156" s="267" t="s">
        <v>958</v>
      </c>
      <c r="C156" s="267">
        <v>59</v>
      </c>
      <c r="D156" s="167" t="s">
        <v>51</v>
      </c>
    </row>
    <row r="157" spans="1:11" x14ac:dyDescent="0.3">
      <c r="A157" s="267">
        <v>591613</v>
      </c>
      <c r="B157" s="267" t="s">
        <v>1652</v>
      </c>
      <c r="C157" s="267">
        <v>59</v>
      </c>
      <c r="D157" s="167" t="s">
        <v>51</v>
      </c>
    </row>
    <row r="158" spans="1:11" x14ac:dyDescent="0.3">
      <c r="A158" s="267">
        <v>591616</v>
      </c>
      <c r="B158" s="988" t="s">
        <v>1653</v>
      </c>
      <c r="C158" s="267">
        <v>59</v>
      </c>
      <c r="D158" s="167" t="s">
        <v>51</v>
      </c>
      <c r="K158" s="988"/>
    </row>
    <row r="159" spans="1:11" x14ac:dyDescent="0.3">
      <c r="A159" s="267">
        <v>592368</v>
      </c>
      <c r="B159" s="267" t="s">
        <v>1007</v>
      </c>
      <c r="C159" s="267">
        <v>59</v>
      </c>
      <c r="D159" s="167" t="s">
        <v>51</v>
      </c>
    </row>
    <row r="160" spans="1:11" x14ac:dyDescent="0.3">
      <c r="A160" s="267">
        <v>591633</v>
      </c>
      <c r="B160" s="988" t="s">
        <v>1654</v>
      </c>
      <c r="C160" s="267">
        <v>59</v>
      </c>
      <c r="D160" s="167" t="s">
        <v>51</v>
      </c>
      <c r="K160" s="988"/>
    </row>
  </sheetData>
  <sheetProtection algorithmName="SHA-512" hashValue="953c6w7VAQSVJPJWO0tw0CXdFpLsXIRWH9f+h+7abmq+99CMwS74asNKuJ0QcT8sKL2596mK57em/p0GvGRpZg==" saltValue="1ir2S+D0SzDiKiJwfBFh4A==" spinCount="100000" sheet="1" objects="1" scenarios="1"/>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customXml/itemProps2.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3.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11</vt:i4>
      </vt:variant>
    </vt:vector>
  </HeadingPairs>
  <TitlesOfParts>
    <vt:vector size="25" baseType="lpstr">
      <vt:lpstr>Instructions</vt:lpstr>
      <vt:lpstr>Unit Data from Audit Worksheet</vt:lpstr>
      <vt:lpstr>TD Info Completed by Auditor</vt:lpstr>
      <vt:lpstr>Import</vt:lpstr>
      <vt:lpstr>Performance  Indicators Print</vt:lpstr>
      <vt:lpstr>PI series #</vt:lpstr>
      <vt:lpstr>RSS</vt:lpstr>
      <vt:lpstr>Debt Service Funds (H)</vt:lpstr>
      <vt:lpstr>UAL</vt:lpstr>
      <vt:lpstr>2020 Data(H)</vt:lpstr>
      <vt:lpstr>2019 Data(H)</vt:lpstr>
      <vt:lpstr>Tax Reval Rate</vt:lpstr>
      <vt:lpstr>Unit Names(H)</vt:lpstr>
      <vt:lpstr>Electric trans</vt:lpstr>
      <vt:lpstr>errorCount</vt:lpstr>
      <vt:lpstr>'2020 Data(H)'!Print_Area</vt:lpstr>
      <vt:lpstr>Instructions!Print_Area</vt:lpstr>
      <vt:lpstr>'Performance  Indicators Print'!Print_Area</vt:lpstr>
      <vt:lpstr>'PI series #'!Print_Area</vt:lpstr>
      <vt:lpstr>'Unit Data from Audit Worksheet'!Print_Area</vt:lpstr>
      <vt:lpstr>Print_Selection_Auditor</vt:lpstr>
      <vt:lpstr>'Performance  Indicators Print'!Print_Titles</vt:lpstr>
      <vt:lpstr>'PI series #'!Print_Titles</vt:lpstr>
      <vt:lpstr>'Unit Data from Audit Worksheet'!Print_Titles</vt:lpstr>
      <vt:lpstr>showError</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2021-08-02T16:25:24Z</cp:lastPrinted>
  <dcterms:created xsi:type="dcterms:W3CDTF">2011-03-11T21:05:05Z</dcterms:created>
  <dcterms:modified xsi:type="dcterms:W3CDTF">2022-09-19T17:19:49Z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