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8E511A68-2D1A-4AFD-913E-C18820FB5058}" xr6:coauthVersionLast="45" xr6:coauthVersionMax="45" xr10:uidLastSave="{00000000-0000-0000-0000-000000000000}"/>
  <bookViews>
    <workbookView xWindow="20370" yWindow="-120" windowWidth="29040" windowHeight="15840" tabRatio="708" xr2:uid="{00000000-000D-0000-FFFF-FFFF00000000}"/>
  </bookViews>
  <sheets>
    <sheet name="Instructions" sheetId="49" r:id="rId1"/>
    <sheet name="Unit Data from Audit Worksheet" sheetId="1" r:id="rId2"/>
    <sheet name="IMPORT" sheetId="28" state="hidden" r:id="rId3"/>
    <sheet name="RSS" sheetId="30" r:id="rId4"/>
    <sheet name="3-Year Analysis" sheetId="37" r:id="rId5"/>
    <sheet name="2020 Acct Changes" sheetId="46" state="hidden" r:id="rId6"/>
    <sheet name="Debt Service Funds (H)" sheetId="41" state="hidden" r:id="rId7"/>
    <sheet name="Average FBA" sheetId="47" r:id="rId8"/>
    <sheet name="sequel interface rules (H)" sheetId="45" state="hidden" r:id="rId9"/>
    <sheet name="Unit Names(H)" sheetId="29" state="hidden" r:id="rId10"/>
    <sheet name="2019 Data(H)" sheetId="42" state="hidden" r:id="rId11"/>
    <sheet name="2018 Data(H)" sheetId="36" state="hidden" r:id="rId12"/>
  </sheets>
  <externalReferences>
    <externalReference r:id="rId13"/>
  </externalReferences>
  <definedNames>
    <definedName name="Audit_Dtl">[1]Database!$AC$3:$AP$413</definedName>
    <definedName name="_xlnm.Print_Area" localSheetId="0">Instructions!$B$1:$B$39</definedName>
    <definedName name="_xlnm.Print_Area" localSheetId="1">'Unit Data from Audit Worksheet'!$A$7:$D$240</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6" i="1" l="1"/>
  <c r="A211" i="28" l="1"/>
  <c r="A212" i="28"/>
  <c r="A213" i="28"/>
  <c r="A214" i="28"/>
  <c r="A210" i="28"/>
  <c r="G246" i="1"/>
  <c r="G247" i="1"/>
  <c r="G248" i="1"/>
  <c r="G249" i="1"/>
  <c r="G250" i="1"/>
  <c r="G251" i="1"/>
  <c r="G252" i="1"/>
  <c r="G245" i="1"/>
  <c r="F264" i="1" l="1"/>
  <c r="F263" i="1"/>
  <c r="F262" i="1"/>
  <c r="F261" i="1"/>
  <c r="F260" i="1"/>
  <c r="G105" i="1" l="1"/>
  <c r="N183" i="28"/>
  <c r="E212" i="28"/>
  <c r="L212" i="28" s="1"/>
  <c r="Q212" i="28" s="1"/>
  <c r="E214" i="28"/>
  <c r="L214" i="28" s="1"/>
  <c r="Q214" i="28" s="1"/>
  <c r="E213" i="28"/>
  <c r="L213" i="28" s="1"/>
  <c r="Q213" i="28" s="1"/>
  <c r="E211" i="28"/>
  <c r="L211" i="28" s="1"/>
  <c r="Q211" i="28" s="1"/>
  <c r="G207" i="1"/>
  <c r="G264" i="1"/>
  <c r="G263" i="1"/>
  <c r="G262" i="1"/>
  <c r="G261" i="1"/>
  <c r="G260" i="1"/>
  <c r="G95" i="1" l="1"/>
  <c r="G19" i="1" l="1"/>
  <c r="C214" i="28" l="1"/>
  <c r="C211" i="28"/>
  <c r="C212" i="28"/>
  <c r="C213" i="28"/>
  <c r="E210" i="28"/>
  <c r="L210" i="28" s="1"/>
  <c r="Q210" i="28" s="1"/>
  <c r="C210" i="28"/>
  <c r="G114" i="1"/>
  <c r="G113" i="1"/>
  <c r="G112" i="1"/>
  <c r="G111" i="1"/>
  <c r="G110" i="1"/>
  <c r="G109" i="1"/>
  <c r="G103" i="1"/>
  <c r="G94" i="1"/>
  <c r="G93" i="1"/>
  <c r="G92" i="1"/>
  <c r="G91" i="1"/>
  <c r="G90" i="1"/>
  <c r="G89" i="1"/>
  <c r="Y201" i="28" l="1"/>
  <c r="D3" i="1" l="1"/>
  <c r="L192" i="28" l="1"/>
  <c r="Y192" i="28" s="1"/>
  <c r="L193" i="28"/>
  <c r="Y193" i="28" s="1"/>
  <c r="L191" i="28"/>
  <c r="Y191" i="28" s="1"/>
  <c r="E167" i="1"/>
  <c r="E168" i="1"/>
  <c r="E172" i="1"/>
  <c r="E173" i="1"/>
  <c r="E177" i="1"/>
  <c r="E178" i="1"/>
  <c r="E179" i="1"/>
  <c r="E180" i="1"/>
  <c r="E183" i="1"/>
  <c r="E184" i="1"/>
  <c r="E185" i="1"/>
  <c r="E186" i="1"/>
  <c r="E189" i="1"/>
  <c r="E190" i="1"/>
  <c r="E191" i="1"/>
  <c r="E192" i="1"/>
  <c r="E197" i="1"/>
  <c r="E198" i="1"/>
  <c r="E199" i="1"/>
  <c r="E201" i="1"/>
  <c r="E202" i="1"/>
  <c r="E203" i="1"/>
  <c r="E204" i="1"/>
  <c r="E206" i="1"/>
  <c r="E239" i="1"/>
  <c r="E238" i="1"/>
  <c r="E237" i="1"/>
  <c r="E236" i="1"/>
  <c r="E235" i="1"/>
  <c r="E234" i="1"/>
  <c r="E233" i="1"/>
  <c r="E232" i="1"/>
  <c r="E229" i="1"/>
  <c r="E227" i="1"/>
  <c r="E225" i="1"/>
  <c r="E223" i="1"/>
  <c r="E222" i="1"/>
  <c r="E221" i="1"/>
  <c r="E215" i="1"/>
  <c r="E214" i="1"/>
  <c r="E212" i="1"/>
  <c r="E211" i="1"/>
  <c r="E210" i="1"/>
  <c r="E209" i="1"/>
  <c r="E163" i="1"/>
  <c r="E159" i="1"/>
  <c r="E157" i="1"/>
  <c r="E156" i="1"/>
  <c r="E155" i="1"/>
  <c r="E153" i="1"/>
  <c r="E152" i="1"/>
  <c r="E151" i="1"/>
  <c r="E146" i="1"/>
  <c r="E145" i="1"/>
  <c r="E144" i="1"/>
  <c r="E143" i="1"/>
  <c r="E142" i="1"/>
  <c r="E141" i="1"/>
  <c r="E140" i="1"/>
  <c r="E139" i="1"/>
  <c r="E138" i="1"/>
  <c r="E137" i="1"/>
  <c r="E136" i="1"/>
  <c r="E135" i="1"/>
  <c r="E134" i="1"/>
  <c r="E132" i="1"/>
  <c r="E131" i="1"/>
  <c r="E130" i="1"/>
  <c r="E129" i="1"/>
  <c r="E128" i="1"/>
  <c r="E127" i="1"/>
  <c r="E126" i="1"/>
  <c r="E125" i="1"/>
  <c r="E124" i="1"/>
  <c r="E123" i="1"/>
  <c r="E122" i="1"/>
  <c r="E121" i="1"/>
  <c r="E120" i="1"/>
  <c r="E119" i="1"/>
  <c r="E116" i="1"/>
  <c r="E115" i="1"/>
  <c r="E114" i="1"/>
  <c r="E107" i="1"/>
  <c r="E106" i="1"/>
  <c r="E105" i="1"/>
  <c r="E102" i="1"/>
  <c r="E101" i="1"/>
  <c r="E100" i="1"/>
  <c r="E99" i="1"/>
  <c r="E97" i="1"/>
  <c r="G130" i="1" s="1"/>
  <c r="E96" i="1"/>
  <c r="E95" i="1"/>
  <c r="E94" i="1"/>
  <c r="E87" i="1"/>
  <c r="E86" i="1"/>
  <c r="E83" i="1"/>
  <c r="E82" i="1"/>
  <c r="E81" i="1"/>
  <c r="E80" i="1"/>
  <c r="E79" i="1"/>
  <c r="E75" i="1"/>
  <c r="E72" i="1"/>
  <c r="E70" i="1"/>
  <c r="E69" i="1"/>
  <c r="E68" i="1"/>
  <c r="E67" i="1"/>
  <c r="E66" i="1"/>
  <c r="E65" i="1"/>
  <c r="E64" i="1"/>
  <c r="E63" i="1"/>
  <c r="E62" i="1"/>
  <c r="E61" i="1"/>
  <c r="E60" i="1"/>
  <c r="E58" i="1"/>
  <c r="E57" i="1"/>
  <c r="E54" i="1"/>
  <c r="E53" i="1"/>
  <c r="E52" i="1"/>
  <c r="E51" i="1"/>
  <c r="E50" i="1"/>
  <c r="E49" i="1"/>
  <c r="E48" i="1"/>
  <c r="E47" i="1"/>
  <c r="E46" i="1"/>
  <c r="E45" i="1"/>
  <c r="E44" i="1"/>
  <c r="E42" i="1"/>
  <c r="E41" i="1"/>
  <c r="E39" i="1"/>
  <c r="E38" i="1"/>
  <c r="E37" i="1"/>
  <c r="E36" i="1"/>
  <c r="E35" i="1"/>
  <c r="E34" i="1"/>
  <c r="E33" i="1"/>
  <c r="E32" i="1"/>
  <c r="E31" i="1"/>
  <c r="E30" i="1"/>
  <c r="E29" i="1"/>
  <c r="E28" i="1"/>
  <c r="E26" i="1"/>
  <c r="E25" i="1"/>
  <c r="E23" i="1"/>
  <c r="E22" i="1"/>
  <c r="E21" i="1"/>
  <c r="E20" i="1"/>
  <c r="E19" i="1"/>
  <c r="E11" i="1"/>
  <c r="E10" i="1"/>
  <c r="E9" i="1"/>
  <c r="E8" i="1"/>
  <c r="E7" i="1"/>
  <c r="E193" i="1" l="1"/>
  <c r="E174" i="1"/>
  <c r="E187" i="1"/>
  <c r="E181" i="1"/>
  <c r="F292" i="36"/>
  <c r="G292" i="36"/>
  <c r="H292" i="36"/>
  <c r="I292" i="36"/>
  <c r="J292" i="36"/>
  <c r="K292" i="36"/>
  <c r="L292" i="36"/>
  <c r="M292" i="36"/>
  <c r="N292" i="36"/>
  <c r="O292" i="36"/>
  <c r="P292" i="36"/>
  <c r="Q292" i="36"/>
  <c r="R292" i="36"/>
  <c r="S292" i="36"/>
  <c r="T292" i="36"/>
  <c r="U292" i="36"/>
  <c r="V292" i="36"/>
  <c r="W292" i="36"/>
  <c r="X292" i="36"/>
  <c r="Y292" i="36"/>
  <c r="Z292" i="36"/>
  <c r="AA292" i="36"/>
  <c r="AB292" i="36"/>
  <c r="AC292" i="36"/>
  <c r="AD292" i="36"/>
  <c r="AE292" i="36"/>
  <c r="AF292" i="36"/>
  <c r="AG292" i="36"/>
  <c r="AH292" i="36"/>
  <c r="AI292" i="36"/>
  <c r="AJ292" i="36"/>
  <c r="AK292" i="36"/>
  <c r="AL292" i="36"/>
  <c r="AM292" i="36"/>
  <c r="AN292" i="36"/>
  <c r="AO292" i="36"/>
  <c r="AP292" i="36"/>
  <c r="AQ292" i="36"/>
  <c r="AR292" i="36"/>
  <c r="AS292" i="36"/>
  <c r="AT292" i="36"/>
  <c r="AU292" i="36"/>
  <c r="AV292" i="36"/>
  <c r="AW292" i="36"/>
  <c r="AX292" i="36"/>
  <c r="AY292" i="36"/>
  <c r="AZ292" i="36"/>
  <c r="BA292" i="36"/>
  <c r="BB292" i="36"/>
  <c r="BC292" i="36"/>
  <c r="BD292" i="36"/>
  <c r="BE292" i="36"/>
  <c r="BF292" i="36"/>
  <c r="BG292" i="36"/>
  <c r="BH292" i="36"/>
  <c r="BI292" i="36"/>
  <c r="BJ292" i="36"/>
  <c r="BK292" i="36"/>
  <c r="BL292" i="36"/>
  <c r="BM292" i="36"/>
  <c r="BN292" i="36"/>
  <c r="BO292" i="36"/>
  <c r="BP292" i="36"/>
  <c r="BQ292" i="36"/>
  <c r="BR292" i="36"/>
  <c r="BS292" i="36"/>
  <c r="BT292" i="36"/>
  <c r="BU292" i="36"/>
  <c r="BV292" i="36"/>
  <c r="BW292" i="36"/>
  <c r="BX292" i="36"/>
  <c r="BY292" i="36"/>
  <c r="BZ292" i="36"/>
  <c r="CA292" i="36"/>
  <c r="CB292" i="36"/>
  <c r="CC292" i="36"/>
  <c r="CD292" i="36"/>
  <c r="CE292" i="36"/>
  <c r="E292" i="36"/>
  <c r="BT283" i="36"/>
  <c r="BU283" i="36"/>
  <c r="BV283" i="36"/>
  <c r="BW283" i="36"/>
  <c r="BX283" i="36"/>
  <c r="BY283" i="36"/>
  <c r="BZ283" i="36"/>
  <c r="CA283" i="36"/>
  <c r="CB283" i="36"/>
  <c r="CC283" i="36"/>
  <c r="CD283" i="36"/>
  <c r="CE283" i="36"/>
  <c r="BT284" i="36"/>
  <c r="BU284" i="36"/>
  <c r="BV284" i="36"/>
  <c r="BW284" i="36"/>
  <c r="BX284" i="36"/>
  <c r="BY284" i="36"/>
  <c r="BZ284" i="36"/>
  <c r="CA284" i="36"/>
  <c r="CB284" i="36"/>
  <c r="CC284" i="36"/>
  <c r="CD284" i="36"/>
  <c r="CE284" i="36"/>
  <c r="BT285" i="36"/>
  <c r="BU285" i="36"/>
  <c r="BV285" i="36"/>
  <c r="BW285" i="36"/>
  <c r="BX285" i="36"/>
  <c r="BY285" i="36"/>
  <c r="BZ285" i="36"/>
  <c r="CA285" i="36"/>
  <c r="CB285" i="36"/>
  <c r="CC285" i="36"/>
  <c r="CD285" i="36"/>
  <c r="CE285" i="36"/>
  <c r="BT289" i="36"/>
  <c r="BU289" i="36"/>
  <c r="BV289" i="36"/>
  <c r="BW289" i="36"/>
  <c r="BX289" i="36"/>
  <c r="BY289" i="36"/>
  <c r="BZ289" i="36"/>
  <c r="CA289" i="36"/>
  <c r="CA291" i="36" s="1"/>
  <c r="CB289" i="36"/>
  <c r="CB291" i="36" s="1"/>
  <c r="CC289" i="36"/>
  <c r="CD289" i="36"/>
  <c r="CE289" i="36"/>
  <c r="BT290" i="36"/>
  <c r="BU290" i="36"/>
  <c r="BV290" i="36"/>
  <c r="BW290" i="36"/>
  <c r="BW291" i="36" s="1"/>
  <c r="BX290" i="36"/>
  <c r="BY290" i="36"/>
  <c r="BY291" i="36" s="1"/>
  <c r="BZ290" i="36"/>
  <c r="CA290" i="36"/>
  <c r="CB290" i="36"/>
  <c r="CC290" i="36"/>
  <c r="CC291" i="36" s="1"/>
  <c r="CD290" i="36"/>
  <c r="CD291" i="36" s="1"/>
  <c r="CE290" i="36"/>
  <c r="CE291" i="36" s="1"/>
  <c r="BX291" i="36"/>
  <c r="BT293" i="36"/>
  <c r="BU293" i="36"/>
  <c r="BV293" i="36"/>
  <c r="BW293" i="36"/>
  <c r="BX293" i="36"/>
  <c r="BY293" i="36"/>
  <c r="BZ293" i="36"/>
  <c r="CA293" i="36"/>
  <c r="CB293" i="36"/>
  <c r="CC293" i="36"/>
  <c r="CD293" i="36"/>
  <c r="CE293" i="36"/>
  <c r="BT294" i="36"/>
  <c r="BU294" i="36"/>
  <c r="BV294" i="36"/>
  <c r="BW294" i="36"/>
  <c r="BX294" i="36"/>
  <c r="BY294" i="36"/>
  <c r="BZ294" i="36"/>
  <c r="CA294" i="36"/>
  <c r="CB294" i="36"/>
  <c r="CC294" i="36"/>
  <c r="CD294" i="36"/>
  <c r="CE294" i="36"/>
  <c r="BT295" i="36"/>
  <c r="BU295" i="36"/>
  <c r="BV295" i="36"/>
  <c r="BW295" i="36"/>
  <c r="BX295" i="36"/>
  <c r="BY295" i="36"/>
  <c r="BZ295" i="36"/>
  <c r="CA295" i="36"/>
  <c r="CB295" i="36"/>
  <c r="CC295" i="36"/>
  <c r="CD295" i="36"/>
  <c r="CE295" i="36"/>
  <c r="BT296" i="36"/>
  <c r="BU296" i="36"/>
  <c r="BV296" i="36"/>
  <c r="BW296" i="36"/>
  <c r="BX296" i="36"/>
  <c r="BY296" i="36"/>
  <c r="BZ296" i="36"/>
  <c r="CA296" i="36"/>
  <c r="CB296" i="36"/>
  <c r="CC296" i="36"/>
  <c r="CD296" i="36"/>
  <c r="CE296" i="36"/>
  <c r="BT297" i="36"/>
  <c r="BT299" i="36" s="1"/>
  <c r="BT305" i="36" s="1"/>
  <c r="BU297" i="36"/>
  <c r="BV297" i="36"/>
  <c r="BW297" i="36"/>
  <c r="BX297" i="36"/>
  <c r="BY297" i="36"/>
  <c r="BZ297" i="36"/>
  <c r="CA297" i="36"/>
  <c r="CB297" i="36"/>
  <c r="CB299" i="36" s="1"/>
  <c r="CB305" i="36" s="1"/>
  <c r="CC297" i="36"/>
  <c r="CD297" i="36"/>
  <c r="CD299" i="36" s="1"/>
  <c r="CD305" i="36" s="1"/>
  <c r="CE297" i="36"/>
  <c r="BT298" i="36"/>
  <c r="BU298" i="36"/>
  <c r="BV298" i="36"/>
  <c r="BW298" i="36"/>
  <c r="BX298" i="36"/>
  <c r="BX299" i="36" s="1"/>
  <c r="BX305" i="36" s="1"/>
  <c r="BY298" i="36"/>
  <c r="BY299" i="36" s="1"/>
  <c r="BZ298" i="36"/>
  <c r="BZ299" i="36" s="1"/>
  <c r="CA298" i="36"/>
  <c r="CA299" i="36" s="1"/>
  <c r="CB298" i="36"/>
  <c r="CC298" i="36"/>
  <c r="CD298" i="36"/>
  <c r="CE298" i="36"/>
  <c r="BW299" i="36"/>
  <c r="CE299" i="36"/>
  <c r="BT301" i="36"/>
  <c r="BU301" i="36"/>
  <c r="BV301" i="36"/>
  <c r="BW301" i="36"/>
  <c r="BX301" i="36"/>
  <c r="BY301" i="36"/>
  <c r="BZ301" i="36"/>
  <c r="CA301" i="36"/>
  <c r="CB301" i="36"/>
  <c r="CC301" i="36"/>
  <c r="CD301" i="36"/>
  <c r="CE301" i="36"/>
  <c r="BW305" i="36"/>
  <c r="CE305" i="36"/>
  <c r="BY305" i="36" l="1"/>
  <c r="CC299" i="36"/>
  <c r="CC305" i="36" s="1"/>
  <c r="BU299" i="36"/>
  <c r="BU305" i="36" s="1"/>
  <c r="BT291" i="36"/>
  <c r="CA305" i="36"/>
  <c r="BZ291" i="36"/>
  <c r="BV291" i="36"/>
  <c r="BZ305" i="36"/>
  <c r="BV299" i="36"/>
  <c r="BV305" i="36" s="1"/>
  <c r="BU291" i="36"/>
  <c r="E194" i="1"/>
  <c r="BT290" i="42"/>
  <c r="BU290" i="42"/>
  <c r="BV290" i="42"/>
  <c r="BW290" i="42"/>
  <c r="BX290" i="42"/>
  <c r="BX292" i="42" s="1"/>
  <c r="BY290" i="42"/>
  <c r="BZ290" i="42"/>
  <c r="CA290" i="42"/>
  <c r="CB290" i="42"/>
  <c r="CC290" i="42"/>
  <c r="CC292" i="42" s="1"/>
  <c r="CD290" i="42"/>
  <c r="CE290" i="42"/>
  <c r="BT291" i="42"/>
  <c r="BT292" i="42" s="1"/>
  <c r="BU291" i="42"/>
  <c r="BV291" i="42"/>
  <c r="BV292" i="42" s="1"/>
  <c r="BW291" i="42"/>
  <c r="BX291" i="42"/>
  <c r="BY291" i="42"/>
  <c r="BZ291" i="42"/>
  <c r="CA291" i="42"/>
  <c r="CB291" i="42"/>
  <c r="CB292" i="42" s="1"/>
  <c r="CC291" i="42"/>
  <c r="CD291" i="42"/>
  <c r="CD292" i="42" s="1"/>
  <c r="CE291" i="42"/>
  <c r="BU292" i="42"/>
  <c r="BT293" i="42"/>
  <c r="BU293" i="42"/>
  <c r="BV293" i="42"/>
  <c r="BW293" i="42"/>
  <c r="BX293" i="42"/>
  <c r="BY293" i="42"/>
  <c r="BZ293" i="42"/>
  <c r="CA293" i="42"/>
  <c r="CB293" i="42"/>
  <c r="CC293" i="42"/>
  <c r="CD293" i="42"/>
  <c r="CE293" i="42"/>
  <c r="BT294" i="42"/>
  <c r="BU294" i="42"/>
  <c r="BV294" i="42"/>
  <c r="BW294" i="42"/>
  <c r="BX294" i="42"/>
  <c r="BY294" i="42"/>
  <c r="BZ294" i="42"/>
  <c r="CA294" i="42"/>
  <c r="CB294" i="42"/>
  <c r="CC294" i="42"/>
  <c r="CD294" i="42"/>
  <c r="CE294" i="42"/>
  <c r="BT295" i="42"/>
  <c r="BU295" i="42"/>
  <c r="BV295" i="42"/>
  <c r="BW295" i="42"/>
  <c r="BX295" i="42"/>
  <c r="BY295" i="42"/>
  <c r="BZ295" i="42"/>
  <c r="CA295" i="42"/>
  <c r="CB295" i="42"/>
  <c r="CC295" i="42"/>
  <c r="CD295" i="42"/>
  <c r="CE295" i="42"/>
  <c r="BT296" i="42"/>
  <c r="BU296" i="42"/>
  <c r="BV296" i="42"/>
  <c r="BW296" i="42"/>
  <c r="BX296" i="42"/>
  <c r="BY296" i="42"/>
  <c r="BZ296" i="42"/>
  <c r="CA296" i="42"/>
  <c r="CB296" i="42"/>
  <c r="CC296" i="42"/>
  <c r="CD296" i="42"/>
  <c r="CE296" i="42"/>
  <c r="BT297" i="42"/>
  <c r="BU297" i="42"/>
  <c r="BV297" i="42"/>
  <c r="BW297" i="42"/>
  <c r="BX297" i="42"/>
  <c r="BY297" i="42"/>
  <c r="BZ297" i="42"/>
  <c r="CA297" i="42"/>
  <c r="CB297" i="42"/>
  <c r="CC297" i="42"/>
  <c r="CD297" i="42"/>
  <c r="CE297" i="42"/>
  <c r="E290" i="42"/>
  <c r="F290" i="42"/>
  <c r="G290" i="42"/>
  <c r="H290" i="42"/>
  <c r="I290" i="42"/>
  <c r="J290" i="42"/>
  <c r="J292" i="42" s="1"/>
  <c r="K290" i="42"/>
  <c r="L290" i="42"/>
  <c r="M290" i="42"/>
  <c r="N290" i="42"/>
  <c r="O290" i="42"/>
  <c r="P290" i="42"/>
  <c r="Q290" i="42"/>
  <c r="R290" i="42"/>
  <c r="S290" i="42"/>
  <c r="T290" i="42"/>
  <c r="U290" i="42"/>
  <c r="V290" i="42"/>
  <c r="W290" i="42"/>
  <c r="X290" i="42"/>
  <c r="Y290" i="42"/>
  <c r="Z290" i="42"/>
  <c r="Z292" i="42" s="1"/>
  <c r="AA290" i="42"/>
  <c r="AB290" i="42"/>
  <c r="AC290" i="42"/>
  <c r="AD290" i="42"/>
  <c r="AE290" i="42"/>
  <c r="AF290" i="42"/>
  <c r="AG290" i="42"/>
  <c r="AH290" i="42"/>
  <c r="AH292" i="42" s="1"/>
  <c r="AI290" i="42"/>
  <c r="AJ290" i="42"/>
  <c r="AK290" i="42"/>
  <c r="AL290" i="42"/>
  <c r="AM290" i="42"/>
  <c r="AN290" i="42"/>
  <c r="AO290" i="42"/>
  <c r="AP290" i="42"/>
  <c r="AP292" i="42" s="1"/>
  <c r="AQ290" i="42"/>
  <c r="AR290" i="42"/>
  <c r="AS290" i="42"/>
  <c r="AT290" i="42"/>
  <c r="AU290" i="42"/>
  <c r="AV290" i="42"/>
  <c r="AW290" i="42"/>
  <c r="AX290" i="42"/>
  <c r="AX292" i="42" s="1"/>
  <c r="AY290" i="42"/>
  <c r="AZ290" i="42"/>
  <c r="BA290" i="42"/>
  <c r="BB290" i="42"/>
  <c r="BC290" i="42"/>
  <c r="BD290" i="42"/>
  <c r="BE290" i="42"/>
  <c r="BF290" i="42"/>
  <c r="BG290" i="42"/>
  <c r="BH290" i="42"/>
  <c r="BI290" i="42"/>
  <c r="BJ290" i="42"/>
  <c r="BK290" i="42"/>
  <c r="BL290" i="42"/>
  <c r="BM290" i="42"/>
  <c r="BN290" i="42"/>
  <c r="BN292" i="42" s="1"/>
  <c r="BO290" i="42"/>
  <c r="BP290" i="42"/>
  <c r="BQ290" i="42"/>
  <c r="BR290" i="42"/>
  <c r="BS290" i="42"/>
  <c r="E291" i="42"/>
  <c r="F291" i="42"/>
  <c r="G291" i="42"/>
  <c r="G292" i="42" s="1"/>
  <c r="H291" i="42"/>
  <c r="H292" i="42" s="1"/>
  <c r="I291" i="42"/>
  <c r="I292" i="42" s="1"/>
  <c r="J291" i="42"/>
  <c r="K291" i="42"/>
  <c r="L291" i="42"/>
  <c r="M291" i="42"/>
  <c r="N291" i="42"/>
  <c r="O291" i="42"/>
  <c r="O292" i="42" s="1"/>
  <c r="P291" i="42"/>
  <c r="P292" i="42" s="1"/>
  <c r="Q291" i="42"/>
  <c r="Q292" i="42" s="1"/>
  <c r="R291" i="42"/>
  <c r="S291" i="42"/>
  <c r="T291" i="42"/>
  <c r="U291" i="42"/>
  <c r="V291" i="42"/>
  <c r="W291" i="42"/>
  <c r="W292" i="42" s="1"/>
  <c r="X291" i="42"/>
  <c r="X292" i="42" s="1"/>
  <c r="Y291" i="42"/>
  <c r="Y292" i="42" s="1"/>
  <c r="Z291" i="42"/>
  <c r="AA291" i="42"/>
  <c r="AB291" i="42"/>
  <c r="AC291" i="42"/>
  <c r="AD291" i="42"/>
  <c r="AE291" i="42"/>
  <c r="AF291" i="42"/>
  <c r="AF292" i="42" s="1"/>
  <c r="AG291" i="42"/>
  <c r="AG292" i="42" s="1"/>
  <c r="AH291" i="42"/>
  <c r="AI291" i="42"/>
  <c r="AJ291" i="42"/>
  <c r="AK291" i="42"/>
  <c r="AL291" i="42"/>
  <c r="AM291" i="42"/>
  <c r="AM292" i="42" s="1"/>
  <c r="AN291" i="42"/>
  <c r="AN292" i="42" s="1"/>
  <c r="AO291" i="42"/>
  <c r="AP291" i="42"/>
  <c r="AQ291" i="42"/>
  <c r="AR291" i="42"/>
  <c r="AS291" i="42"/>
  <c r="AT291" i="42"/>
  <c r="AU291" i="42"/>
  <c r="AU292" i="42" s="1"/>
  <c r="AV291" i="42"/>
  <c r="AV292" i="42" s="1"/>
  <c r="AW291" i="42"/>
  <c r="AW292" i="42" s="1"/>
  <c r="AX291" i="42"/>
  <c r="AY291" i="42"/>
  <c r="AZ291" i="42"/>
  <c r="BA291" i="42"/>
  <c r="BB291" i="42"/>
  <c r="BC291" i="42"/>
  <c r="BC292" i="42" s="1"/>
  <c r="BD291" i="42"/>
  <c r="BD292" i="42" s="1"/>
  <c r="BE291" i="42"/>
  <c r="BE292" i="42" s="1"/>
  <c r="BF291" i="42"/>
  <c r="BG291" i="42"/>
  <c r="BH291" i="42"/>
  <c r="BI291" i="42"/>
  <c r="BJ291" i="42"/>
  <c r="BK291" i="42"/>
  <c r="BK292" i="42" s="1"/>
  <c r="BL291" i="42"/>
  <c r="BL292" i="42" s="1"/>
  <c r="BM291" i="42"/>
  <c r="BM292" i="42" s="1"/>
  <c r="BN291" i="42"/>
  <c r="BO291" i="42"/>
  <c r="BP291" i="42"/>
  <c r="BQ291" i="42"/>
  <c r="BR291" i="42"/>
  <c r="BS291" i="42"/>
  <c r="BS292" i="42" s="1"/>
  <c r="E292" i="42"/>
  <c r="F292" i="42"/>
  <c r="M292" i="42"/>
  <c r="N292" i="42"/>
  <c r="R292" i="42"/>
  <c r="U292" i="42"/>
  <c r="V292" i="42"/>
  <c r="AC292" i="42"/>
  <c r="AD292" i="42"/>
  <c r="AK292" i="42"/>
  <c r="AS292" i="42"/>
  <c r="BA292" i="42"/>
  <c r="BF292" i="42"/>
  <c r="BI292" i="42"/>
  <c r="BQ292" i="42"/>
  <c r="E293" i="42"/>
  <c r="F293" i="42"/>
  <c r="G293" i="42"/>
  <c r="H293" i="42"/>
  <c r="I293" i="42"/>
  <c r="J293" i="42"/>
  <c r="K293" i="42"/>
  <c r="L293" i="42"/>
  <c r="M293" i="42"/>
  <c r="N293" i="42"/>
  <c r="O293" i="42"/>
  <c r="P293" i="42"/>
  <c r="Q293" i="42"/>
  <c r="R293" i="42"/>
  <c r="S293" i="42"/>
  <c r="T293" i="42"/>
  <c r="U293" i="42"/>
  <c r="V293" i="42"/>
  <c r="W293" i="42"/>
  <c r="X293" i="42"/>
  <c r="Y293" i="42"/>
  <c r="Z293" i="42"/>
  <c r="AA293" i="42"/>
  <c r="AB293" i="42"/>
  <c r="AC293" i="42"/>
  <c r="AD293" i="42"/>
  <c r="AE293" i="42"/>
  <c r="AF293" i="42"/>
  <c r="AG293" i="42"/>
  <c r="AH293" i="42"/>
  <c r="AI293" i="42"/>
  <c r="AJ293" i="42"/>
  <c r="AK293" i="42"/>
  <c r="AL293" i="42"/>
  <c r="AM293" i="42"/>
  <c r="AN293" i="42"/>
  <c r="AO293" i="42"/>
  <c r="AP293" i="42"/>
  <c r="AQ293" i="42"/>
  <c r="AR293" i="42"/>
  <c r="AS293" i="42"/>
  <c r="AT293" i="42"/>
  <c r="AU293" i="42"/>
  <c r="AV293" i="42"/>
  <c r="AW293" i="42"/>
  <c r="AX293" i="42"/>
  <c r="AY293" i="42"/>
  <c r="AZ293" i="42"/>
  <c r="BA293" i="42"/>
  <c r="BB293" i="42"/>
  <c r="BC293" i="42"/>
  <c r="BD293" i="42"/>
  <c r="BE293" i="42"/>
  <c r="BF293" i="42"/>
  <c r="BG293" i="42"/>
  <c r="BH293" i="42"/>
  <c r="BI293" i="42"/>
  <c r="BJ293" i="42"/>
  <c r="BK293" i="42"/>
  <c r="BL293" i="42"/>
  <c r="BM293" i="42"/>
  <c r="BN293" i="42"/>
  <c r="BO293" i="42"/>
  <c r="BP293" i="42"/>
  <c r="BQ293" i="42"/>
  <c r="BR293" i="42"/>
  <c r="BS293" i="42"/>
  <c r="E294" i="42"/>
  <c r="F294" i="42"/>
  <c r="G294" i="42"/>
  <c r="H294" i="42"/>
  <c r="I294" i="42"/>
  <c r="J294" i="42"/>
  <c r="K294" i="42"/>
  <c r="L294" i="42"/>
  <c r="M294" i="42"/>
  <c r="N294" i="42"/>
  <c r="O294" i="42"/>
  <c r="P294" i="42"/>
  <c r="Q294" i="42"/>
  <c r="R294" i="42"/>
  <c r="S294" i="42"/>
  <c r="T294" i="42"/>
  <c r="U294" i="42"/>
  <c r="V294" i="42"/>
  <c r="W294" i="42"/>
  <c r="X294" i="42"/>
  <c r="Y294" i="42"/>
  <c r="Z294" i="42"/>
  <c r="AA294" i="42"/>
  <c r="AB294" i="42"/>
  <c r="AC294" i="42"/>
  <c r="AD294" i="42"/>
  <c r="AE294" i="42"/>
  <c r="AF294" i="42"/>
  <c r="AG294" i="42"/>
  <c r="AH294" i="42"/>
  <c r="AI294" i="42"/>
  <c r="AJ294" i="42"/>
  <c r="AK294" i="42"/>
  <c r="AL294" i="42"/>
  <c r="AM294" i="42"/>
  <c r="AN294" i="42"/>
  <c r="AO294" i="42"/>
  <c r="AP294" i="42"/>
  <c r="AQ294" i="42"/>
  <c r="AR294" i="42"/>
  <c r="AS294" i="42"/>
  <c r="AT294" i="42"/>
  <c r="AU294" i="42"/>
  <c r="AV294" i="42"/>
  <c r="AW294" i="42"/>
  <c r="AX294" i="42"/>
  <c r="AY294" i="42"/>
  <c r="AZ294" i="42"/>
  <c r="BA294" i="42"/>
  <c r="BB294" i="42"/>
  <c r="BC294" i="42"/>
  <c r="BD294" i="42"/>
  <c r="BE294" i="42"/>
  <c r="BF294" i="42"/>
  <c r="BG294" i="42"/>
  <c r="BH294" i="42"/>
  <c r="BI294" i="42"/>
  <c r="BJ294" i="42"/>
  <c r="BK294" i="42"/>
  <c r="BL294" i="42"/>
  <c r="BM294" i="42"/>
  <c r="BN294" i="42"/>
  <c r="BO294" i="42"/>
  <c r="BP294" i="42"/>
  <c r="BQ294" i="42"/>
  <c r="BR294" i="42"/>
  <c r="BS294" i="42"/>
  <c r="E295" i="42"/>
  <c r="F295" i="42"/>
  <c r="G295" i="42"/>
  <c r="H295" i="42"/>
  <c r="I295" i="42"/>
  <c r="J295" i="42"/>
  <c r="K295" i="42"/>
  <c r="L295" i="42"/>
  <c r="M295" i="42"/>
  <c r="N295" i="42"/>
  <c r="O295" i="42"/>
  <c r="P295" i="42"/>
  <c r="Q295" i="42"/>
  <c r="R295" i="42"/>
  <c r="S295" i="42"/>
  <c r="T295" i="42"/>
  <c r="U295" i="42"/>
  <c r="V295" i="42"/>
  <c r="W295" i="42"/>
  <c r="X295" i="42"/>
  <c r="Y295" i="42"/>
  <c r="Z295" i="42"/>
  <c r="AA295" i="42"/>
  <c r="AB295" i="42"/>
  <c r="AC295" i="42"/>
  <c r="AD295" i="42"/>
  <c r="AE295" i="42"/>
  <c r="AF295" i="42"/>
  <c r="AG295" i="42"/>
  <c r="AH295" i="42"/>
  <c r="AI295" i="42"/>
  <c r="AJ295" i="42"/>
  <c r="AK295" i="42"/>
  <c r="AL295" i="42"/>
  <c r="AM295" i="42"/>
  <c r="AN295" i="42"/>
  <c r="AO295" i="42"/>
  <c r="AP295" i="42"/>
  <c r="AQ295" i="42"/>
  <c r="AR295" i="42"/>
  <c r="AS295" i="42"/>
  <c r="AT295" i="42"/>
  <c r="AU295" i="42"/>
  <c r="AV295" i="42"/>
  <c r="AW295" i="42"/>
  <c r="AX295" i="42"/>
  <c r="AY295" i="42"/>
  <c r="AZ295" i="42"/>
  <c r="BA295" i="42"/>
  <c r="BB295" i="42"/>
  <c r="BC295" i="42"/>
  <c r="BD295" i="42"/>
  <c r="BE295" i="42"/>
  <c r="BF295" i="42"/>
  <c r="BG295" i="42"/>
  <c r="BH295" i="42"/>
  <c r="BI295" i="42"/>
  <c r="BJ295" i="42"/>
  <c r="BK295" i="42"/>
  <c r="BL295" i="42"/>
  <c r="BM295" i="42"/>
  <c r="BN295" i="42"/>
  <c r="BO295" i="42"/>
  <c r="BP295" i="42"/>
  <c r="BQ295" i="42"/>
  <c r="BR295" i="42"/>
  <c r="BS295" i="42"/>
  <c r="E296" i="42"/>
  <c r="F296" i="42"/>
  <c r="G296" i="42"/>
  <c r="H296" i="42"/>
  <c r="I296" i="42"/>
  <c r="J296" i="42"/>
  <c r="K296" i="42"/>
  <c r="L296" i="42"/>
  <c r="M296" i="42"/>
  <c r="N296" i="42"/>
  <c r="O296" i="42"/>
  <c r="P296" i="42"/>
  <c r="Q296" i="42"/>
  <c r="R296" i="42"/>
  <c r="S296" i="42"/>
  <c r="T296" i="42"/>
  <c r="U296" i="42"/>
  <c r="V296" i="42"/>
  <c r="W296" i="42"/>
  <c r="X296" i="42"/>
  <c r="Y296" i="42"/>
  <c r="Z296" i="42"/>
  <c r="AA296" i="42"/>
  <c r="AB296" i="42"/>
  <c r="AC296" i="42"/>
  <c r="AD296" i="42"/>
  <c r="AE296" i="42"/>
  <c r="AF296" i="42"/>
  <c r="AG296" i="42"/>
  <c r="AH296" i="42"/>
  <c r="AI296" i="42"/>
  <c r="AJ296" i="42"/>
  <c r="AK296" i="42"/>
  <c r="AL296" i="42"/>
  <c r="AM296" i="42"/>
  <c r="AN296" i="42"/>
  <c r="AO296" i="42"/>
  <c r="AP296" i="42"/>
  <c r="AQ296" i="42"/>
  <c r="AR296" i="42"/>
  <c r="AS296" i="42"/>
  <c r="AT296" i="42"/>
  <c r="AU296" i="42"/>
  <c r="AV296" i="42"/>
  <c r="AW296" i="42"/>
  <c r="AX296" i="42"/>
  <c r="AY296" i="42"/>
  <c r="AZ296" i="42"/>
  <c r="BA296" i="42"/>
  <c r="BB296" i="42"/>
  <c r="BC296" i="42"/>
  <c r="BD296" i="42"/>
  <c r="BE296" i="42"/>
  <c r="BF296" i="42"/>
  <c r="BG296" i="42"/>
  <c r="BH296" i="42"/>
  <c r="BI296" i="42"/>
  <c r="BJ296" i="42"/>
  <c r="BK296" i="42"/>
  <c r="BL296" i="42"/>
  <c r="BM296" i="42"/>
  <c r="BN296" i="42"/>
  <c r="BO296" i="42"/>
  <c r="BP296" i="42"/>
  <c r="BQ296" i="42"/>
  <c r="BR296" i="42"/>
  <c r="BS296" i="42"/>
  <c r="E297" i="42"/>
  <c r="F297" i="42"/>
  <c r="G297" i="42"/>
  <c r="H297" i="42"/>
  <c r="I297" i="42"/>
  <c r="J297" i="42"/>
  <c r="K297" i="42"/>
  <c r="L297" i="42"/>
  <c r="M297" i="42"/>
  <c r="N297" i="42"/>
  <c r="O297" i="42"/>
  <c r="P297" i="42"/>
  <c r="Q297" i="42"/>
  <c r="R297" i="42"/>
  <c r="S297" i="42"/>
  <c r="T297" i="42"/>
  <c r="U297" i="42"/>
  <c r="V297" i="42"/>
  <c r="W297" i="42"/>
  <c r="X297" i="42"/>
  <c r="Y297" i="42"/>
  <c r="Z297" i="42"/>
  <c r="AA297" i="42"/>
  <c r="AB297" i="42"/>
  <c r="AC297" i="42"/>
  <c r="AD297" i="42"/>
  <c r="AE297" i="42"/>
  <c r="AF297" i="42"/>
  <c r="AG297" i="42"/>
  <c r="AH297" i="42"/>
  <c r="AI297" i="42"/>
  <c r="AJ297" i="42"/>
  <c r="AK297" i="42"/>
  <c r="AL297" i="42"/>
  <c r="AM297" i="42"/>
  <c r="AN297" i="42"/>
  <c r="AO297" i="42"/>
  <c r="AP297" i="42"/>
  <c r="AQ297" i="42"/>
  <c r="AR297" i="42"/>
  <c r="AS297" i="42"/>
  <c r="AT297" i="42"/>
  <c r="AU297" i="42"/>
  <c r="AV297" i="42"/>
  <c r="AW297" i="42"/>
  <c r="AX297" i="42"/>
  <c r="AY297" i="42"/>
  <c r="AZ297" i="42"/>
  <c r="BA297" i="42"/>
  <c r="BB297" i="42"/>
  <c r="BC297" i="42"/>
  <c r="BD297" i="42"/>
  <c r="BE297" i="42"/>
  <c r="BF297" i="42"/>
  <c r="BG297" i="42"/>
  <c r="BH297" i="42"/>
  <c r="BI297" i="42"/>
  <c r="BJ297" i="42"/>
  <c r="BK297" i="42"/>
  <c r="BL297" i="42"/>
  <c r="BM297" i="42"/>
  <c r="BN297" i="42"/>
  <c r="BO297" i="42"/>
  <c r="BP297" i="42"/>
  <c r="BQ297" i="42"/>
  <c r="BR297" i="42"/>
  <c r="BS297" i="42"/>
  <c r="AE292" i="42" l="1"/>
  <c r="CE292" i="42"/>
  <c r="BW292" i="42"/>
  <c r="CA292" i="42"/>
  <c r="AZ292" i="42"/>
  <c r="AB292" i="42"/>
  <c r="BZ292" i="42"/>
  <c r="BY292" i="42"/>
  <c r="AO292" i="42"/>
  <c r="BP292" i="42"/>
  <c r="BH292" i="42"/>
  <c r="AR292" i="42"/>
  <c r="AJ292" i="42"/>
  <c r="T292" i="42"/>
  <c r="L292" i="42"/>
  <c r="BO292" i="42"/>
  <c r="BG292" i="42"/>
  <c r="AY292" i="42"/>
  <c r="AQ292" i="42"/>
  <c r="AI292" i="42"/>
  <c r="AA292" i="42"/>
  <c r="S292" i="42"/>
  <c r="K292" i="42"/>
  <c r="BR292" i="42"/>
  <c r="BJ292" i="42"/>
  <c r="BB292" i="42"/>
  <c r="AT292" i="42"/>
  <c r="AL292" i="42"/>
  <c r="X201" i="28" l="1"/>
  <c r="W76" i="28"/>
  <c r="W77" i="28"/>
  <c r="W78" i="28"/>
  <c r="W79" i="28"/>
  <c r="W80" i="28"/>
  <c r="W81" i="28"/>
  <c r="W169" i="28"/>
  <c r="W191" i="28"/>
  <c r="W192" i="28"/>
  <c r="W193" i="28"/>
  <c r="W201" i="28"/>
  <c r="W215" i="28"/>
  <c r="W4" i="28"/>
  <c r="E179" i="28"/>
  <c r="BS301" i="36" l="1"/>
  <c r="BR301" i="36"/>
  <c r="BQ301" i="36"/>
  <c r="BP301" i="36"/>
  <c r="BO301" i="36"/>
  <c r="BN301" i="36"/>
  <c r="BM301" i="36"/>
  <c r="BL301" i="36"/>
  <c r="BK301" i="36"/>
  <c r="BJ301" i="36"/>
  <c r="BI301" i="36"/>
  <c r="BH301" i="36"/>
  <c r="BG301" i="36"/>
  <c r="BF301" i="36"/>
  <c r="BE301" i="36"/>
  <c r="BD301" i="36"/>
  <c r="BC301" i="36"/>
  <c r="BB301" i="36"/>
  <c r="BA301" i="36"/>
  <c r="AZ301" i="36"/>
  <c r="AY301" i="36"/>
  <c r="AX301" i="36"/>
  <c r="AW301" i="36"/>
  <c r="AV301" i="36"/>
  <c r="AU301" i="36"/>
  <c r="AT301" i="36"/>
  <c r="AS301" i="36"/>
  <c r="AR301" i="36"/>
  <c r="AQ301" i="36"/>
  <c r="AP301" i="36"/>
  <c r="AO301" i="36"/>
  <c r="AN301" i="36"/>
  <c r="AM301" i="36"/>
  <c r="AL301" i="36"/>
  <c r="AK301" i="36"/>
  <c r="AJ301" i="36"/>
  <c r="AI301" i="36"/>
  <c r="AH301" i="36"/>
  <c r="AG301" i="36"/>
  <c r="AF301" i="36"/>
  <c r="AE301" i="36"/>
  <c r="AD301" i="36"/>
  <c r="AC301" i="36"/>
  <c r="AB301" i="36"/>
  <c r="AA301" i="36"/>
  <c r="Z301" i="36"/>
  <c r="Y301" i="36"/>
  <c r="X301" i="36"/>
  <c r="W301" i="36"/>
  <c r="V301" i="36"/>
  <c r="U301" i="36"/>
  <c r="T301" i="36"/>
  <c r="S301" i="36"/>
  <c r="R301" i="36"/>
  <c r="Q301" i="36"/>
  <c r="P301" i="36"/>
  <c r="O301" i="36"/>
  <c r="N301" i="36"/>
  <c r="M301" i="36"/>
  <c r="L301" i="36"/>
  <c r="K301" i="36"/>
  <c r="J301" i="36"/>
  <c r="I301" i="36"/>
  <c r="H301" i="36"/>
  <c r="G301" i="36"/>
  <c r="F301" i="36"/>
  <c r="E301" i="36"/>
  <c r="BS298" i="36"/>
  <c r="BR298" i="36"/>
  <c r="BQ298" i="36"/>
  <c r="BP298" i="36"/>
  <c r="BO298" i="36"/>
  <c r="BN298" i="36"/>
  <c r="BM298" i="36"/>
  <c r="BL298" i="36"/>
  <c r="BK298" i="36"/>
  <c r="BJ298" i="36"/>
  <c r="BI298" i="36"/>
  <c r="BH298" i="36"/>
  <c r="BG298" i="36"/>
  <c r="BF298" i="36"/>
  <c r="BE298" i="36"/>
  <c r="BD298" i="36"/>
  <c r="BC298" i="36"/>
  <c r="BB298" i="36"/>
  <c r="BA298" i="36"/>
  <c r="AZ298" i="36"/>
  <c r="AY298" i="36"/>
  <c r="AX298" i="36"/>
  <c r="AW298" i="36"/>
  <c r="AV298" i="36"/>
  <c r="AU298" i="36"/>
  <c r="AT298" i="36"/>
  <c r="AS298" i="36"/>
  <c r="AR298" i="36"/>
  <c r="AQ298" i="36"/>
  <c r="AP298" i="36"/>
  <c r="AO298" i="36"/>
  <c r="AN298" i="36"/>
  <c r="AM298" i="36"/>
  <c r="AL298" i="36"/>
  <c r="AK298" i="36"/>
  <c r="AJ298" i="36"/>
  <c r="AI298" i="36"/>
  <c r="AH298" i="36"/>
  <c r="AG298" i="36"/>
  <c r="AF298" i="36"/>
  <c r="AE298" i="36"/>
  <c r="AD298" i="36"/>
  <c r="AC298" i="36"/>
  <c r="AB298" i="36"/>
  <c r="AA298" i="36"/>
  <c r="Z298" i="36"/>
  <c r="Y298" i="36"/>
  <c r="X298" i="36"/>
  <c r="W298" i="36"/>
  <c r="V298" i="36"/>
  <c r="U298" i="36"/>
  <c r="T298" i="36"/>
  <c r="S298" i="36"/>
  <c r="R298" i="36"/>
  <c r="Q298" i="36"/>
  <c r="P298" i="36"/>
  <c r="O298" i="36"/>
  <c r="N298" i="36"/>
  <c r="M298" i="36"/>
  <c r="L298" i="36"/>
  <c r="K298" i="36"/>
  <c r="J298" i="36"/>
  <c r="I298" i="36"/>
  <c r="H298" i="36"/>
  <c r="G298" i="36"/>
  <c r="F298" i="36"/>
  <c r="E298" i="36"/>
  <c r="BS297" i="36"/>
  <c r="BR297" i="36"/>
  <c r="BQ297" i="36"/>
  <c r="BP297" i="36"/>
  <c r="BO297" i="36"/>
  <c r="BN297" i="36"/>
  <c r="BN299" i="36" s="1"/>
  <c r="BM297" i="36"/>
  <c r="BM299" i="36" s="1"/>
  <c r="BL297" i="36"/>
  <c r="BL299" i="36" s="1"/>
  <c r="BK297" i="36"/>
  <c r="BJ297" i="36"/>
  <c r="BI297" i="36"/>
  <c r="BI299" i="36" s="1"/>
  <c r="BI305" i="36" s="1"/>
  <c r="BH297" i="36"/>
  <c r="BG297" i="36"/>
  <c r="BF297" i="36"/>
  <c r="BF299" i="36" s="1"/>
  <c r="BF305" i="36" s="1"/>
  <c r="BE297" i="36"/>
  <c r="BE299" i="36" s="1"/>
  <c r="BD297" i="36"/>
  <c r="BD299" i="36" s="1"/>
  <c r="BC297" i="36"/>
  <c r="BC299" i="36" s="1"/>
  <c r="BC305" i="36" s="1"/>
  <c r="BB297" i="36"/>
  <c r="BA297" i="36"/>
  <c r="BA299" i="36" s="1"/>
  <c r="BA305" i="36" s="1"/>
  <c r="AZ297" i="36"/>
  <c r="AY297" i="36"/>
  <c r="AX297" i="36"/>
  <c r="AX299" i="36" s="1"/>
  <c r="AX305" i="36" s="1"/>
  <c r="AW297" i="36"/>
  <c r="AW299" i="36" s="1"/>
  <c r="AV297" i="36"/>
  <c r="AV299" i="36" s="1"/>
  <c r="AU297" i="36"/>
  <c r="AU299" i="36" s="1"/>
  <c r="AU305" i="36" s="1"/>
  <c r="AT297" i="36"/>
  <c r="AS297" i="36"/>
  <c r="AS299" i="36" s="1"/>
  <c r="AS305" i="36" s="1"/>
  <c r="AR297" i="36"/>
  <c r="AQ297" i="36"/>
  <c r="AP297" i="36"/>
  <c r="AP299" i="36" s="1"/>
  <c r="AP305" i="36" s="1"/>
  <c r="AO297" i="36"/>
  <c r="AO299" i="36" s="1"/>
  <c r="AN297" i="36"/>
  <c r="AN299" i="36" s="1"/>
  <c r="AM297" i="36"/>
  <c r="AM299" i="36" s="1"/>
  <c r="AM305" i="36" s="1"/>
  <c r="AL297" i="36"/>
  <c r="AK297" i="36"/>
  <c r="AK299" i="36" s="1"/>
  <c r="AK305" i="36" s="1"/>
  <c r="AJ297" i="36"/>
  <c r="AI297" i="36"/>
  <c r="AH297" i="36"/>
  <c r="AH299" i="36" s="1"/>
  <c r="AH305" i="36" s="1"/>
  <c r="AG297" i="36"/>
  <c r="AG299" i="36" s="1"/>
  <c r="AF297" i="36"/>
  <c r="AF299" i="36" s="1"/>
  <c r="AE297" i="36"/>
  <c r="AE299" i="36" s="1"/>
  <c r="AE305" i="36" s="1"/>
  <c r="AD297" i="36"/>
  <c r="AC297" i="36"/>
  <c r="AC299" i="36" s="1"/>
  <c r="AC305" i="36" s="1"/>
  <c r="AB297" i="36"/>
  <c r="AA297" i="36"/>
  <c r="Z297" i="36"/>
  <c r="Z299" i="36" s="1"/>
  <c r="Z305" i="36" s="1"/>
  <c r="Y297" i="36"/>
  <c r="Y299" i="36" s="1"/>
  <c r="X297" i="36"/>
  <c r="X299" i="36" s="1"/>
  <c r="W297" i="36"/>
  <c r="W299" i="36" s="1"/>
  <c r="W305" i="36" s="1"/>
  <c r="V297" i="36"/>
  <c r="U297" i="36"/>
  <c r="U299" i="36" s="1"/>
  <c r="U305" i="36" s="1"/>
  <c r="T297" i="36"/>
  <c r="S297" i="36"/>
  <c r="R297" i="36"/>
  <c r="R299" i="36" s="1"/>
  <c r="R305" i="36" s="1"/>
  <c r="Q297" i="36"/>
  <c r="Q299" i="36" s="1"/>
  <c r="P297" i="36"/>
  <c r="P299" i="36" s="1"/>
  <c r="O297" i="36"/>
  <c r="O299" i="36" s="1"/>
  <c r="O305" i="36" s="1"/>
  <c r="N297" i="36"/>
  <c r="M297" i="36"/>
  <c r="M299" i="36" s="1"/>
  <c r="M305" i="36" s="1"/>
  <c r="L297" i="36"/>
  <c r="K297" i="36"/>
  <c r="J297" i="36"/>
  <c r="J299" i="36" s="1"/>
  <c r="J305" i="36" s="1"/>
  <c r="I297" i="36"/>
  <c r="I299" i="36" s="1"/>
  <c r="H297" i="36"/>
  <c r="H299" i="36" s="1"/>
  <c r="G297" i="36"/>
  <c r="G299" i="36" s="1"/>
  <c r="G305" i="36" s="1"/>
  <c r="F297" i="36"/>
  <c r="E297" i="36"/>
  <c r="E299" i="36" s="1"/>
  <c r="E305" i="36" s="1"/>
  <c r="BS296" i="36"/>
  <c r="BR296" i="36"/>
  <c r="BQ296" i="36"/>
  <c r="BP296" i="36"/>
  <c r="BO296" i="36"/>
  <c r="BN296" i="36"/>
  <c r="BM296" i="36"/>
  <c r="BL296" i="36"/>
  <c r="BK296" i="36"/>
  <c r="BJ296" i="36"/>
  <c r="BI296" i="36"/>
  <c r="BH296" i="36"/>
  <c r="BG296" i="36"/>
  <c r="BF296" i="36"/>
  <c r="BE296" i="36"/>
  <c r="BD296" i="36"/>
  <c r="BC296" i="36"/>
  <c r="BB296" i="36"/>
  <c r="BA296" i="36"/>
  <c r="AZ296" i="36"/>
  <c r="AY296" i="36"/>
  <c r="AX296" i="36"/>
  <c r="AW296" i="36"/>
  <c r="AV296" i="36"/>
  <c r="AU296" i="36"/>
  <c r="AT296" i="36"/>
  <c r="AS296" i="36"/>
  <c r="AR296" i="36"/>
  <c r="AQ296" i="36"/>
  <c r="AP296" i="36"/>
  <c r="AO296" i="36"/>
  <c r="AN296" i="36"/>
  <c r="AM296" i="36"/>
  <c r="AL296" i="36"/>
  <c r="AK296" i="36"/>
  <c r="AJ296" i="36"/>
  <c r="AI296" i="36"/>
  <c r="AH296" i="36"/>
  <c r="AG296" i="36"/>
  <c r="AF296" i="36"/>
  <c r="AE296" i="36"/>
  <c r="AD296" i="36"/>
  <c r="AC296" i="36"/>
  <c r="AB296" i="36"/>
  <c r="AA296" i="36"/>
  <c r="Z296" i="36"/>
  <c r="Y296" i="36"/>
  <c r="X296" i="36"/>
  <c r="W296" i="36"/>
  <c r="V296" i="36"/>
  <c r="U296" i="36"/>
  <c r="T296" i="36"/>
  <c r="S296" i="36"/>
  <c r="R296" i="36"/>
  <c r="Q296" i="36"/>
  <c r="P296" i="36"/>
  <c r="O296" i="36"/>
  <c r="N296" i="36"/>
  <c r="M296" i="36"/>
  <c r="L296" i="36"/>
  <c r="K296" i="36"/>
  <c r="J296" i="36"/>
  <c r="I296" i="36"/>
  <c r="H296" i="36"/>
  <c r="G296" i="36"/>
  <c r="F296" i="36"/>
  <c r="E296" i="36"/>
  <c r="BS295" i="36"/>
  <c r="BR295" i="36"/>
  <c r="BQ295" i="36"/>
  <c r="BP295" i="36"/>
  <c r="BO295" i="36"/>
  <c r="BN295" i="36"/>
  <c r="BM295" i="36"/>
  <c r="BL295" i="36"/>
  <c r="BK295" i="36"/>
  <c r="BJ295" i="36"/>
  <c r="BI295" i="36"/>
  <c r="BH295" i="36"/>
  <c r="BG295" i="36"/>
  <c r="BF295" i="36"/>
  <c r="BE295" i="36"/>
  <c r="BD295" i="36"/>
  <c r="BC295" i="36"/>
  <c r="BB295" i="36"/>
  <c r="BA295" i="36"/>
  <c r="AZ295" i="36"/>
  <c r="AY295" i="36"/>
  <c r="AX295" i="36"/>
  <c r="AW295" i="36"/>
  <c r="AV295" i="36"/>
  <c r="AU295" i="36"/>
  <c r="AT295" i="36"/>
  <c r="AS295" i="36"/>
  <c r="AR295" i="36"/>
  <c r="AQ295" i="36"/>
  <c r="AP295" i="36"/>
  <c r="AO295" i="36"/>
  <c r="AN295" i="36"/>
  <c r="AM295" i="36"/>
  <c r="AL295" i="36"/>
  <c r="AK295" i="36"/>
  <c r="AJ295" i="36"/>
  <c r="AI295" i="36"/>
  <c r="AH295" i="36"/>
  <c r="AG295" i="36"/>
  <c r="AF295" i="36"/>
  <c r="AE295" i="36"/>
  <c r="AD295" i="36"/>
  <c r="AC295" i="36"/>
  <c r="AB295" i="36"/>
  <c r="AA295" i="36"/>
  <c r="Z295" i="36"/>
  <c r="Y295" i="36"/>
  <c r="X295" i="36"/>
  <c r="W295" i="36"/>
  <c r="V295" i="36"/>
  <c r="U295" i="36"/>
  <c r="T295" i="36"/>
  <c r="S295" i="36"/>
  <c r="R295" i="36"/>
  <c r="Q295" i="36"/>
  <c r="P295" i="36"/>
  <c r="O295" i="36"/>
  <c r="N295" i="36"/>
  <c r="M295" i="36"/>
  <c r="L295" i="36"/>
  <c r="K295" i="36"/>
  <c r="J295" i="36"/>
  <c r="I295" i="36"/>
  <c r="H295" i="36"/>
  <c r="G295" i="36"/>
  <c r="F295" i="36"/>
  <c r="E295" i="36"/>
  <c r="BS294" i="36"/>
  <c r="BR294" i="36"/>
  <c r="BQ294" i="36"/>
  <c r="BP294" i="36"/>
  <c r="BO294" i="36"/>
  <c r="BN294" i="36"/>
  <c r="BM294" i="36"/>
  <c r="BL294" i="36"/>
  <c r="BK294" i="36"/>
  <c r="BJ294" i="36"/>
  <c r="BI294" i="36"/>
  <c r="BH294" i="36"/>
  <c r="BG294" i="36"/>
  <c r="BF294" i="36"/>
  <c r="BE294" i="36"/>
  <c r="BD294" i="36"/>
  <c r="BC294" i="36"/>
  <c r="BB294" i="36"/>
  <c r="BA294" i="36"/>
  <c r="AZ294" i="36"/>
  <c r="AY294" i="36"/>
  <c r="AX294" i="36"/>
  <c r="AW294" i="36"/>
  <c r="AV294" i="36"/>
  <c r="AU294" i="36"/>
  <c r="AT294" i="36"/>
  <c r="AS294" i="36"/>
  <c r="AR294" i="36"/>
  <c r="AQ294" i="36"/>
  <c r="AP294" i="36"/>
  <c r="AO294" i="36"/>
  <c r="AN294" i="36"/>
  <c r="AM294" i="36"/>
  <c r="AL294" i="36"/>
  <c r="AK294" i="36"/>
  <c r="AJ294" i="36"/>
  <c r="AI294" i="36"/>
  <c r="AH294" i="36"/>
  <c r="AG294" i="36"/>
  <c r="AF294" i="36"/>
  <c r="AE294" i="36"/>
  <c r="AD294" i="36"/>
  <c r="AC294" i="36"/>
  <c r="AB294" i="36"/>
  <c r="AA294" i="36"/>
  <c r="Z294" i="36"/>
  <c r="Y294" i="36"/>
  <c r="X294" i="36"/>
  <c r="W294" i="36"/>
  <c r="V294" i="36"/>
  <c r="U294" i="36"/>
  <c r="T294" i="36"/>
  <c r="S294" i="36"/>
  <c r="R294" i="36"/>
  <c r="Q294" i="36"/>
  <c r="P294" i="36"/>
  <c r="O294" i="36"/>
  <c r="N294" i="36"/>
  <c r="M294" i="36"/>
  <c r="L294" i="36"/>
  <c r="K294" i="36"/>
  <c r="J294" i="36"/>
  <c r="I294" i="36"/>
  <c r="H294" i="36"/>
  <c r="G294" i="36"/>
  <c r="F294" i="36"/>
  <c r="E294" i="36"/>
  <c r="BS293" i="36"/>
  <c r="BR293" i="36"/>
  <c r="BQ293" i="36"/>
  <c r="BP293" i="36"/>
  <c r="BO293" i="36"/>
  <c r="BN293" i="36"/>
  <c r="BM293" i="36"/>
  <c r="BL293" i="36"/>
  <c r="BK293" i="36"/>
  <c r="BJ293" i="36"/>
  <c r="BI293" i="36"/>
  <c r="BH293" i="36"/>
  <c r="BG293" i="36"/>
  <c r="BF293" i="36"/>
  <c r="BE293" i="36"/>
  <c r="BD293" i="36"/>
  <c r="BC293" i="36"/>
  <c r="BB293" i="36"/>
  <c r="BA293" i="36"/>
  <c r="AZ293" i="36"/>
  <c r="AY293" i="36"/>
  <c r="AX293" i="36"/>
  <c r="AW293" i="36"/>
  <c r="AV293" i="36"/>
  <c r="AU293" i="36"/>
  <c r="AT293" i="36"/>
  <c r="AS293" i="36"/>
  <c r="AR293" i="36"/>
  <c r="AQ293" i="36"/>
  <c r="AP293" i="36"/>
  <c r="AO293" i="36"/>
  <c r="AN293" i="36"/>
  <c r="AM293" i="36"/>
  <c r="AL293" i="36"/>
  <c r="AK293" i="36"/>
  <c r="AJ293" i="36"/>
  <c r="AI293" i="36"/>
  <c r="AH293" i="36"/>
  <c r="AG293" i="36"/>
  <c r="AF293" i="36"/>
  <c r="AE293" i="36"/>
  <c r="AD293" i="36"/>
  <c r="AC293" i="36"/>
  <c r="AB293" i="36"/>
  <c r="AA293" i="36"/>
  <c r="Z293" i="36"/>
  <c r="Y293" i="36"/>
  <c r="X293" i="36"/>
  <c r="W293" i="36"/>
  <c r="V293" i="36"/>
  <c r="U293" i="36"/>
  <c r="T293" i="36"/>
  <c r="S293" i="36"/>
  <c r="R293" i="36"/>
  <c r="Q293" i="36"/>
  <c r="P293" i="36"/>
  <c r="O293" i="36"/>
  <c r="N293" i="36"/>
  <c r="M293" i="36"/>
  <c r="L293" i="36"/>
  <c r="K293" i="36"/>
  <c r="J293" i="36"/>
  <c r="I293" i="36"/>
  <c r="H293" i="36"/>
  <c r="G293" i="36"/>
  <c r="F293" i="36"/>
  <c r="E293" i="36"/>
  <c r="BS290" i="36"/>
  <c r="BR290" i="36"/>
  <c r="BQ290" i="36"/>
  <c r="BP290" i="36"/>
  <c r="BO290" i="36"/>
  <c r="BN290" i="36"/>
  <c r="BM290" i="36"/>
  <c r="BL290" i="36"/>
  <c r="BK290" i="36"/>
  <c r="BJ290" i="36"/>
  <c r="BI290" i="36"/>
  <c r="BH290" i="36"/>
  <c r="BG290" i="36"/>
  <c r="BF290" i="36"/>
  <c r="BE290" i="36"/>
  <c r="BD290" i="36"/>
  <c r="BC290" i="36"/>
  <c r="BB290" i="36"/>
  <c r="BA290" i="36"/>
  <c r="AZ290" i="36"/>
  <c r="AY290" i="36"/>
  <c r="AX290" i="36"/>
  <c r="AW290" i="36"/>
  <c r="AV290" i="36"/>
  <c r="AU290" i="36"/>
  <c r="AT290" i="36"/>
  <c r="AS290" i="36"/>
  <c r="AR290" i="36"/>
  <c r="AQ290" i="36"/>
  <c r="AP290" i="36"/>
  <c r="AO290" i="36"/>
  <c r="AN290" i="36"/>
  <c r="AM290" i="36"/>
  <c r="AL290" i="36"/>
  <c r="AK290" i="36"/>
  <c r="AJ290" i="36"/>
  <c r="AI290" i="36"/>
  <c r="AH290" i="36"/>
  <c r="AG290" i="36"/>
  <c r="AF290" i="36"/>
  <c r="AE290" i="36"/>
  <c r="AD290" i="36"/>
  <c r="AC290" i="36"/>
  <c r="AB290" i="36"/>
  <c r="AA290" i="36"/>
  <c r="Z290" i="36"/>
  <c r="Y290" i="36"/>
  <c r="X290" i="36"/>
  <c r="W290" i="36"/>
  <c r="V290" i="36"/>
  <c r="U290" i="36"/>
  <c r="T290" i="36"/>
  <c r="S290" i="36"/>
  <c r="R290" i="36"/>
  <c r="Q290" i="36"/>
  <c r="P290" i="36"/>
  <c r="O290" i="36"/>
  <c r="N290" i="36"/>
  <c r="M290" i="36"/>
  <c r="L290" i="36"/>
  <c r="K290" i="36"/>
  <c r="J290" i="36"/>
  <c r="I290" i="36"/>
  <c r="H290" i="36"/>
  <c r="G290" i="36"/>
  <c r="F290" i="36"/>
  <c r="E290" i="36"/>
  <c r="BS289" i="36"/>
  <c r="BR289" i="36"/>
  <c r="BQ289" i="36"/>
  <c r="BQ291" i="36" s="1"/>
  <c r="BP289" i="36"/>
  <c r="BO289" i="36"/>
  <c r="BN289" i="36"/>
  <c r="BM289" i="36"/>
  <c r="BL289" i="36"/>
  <c r="BK289" i="36"/>
  <c r="BJ289" i="36"/>
  <c r="BI289" i="36"/>
  <c r="BI291" i="36" s="1"/>
  <c r="BH289" i="36"/>
  <c r="BG289" i="36"/>
  <c r="BF289" i="36"/>
  <c r="BE289" i="36"/>
  <c r="BD289" i="36"/>
  <c r="BC289" i="36"/>
  <c r="BB289" i="36"/>
  <c r="BA289" i="36"/>
  <c r="BA291" i="36" s="1"/>
  <c r="AZ289" i="36"/>
  <c r="AZ291" i="36" s="1"/>
  <c r="AY289" i="36"/>
  <c r="AX289" i="36"/>
  <c r="AW289" i="36"/>
  <c r="AV289" i="36"/>
  <c r="AU289" i="36"/>
  <c r="AT289" i="36"/>
  <c r="AS289" i="36"/>
  <c r="AS291" i="36" s="1"/>
  <c r="AR289" i="36"/>
  <c r="AR291" i="36" s="1"/>
  <c r="AQ289" i="36"/>
  <c r="AP289" i="36"/>
  <c r="AO289" i="36"/>
  <c r="AN289" i="36"/>
  <c r="AM289" i="36"/>
  <c r="AL289" i="36"/>
  <c r="AK289" i="36"/>
  <c r="AK291" i="36" s="1"/>
  <c r="AJ289" i="36"/>
  <c r="AJ291" i="36" s="1"/>
  <c r="AI289" i="36"/>
  <c r="AH289" i="36"/>
  <c r="AG289" i="36"/>
  <c r="AF289" i="36"/>
  <c r="AE289" i="36"/>
  <c r="AD289" i="36"/>
  <c r="AC289" i="36"/>
  <c r="AC291" i="36" s="1"/>
  <c r="AB289" i="36"/>
  <c r="AB291" i="36" s="1"/>
  <c r="AA289" i="36"/>
  <c r="Z289" i="36"/>
  <c r="Y289" i="36"/>
  <c r="X289" i="36"/>
  <c r="W289" i="36"/>
  <c r="V289" i="36"/>
  <c r="U289" i="36"/>
  <c r="U291" i="36" s="1"/>
  <c r="T289" i="36"/>
  <c r="T291" i="36" s="1"/>
  <c r="S289" i="36"/>
  <c r="R289" i="36"/>
  <c r="Q289" i="36"/>
  <c r="P289" i="36"/>
  <c r="O289" i="36"/>
  <c r="N289" i="36"/>
  <c r="M289" i="36"/>
  <c r="M291" i="36" s="1"/>
  <c r="L289" i="36"/>
  <c r="L291" i="36" s="1"/>
  <c r="K289" i="36"/>
  <c r="J289" i="36"/>
  <c r="I289" i="36"/>
  <c r="H289" i="36"/>
  <c r="G289" i="36"/>
  <c r="F289" i="36"/>
  <c r="E289" i="36"/>
  <c r="E291" i="36" s="1"/>
  <c r="BS285" i="36"/>
  <c r="BR285" i="36"/>
  <c r="BQ285" i="36"/>
  <c r="BP285" i="36"/>
  <c r="BO285" i="36"/>
  <c r="BN285" i="36"/>
  <c r="BM285" i="36"/>
  <c r="BL285" i="36"/>
  <c r="BK285" i="36"/>
  <c r="BJ285" i="36"/>
  <c r="BI285" i="36"/>
  <c r="BH285" i="36"/>
  <c r="BG285" i="36"/>
  <c r="BF285" i="36"/>
  <c r="BE285" i="36"/>
  <c r="BD285" i="36"/>
  <c r="BC285" i="36"/>
  <c r="BB285" i="36"/>
  <c r="BA285" i="36"/>
  <c r="AZ285" i="36"/>
  <c r="AY285" i="36"/>
  <c r="AX285" i="36"/>
  <c r="AW285" i="36"/>
  <c r="AV285" i="36"/>
  <c r="AU285" i="36"/>
  <c r="AT285" i="36"/>
  <c r="AS285" i="36"/>
  <c r="AR285" i="36"/>
  <c r="AQ285" i="36"/>
  <c r="AP285" i="36"/>
  <c r="AO285" i="36"/>
  <c r="AN285" i="36"/>
  <c r="AM285" i="36"/>
  <c r="AL285" i="36"/>
  <c r="AK285" i="36"/>
  <c r="AJ285" i="36"/>
  <c r="AI285" i="36"/>
  <c r="AH285" i="36"/>
  <c r="AG285" i="36"/>
  <c r="AF285" i="36"/>
  <c r="AE285" i="36"/>
  <c r="AD285" i="36"/>
  <c r="AC285" i="36"/>
  <c r="AB285" i="36"/>
  <c r="AA285" i="36"/>
  <c r="Z285" i="36"/>
  <c r="Y285" i="36"/>
  <c r="X285" i="36"/>
  <c r="W285" i="36"/>
  <c r="V285" i="36"/>
  <c r="U285" i="36"/>
  <c r="T285" i="36"/>
  <c r="S285" i="36"/>
  <c r="R285" i="36"/>
  <c r="Q285" i="36"/>
  <c r="P285" i="36"/>
  <c r="O285" i="36"/>
  <c r="N285" i="36"/>
  <c r="M285" i="36"/>
  <c r="L285" i="36"/>
  <c r="K285" i="36"/>
  <c r="J285" i="36"/>
  <c r="I285" i="36"/>
  <c r="H285" i="36"/>
  <c r="G285" i="36"/>
  <c r="F285" i="36"/>
  <c r="E285" i="36"/>
  <c r="BS284" i="36"/>
  <c r="BR284" i="36"/>
  <c r="BQ284" i="36"/>
  <c r="BP284" i="36"/>
  <c r="BO284" i="36"/>
  <c r="BN284" i="36"/>
  <c r="BM284" i="36"/>
  <c r="BL284" i="36"/>
  <c r="BK284" i="36"/>
  <c r="BJ284" i="36"/>
  <c r="BI284" i="36"/>
  <c r="BH284" i="36"/>
  <c r="BG284" i="36"/>
  <c r="BF284" i="36"/>
  <c r="BE284" i="36"/>
  <c r="BD284" i="36"/>
  <c r="BC284" i="36"/>
  <c r="BB284" i="36"/>
  <c r="BA284" i="36"/>
  <c r="AZ284" i="36"/>
  <c r="AY284" i="36"/>
  <c r="AX284" i="36"/>
  <c r="AW284" i="36"/>
  <c r="AV284" i="36"/>
  <c r="AU284" i="36"/>
  <c r="AT284" i="36"/>
  <c r="AS284" i="36"/>
  <c r="AR284" i="36"/>
  <c r="AQ284" i="36"/>
  <c r="AP284" i="36"/>
  <c r="AO284" i="36"/>
  <c r="AN284" i="36"/>
  <c r="AM284" i="36"/>
  <c r="AL284" i="36"/>
  <c r="AK284" i="36"/>
  <c r="AJ284" i="36"/>
  <c r="AI284" i="36"/>
  <c r="AH284" i="36"/>
  <c r="AG284" i="36"/>
  <c r="AF284" i="36"/>
  <c r="AE284" i="36"/>
  <c r="AD284" i="36"/>
  <c r="AC284" i="36"/>
  <c r="AB284" i="36"/>
  <c r="AA284" i="36"/>
  <c r="Z284" i="36"/>
  <c r="Y284" i="36"/>
  <c r="X284" i="36"/>
  <c r="W284" i="36"/>
  <c r="V284" i="36"/>
  <c r="U284" i="36"/>
  <c r="T284" i="36"/>
  <c r="S284" i="36"/>
  <c r="R284" i="36"/>
  <c r="Q284" i="36"/>
  <c r="P284" i="36"/>
  <c r="O284" i="36"/>
  <c r="N284" i="36"/>
  <c r="M284" i="36"/>
  <c r="L284" i="36"/>
  <c r="K284" i="36"/>
  <c r="J284" i="36"/>
  <c r="I284" i="36"/>
  <c r="H284" i="36"/>
  <c r="G284" i="36"/>
  <c r="F284" i="36"/>
  <c r="E284" i="36"/>
  <c r="BS283" i="36"/>
  <c r="BR283" i="36"/>
  <c r="BQ283" i="36"/>
  <c r="BP283" i="36"/>
  <c r="BO283" i="36"/>
  <c r="BN283" i="36"/>
  <c r="BM283" i="36"/>
  <c r="BL283" i="36"/>
  <c r="BK283" i="36"/>
  <c r="BJ283" i="36"/>
  <c r="BI283" i="36"/>
  <c r="BH283" i="36"/>
  <c r="BG283" i="36"/>
  <c r="BF283" i="36"/>
  <c r="BE283" i="36"/>
  <c r="BD283" i="36"/>
  <c r="BC283" i="36"/>
  <c r="BB283" i="36"/>
  <c r="BA283" i="36"/>
  <c r="AZ283" i="36"/>
  <c r="AY283" i="36"/>
  <c r="AX283" i="36"/>
  <c r="AW283" i="36"/>
  <c r="AV283" i="36"/>
  <c r="AU283" i="36"/>
  <c r="AT283" i="36"/>
  <c r="AS283" i="36"/>
  <c r="AR283" i="36"/>
  <c r="AQ283" i="36"/>
  <c r="AP283" i="36"/>
  <c r="AO283" i="36"/>
  <c r="AN283" i="36"/>
  <c r="AM283" i="36"/>
  <c r="AL283" i="36"/>
  <c r="AK283" i="36"/>
  <c r="AJ283" i="36"/>
  <c r="AI283" i="36"/>
  <c r="AH283" i="36"/>
  <c r="AG283" i="36"/>
  <c r="AF283" i="36"/>
  <c r="AE283" i="36"/>
  <c r="AD283" i="36"/>
  <c r="AC283" i="36"/>
  <c r="AB283" i="36"/>
  <c r="AA283" i="36"/>
  <c r="Z283" i="36"/>
  <c r="Y283" i="36"/>
  <c r="X283" i="36"/>
  <c r="W283" i="36"/>
  <c r="V283" i="36"/>
  <c r="U283" i="36"/>
  <c r="T283" i="36"/>
  <c r="S283" i="36"/>
  <c r="R283" i="36"/>
  <c r="Q283" i="36"/>
  <c r="P283" i="36"/>
  <c r="O283" i="36"/>
  <c r="N283" i="36"/>
  <c r="M283" i="36"/>
  <c r="L283" i="36"/>
  <c r="K283" i="36"/>
  <c r="J283" i="36"/>
  <c r="I283" i="36"/>
  <c r="H283" i="36"/>
  <c r="G283" i="36"/>
  <c r="F283" i="36"/>
  <c r="E283" i="36"/>
  <c r="H4" i="30"/>
  <c r="F4" i="30"/>
  <c r="B4" i="30"/>
  <c r="F219" i="28"/>
  <c r="E219" i="28"/>
  <c r="C219" i="28"/>
  <c r="B219" i="28"/>
  <c r="A219" i="28"/>
  <c r="E209" i="28"/>
  <c r="C209" i="28"/>
  <c r="A209" i="28"/>
  <c r="W209" i="28" s="1"/>
  <c r="E208" i="28"/>
  <c r="C208" i="28"/>
  <c r="A208" i="28"/>
  <c r="W208" i="28" s="1"/>
  <c r="E207" i="28"/>
  <c r="C207" i="28"/>
  <c r="A207" i="28"/>
  <c r="W207" i="28" s="1"/>
  <c r="E206" i="28"/>
  <c r="C206" i="28"/>
  <c r="A206" i="28"/>
  <c r="W206" i="28" s="1"/>
  <c r="E205" i="28"/>
  <c r="C205" i="28"/>
  <c r="A205" i="28"/>
  <c r="W205" i="28" s="1"/>
  <c r="E204" i="28"/>
  <c r="C204" i="28"/>
  <c r="A204" i="28"/>
  <c r="W204" i="28" s="1"/>
  <c r="E203" i="28"/>
  <c r="C203" i="28"/>
  <c r="A203" i="28"/>
  <c r="W203" i="28" s="1"/>
  <c r="E202" i="28"/>
  <c r="L202" i="28" s="1"/>
  <c r="Q202" i="28" s="1"/>
  <c r="C202" i="28"/>
  <c r="A202" i="28"/>
  <c r="W202" i="28" s="1"/>
  <c r="H190" i="28"/>
  <c r="E190" i="28"/>
  <c r="C190" i="28"/>
  <c r="A190" i="28"/>
  <c r="W190" i="28" s="1"/>
  <c r="E189" i="28"/>
  <c r="C189" i="28"/>
  <c r="A189" i="28"/>
  <c r="W189" i="28" s="1"/>
  <c r="H188" i="28"/>
  <c r="E188" i="28"/>
  <c r="C188" i="28"/>
  <c r="B188" i="28"/>
  <c r="A188" i="28"/>
  <c r="W188" i="28" s="1"/>
  <c r="H187" i="28"/>
  <c r="E187" i="28"/>
  <c r="C187" i="28"/>
  <c r="B187" i="28"/>
  <c r="A187" i="28"/>
  <c r="W187" i="28" s="1"/>
  <c r="E186" i="28"/>
  <c r="C186" i="28"/>
  <c r="B186" i="28"/>
  <c r="A186" i="28"/>
  <c r="W186" i="28" s="1"/>
  <c r="E185" i="28"/>
  <c r="C185" i="28"/>
  <c r="B185" i="28"/>
  <c r="A185" i="28"/>
  <c r="W185" i="28" s="1"/>
  <c r="E184" i="28"/>
  <c r="C184" i="28"/>
  <c r="B184" i="28"/>
  <c r="A184" i="28"/>
  <c r="W184" i="28" s="1"/>
  <c r="E183" i="28"/>
  <c r="C183" i="28"/>
  <c r="B183" i="28"/>
  <c r="A183" i="28"/>
  <c r="W183" i="28" s="1"/>
  <c r="E182" i="28"/>
  <c r="C182" i="28"/>
  <c r="B182" i="28"/>
  <c r="A182" i="28"/>
  <c r="W182" i="28" s="1"/>
  <c r="E181" i="28"/>
  <c r="C181" i="28"/>
  <c r="B181" i="28"/>
  <c r="A181" i="28"/>
  <c r="W181" i="28" s="1"/>
  <c r="E180" i="28"/>
  <c r="L180" i="28" s="1"/>
  <c r="C180" i="28"/>
  <c r="B180" i="28"/>
  <c r="A180" i="28"/>
  <c r="W180" i="28" s="1"/>
  <c r="H179" i="28"/>
  <c r="C179" i="28"/>
  <c r="B179" i="28"/>
  <c r="A179" i="28"/>
  <c r="W179" i="28" s="1"/>
  <c r="H178" i="28"/>
  <c r="E178" i="28"/>
  <c r="L178" i="28" s="1"/>
  <c r="Y178" i="28" s="1"/>
  <c r="C178" i="28"/>
  <c r="B178" i="28"/>
  <c r="A178" i="28"/>
  <c r="W178" i="28" s="1"/>
  <c r="H177" i="28"/>
  <c r="E177" i="28"/>
  <c r="C177" i="28"/>
  <c r="B177" i="28"/>
  <c r="A177" i="28"/>
  <c r="W177" i="28" s="1"/>
  <c r="H176" i="28"/>
  <c r="E176" i="28"/>
  <c r="C176" i="28"/>
  <c r="B176" i="28"/>
  <c r="A176" i="28"/>
  <c r="W176" i="28" s="1"/>
  <c r="H175" i="28"/>
  <c r="E175" i="28"/>
  <c r="C175" i="28"/>
  <c r="B175" i="28"/>
  <c r="A175" i="28"/>
  <c r="W175" i="28" s="1"/>
  <c r="H174" i="28"/>
  <c r="E174" i="28"/>
  <c r="C174" i="28"/>
  <c r="B174" i="28"/>
  <c r="A174" i="28"/>
  <c r="W174" i="28" s="1"/>
  <c r="E173" i="28"/>
  <c r="C173" i="28"/>
  <c r="B173" i="28"/>
  <c r="A173" i="28"/>
  <c r="W173" i="28" s="1"/>
  <c r="H172" i="28"/>
  <c r="E172" i="28"/>
  <c r="C172" i="28"/>
  <c r="B172" i="28"/>
  <c r="A172" i="28"/>
  <c r="W172" i="28" s="1"/>
  <c r="H171" i="28"/>
  <c r="E171" i="28"/>
  <c r="C171" i="28"/>
  <c r="B171" i="28"/>
  <c r="A171" i="28"/>
  <c r="W171" i="28" s="1"/>
  <c r="H170" i="28"/>
  <c r="E170" i="28"/>
  <c r="C170" i="28"/>
  <c r="B170" i="28"/>
  <c r="A170" i="28"/>
  <c r="W170" i="28" s="1"/>
  <c r="E169" i="28"/>
  <c r="C169" i="28"/>
  <c r="E168" i="28"/>
  <c r="C168" i="28"/>
  <c r="B168" i="28"/>
  <c r="A168" i="28"/>
  <c r="W168" i="28" s="1"/>
  <c r="H167" i="28"/>
  <c r="E167" i="28"/>
  <c r="C167" i="28"/>
  <c r="B167" i="28"/>
  <c r="A167" i="28"/>
  <c r="W167" i="28" s="1"/>
  <c r="H166" i="28"/>
  <c r="E166" i="28"/>
  <c r="C166" i="28"/>
  <c r="B166" i="28"/>
  <c r="A166" i="28"/>
  <c r="W166" i="28" s="1"/>
  <c r="H165" i="28"/>
  <c r="E165" i="28"/>
  <c r="C165" i="28"/>
  <c r="B165" i="28"/>
  <c r="A165" i="28"/>
  <c r="W165" i="28" s="1"/>
  <c r="E164" i="28"/>
  <c r="C164" i="28"/>
  <c r="B164" i="28"/>
  <c r="A164" i="28"/>
  <c r="W164" i="28" s="1"/>
  <c r="E163" i="28"/>
  <c r="C163" i="28"/>
  <c r="B163" i="28"/>
  <c r="A163" i="28"/>
  <c r="W163" i="28" s="1"/>
  <c r="H162" i="28"/>
  <c r="E162" i="28"/>
  <c r="C162" i="28"/>
  <c r="B162" i="28"/>
  <c r="A162" i="28"/>
  <c r="W162" i="28" s="1"/>
  <c r="H161" i="28"/>
  <c r="E161" i="28"/>
  <c r="C161" i="28"/>
  <c r="B161" i="28"/>
  <c r="A161" i="28"/>
  <c r="W161" i="28" s="1"/>
  <c r="H160" i="28"/>
  <c r="E160" i="28"/>
  <c r="C160" i="28"/>
  <c r="B160" i="28"/>
  <c r="A160" i="28"/>
  <c r="W160" i="28" s="1"/>
  <c r="H159" i="28"/>
  <c r="E159" i="28"/>
  <c r="C159" i="28"/>
  <c r="B159" i="28"/>
  <c r="A159" i="28"/>
  <c r="W159" i="28" s="1"/>
  <c r="H158" i="28"/>
  <c r="E158" i="28"/>
  <c r="C158" i="28"/>
  <c r="B158" i="28"/>
  <c r="A158" i="28"/>
  <c r="W158" i="28" s="1"/>
  <c r="H157" i="28"/>
  <c r="E157" i="28"/>
  <c r="C157" i="28"/>
  <c r="B157" i="28"/>
  <c r="A157" i="28"/>
  <c r="W157" i="28" s="1"/>
  <c r="H156" i="28"/>
  <c r="E156" i="28"/>
  <c r="C156" i="28"/>
  <c r="B156" i="28"/>
  <c r="A156" i="28"/>
  <c r="W156" i="28" s="1"/>
  <c r="H155" i="28"/>
  <c r="E155" i="28"/>
  <c r="C155" i="28"/>
  <c r="B155" i="28"/>
  <c r="A155" i="28"/>
  <c r="W155" i="28" s="1"/>
  <c r="H154" i="28"/>
  <c r="E154" i="28"/>
  <c r="C154" i="28"/>
  <c r="B154" i="28"/>
  <c r="A154" i="28"/>
  <c r="W154" i="28" s="1"/>
  <c r="H153" i="28"/>
  <c r="E153" i="28"/>
  <c r="C153" i="28"/>
  <c r="B153" i="28"/>
  <c r="A153" i="28"/>
  <c r="W153" i="28" s="1"/>
  <c r="H152" i="28"/>
  <c r="E152" i="28"/>
  <c r="C152" i="28"/>
  <c r="B152" i="28"/>
  <c r="A152" i="28"/>
  <c r="W152" i="28" s="1"/>
  <c r="H151" i="28"/>
  <c r="E151" i="28"/>
  <c r="C151" i="28"/>
  <c r="B151" i="28"/>
  <c r="A151" i="28"/>
  <c r="W151" i="28" s="1"/>
  <c r="H150" i="28"/>
  <c r="E150" i="28"/>
  <c r="C150" i="28"/>
  <c r="B150" i="28"/>
  <c r="A150" i="28"/>
  <c r="W150" i="28" s="1"/>
  <c r="H149" i="28"/>
  <c r="E149" i="28"/>
  <c r="C149" i="28"/>
  <c r="B149" i="28"/>
  <c r="A149" i="28"/>
  <c r="W149" i="28" s="1"/>
  <c r="H148" i="28"/>
  <c r="E148" i="28"/>
  <c r="C148" i="28"/>
  <c r="B148" i="28"/>
  <c r="A148" i="28"/>
  <c r="W148" i="28" s="1"/>
  <c r="H147" i="28"/>
  <c r="E147" i="28"/>
  <c r="C147" i="28"/>
  <c r="B147" i="28"/>
  <c r="A147" i="28"/>
  <c r="W147" i="28" s="1"/>
  <c r="H146" i="28"/>
  <c r="E146" i="28"/>
  <c r="C146" i="28"/>
  <c r="B146" i="28"/>
  <c r="A146" i="28"/>
  <c r="W146" i="28" s="1"/>
  <c r="H145" i="28"/>
  <c r="E145" i="28"/>
  <c r="C145" i="28"/>
  <c r="B145" i="28"/>
  <c r="A145" i="28"/>
  <c r="W145" i="28" s="1"/>
  <c r="H144" i="28"/>
  <c r="E144" i="28"/>
  <c r="C144" i="28"/>
  <c r="B144" i="28"/>
  <c r="A144" i="28"/>
  <c r="W144" i="28" s="1"/>
  <c r="H143" i="28"/>
  <c r="C143" i="28"/>
  <c r="B143" i="28"/>
  <c r="A143" i="28"/>
  <c r="W143" i="28" s="1"/>
  <c r="H142" i="28"/>
  <c r="C142" i="28"/>
  <c r="B142" i="28"/>
  <c r="A142" i="28"/>
  <c r="W142" i="28" s="1"/>
  <c r="H141" i="28"/>
  <c r="E141" i="28"/>
  <c r="C141" i="28"/>
  <c r="B141" i="28"/>
  <c r="A141" i="28"/>
  <c r="W141" i="28" s="1"/>
  <c r="H140" i="28"/>
  <c r="E140" i="28"/>
  <c r="C140" i="28"/>
  <c r="B140" i="28"/>
  <c r="A140" i="28"/>
  <c r="W140" i="28" s="1"/>
  <c r="H139" i="28"/>
  <c r="E139" i="28"/>
  <c r="C139" i="28"/>
  <c r="B139" i="28"/>
  <c r="A139" i="28"/>
  <c r="W139" i="28" s="1"/>
  <c r="E138" i="28"/>
  <c r="C138" i="28"/>
  <c r="B138" i="28"/>
  <c r="A138" i="28"/>
  <c r="W138" i="28" s="1"/>
  <c r="H137" i="28"/>
  <c r="E137" i="28"/>
  <c r="C137" i="28"/>
  <c r="B137" i="28"/>
  <c r="A137" i="28"/>
  <c r="W137" i="28" s="1"/>
  <c r="H136" i="28"/>
  <c r="E136" i="28"/>
  <c r="C136" i="28"/>
  <c r="B136" i="28"/>
  <c r="A136" i="28"/>
  <c r="W136" i="28" s="1"/>
  <c r="H135" i="28"/>
  <c r="E135" i="28"/>
  <c r="C135" i="28"/>
  <c r="B135" i="28"/>
  <c r="A135" i="28"/>
  <c r="W135" i="28" s="1"/>
  <c r="H134" i="28"/>
  <c r="E134" i="28"/>
  <c r="C134" i="28"/>
  <c r="B134" i="28"/>
  <c r="A134" i="28"/>
  <c r="W134" i="28" s="1"/>
  <c r="H133" i="28"/>
  <c r="E133" i="28"/>
  <c r="C133" i="28"/>
  <c r="B133" i="28"/>
  <c r="A133" i="28"/>
  <c r="W133" i="28" s="1"/>
  <c r="H132" i="28"/>
  <c r="E132" i="28"/>
  <c r="C132" i="28"/>
  <c r="B132" i="28"/>
  <c r="A132" i="28"/>
  <c r="W132" i="28" s="1"/>
  <c r="H131" i="28"/>
  <c r="E131" i="28"/>
  <c r="C131" i="28"/>
  <c r="B131" i="28"/>
  <c r="A131" i="28"/>
  <c r="W131" i="28" s="1"/>
  <c r="H130" i="28"/>
  <c r="E130" i="28"/>
  <c r="C130" i="28"/>
  <c r="B130" i="28"/>
  <c r="A130" i="28"/>
  <c r="W130" i="28" s="1"/>
  <c r="H129" i="28"/>
  <c r="E129" i="28"/>
  <c r="C129" i="28"/>
  <c r="B129" i="28"/>
  <c r="A129" i="28"/>
  <c r="W129" i="28" s="1"/>
  <c r="H128" i="28"/>
  <c r="E128" i="28"/>
  <c r="C128" i="28"/>
  <c r="B128" i="28"/>
  <c r="A128" i="28"/>
  <c r="W128" i="28" s="1"/>
  <c r="H127" i="28"/>
  <c r="E127" i="28"/>
  <c r="C127" i="28"/>
  <c r="B127" i="28"/>
  <c r="A127" i="28"/>
  <c r="W127" i="28" s="1"/>
  <c r="H126" i="28"/>
  <c r="E126" i="28"/>
  <c r="C126" i="28"/>
  <c r="B126" i="28"/>
  <c r="A126" i="28"/>
  <c r="W126" i="28" s="1"/>
  <c r="H125" i="28"/>
  <c r="E125" i="28"/>
  <c r="C125" i="28"/>
  <c r="B125" i="28"/>
  <c r="A125" i="28"/>
  <c r="W125" i="28" s="1"/>
  <c r="H124" i="28"/>
  <c r="E124" i="28"/>
  <c r="C124" i="28"/>
  <c r="B124" i="28"/>
  <c r="A124" i="28"/>
  <c r="W124" i="28" s="1"/>
  <c r="H123" i="28"/>
  <c r="E123" i="28"/>
  <c r="C123" i="28"/>
  <c r="B123" i="28"/>
  <c r="A123" i="28"/>
  <c r="W123" i="28" s="1"/>
  <c r="H122" i="28"/>
  <c r="E122" i="28"/>
  <c r="C122" i="28"/>
  <c r="B122" i="28"/>
  <c r="A122" i="28"/>
  <c r="W122" i="28" s="1"/>
  <c r="H121" i="28"/>
  <c r="E121" i="28"/>
  <c r="C121" i="28"/>
  <c r="B121" i="28"/>
  <c r="A121" i="28"/>
  <c r="W121" i="28" s="1"/>
  <c r="H120" i="28"/>
  <c r="E120" i="28"/>
  <c r="C120" i="28"/>
  <c r="B120" i="28"/>
  <c r="A120" i="28"/>
  <c r="W120" i="28" s="1"/>
  <c r="H119" i="28"/>
  <c r="E119" i="28"/>
  <c r="C119" i="28"/>
  <c r="B119" i="28"/>
  <c r="A119" i="28"/>
  <c r="W119" i="28" s="1"/>
  <c r="H118" i="28"/>
  <c r="E118" i="28"/>
  <c r="C118" i="28"/>
  <c r="B118" i="28"/>
  <c r="A118" i="28"/>
  <c r="W118" i="28" s="1"/>
  <c r="H117" i="28"/>
  <c r="E117" i="28"/>
  <c r="C117" i="28"/>
  <c r="B117" i="28"/>
  <c r="A117" i="28"/>
  <c r="W117" i="28" s="1"/>
  <c r="H116" i="28"/>
  <c r="E116" i="28"/>
  <c r="C116" i="28"/>
  <c r="B116" i="28"/>
  <c r="A116" i="28"/>
  <c r="W116" i="28" s="1"/>
  <c r="H115" i="28"/>
  <c r="E115" i="28"/>
  <c r="C115" i="28"/>
  <c r="B115" i="28"/>
  <c r="A115" i="28"/>
  <c r="W115" i="28" s="1"/>
  <c r="H114" i="28"/>
  <c r="E114" i="28"/>
  <c r="C114" i="28"/>
  <c r="B114" i="28"/>
  <c r="A114" i="28"/>
  <c r="W114" i="28" s="1"/>
  <c r="H113" i="28"/>
  <c r="E113" i="28"/>
  <c r="C113" i="28"/>
  <c r="B113" i="28"/>
  <c r="A113" i="28"/>
  <c r="W113" i="28" s="1"/>
  <c r="H112" i="28"/>
  <c r="E112" i="28"/>
  <c r="C112" i="28"/>
  <c r="B112" i="28"/>
  <c r="A112" i="28"/>
  <c r="W112" i="28" s="1"/>
  <c r="H111" i="28"/>
  <c r="E111" i="28"/>
  <c r="C111" i="28"/>
  <c r="B111" i="28"/>
  <c r="A111" i="28"/>
  <c r="W111" i="28" s="1"/>
  <c r="H110" i="28"/>
  <c r="E110" i="28"/>
  <c r="C110" i="28"/>
  <c r="B110" i="28"/>
  <c r="A110" i="28"/>
  <c r="W110" i="28" s="1"/>
  <c r="H109" i="28"/>
  <c r="E109" i="28"/>
  <c r="C109" i="28"/>
  <c r="B109" i="28"/>
  <c r="A109" i="28"/>
  <c r="W109" i="28" s="1"/>
  <c r="H108" i="28"/>
  <c r="E108" i="28"/>
  <c r="C108" i="28"/>
  <c r="B108" i="28"/>
  <c r="A108" i="28"/>
  <c r="W108" i="28" s="1"/>
  <c r="H107" i="28"/>
  <c r="E107" i="28"/>
  <c r="C107" i="28"/>
  <c r="B107" i="28"/>
  <c r="A107" i="28"/>
  <c r="W107" i="28" s="1"/>
  <c r="H106" i="28"/>
  <c r="E106" i="28"/>
  <c r="C106" i="28"/>
  <c r="B106" i="28"/>
  <c r="A106" i="28"/>
  <c r="W106" i="28" s="1"/>
  <c r="H105" i="28"/>
  <c r="E105" i="28"/>
  <c r="C105" i="28"/>
  <c r="B105" i="28"/>
  <c r="A105" i="28"/>
  <c r="W105" i="28" s="1"/>
  <c r="H104" i="28"/>
  <c r="E104" i="28"/>
  <c r="C104" i="28"/>
  <c r="B104" i="28"/>
  <c r="A104" i="28"/>
  <c r="W104" i="28" s="1"/>
  <c r="H103" i="28"/>
  <c r="E103" i="28"/>
  <c r="C103" i="28"/>
  <c r="B103" i="28"/>
  <c r="A103" i="28"/>
  <c r="W103" i="28" s="1"/>
  <c r="H102" i="28"/>
  <c r="E102" i="28"/>
  <c r="C102" i="28"/>
  <c r="B102" i="28"/>
  <c r="A102" i="28"/>
  <c r="W102" i="28" s="1"/>
  <c r="H101" i="28"/>
  <c r="E101" i="28"/>
  <c r="C101" i="28"/>
  <c r="B101" i="28"/>
  <c r="A101" i="28"/>
  <c r="W101" i="28" s="1"/>
  <c r="H100" i="28"/>
  <c r="E100" i="28"/>
  <c r="C100" i="28"/>
  <c r="B100" i="28"/>
  <c r="A100" i="28"/>
  <c r="W100" i="28" s="1"/>
  <c r="H99" i="28"/>
  <c r="E99" i="28"/>
  <c r="C99" i="28"/>
  <c r="B99" i="28"/>
  <c r="A99" i="28"/>
  <c r="W99" i="28" s="1"/>
  <c r="H98" i="28"/>
  <c r="E98" i="28"/>
  <c r="C98" i="28"/>
  <c r="B98" i="28"/>
  <c r="A98" i="28"/>
  <c r="W98" i="28" s="1"/>
  <c r="H97" i="28"/>
  <c r="E97" i="28"/>
  <c r="C97" i="28"/>
  <c r="B97" i="28"/>
  <c r="A97" i="28"/>
  <c r="W97" i="28" s="1"/>
  <c r="H96" i="28"/>
  <c r="E96" i="28"/>
  <c r="C96" i="28"/>
  <c r="B96" i="28"/>
  <c r="A96" i="28"/>
  <c r="W96" i="28" s="1"/>
  <c r="H95" i="28"/>
  <c r="C95" i="28"/>
  <c r="B95" i="28"/>
  <c r="A95" i="28"/>
  <c r="W95" i="28" s="1"/>
  <c r="H94" i="28"/>
  <c r="E94" i="28"/>
  <c r="C94" i="28"/>
  <c r="B94" i="28"/>
  <c r="A94" i="28"/>
  <c r="W94" i="28" s="1"/>
  <c r="H93" i="28"/>
  <c r="E93" i="28"/>
  <c r="C93" i="28"/>
  <c r="B93" i="28"/>
  <c r="A93" i="28"/>
  <c r="W93" i="28" s="1"/>
  <c r="H92" i="28"/>
  <c r="E92" i="28"/>
  <c r="C92" i="28"/>
  <c r="B92" i="28"/>
  <c r="A92" i="28"/>
  <c r="W92" i="28" s="1"/>
  <c r="E91" i="28"/>
  <c r="C91" i="28"/>
  <c r="B91" i="28"/>
  <c r="A91" i="28"/>
  <c r="W91" i="28" s="1"/>
  <c r="H90" i="28"/>
  <c r="E90" i="28"/>
  <c r="C90" i="28"/>
  <c r="B90" i="28"/>
  <c r="A90" i="28"/>
  <c r="W90" i="28" s="1"/>
  <c r="H89" i="28"/>
  <c r="E89" i="28"/>
  <c r="C89" i="28"/>
  <c r="B89" i="28"/>
  <c r="A89" i="28"/>
  <c r="W89" i="28" s="1"/>
  <c r="E88" i="28"/>
  <c r="C88" i="28"/>
  <c r="B88" i="28"/>
  <c r="A88" i="28"/>
  <c r="W88" i="28" s="1"/>
  <c r="H87" i="28"/>
  <c r="E87" i="28"/>
  <c r="C87" i="28"/>
  <c r="B87" i="28"/>
  <c r="A87" i="28"/>
  <c r="W87" i="28" s="1"/>
  <c r="H86" i="28"/>
  <c r="E86" i="28"/>
  <c r="C86" i="28"/>
  <c r="B86" i="28"/>
  <c r="A86" i="28"/>
  <c r="W86" i="28" s="1"/>
  <c r="H85" i="28"/>
  <c r="E85" i="28"/>
  <c r="C85" i="28"/>
  <c r="B85" i="28"/>
  <c r="A85" i="28"/>
  <c r="W85" i="28" s="1"/>
  <c r="H84" i="28"/>
  <c r="E84" i="28"/>
  <c r="C84" i="28"/>
  <c r="B84" i="28"/>
  <c r="A84" i="28"/>
  <c r="W84" i="28" s="1"/>
  <c r="H83" i="28"/>
  <c r="E83" i="28"/>
  <c r="C83" i="28"/>
  <c r="B83" i="28"/>
  <c r="A83" i="28"/>
  <c r="W83" i="28" s="1"/>
  <c r="H82" i="28"/>
  <c r="E82" i="28"/>
  <c r="C82" i="28"/>
  <c r="B82" i="28"/>
  <c r="A82" i="28"/>
  <c r="W82" i="28" s="1"/>
  <c r="E81" i="28"/>
  <c r="C81" i="28"/>
  <c r="B81" i="28"/>
  <c r="E80" i="28"/>
  <c r="C80" i="28"/>
  <c r="B80" i="28"/>
  <c r="E79" i="28"/>
  <c r="C79" i="28"/>
  <c r="B79" i="28"/>
  <c r="E78" i="28"/>
  <c r="C78" i="28"/>
  <c r="B78" i="28"/>
  <c r="E77" i="28"/>
  <c r="C77" i="28"/>
  <c r="B77" i="28"/>
  <c r="C76" i="28"/>
  <c r="B76" i="28"/>
  <c r="E75" i="28"/>
  <c r="C75" i="28"/>
  <c r="B75" i="28"/>
  <c r="A75" i="28"/>
  <c r="W75" i="28" s="1"/>
  <c r="H74" i="28"/>
  <c r="E74" i="28"/>
  <c r="C74" i="28"/>
  <c r="B74" i="28"/>
  <c r="A74" i="28"/>
  <c r="W74" i="28" s="1"/>
  <c r="E73" i="28"/>
  <c r="C73" i="28"/>
  <c r="B73" i="28"/>
  <c r="A73" i="28"/>
  <c r="W73" i="28" s="1"/>
  <c r="H72" i="28"/>
  <c r="E72" i="28"/>
  <c r="C72" i="28"/>
  <c r="B72" i="28"/>
  <c r="A72" i="28"/>
  <c r="W72" i="28" s="1"/>
  <c r="H71" i="28"/>
  <c r="E71" i="28"/>
  <c r="C71" i="28"/>
  <c r="B71" i="28"/>
  <c r="A71" i="28"/>
  <c r="W71" i="28" s="1"/>
  <c r="E70" i="28"/>
  <c r="C70" i="28"/>
  <c r="B70" i="28"/>
  <c r="A70" i="28"/>
  <c r="W70" i="28" s="1"/>
  <c r="H69" i="28"/>
  <c r="E69" i="28"/>
  <c r="C69" i="28"/>
  <c r="B69" i="28"/>
  <c r="A69" i="28"/>
  <c r="W69" i="28" s="1"/>
  <c r="H68" i="28"/>
  <c r="E68" i="28"/>
  <c r="C68" i="28"/>
  <c r="B68" i="28"/>
  <c r="A68" i="28"/>
  <c r="W68" i="28" s="1"/>
  <c r="H67" i="28"/>
  <c r="E67" i="28"/>
  <c r="C67" i="28"/>
  <c r="A67" i="28"/>
  <c r="W67" i="28" s="1"/>
  <c r="H66" i="28"/>
  <c r="C66" i="28"/>
  <c r="B66" i="28"/>
  <c r="A66" i="28"/>
  <c r="W66" i="28" s="1"/>
  <c r="H65" i="28"/>
  <c r="E65" i="28"/>
  <c r="C65" i="28"/>
  <c r="B65" i="28"/>
  <c r="A65" i="28"/>
  <c r="W65" i="28" s="1"/>
  <c r="H64" i="28"/>
  <c r="E64" i="28"/>
  <c r="C64" i="28"/>
  <c r="B64" i="28"/>
  <c r="A64" i="28"/>
  <c r="W64" i="28" s="1"/>
  <c r="H63" i="28"/>
  <c r="E63" i="28"/>
  <c r="C63" i="28"/>
  <c r="B63" i="28"/>
  <c r="A63" i="28"/>
  <c r="W63" i="28" s="1"/>
  <c r="H62" i="28"/>
  <c r="E62" i="28"/>
  <c r="C62" i="28"/>
  <c r="B62" i="28"/>
  <c r="A62" i="28"/>
  <c r="W62" i="28" s="1"/>
  <c r="H61" i="28"/>
  <c r="E61" i="28"/>
  <c r="C61" i="28"/>
  <c r="B61" i="28"/>
  <c r="A61" i="28"/>
  <c r="W61" i="28" s="1"/>
  <c r="H60" i="28"/>
  <c r="E60" i="28"/>
  <c r="C60" i="28"/>
  <c r="B60" i="28"/>
  <c r="A60" i="28"/>
  <c r="W60" i="28" s="1"/>
  <c r="H59" i="28"/>
  <c r="E59" i="28"/>
  <c r="C59" i="28"/>
  <c r="B59" i="28"/>
  <c r="A59" i="28"/>
  <c r="W59" i="28" s="1"/>
  <c r="H58" i="28"/>
  <c r="E58" i="28"/>
  <c r="C58" i="28"/>
  <c r="B58" i="28"/>
  <c r="A58" i="28"/>
  <c r="W58" i="28" s="1"/>
  <c r="H57" i="28"/>
  <c r="E57" i="28"/>
  <c r="C57" i="28"/>
  <c r="B57" i="28"/>
  <c r="A57" i="28"/>
  <c r="W57" i="28" s="1"/>
  <c r="H56" i="28"/>
  <c r="E56" i="28"/>
  <c r="C56" i="28"/>
  <c r="B56" i="28"/>
  <c r="A56" i="28"/>
  <c r="W56" i="28" s="1"/>
  <c r="H55" i="28"/>
  <c r="E55" i="28"/>
  <c r="C55" i="28"/>
  <c r="B55" i="28"/>
  <c r="A55" i="28"/>
  <c r="W55" i="28" s="1"/>
  <c r="H54" i="28"/>
  <c r="E54" i="28"/>
  <c r="C54" i="28"/>
  <c r="B54" i="28"/>
  <c r="A54" i="28"/>
  <c r="W54" i="28" s="1"/>
  <c r="H53" i="28"/>
  <c r="E53" i="28"/>
  <c r="C53" i="28"/>
  <c r="B53" i="28"/>
  <c r="A53" i="28"/>
  <c r="W53" i="28" s="1"/>
  <c r="H52" i="28"/>
  <c r="E52" i="28"/>
  <c r="C52" i="28"/>
  <c r="B52" i="28"/>
  <c r="A52" i="28"/>
  <c r="W52" i="28" s="1"/>
  <c r="H51" i="28"/>
  <c r="E51" i="28"/>
  <c r="C51" i="28"/>
  <c r="B51" i="28"/>
  <c r="A51" i="28"/>
  <c r="W51" i="28" s="1"/>
  <c r="H50" i="28"/>
  <c r="E50" i="28"/>
  <c r="C50" i="28"/>
  <c r="B50" i="28"/>
  <c r="A50" i="28"/>
  <c r="W50" i="28" s="1"/>
  <c r="H49" i="28"/>
  <c r="E49" i="28"/>
  <c r="C49" i="28"/>
  <c r="B49" i="28"/>
  <c r="A49" i="28"/>
  <c r="W49" i="28" s="1"/>
  <c r="H48" i="28"/>
  <c r="E48" i="28"/>
  <c r="C48" i="28"/>
  <c r="B48" i="28"/>
  <c r="A48" i="28"/>
  <c r="W48" i="28" s="1"/>
  <c r="H47" i="28"/>
  <c r="E47" i="28"/>
  <c r="C47" i="28"/>
  <c r="B47" i="28"/>
  <c r="A47" i="28"/>
  <c r="W47" i="28" s="1"/>
  <c r="H46" i="28"/>
  <c r="E46" i="28"/>
  <c r="C46" i="28"/>
  <c r="B46" i="28"/>
  <c r="A46" i="28"/>
  <c r="W46" i="28" s="1"/>
  <c r="H45" i="28"/>
  <c r="E45" i="28"/>
  <c r="C45" i="28"/>
  <c r="B45" i="28"/>
  <c r="A45" i="28"/>
  <c r="W45" i="28" s="1"/>
  <c r="H44" i="28"/>
  <c r="E44" i="28"/>
  <c r="C44" i="28"/>
  <c r="B44" i="28"/>
  <c r="A44" i="28"/>
  <c r="W44" i="28" s="1"/>
  <c r="H43" i="28"/>
  <c r="E43" i="28"/>
  <c r="C43" i="28"/>
  <c r="B43" i="28"/>
  <c r="A43" i="28"/>
  <c r="W43" i="28" s="1"/>
  <c r="H42" i="28"/>
  <c r="E42" i="28"/>
  <c r="C42" i="28"/>
  <c r="B42" i="28"/>
  <c r="A42" i="28"/>
  <c r="W42" i="28" s="1"/>
  <c r="H41" i="28"/>
  <c r="E41" i="28"/>
  <c r="C41" i="28"/>
  <c r="B41" i="28"/>
  <c r="A41" i="28"/>
  <c r="W41" i="28" s="1"/>
  <c r="E40" i="28"/>
  <c r="C40" i="28"/>
  <c r="B40" i="28"/>
  <c r="A40" i="28"/>
  <c r="W40" i="28" s="1"/>
  <c r="H39" i="28"/>
  <c r="E39" i="28"/>
  <c r="C39" i="28"/>
  <c r="B39" i="28"/>
  <c r="A39" i="28"/>
  <c r="W39" i="28" s="1"/>
  <c r="H38" i="28"/>
  <c r="E38" i="28"/>
  <c r="C38" i="28"/>
  <c r="B38" i="28"/>
  <c r="A38" i="28"/>
  <c r="W38" i="28" s="1"/>
  <c r="H37" i="28"/>
  <c r="E37" i="28"/>
  <c r="C37" i="28"/>
  <c r="B37" i="28"/>
  <c r="A37" i="28"/>
  <c r="W37" i="28" s="1"/>
  <c r="H36" i="28"/>
  <c r="E36" i="28"/>
  <c r="C36" i="28"/>
  <c r="B36" i="28"/>
  <c r="A36" i="28"/>
  <c r="W36" i="28" s="1"/>
  <c r="H35" i="28"/>
  <c r="E35" i="28"/>
  <c r="C35" i="28"/>
  <c r="B35" i="28"/>
  <c r="A35" i="28"/>
  <c r="W35" i="28" s="1"/>
  <c r="H34" i="28"/>
  <c r="E34" i="28"/>
  <c r="C34" i="28"/>
  <c r="B34" i="28"/>
  <c r="A34" i="28"/>
  <c r="W34" i="28" s="1"/>
  <c r="H33" i="28"/>
  <c r="E33" i="28"/>
  <c r="C33" i="28"/>
  <c r="B33" i="28"/>
  <c r="A33" i="28"/>
  <c r="W33" i="28" s="1"/>
  <c r="H32" i="28"/>
  <c r="E32" i="28"/>
  <c r="C32" i="28"/>
  <c r="B32" i="28"/>
  <c r="A32" i="28"/>
  <c r="W32" i="28" s="1"/>
  <c r="H31" i="28"/>
  <c r="E31" i="28"/>
  <c r="C31" i="28"/>
  <c r="B31" i="28"/>
  <c r="A31" i="28"/>
  <c r="W31" i="28" s="1"/>
  <c r="H30" i="28"/>
  <c r="E30" i="28"/>
  <c r="C30" i="28"/>
  <c r="B30" i="28"/>
  <c r="A30" i="28"/>
  <c r="W30" i="28" s="1"/>
  <c r="H29" i="28"/>
  <c r="E29" i="28"/>
  <c r="C29" i="28"/>
  <c r="B29" i="28"/>
  <c r="A29" i="28"/>
  <c r="W29" i="28" s="1"/>
  <c r="H28" i="28"/>
  <c r="E28" i="28"/>
  <c r="C28" i="28"/>
  <c r="B28" i="28"/>
  <c r="A28" i="28"/>
  <c r="W28" i="28" s="1"/>
  <c r="H27" i="28"/>
  <c r="E27" i="28"/>
  <c r="C27" i="28"/>
  <c r="B27" i="28"/>
  <c r="A27" i="28"/>
  <c r="W27" i="28" s="1"/>
  <c r="H26" i="28"/>
  <c r="E26" i="28"/>
  <c r="C26" i="28"/>
  <c r="B26" i="28"/>
  <c r="A26" i="28"/>
  <c r="W26" i="28" s="1"/>
  <c r="H25" i="28"/>
  <c r="E25" i="28"/>
  <c r="C25" i="28"/>
  <c r="B25" i="28"/>
  <c r="A25" i="28"/>
  <c r="W25" i="28" s="1"/>
  <c r="H24" i="28"/>
  <c r="E24" i="28"/>
  <c r="C24" i="28"/>
  <c r="B24" i="28"/>
  <c r="A24" i="28"/>
  <c r="W24" i="28" s="1"/>
  <c r="H23" i="28"/>
  <c r="E23" i="28"/>
  <c r="C23" i="28"/>
  <c r="B23" i="28"/>
  <c r="A23" i="28"/>
  <c r="W23" i="28" s="1"/>
  <c r="H22" i="28"/>
  <c r="E22" i="28"/>
  <c r="C22" i="28"/>
  <c r="B22" i="28"/>
  <c r="A22" i="28"/>
  <c r="W22" i="28" s="1"/>
  <c r="H21" i="28"/>
  <c r="E21" i="28"/>
  <c r="C21" i="28"/>
  <c r="B21" i="28"/>
  <c r="A21" i="28"/>
  <c r="W21" i="28" s="1"/>
  <c r="H20" i="28"/>
  <c r="E20" i="28"/>
  <c r="C20" i="28"/>
  <c r="B20" i="28"/>
  <c r="A20" i="28"/>
  <c r="W20" i="28" s="1"/>
  <c r="H19" i="28"/>
  <c r="E19" i="28"/>
  <c r="C19" i="28"/>
  <c r="B19" i="28"/>
  <c r="A19" i="28"/>
  <c r="W19" i="28" s="1"/>
  <c r="H18" i="28"/>
  <c r="E18" i="28"/>
  <c r="C18" i="28"/>
  <c r="B18" i="28"/>
  <c r="A18" i="28"/>
  <c r="W18" i="28" s="1"/>
  <c r="H17" i="28"/>
  <c r="E17" i="28"/>
  <c r="C17" i="28"/>
  <c r="B17" i="28"/>
  <c r="A17" i="28"/>
  <c r="W17" i="28" s="1"/>
  <c r="E16" i="28"/>
  <c r="C16" i="28"/>
  <c r="B16" i="28"/>
  <c r="A16" i="28"/>
  <c r="W16" i="28" s="1"/>
  <c r="E15" i="28"/>
  <c r="C15" i="28"/>
  <c r="B15" i="28"/>
  <c r="A15" i="28"/>
  <c r="W15" i="28" s="1"/>
  <c r="E14" i="28"/>
  <c r="C14" i="28"/>
  <c r="B14" i="28"/>
  <c r="A14" i="28"/>
  <c r="W14" i="28" s="1"/>
  <c r="E13" i="28"/>
  <c r="C13" i="28"/>
  <c r="B13" i="28"/>
  <c r="A13" i="28"/>
  <c r="W13" i="28" s="1"/>
  <c r="E12" i="28"/>
  <c r="C12" i="28"/>
  <c r="B12" i="28"/>
  <c r="A12" i="28"/>
  <c r="W12" i="28" s="1"/>
  <c r="E11" i="28"/>
  <c r="C11" i="28"/>
  <c r="B11" i="28"/>
  <c r="A11" i="28"/>
  <c r="W11" i="28" s="1"/>
  <c r="H10" i="28"/>
  <c r="C10" i="28"/>
  <c r="B10" i="28"/>
  <c r="A10" i="28"/>
  <c r="W10" i="28" s="1"/>
  <c r="H9" i="28"/>
  <c r="E9" i="28"/>
  <c r="C9" i="28"/>
  <c r="B9" i="28"/>
  <c r="A9" i="28"/>
  <c r="W9" i="28" s="1"/>
  <c r="H8" i="28"/>
  <c r="E8" i="28"/>
  <c r="C8" i="28"/>
  <c r="B8" i="28"/>
  <c r="A8" i="28"/>
  <c r="W8" i="28" s="1"/>
  <c r="H7" i="28"/>
  <c r="G7" i="28"/>
  <c r="E7" i="28"/>
  <c r="C7" i="28"/>
  <c r="B7" i="28"/>
  <c r="A7" i="28"/>
  <c r="W7" i="28" s="1"/>
  <c r="H6" i="28"/>
  <c r="E6" i="28"/>
  <c r="C6" i="28"/>
  <c r="B6" i="28"/>
  <c r="A6" i="28"/>
  <c r="W6" i="28" s="1"/>
  <c r="H5" i="28"/>
  <c r="E5" i="28"/>
  <c r="C5" i="28"/>
  <c r="B5" i="28"/>
  <c r="A5" i="28"/>
  <c r="W5" i="28" s="1"/>
  <c r="K4" i="28"/>
  <c r="E2" i="28"/>
  <c r="C2" i="28"/>
  <c r="A1" i="37"/>
  <c r="G243" i="1"/>
  <c r="G241" i="1"/>
  <c r="H238" i="1"/>
  <c r="G238" i="1" s="1"/>
  <c r="H237" i="1"/>
  <c r="G237" i="1" s="1"/>
  <c r="H236" i="1"/>
  <c r="G236" i="1" s="1"/>
  <c r="G235" i="1"/>
  <c r="G234" i="1"/>
  <c r="G233" i="1"/>
  <c r="G232" i="1"/>
  <c r="G225" i="1"/>
  <c r="G223" i="1"/>
  <c r="G222" i="1"/>
  <c r="G221" i="1"/>
  <c r="H218" i="1"/>
  <c r="G218" i="1" s="1"/>
  <c r="H217" i="1"/>
  <c r="G217" i="1"/>
  <c r="H216" i="1"/>
  <c r="G216" i="1"/>
  <c r="G215" i="1"/>
  <c r="H212" i="1"/>
  <c r="G212" i="1" s="1"/>
  <c r="H211" i="1"/>
  <c r="G211" i="1"/>
  <c r="H210" i="1"/>
  <c r="G210" i="1"/>
  <c r="G209" i="1"/>
  <c r="L204" i="1"/>
  <c r="G204" i="1"/>
  <c r="G203" i="1"/>
  <c r="G202" i="1"/>
  <c r="G201" i="1"/>
  <c r="G199" i="1"/>
  <c r="F193" i="1"/>
  <c r="G192" i="1"/>
  <c r="G191" i="1"/>
  <c r="G190" i="1"/>
  <c r="G189" i="1"/>
  <c r="F187" i="1"/>
  <c r="G186" i="1"/>
  <c r="G185" i="1"/>
  <c r="G184" i="1"/>
  <c r="G183" i="1"/>
  <c r="F181" i="1"/>
  <c r="E143" i="28"/>
  <c r="E142" i="28"/>
  <c r="G168" i="1"/>
  <c r="G163" i="1"/>
  <c r="G159" i="1"/>
  <c r="G157" i="1"/>
  <c r="G156" i="1"/>
  <c r="G153" i="1"/>
  <c r="G152" i="1"/>
  <c r="H145" i="1"/>
  <c r="G145" i="1" s="1"/>
  <c r="G144" i="1"/>
  <c r="G143" i="1"/>
  <c r="G142" i="1"/>
  <c r="G141" i="1"/>
  <c r="G140" i="1"/>
  <c r="G139" i="1"/>
  <c r="G138" i="1"/>
  <c r="G137" i="1"/>
  <c r="G136" i="1"/>
  <c r="G135" i="1"/>
  <c r="H129" i="1"/>
  <c r="G129" i="1" s="1"/>
  <c r="G128" i="1"/>
  <c r="G127" i="1"/>
  <c r="G126" i="1"/>
  <c r="G125" i="1"/>
  <c r="G123" i="1"/>
  <c r="G122" i="1"/>
  <c r="G121" i="1"/>
  <c r="G120" i="1"/>
  <c r="H116" i="1"/>
  <c r="G116" i="1" s="1"/>
  <c r="G102" i="1"/>
  <c r="G100" i="1"/>
  <c r="G99" i="1"/>
  <c r="H97" i="1"/>
  <c r="G97" i="1"/>
  <c r="H130" i="1"/>
  <c r="E76" i="28"/>
  <c r="G86" i="1"/>
  <c r="G84" i="1"/>
  <c r="G80" i="1"/>
  <c r="G68" i="28" s="1"/>
  <c r="G75" i="1"/>
  <c r="G73" i="1"/>
  <c r="H70" i="1"/>
  <c r="G70" i="1" s="1"/>
  <c r="G68" i="1"/>
  <c r="G65" i="1"/>
  <c r="G63" i="1"/>
  <c r="G62" i="1"/>
  <c r="H57" i="1"/>
  <c r="G57" i="1"/>
  <c r="H72"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9" i="1"/>
  <c r="G8" i="1"/>
  <c r="G7" i="1"/>
  <c r="L215" i="28"/>
  <c r="Y215" i="28" s="1"/>
  <c r="F291" i="36" l="1"/>
  <c r="N291" i="36"/>
  <c r="V291" i="36"/>
  <c r="AD291" i="36"/>
  <c r="AL291" i="36"/>
  <c r="AT291" i="36"/>
  <c r="BB291" i="36"/>
  <c r="BJ291" i="36"/>
  <c r="BR291" i="36"/>
  <c r="F180" i="28"/>
  <c r="Y180" i="28"/>
  <c r="Y202" i="28"/>
  <c r="K291" i="36"/>
  <c r="S291" i="36"/>
  <c r="AA291" i="36"/>
  <c r="AI291" i="36"/>
  <c r="AQ291" i="36"/>
  <c r="AY291" i="36"/>
  <c r="BG291" i="36"/>
  <c r="BO291" i="36"/>
  <c r="F299" i="36"/>
  <c r="F305" i="36" s="1"/>
  <c r="N299" i="36"/>
  <c r="N305" i="36" s="1"/>
  <c r="V299" i="36"/>
  <c r="V305" i="36" s="1"/>
  <c r="AD299" i="36"/>
  <c r="AD305" i="36" s="1"/>
  <c r="AL299" i="36"/>
  <c r="AL305" i="36" s="1"/>
  <c r="AT299" i="36"/>
  <c r="AT305" i="36" s="1"/>
  <c r="BB299" i="36"/>
  <c r="BB305" i="36" s="1"/>
  <c r="BJ299" i="36"/>
  <c r="BJ305" i="36" s="1"/>
  <c r="BR299" i="36"/>
  <c r="BR305" i="36" s="1"/>
  <c r="G291" i="36"/>
  <c r="O291" i="36"/>
  <c r="W291" i="36"/>
  <c r="AE291" i="36"/>
  <c r="AM291" i="36"/>
  <c r="AU291" i="36"/>
  <c r="BC291" i="36"/>
  <c r="BK291" i="36"/>
  <c r="BS291" i="36"/>
  <c r="BN305" i="36"/>
  <c r="BH291" i="36"/>
  <c r="BP291" i="36"/>
  <c r="BK299" i="36"/>
  <c r="BK305" i="36" s="1"/>
  <c r="BS299" i="36"/>
  <c r="BS305" i="36" s="1"/>
  <c r="BQ299" i="36"/>
  <c r="BQ305" i="36" s="1"/>
  <c r="I305" i="36"/>
  <c r="Q305" i="36"/>
  <c r="Y305" i="36"/>
  <c r="AG305" i="36"/>
  <c r="AO305" i="36"/>
  <c r="AW305" i="36"/>
  <c r="BE305" i="36"/>
  <c r="BM305" i="36"/>
  <c r="I291" i="36"/>
  <c r="Q291" i="36"/>
  <c r="Y291" i="36"/>
  <c r="AG291" i="36"/>
  <c r="AO291" i="36"/>
  <c r="AW291" i="36"/>
  <c r="BE291" i="36"/>
  <c r="BM291" i="36"/>
  <c r="L299" i="36"/>
  <c r="L305" i="36" s="1"/>
  <c r="T299" i="36"/>
  <c r="T305" i="36" s="1"/>
  <c r="AB299" i="36"/>
  <c r="AB305" i="36" s="1"/>
  <c r="AJ299" i="36"/>
  <c r="AJ305" i="36" s="1"/>
  <c r="AR299" i="36"/>
  <c r="AR305" i="36" s="1"/>
  <c r="AZ299" i="36"/>
  <c r="AZ305" i="36" s="1"/>
  <c r="BH299" i="36"/>
  <c r="BH305" i="36" s="1"/>
  <c r="BP299" i="36"/>
  <c r="BP305" i="36" s="1"/>
  <c r="J291" i="36"/>
  <c r="R291" i="36"/>
  <c r="Z291" i="36"/>
  <c r="AH291" i="36"/>
  <c r="AP291" i="36"/>
  <c r="AX291" i="36"/>
  <c r="BF291" i="36"/>
  <c r="BN291" i="36"/>
  <c r="O103" i="28"/>
  <c r="L76" i="28"/>
  <c r="L142" i="28"/>
  <c r="L12" i="28"/>
  <c r="L14" i="28"/>
  <c r="L16" i="28"/>
  <c r="L21" i="28"/>
  <c r="L37" i="28"/>
  <c r="L42" i="28"/>
  <c r="L50" i="28"/>
  <c r="L68" i="28"/>
  <c r="L73" i="28"/>
  <c r="L84" i="28"/>
  <c r="L89" i="28"/>
  <c r="L94" i="28"/>
  <c r="L99" i="28"/>
  <c r="L110" i="28"/>
  <c r="L126" i="28"/>
  <c r="L134" i="28"/>
  <c r="L157" i="28"/>
  <c r="L171" i="28"/>
  <c r="L204" i="28"/>
  <c r="L18" i="28"/>
  <c r="L26" i="28"/>
  <c r="L47" i="28"/>
  <c r="L78" i="28"/>
  <c r="L96" i="28"/>
  <c r="L115" i="28"/>
  <c r="L146" i="28"/>
  <c r="L154" i="28"/>
  <c r="L162" i="28"/>
  <c r="L181" i="28"/>
  <c r="L183" i="28"/>
  <c r="L207" i="28"/>
  <c r="Q207" i="28" s="1"/>
  <c r="L143" i="28"/>
  <c r="L31" i="28"/>
  <c r="L39" i="28"/>
  <c r="L44" i="28"/>
  <c r="L81" i="28"/>
  <c r="L86" i="28"/>
  <c r="L91" i="28"/>
  <c r="L101" i="28"/>
  <c r="L112" i="28"/>
  <c r="L128" i="28"/>
  <c r="L141" i="28"/>
  <c r="L164" i="28"/>
  <c r="X178" i="28"/>
  <c r="L185" i="28"/>
  <c r="L187" i="28"/>
  <c r="L9" i="28"/>
  <c r="L20" i="28"/>
  <c r="L28" i="28"/>
  <c r="L36" i="28"/>
  <c r="L49" i="28"/>
  <c r="L57" i="28"/>
  <c r="L65" i="28"/>
  <c r="L93" i="28"/>
  <c r="L98" i="28"/>
  <c r="L125" i="28"/>
  <c r="L133" i="28"/>
  <c r="L170" i="28"/>
  <c r="L189" i="28"/>
  <c r="L205" i="28"/>
  <c r="L11" i="28"/>
  <c r="L13" i="28"/>
  <c r="L15" i="28"/>
  <c r="L33" i="28"/>
  <c r="L46" i="28"/>
  <c r="L74" i="28"/>
  <c r="L79" i="28"/>
  <c r="L103" i="28"/>
  <c r="L106" i="28"/>
  <c r="L114" i="28"/>
  <c r="L122" i="28"/>
  <c r="L130" i="28"/>
  <c r="L138" i="28"/>
  <c r="L145" i="28"/>
  <c r="X180" i="28"/>
  <c r="L208" i="28"/>
  <c r="Q208" i="28" s="1"/>
  <c r="L22" i="28"/>
  <c r="L30" i="28"/>
  <c r="L38" i="28"/>
  <c r="L43" i="28"/>
  <c r="L51" i="28"/>
  <c r="L85" i="28"/>
  <c r="L90" i="28"/>
  <c r="L100" i="28"/>
  <c r="L111" i="28"/>
  <c r="L140" i="28"/>
  <c r="L150" i="28"/>
  <c r="L158" i="28"/>
  <c r="L168" i="28"/>
  <c r="L172" i="28"/>
  <c r="L184" i="28"/>
  <c r="L203" i="28"/>
  <c r="L19" i="28"/>
  <c r="L27" i="28"/>
  <c r="L48" i="28"/>
  <c r="L64" i="28"/>
  <c r="L77" i="28"/>
  <c r="L82" i="28"/>
  <c r="L92" i="28"/>
  <c r="L97" i="28"/>
  <c r="L124" i="28"/>
  <c r="L132" i="28"/>
  <c r="L163" i="28"/>
  <c r="L174" i="28"/>
  <c r="L186" i="28"/>
  <c r="L190" i="28"/>
  <c r="L206" i="28"/>
  <c r="L24" i="28"/>
  <c r="L40" i="28"/>
  <c r="L45" i="28"/>
  <c r="L53" i="28"/>
  <c r="L61" i="28"/>
  <c r="L80" i="28"/>
  <c r="L87" i="28"/>
  <c r="L102" i="28"/>
  <c r="L113" i="28"/>
  <c r="L121" i="28"/>
  <c r="Y121" i="28" s="1"/>
  <c r="L137" i="28"/>
  <c r="L144" i="28"/>
  <c r="L160" i="28"/>
  <c r="L169" i="28"/>
  <c r="L209" i="28"/>
  <c r="Q209" i="28" s="1"/>
  <c r="X191" i="28"/>
  <c r="X192" i="28"/>
  <c r="E95" i="28"/>
  <c r="H305" i="36"/>
  <c r="P305" i="36"/>
  <c r="X305" i="36"/>
  <c r="AF305" i="36"/>
  <c r="AN305" i="36"/>
  <c r="AV305" i="36"/>
  <c r="BD305" i="36"/>
  <c r="BL305" i="36"/>
  <c r="H291" i="36"/>
  <c r="P291" i="36"/>
  <c r="X291" i="36"/>
  <c r="AF291" i="36"/>
  <c r="AN291" i="36"/>
  <c r="AV291" i="36"/>
  <c r="BD291" i="36"/>
  <c r="BL291" i="36"/>
  <c r="K299" i="36"/>
  <c r="K305" i="36" s="1"/>
  <c r="S299" i="36"/>
  <c r="S305" i="36" s="1"/>
  <c r="AA299" i="36"/>
  <c r="AA305" i="36" s="1"/>
  <c r="AI299" i="36"/>
  <c r="AI305" i="36" s="1"/>
  <c r="AQ299" i="36"/>
  <c r="AQ305" i="36" s="1"/>
  <c r="AY299" i="36"/>
  <c r="AY305" i="36" s="1"/>
  <c r="BG299" i="36"/>
  <c r="BG305" i="36" s="1"/>
  <c r="BO299" i="36"/>
  <c r="BO305" i="36" s="1"/>
  <c r="L127" i="28"/>
  <c r="G88" i="1"/>
  <c r="E10" i="28"/>
  <c r="G12" i="1"/>
  <c r="H38" i="1"/>
  <c r="G38" i="1" s="1"/>
  <c r="L52" i="28"/>
  <c r="Y52" i="28" s="1"/>
  <c r="G13" i="1"/>
  <c r="G14" i="1"/>
  <c r="G108" i="1"/>
  <c r="G15" i="1"/>
  <c r="L5" i="28"/>
  <c r="G16" i="1"/>
  <c r="G17" i="1"/>
  <c r="E66" i="28"/>
  <c r="O85" i="28"/>
  <c r="O51" i="28"/>
  <c r="O19" i="28"/>
  <c r="L4" i="28"/>
  <c r="A2" i="37"/>
  <c r="X193" i="28"/>
  <c r="L7" i="28"/>
  <c r="L8" i="28"/>
  <c r="L123" i="28"/>
  <c r="L135" i="28"/>
  <c r="L62" i="28"/>
  <c r="L72" i="28"/>
  <c r="L153" i="28"/>
  <c r="L41" i="28"/>
  <c r="Y41" i="28" s="1"/>
  <c r="L71" i="28"/>
  <c r="L17" i="28"/>
  <c r="F9" i="28"/>
  <c r="L88" i="28"/>
  <c r="Y88" i="28" s="1"/>
  <c r="L129" i="28"/>
  <c r="L136" i="28"/>
  <c r="H146" i="1"/>
  <c r="L175" i="28"/>
  <c r="L176" i="28"/>
  <c r="F174" i="1"/>
  <c r="F194" i="1" s="1"/>
  <c r="L23" i="28"/>
  <c r="L6" i="28"/>
  <c r="L32" i="28"/>
  <c r="L34" i="28"/>
  <c r="L54" i="28"/>
  <c r="L58" i="28"/>
  <c r="L69" i="28"/>
  <c r="L70" i="28"/>
  <c r="L75" i="28"/>
  <c r="L104" i="28"/>
  <c r="L107" i="28"/>
  <c r="L116" i="28"/>
  <c r="L119" i="28"/>
  <c r="L131" i="28"/>
  <c r="L149" i="28"/>
  <c r="L108" i="28"/>
  <c r="Y108" i="28" s="1"/>
  <c r="L117" i="28"/>
  <c r="L55" i="28"/>
  <c r="L59" i="28"/>
  <c r="L63" i="28"/>
  <c r="L83" i="28"/>
  <c r="L120" i="28"/>
  <c r="L25" i="28"/>
  <c r="L29" i="28"/>
  <c r="L67" i="28"/>
  <c r="L105" i="28"/>
  <c r="L109" i="28"/>
  <c r="L166" i="28"/>
  <c r="L35" i="28"/>
  <c r="L56" i="28"/>
  <c r="L60" i="28"/>
  <c r="L118" i="28"/>
  <c r="L139" i="28"/>
  <c r="L179" i="28"/>
  <c r="L152" i="28"/>
  <c r="L159" i="28"/>
  <c r="L165" i="28"/>
  <c r="L182" i="28"/>
  <c r="L188" i="28"/>
  <c r="L147" i="28"/>
  <c r="L155" i="28"/>
  <c r="L173" i="28"/>
  <c r="L177" i="28"/>
  <c r="L148" i="28"/>
  <c r="L156" i="28"/>
  <c r="L161" i="28"/>
  <c r="L167" i="28"/>
  <c r="G72" i="1"/>
  <c r="L151" i="28"/>
  <c r="F34" i="28" l="1"/>
  <c r="F115" i="28"/>
  <c r="G129" i="28"/>
  <c r="Q129" i="28" s="1"/>
  <c r="Q72" i="28"/>
  <c r="E13" i="37"/>
  <c r="Q41" i="28"/>
  <c r="G41" i="28" s="1"/>
  <c r="F64" i="28"/>
  <c r="Q105" i="28"/>
  <c r="Q90" i="28"/>
  <c r="F83" i="28"/>
  <c r="E8" i="37"/>
  <c r="Q103" i="28"/>
  <c r="Q83" i="28"/>
  <c r="G83" i="28" s="1"/>
  <c r="G105" i="28"/>
  <c r="Y185" i="28"/>
  <c r="Y203" i="28"/>
  <c r="Q203" i="28"/>
  <c r="Y205" i="28"/>
  <c r="Q205" i="28"/>
  <c r="Y206" i="28"/>
  <c r="Q206" i="28"/>
  <c r="Y184" i="28"/>
  <c r="Y204" i="28"/>
  <c r="Q204" i="28"/>
  <c r="Y186" i="28"/>
  <c r="Q119" i="28"/>
  <c r="G119" i="28" s="1"/>
  <c r="Y74" i="28"/>
  <c r="Q74" i="28"/>
  <c r="D46" i="37"/>
  <c r="D36" i="37"/>
  <c r="C44" i="37"/>
  <c r="C33" i="37"/>
  <c r="C22" i="37"/>
  <c r="C13" i="37"/>
  <c r="D50" i="37"/>
  <c r="D35" i="37"/>
  <c r="C43" i="37"/>
  <c r="D27" i="37"/>
  <c r="D18" i="37"/>
  <c r="C9" i="37"/>
  <c r="C8" i="37"/>
  <c r="D49" i="37"/>
  <c r="D34" i="37"/>
  <c r="C39" i="37"/>
  <c r="C27" i="37"/>
  <c r="C18" i="37"/>
  <c r="D8" i="37"/>
  <c r="D44" i="37"/>
  <c r="D33" i="37"/>
  <c r="C38" i="37"/>
  <c r="D26" i="37"/>
  <c r="D17" i="37"/>
  <c r="D52" i="37"/>
  <c r="C46" i="37"/>
  <c r="D22" i="37"/>
  <c r="D43" i="37"/>
  <c r="C52" i="37"/>
  <c r="C37" i="37"/>
  <c r="C26" i="37"/>
  <c r="C17" i="37"/>
  <c r="D7" i="37"/>
  <c r="D39" i="37"/>
  <c r="C50" i="37"/>
  <c r="C36" i="37"/>
  <c r="D23" i="37"/>
  <c r="D14" i="37"/>
  <c r="C7" i="37"/>
  <c r="D9" i="37"/>
  <c r="D38" i="37"/>
  <c r="C49" i="37"/>
  <c r="C35" i="37"/>
  <c r="C23" i="37"/>
  <c r="C14" i="37"/>
  <c r="D37" i="37"/>
  <c r="C34" i="37"/>
  <c r="D13" i="37"/>
  <c r="F161" i="28"/>
  <c r="Y161" i="28"/>
  <c r="F135" i="28"/>
  <c r="Y135" i="28"/>
  <c r="F160" i="28"/>
  <c r="Y160" i="28"/>
  <c r="F61" i="28"/>
  <c r="Y61" i="28"/>
  <c r="F174" i="28"/>
  <c r="Y174" i="28"/>
  <c r="X64" i="28"/>
  <c r="Y64" i="28"/>
  <c r="X158" i="28"/>
  <c r="Y158" i="28"/>
  <c r="F9" i="30"/>
  <c r="H9" i="30" s="1"/>
  <c r="Y43" i="28"/>
  <c r="X130" i="28"/>
  <c r="Y130" i="28"/>
  <c r="X33" i="28"/>
  <c r="Y33" i="28"/>
  <c r="F125" i="28"/>
  <c r="Y125" i="28"/>
  <c r="X20" i="28"/>
  <c r="Y20" i="28"/>
  <c r="X112" i="28"/>
  <c r="Y112" i="28"/>
  <c r="X143" i="28"/>
  <c r="Y143" i="28"/>
  <c r="F96" i="28"/>
  <c r="Y96" i="28"/>
  <c r="E26" i="37"/>
  <c r="Y134" i="28"/>
  <c r="F68" i="28"/>
  <c r="Y68" i="28"/>
  <c r="X142" i="28"/>
  <c r="Y142" i="28"/>
  <c r="F60" i="28"/>
  <c r="Y60" i="28"/>
  <c r="X56" i="28"/>
  <c r="Y56" i="28"/>
  <c r="X163" i="28"/>
  <c r="Y163" i="28"/>
  <c r="X9" i="28"/>
  <c r="Y9" i="28"/>
  <c r="X76" i="28"/>
  <c r="Y76" i="28"/>
  <c r="X83" i="28"/>
  <c r="Y83" i="28"/>
  <c r="F27" i="28"/>
  <c r="Y27" i="28"/>
  <c r="X140" i="28"/>
  <c r="Y140" i="28"/>
  <c r="F30" i="28"/>
  <c r="Y30" i="28"/>
  <c r="X114" i="28"/>
  <c r="Y114" i="28"/>
  <c r="X13" i="28"/>
  <c r="Y13" i="28"/>
  <c r="F93" i="28"/>
  <c r="Y93" i="28"/>
  <c r="X187" i="28"/>
  <c r="Y187" i="28"/>
  <c r="F91" i="28"/>
  <c r="Y91" i="28"/>
  <c r="F183" i="28"/>
  <c r="Y183" i="28"/>
  <c r="X47" i="28"/>
  <c r="Y47" i="28"/>
  <c r="X110" i="28"/>
  <c r="Y110" i="28"/>
  <c r="F42" i="28"/>
  <c r="Y42" i="28"/>
  <c r="X188" i="28"/>
  <c r="Y188" i="28"/>
  <c r="X156" i="28"/>
  <c r="Y156" i="28"/>
  <c r="F48" i="28"/>
  <c r="Y48" i="28"/>
  <c r="F98" i="28"/>
  <c r="Y98" i="28"/>
  <c r="X78" i="28"/>
  <c r="Y78" i="28"/>
  <c r="F165" i="28"/>
  <c r="Y165" i="28"/>
  <c r="F8" i="28"/>
  <c r="Y8" i="28"/>
  <c r="F137" i="28"/>
  <c r="Y137" i="28"/>
  <c r="E39" i="37"/>
  <c r="Y63" i="28"/>
  <c r="X7" i="28"/>
  <c r="Y7" i="28"/>
  <c r="X40" i="28"/>
  <c r="Y40" i="28"/>
  <c r="X124" i="28"/>
  <c r="Y124" i="28"/>
  <c r="X19" i="28"/>
  <c r="Y19" i="28"/>
  <c r="F111" i="28"/>
  <c r="Y111" i="28"/>
  <c r="F22" i="28"/>
  <c r="Y22" i="28"/>
  <c r="F106" i="28"/>
  <c r="Y106" i="28"/>
  <c r="X11" i="28"/>
  <c r="Y11" i="28"/>
  <c r="X65" i="28"/>
  <c r="Y65" i="28"/>
  <c r="F86" i="28"/>
  <c r="Y86" i="28"/>
  <c r="X181" i="28"/>
  <c r="Y181" i="28"/>
  <c r="X26" i="28"/>
  <c r="Y26" i="28"/>
  <c r="F99" i="28"/>
  <c r="Y99" i="28"/>
  <c r="F37" i="28"/>
  <c r="Y37" i="28"/>
  <c r="X149" i="28"/>
  <c r="Y149" i="28"/>
  <c r="F120" i="28"/>
  <c r="Y120" i="28"/>
  <c r="F123" i="28"/>
  <c r="Y123" i="28"/>
  <c r="X144" i="28"/>
  <c r="Y144" i="28"/>
  <c r="X122" i="28"/>
  <c r="Y122" i="28"/>
  <c r="F126" i="28"/>
  <c r="Y126" i="28"/>
  <c r="X17" i="28"/>
  <c r="Y17" i="28"/>
  <c r="F132" i="28"/>
  <c r="Y132" i="28"/>
  <c r="F166" i="28"/>
  <c r="Y166" i="28"/>
  <c r="X152" i="28"/>
  <c r="Y152" i="28"/>
  <c r="X109" i="28"/>
  <c r="Y109" i="28"/>
  <c r="X59" i="28"/>
  <c r="Y59" i="28"/>
  <c r="X107" i="28"/>
  <c r="Y107" i="28"/>
  <c r="X32" i="28"/>
  <c r="Y32" i="28"/>
  <c r="F113" i="28"/>
  <c r="Y113" i="28"/>
  <c r="X24" i="28"/>
  <c r="Y24" i="28"/>
  <c r="F97" i="28"/>
  <c r="Y97" i="28"/>
  <c r="F100" i="28"/>
  <c r="Y100" i="28"/>
  <c r="Y208" i="28"/>
  <c r="X103" i="28"/>
  <c r="Y103" i="28"/>
  <c r="E37" i="37"/>
  <c r="Y57" i="28"/>
  <c r="X81" i="28"/>
  <c r="Y81" i="28"/>
  <c r="F162" i="28"/>
  <c r="Y162" i="28"/>
  <c r="F18" i="28"/>
  <c r="Y18" i="28"/>
  <c r="F94" i="28"/>
  <c r="Y94" i="28"/>
  <c r="X21" i="28"/>
  <c r="Y21" i="28"/>
  <c r="X69" i="28"/>
  <c r="Y69" i="28"/>
  <c r="F175" i="28"/>
  <c r="Y175" i="28"/>
  <c r="X38" i="28"/>
  <c r="Y38" i="28"/>
  <c r="Y207" i="28"/>
  <c r="X148" i="28"/>
  <c r="Y148" i="28"/>
  <c r="X119" i="28"/>
  <c r="Y119" i="28"/>
  <c r="X127" i="28"/>
  <c r="Y127" i="28"/>
  <c r="F159" i="28"/>
  <c r="Y159" i="28"/>
  <c r="X34" i="28"/>
  <c r="Y34" i="28"/>
  <c r="X177" i="28"/>
  <c r="Y177" i="28"/>
  <c r="X105" i="28"/>
  <c r="Y105" i="28"/>
  <c r="X104" i="28"/>
  <c r="Y104" i="28"/>
  <c r="F6" i="28"/>
  <c r="Y6" i="28"/>
  <c r="X153" i="28"/>
  <c r="Y153" i="28"/>
  <c r="X5" i="28"/>
  <c r="Y5" i="28"/>
  <c r="X102" i="28"/>
  <c r="Y102" i="28"/>
  <c r="F92" i="28"/>
  <c r="Y92" i="28"/>
  <c r="F90" i="28"/>
  <c r="Y90" i="28"/>
  <c r="X79" i="28"/>
  <c r="Y79" i="28"/>
  <c r="X189" i="28"/>
  <c r="Y189" i="28"/>
  <c r="F49" i="28"/>
  <c r="Y49" i="28"/>
  <c r="X164" i="28"/>
  <c r="Y164" i="28"/>
  <c r="X44" i="28"/>
  <c r="Y44" i="28"/>
  <c r="X154" i="28"/>
  <c r="Y154" i="28"/>
  <c r="F89" i="28"/>
  <c r="Y89" i="28"/>
  <c r="X16" i="28"/>
  <c r="Y16" i="28"/>
  <c r="F25" i="28"/>
  <c r="Y25" i="28"/>
  <c r="F182" i="28"/>
  <c r="Y182" i="28"/>
  <c r="X58" i="28"/>
  <c r="Y58" i="28"/>
  <c r="X53" i="28"/>
  <c r="Y53" i="28"/>
  <c r="X15" i="28"/>
  <c r="Y15" i="28"/>
  <c r="F50" i="28"/>
  <c r="Y50" i="28"/>
  <c r="F35" i="28"/>
  <c r="Y35" i="28"/>
  <c r="X71" i="28"/>
  <c r="Y71" i="28"/>
  <c r="X173" i="28"/>
  <c r="Y173" i="28"/>
  <c r="X179" i="28"/>
  <c r="Y179" i="28"/>
  <c r="X139" i="28"/>
  <c r="Y139" i="28"/>
  <c r="X67" i="28"/>
  <c r="Y67" i="28"/>
  <c r="X117" i="28"/>
  <c r="Y117" i="28"/>
  <c r="X75" i="28"/>
  <c r="Y75" i="28"/>
  <c r="F23" i="28"/>
  <c r="Y23" i="28"/>
  <c r="X136" i="28"/>
  <c r="Y136" i="28"/>
  <c r="X72" i="28"/>
  <c r="Y72" i="28"/>
  <c r="X4" i="28"/>
  <c r="Y4" i="28"/>
  <c r="Y209" i="28"/>
  <c r="F87" i="28"/>
  <c r="Y87" i="28"/>
  <c r="X190" i="28"/>
  <c r="Y190" i="28"/>
  <c r="F82" i="28"/>
  <c r="Y82" i="28"/>
  <c r="F172" i="28"/>
  <c r="Y172" i="28"/>
  <c r="X85" i="28"/>
  <c r="Y85" i="28"/>
  <c r="X145" i="28"/>
  <c r="Y145" i="28"/>
  <c r="X170" i="28"/>
  <c r="Y170" i="28"/>
  <c r="X36" i="28"/>
  <c r="Y36" i="28"/>
  <c r="X141" i="28"/>
  <c r="Y141" i="28"/>
  <c r="X39" i="28"/>
  <c r="Y39" i="28"/>
  <c r="X146" i="28"/>
  <c r="Y146" i="28"/>
  <c r="F171" i="28"/>
  <c r="Y171" i="28"/>
  <c r="X84" i="28"/>
  <c r="Y84" i="28"/>
  <c r="X14" i="28"/>
  <c r="Y14" i="28"/>
  <c r="F176" i="28"/>
  <c r="Y176" i="28"/>
  <c r="E17" i="37"/>
  <c r="Y131" i="28"/>
  <c r="X150" i="28"/>
  <c r="Y150" i="28"/>
  <c r="F101" i="28"/>
  <c r="Y101" i="28"/>
  <c r="X54" i="28"/>
  <c r="Y54" i="28"/>
  <c r="F45" i="28"/>
  <c r="Y45" i="28"/>
  <c r="X116" i="28"/>
  <c r="Y116" i="28"/>
  <c r="X151" i="28"/>
  <c r="Y151" i="28"/>
  <c r="F55" i="28"/>
  <c r="Y55" i="28"/>
  <c r="X155" i="28"/>
  <c r="Y155" i="28"/>
  <c r="X167" i="28"/>
  <c r="Y167" i="28"/>
  <c r="X147" i="28"/>
  <c r="Y147" i="28"/>
  <c r="X118" i="28"/>
  <c r="Y118" i="28"/>
  <c r="F29" i="28"/>
  <c r="Y29" i="28"/>
  <c r="X70" i="28"/>
  <c r="Y70" i="28"/>
  <c r="X129" i="28"/>
  <c r="Y129" i="28"/>
  <c r="X62" i="28"/>
  <c r="Y62" i="28"/>
  <c r="F169" i="28"/>
  <c r="Y169" i="28"/>
  <c r="X80" i="28"/>
  <c r="Y80" i="28"/>
  <c r="X77" i="28"/>
  <c r="Y77" i="28"/>
  <c r="X168" i="28"/>
  <c r="Y168" i="28"/>
  <c r="E34" i="37"/>
  <c r="Y51" i="28"/>
  <c r="X138" i="28"/>
  <c r="Y138" i="28"/>
  <c r="F20" i="30"/>
  <c r="Y46" i="28"/>
  <c r="F133" i="28"/>
  <c r="Y133" i="28"/>
  <c r="F28" i="28"/>
  <c r="Y28" i="28"/>
  <c r="F128" i="28"/>
  <c r="Y128" i="28"/>
  <c r="F31" i="28"/>
  <c r="Y31" i="28"/>
  <c r="X115" i="28"/>
  <c r="Y115" i="28"/>
  <c r="X157" i="28"/>
  <c r="Y157" i="28"/>
  <c r="X73" i="28"/>
  <c r="Y73" i="28"/>
  <c r="X12" i="28"/>
  <c r="Y12" i="28"/>
  <c r="X74" i="28"/>
  <c r="F74" i="28"/>
  <c r="X203" i="28"/>
  <c r="X208" i="28"/>
  <c r="X205" i="28"/>
  <c r="X204" i="28"/>
  <c r="X215" i="28"/>
  <c r="X206" i="28"/>
  <c r="X209" i="28"/>
  <c r="X207" i="28"/>
  <c r="F11" i="30"/>
  <c r="H11" i="30" s="1"/>
  <c r="F47" i="28"/>
  <c r="F17" i="30"/>
  <c r="F122" i="28"/>
  <c r="X202" i="28"/>
  <c r="F46" i="28"/>
  <c r="F26" i="28"/>
  <c r="F24" i="28"/>
  <c r="X185" i="28"/>
  <c r="X184" i="28"/>
  <c r="X186" i="28"/>
  <c r="X18" i="28"/>
  <c r="X82" i="28"/>
  <c r="X160" i="28"/>
  <c r="E33" i="37"/>
  <c r="F38" i="28"/>
  <c r="F7" i="30"/>
  <c r="H7" i="30" s="1"/>
  <c r="F57" i="28"/>
  <c r="X68" i="28"/>
  <c r="F72" i="28"/>
  <c r="X35" i="28"/>
  <c r="X43" i="28"/>
  <c r="X91" i="28"/>
  <c r="X171" i="28"/>
  <c r="X89" i="28"/>
  <c r="F8" i="30"/>
  <c r="F39" i="28"/>
  <c r="E22" i="37"/>
  <c r="X90" i="28"/>
  <c r="F43" i="28"/>
  <c r="X137" i="28"/>
  <c r="X42" i="28"/>
  <c r="D1" i="28"/>
  <c r="E18" i="37"/>
  <c r="G103" i="28"/>
  <c r="E50" i="37"/>
  <c r="X46" i="28"/>
  <c r="H186" i="28"/>
  <c r="Q186" i="28" s="1"/>
  <c r="F14" i="30"/>
  <c r="X175" i="28"/>
  <c r="X48" i="28"/>
  <c r="X92" i="28"/>
  <c r="X133" i="28"/>
  <c r="X99" i="28"/>
  <c r="X93" i="28"/>
  <c r="G115" i="28"/>
  <c r="Q115" i="28" s="1"/>
  <c r="X100" i="28"/>
  <c r="X166" i="28"/>
  <c r="X28" i="28"/>
  <c r="X50" i="28"/>
  <c r="X174" i="28"/>
  <c r="X108" i="28"/>
  <c r="X31" i="28"/>
  <c r="X121" i="28"/>
  <c r="X61" i="28"/>
  <c r="X165" i="28"/>
  <c r="X125" i="28"/>
  <c r="X86" i="28"/>
  <c r="X162" i="28"/>
  <c r="X23" i="28"/>
  <c r="F121" i="28"/>
  <c r="X113" i="28"/>
  <c r="X132" i="28"/>
  <c r="X27" i="28"/>
  <c r="X182" i="28"/>
  <c r="X22" i="28"/>
  <c r="X51" i="28"/>
  <c r="X98" i="28"/>
  <c r="X120" i="28"/>
  <c r="X60" i="28"/>
  <c r="X94" i="28"/>
  <c r="X25" i="28"/>
  <c r="F181" i="28"/>
  <c r="X8" i="28"/>
  <c r="X172" i="28"/>
  <c r="X106" i="28"/>
  <c r="X57" i="28"/>
  <c r="X159" i="28"/>
  <c r="X183" i="28"/>
  <c r="X96" i="28"/>
  <c r="X176" i="28"/>
  <c r="X134" i="28"/>
  <c r="X37" i="28"/>
  <c r="F103" i="28"/>
  <c r="L95" i="28"/>
  <c r="Y95" i="28" s="1"/>
  <c r="X169" i="28"/>
  <c r="X87" i="28"/>
  <c r="X45" i="28"/>
  <c r="X135" i="28"/>
  <c r="X49" i="28"/>
  <c r="X101" i="28"/>
  <c r="X131" i="28"/>
  <c r="X126" i="28"/>
  <c r="X29" i="28"/>
  <c r="X123" i="28"/>
  <c r="H173" i="28"/>
  <c r="Q173" i="28" s="1"/>
  <c r="L66" i="28"/>
  <c r="X161" i="28"/>
  <c r="X88" i="28"/>
  <c r="X41" i="28"/>
  <c r="X52" i="28"/>
  <c r="F44" i="28"/>
  <c r="X97" i="28"/>
  <c r="X111" i="28"/>
  <c r="X30" i="28"/>
  <c r="X6" i="28"/>
  <c r="X128" i="28"/>
  <c r="X63" i="28"/>
  <c r="X55" i="28"/>
  <c r="L10" i="28"/>
  <c r="F17" i="28" s="1"/>
  <c r="F5" i="28"/>
  <c r="F130" i="28"/>
  <c r="F41" i="28"/>
  <c r="G34" i="28"/>
  <c r="Q34" i="28" s="1"/>
  <c r="G51" i="28"/>
  <c r="Q51" i="28" s="1"/>
  <c r="F52" i="28"/>
  <c r="G72" i="28"/>
  <c r="F51" i="28"/>
  <c r="F21" i="28"/>
  <c r="G74" i="28"/>
  <c r="H185" i="28"/>
  <c r="Q185" i="28" s="1"/>
  <c r="G21" i="28"/>
  <c r="Q21" i="28" s="1"/>
  <c r="G130" i="28"/>
  <c r="Q130" i="28" s="1"/>
  <c r="E27" i="37"/>
  <c r="F136" i="28"/>
  <c r="F139" i="28"/>
  <c r="F85" i="28"/>
  <c r="E44" i="37"/>
  <c r="G85" i="28"/>
  <c r="Q85" i="28" s="1"/>
  <c r="F105" i="28"/>
  <c r="F69" i="28"/>
  <c r="E46" i="37"/>
  <c r="F119" i="28"/>
  <c r="F118" i="28"/>
  <c r="E52" i="37"/>
  <c r="F29" i="30"/>
  <c r="F59" i="28"/>
  <c r="F58" i="28"/>
  <c r="F28" i="30"/>
  <c r="H28" i="30" s="1"/>
  <c r="E38" i="37"/>
  <c r="F33" i="28"/>
  <c r="F7" i="28"/>
  <c r="G114" i="28"/>
  <c r="Q114" i="28" s="1"/>
  <c r="F114" i="28"/>
  <c r="E43" i="37"/>
  <c r="F63" i="28"/>
  <c r="G63" i="28"/>
  <c r="Q63" i="28" s="1"/>
  <c r="E35" i="37"/>
  <c r="G64" i="28"/>
  <c r="Q64" i="28" s="1"/>
  <c r="G33" i="28"/>
  <c r="Q33" i="28" s="1"/>
  <c r="F56" i="28"/>
  <c r="F26" i="30"/>
  <c r="H26" i="30" s="1"/>
  <c r="E36" i="37"/>
  <c r="F129" i="28"/>
  <c r="E49" i="37"/>
  <c r="E14" i="37"/>
  <c r="H168" i="28"/>
  <c r="Q168" i="28" s="1"/>
  <c r="F167" i="28"/>
  <c r="H184" i="28"/>
  <c r="Q184" i="28" s="1"/>
  <c r="E7" i="37"/>
  <c r="F177" i="28"/>
  <c r="F10" i="30"/>
  <c r="F170" i="28"/>
  <c r="E19" i="37" l="1"/>
  <c r="L219" i="28"/>
  <c r="G184" i="28"/>
  <c r="G186" i="28"/>
  <c r="E28" i="37"/>
  <c r="F66" i="28"/>
  <c r="Y66" i="28"/>
  <c r="X10" i="28"/>
  <c r="Y10" i="28"/>
  <c r="C15" i="37"/>
  <c r="G185" i="28"/>
  <c r="E51" i="37"/>
  <c r="F186" i="28"/>
  <c r="F10" i="28"/>
  <c r="X66" i="28"/>
  <c r="E23" i="37"/>
  <c r="E24" i="37" s="1"/>
  <c r="X95" i="28"/>
  <c r="F173" i="28"/>
  <c r="E15" i="37"/>
  <c r="D24" i="37"/>
  <c r="C28" i="37"/>
  <c r="C19" i="37"/>
  <c r="C45" i="37"/>
  <c r="D45" i="37"/>
  <c r="D51" i="37"/>
  <c r="D28" i="37"/>
  <c r="E9" i="37"/>
  <c r="C24" i="37"/>
  <c r="D19" i="37"/>
  <c r="C51" i="37"/>
  <c r="E45" i="37"/>
  <c r="D15" i="37"/>
  <c r="F185" i="28"/>
  <c r="F30" i="30"/>
  <c r="H29" i="30"/>
  <c r="H30" i="30" s="1"/>
  <c r="F168" i="28"/>
  <c r="F12" i="30"/>
  <c r="H10" i="30"/>
  <c r="H12" i="30" s="1"/>
  <c r="F184" i="28"/>
  <c r="J219" i="28" l="1"/>
  <c r="H32" i="30"/>
  <c r="F15" i="30"/>
  <c r="F18" i="30" s="1"/>
  <c r="F32" i="30"/>
  <c r="C22" i="30" l="1"/>
  <c r="F21" i="30"/>
  <c r="C21" i="30"/>
</calcChain>
</file>

<file path=xl/sharedStrings.xml><?xml version="1.0" encoding="utf-8"?>
<sst xmlns="http://schemas.openxmlformats.org/spreadsheetml/2006/main" count="3036" uniqueCount="1255">
  <si>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</si>
  <si>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</si>
  <si>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</si>
  <si>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</si>
  <si>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</si>
  <si>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</si>
  <si>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</si>
  <si>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</si>
  <si>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</si>
  <si>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</si>
  <si>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</si>
  <si>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Error Messages</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</si>
  <si>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</si>
  <si>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</si>
  <si>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</si>
  <si>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</si>
  <si>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</si>
  <si>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</si>
  <si>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</si>
  <si>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</si>
  <si>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</si>
  <si>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</si>
  <si>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</si>
  <si>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</si>
  <si>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</si>
  <si>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</si>
  <si>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</si>
  <si>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</si>
  <si>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</si>
  <si>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</si>
  <si>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</si>
  <si>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</si>
  <si>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 xml:space="preserve"> </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</si>
  <si>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</si>
  <si>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</si>
  <si>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</si>
  <si>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</si>
  <si>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</si>
  <si>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</si>
  <si>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</si>
  <si>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</si>
  <si>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</si>
  <si>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</si>
  <si>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 xml:space="preserve">                                                            FINISHED</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</si>
  <si>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</si>
  <si>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</si>
  <si>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</si>
  <si>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</si>
  <si>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</si>
  <si>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</si>
  <si>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</si>
  <si>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</si>
  <si>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</si>
  <si>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</si>
  <si>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</si>
  <si>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</si>
  <si>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</si>
  <si>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</si>
  <si>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</si>
  <si>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</si>
  <si>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</si>
  <si>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</si>
  <si>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</si>
  <si>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</si>
  <si>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</si>
  <si>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</si>
  <si>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</si>
  <si>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</si>
  <si>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</si>
  <si>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</si>
  <si>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</si>
  <si>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</si>
  <si>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</si>
  <si>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</si>
  <si>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</si>
  <si>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</si>
  <si>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</si>
  <si>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</si>
  <si>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</si>
  <si>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</si>
  <si>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</si>
  <si>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</si>
  <si>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</si>
  <si>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</si>
  <si>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</si>
  <si>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</si>
  <si>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</si>
  <si>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</si>
  <si>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</si>
  <si>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</si>
  <si>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</si>
  <si>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</si>
  <si>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</si>
  <si>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</si>
  <si>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</si>
  <si>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</si>
  <si>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</si>
  <si>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</si>
  <si>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</si>
  <si>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</si>
  <si>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</si>
  <si>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</si>
  <si>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</si>
  <si>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</si>
  <si>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</si>
  <si>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</si>
  <si>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</si>
  <si>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</si>
  <si>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</si>
  <si>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</si>
  <si>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</si>
  <si>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</si>
  <si>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</si>
  <si>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</si>
  <si>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</si>
  <si>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</si>
  <si>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</si>
  <si>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</si>
  <si>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</si>
  <si>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</si>
  <si>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</si>
  <si>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</si>
  <si>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</si>
  <si>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</si>
  <si>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</si>
  <si>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</si>
  <si>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</si>
  <si>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</si>
  <si>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</si>
  <si>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</si>
  <si>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</si>
  <si>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</si>
  <si>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</si>
  <si>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</si>
  <si>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</si>
  <si>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</si>
  <si>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</si>
  <si>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</si>
  <si>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</si>
  <si>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</si>
  <si>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</si>
  <si>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</si>
  <si>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</si>
  <si>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</si>
  <si>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</si>
  <si>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in</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</si>
  <si>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</si>
  <si>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</si>
  <si>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</si>
  <si>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</si>
  <si>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</si>
  <si>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</si>
  <si>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</si>
  <si>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</si>
  <si>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</si>
  <si>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</si>
  <si>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</si>
  <si>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</si>
  <si>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</si>
  <si>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</si>
  <si>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</si>
  <si>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</si>
  <si>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</si>
  <si>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</si>
  <si>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</si>
  <si>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</si>
  <si>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</si>
  <si>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</si>
  <si>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</si>
  <si>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</si>
  <si>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</si>
  <si>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</si>
  <si>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</si>
  <si>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</si>
  <si>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</si>
  <si>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</si>
  <si>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</si>
  <si>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</si>
  <si>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</si>
  <si>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</si>
  <si>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</si>
  <si>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</si>
  <si>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</si>
  <si>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</si>
  <si>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</si>
  <si>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</si>
  <si>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</si>
  <si>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</si>
  <si>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Gov - Internal Balance</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</si>
  <si>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</si>
  <si>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</si>
  <si>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</si>
  <si>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</si>
  <si>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</si>
  <si>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</si>
  <si>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</si>
  <si>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</si>
  <si>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</si>
  <si>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</si>
  <si>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</si>
  <si>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</si>
  <si>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</si>
  <si>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</si>
  <si>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</si>
  <si>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</si>
  <si>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</si>
  <si>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</si>
  <si>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</si>
  <si>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</si>
  <si>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</si>
  <si>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</si>
  <si>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</si>
  <si>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</si>
  <si>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</si>
  <si>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</si>
  <si>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</si>
  <si>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</si>
  <si>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</si>
  <si>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</si>
  <si>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</si>
  <si>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</si>
  <si>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</si>
  <si>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</si>
  <si>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</si>
  <si>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</si>
  <si>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</si>
  <si>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</si>
  <si>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</si>
  <si>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</si>
  <si>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</si>
  <si>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</si>
  <si>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</si>
  <si>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</si>
  <si>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</si>
  <si>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</si>
  <si>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</si>
  <si>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</si>
  <si>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</si>
  <si>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</si>
  <si>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</si>
  <si>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</si>
  <si>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</si>
  <si>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</si>
  <si>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</si>
  <si>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</si>
  <si>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</si>
  <si>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</si>
  <si>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</si>
  <si>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</si>
  <si>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</si>
  <si>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</si>
  <si>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</si>
  <si>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</si>
  <si>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</si>
  <si>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</si>
  <si>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</si>
  <si>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</si>
  <si>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</si>
  <si>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</si>
  <si>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</si>
  <si>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OPEB- ARC</t>
  </si>
  <si>
    <t>OPEB- Obligation</t>
  </si>
  <si>
    <t>OPEB- Actuarial Value of Assets</t>
  </si>
  <si>
    <t>OPEB- UAAL</t>
  </si>
  <si>
    <t>OPEB- UAAL % of Payroll</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</si>
  <si>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</si>
  <si>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</si>
  <si>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</si>
  <si>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</si>
  <si>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</si>
  <si>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</si>
  <si>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</si>
  <si>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</si>
  <si>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</si>
  <si>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</si>
  <si>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</si>
  <si>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</si>
  <si>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</si>
  <si>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</si>
  <si>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</si>
  <si>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</si>
  <si>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</si>
  <si>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</si>
  <si>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</si>
  <si>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</si>
  <si>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</si>
  <si>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</si>
  <si>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</si>
  <si>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</si>
  <si>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</si>
  <si>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</si>
  <si>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</si>
  <si>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</si>
  <si>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</si>
  <si>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</si>
  <si>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</si>
  <si>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</si>
  <si>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</si>
  <si>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</si>
  <si>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</si>
  <si>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Unit Number</t>
  </si>
  <si>
    <t>CCH 4</t>
  </si>
  <si>
    <t>CCH 5</t>
  </si>
  <si>
    <t>CCH 6</t>
  </si>
  <si>
    <t>CCH 7</t>
  </si>
  <si>
    <t>CCH 9</t>
  </si>
  <si>
    <t>CCH 11</t>
  </si>
  <si>
    <t>CCH 12</t>
  </si>
  <si>
    <t>CCH 13</t>
  </si>
  <si>
    <t>C-EF- Current liabilities (Inc. Def Rev, Excl. BANs &amp; Comp Abs)</t>
  </si>
  <si>
    <t>CCH 14</t>
  </si>
  <si>
    <t>CCH 16</t>
  </si>
  <si>
    <t>CCH 17</t>
  </si>
  <si>
    <t>CCH 19</t>
  </si>
  <si>
    <t>CCH 20</t>
  </si>
  <si>
    <t>CCH 21</t>
  </si>
  <si>
    <t>CCH 22</t>
  </si>
  <si>
    <t>CCH 23</t>
  </si>
  <si>
    <t>CCH 31</t>
  </si>
  <si>
    <t xml:space="preserve">Combined Totals of all Proprietary Funds - Depreciation &amp; Amortization Expense </t>
  </si>
  <si>
    <t>CCH 32</t>
  </si>
  <si>
    <t>Combined Totals of all Proprietary Funds - Cash Flow from Operating</t>
  </si>
  <si>
    <t>CCH 33</t>
  </si>
  <si>
    <t>Hospital-EF- Unrestricted Cash &amp; Invest</t>
  </si>
  <si>
    <t>CCH 34</t>
  </si>
  <si>
    <t>CCH 35</t>
  </si>
  <si>
    <t>CCH 36</t>
  </si>
  <si>
    <t xml:space="preserve">Hospital-EF- Total LT Debt (non current portion only) (BS) </t>
  </si>
  <si>
    <t>CCH 37</t>
  </si>
  <si>
    <t>CCH 38</t>
  </si>
  <si>
    <t>Hospital-EF- Principal Paid on LTD (SCF)</t>
  </si>
  <si>
    <t>CCH 39</t>
  </si>
  <si>
    <t>Hospital-EF- Net Patient Revenue (IS)</t>
  </si>
  <si>
    <t>CCH 40</t>
  </si>
  <si>
    <t>Hospital-EF- Interest expenses (IS)</t>
  </si>
  <si>
    <t>CCH 41</t>
  </si>
  <si>
    <t>WS-EF- Current Assets (unrestricted, excl. inventory and prepaids)</t>
  </si>
  <si>
    <t>CCH 43</t>
  </si>
  <si>
    <t>CCH 44</t>
  </si>
  <si>
    <t>CCH 45</t>
  </si>
  <si>
    <t>CCH 46</t>
  </si>
  <si>
    <t>CCH 47</t>
  </si>
  <si>
    <t>CCH 48</t>
  </si>
  <si>
    <t>CCH 49</t>
  </si>
  <si>
    <t>CCH 50</t>
  </si>
  <si>
    <t>CCH 51</t>
  </si>
  <si>
    <t>CCH 52</t>
  </si>
  <si>
    <t>CCH 53</t>
  </si>
  <si>
    <t>CCH 54</t>
  </si>
  <si>
    <t>CCH 55</t>
  </si>
  <si>
    <t>CCH 61</t>
  </si>
  <si>
    <t>CCH 80</t>
  </si>
  <si>
    <t>CCH 81</t>
  </si>
  <si>
    <t>CCH 82</t>
  </si>
  <si>
    <t>CCH 83</t>
  </si>
  <si>
    <t>CCH 84</t>
  </si>
  <si>
    <t>CCH 85</t>
  </si>
  <si>
    <t>CCH 88</t>
  </si>
  <si>
    <t>CCH 89</t>
  </si>
  <si>
    <t>CCH 90</t>
  </si>
  <si>
    <t>CCH 91</t>
  </si>
  <si>
    <t>CCH 92</t>
  </si>
  <si>
    <t>CCH 93</t>
  </si>
  <si>
    <t>CCH 94</t>
  </si>
  <si>
    <t>CCH 97</t>
  </si>
  <si>
    <t>CCH 98</t>
  </si>
  <si>
    <t>CCH 99</t>
  </si>
  <si>
    <t>CCH 100</t>
  </si>
  <si>
    <t>CCH 101</t>
  </si>
  <si>
    <t>CCH 102</t>
  </si>
  <si>
    <t>CCH 103</t>
  </si>
  <si>
    <t>Hospital-EF- Capital Outlays</t>
  </si>
  <si>
    <t>CCH 104</t>
  </si>
  <si>
    <t>CCH 107</t>
  </si>
  <si>
    <t>CCH 108</t>
  </si>
  <si>
    <t xml:space="preserve">Counties Only- Local Current Expense to BOEs </t>
  </si>
  <si>
    <t>CCH 147</t>
  </si>
  <si>
    <t xml:space="preserve">Counties Only- Capital Outlay Contribution to BOEs </t>
  </si>
  <si>
    <t>CCH 148</t>
  </si>
  <si>
    <t xml:space="preserve">BOE Only-- Local Current Exp. Revenue from County. </t>
  </si>
  <si>
    <t>CCH 149</t>
  </si>
  <si>
    <t xml:space="preserve">BOE- Only-- Capital outlay revenue from county (GF, SRF, CPF) </t>
  </si>
  <si>
    <t>CCH 150</t>
  </si>
  <si>
    <t>CCH 171</t>
  </si>
  <si>
    <t>CCH 191</t>
  </si>
  <si>
    <t>CCH 192</t>
  </si>
  <si>
    <t>Combined Totals of all Proprietary Funds - Capital Contributions</t>
  </si>
  <si>
    <t>CCH 193</t>
  </si>
  <si>
    <t>Hospital-EF- Capital contributions (only positive)</t>
  </si>
  <si>
    <t>CCH 194</t>
  </si>
  <si>
    <t>GF- Total cash &amp; investments (restricted &amp; unrestricted)</t>
  </si>
  <si>
    <t>CCH 231</t>
  </si>
  <si>
    <t>All cash and investments (unit-wide, w/ fiduciary fds, &amp; restricted cash)</t>
  </si>
  <si>
    <t>CCH 251</t>
  </si>
  <si>
    <t>CCH 252</t>
  </si>
  <si>
    <t>CCH 253</t>
  </si>
  <si>
    <t>CCH 254</t>
  </si>
  <si>
    <t>CCH 255</t>
  </si>
  <si>
    <t>BOE Only- Timber Receipts Revenue</t>
  </si>
  <si>
    <t>CCH 274</t>
  </si>
  <si>
    <t>CCH 294</t>
  </si>
  <si>
    <t>Public Housing Authority- HUD Capital grants amount (SCF, don't include operating grants)</t>
  </si>
  <si>
    <t>CCH 314</t>
  </si>
  <si>
    <t>Public Housing Authority- Amount paid for capital asset acquisition (SCF)</t>
  </si>
  <si>
    <t>CCH 315</t>
  </si>
  <si>
    <t>Public Housing Authority - Operating income (loss)</t>
  </si>
  <si>
    <t>CCH 316</t>
  </si>
  <si>
    <t>CCH 320</t>
  </si>
  <si>
    <t>CCH 321</t>
  </si>
  <si>
    <t>CCH 322</t>
  </si>
  <si>
    <t>CCH 323</t>
  </si>
  <si>
    <t>CCH 324</t>
  </si>
  <si>
    <t>CCH 325</t>
  </si>
  <si>
    <t>CCH 326</t>
  </si>
  <si>
    <t>CCH 327</t>
  </si>
  <si>
    <t>CCH 328</t>
  </si>
  <si>
    <t>CCH 330</t>
  </si>
  <si>
    <t>CCH 331</t>
  </si>
  <si>
    <t>CCH 332</t>
  </si>
  <si>
    <t>CCH 333</t>
  </si>
  <si>
    <t>CCH 334</t>
  </si>
  <si>
    <t>CCH 335</t>
  </si>
  <si>
    <t>CCH 336</t>
  </si>
  <si>
    <t>CCH 337</t>
  </si>
  <si>
    <t>CCH 338</t>
  </si>
  <si>
    <t>CCH 339</t>
  </si>
  <si>
    <t>CCH 340</t>
  </si>
  <si>
    <t>CCH 341</t>
  </si>
  <si>
    <t>CCH 342</t>
  </si>
  <si>
    <t>CCH 343</t>
  </si>
  <si>
    <t>CCH 344</t>
  </si>
  <si>
    <t>CCH 346</t>
  </si>
  <si>
    <t>CCH 347</t>
  </si>
  <si>
    <t>CCH 349</t>
  </si>
  <si>
    <t>CCH 350</t>
  </si>
  <si>
    <t>CCH 351</t>
  </si>
  <si>
    <t>CCH 352</t>
  </si>
  <si>
    <t>CCH 353</t>
  </si>
  <si>
    <t>CCH 354</t>
  </si>
  <si>
    <t>CCH 357</t>
  </si>
  <si>
    <t>CCH 359</t>
  </si>
  <si>
    <t>CCH 360</t>
  </si>
  <si>
    <t>CCH 361</t>
  </si>
  <si>
    <t>CCH 362</t>
  </si>
  <si>
    <t>CCH 363</t>
  </si>
  <si>
    <t>CCH 364</t>
  </si>
  <si>
    <t>CCH 365</t>
  </si>
  <si>
    <t>CCH 366</t>
  </si>
  <si>
    <t>CCH 367</t>
  </si>
  <si>
    <t>CCH 368</t>
  </si>
  <si>
    <t>CCH 369</t>
  </si>
  <si>
    <t>CCH 370</t>
  </si>
  <si>
    <t>CCH 371</t>
  </si>
  <si>
    <t>CCH 373</t>
  </si>
  <si>
    <t>CCH 375</t>
  </si>
  <si>
    <t>CCH 376</t>
  </si>
  <si>
    <t>CCH 377</t>
  </si>
  <si>
    <t>CCH 378</t>
  </si>
  <si>
    <t>CCH 379</t>
  </si>
  <si>
    <t>CCH 380</t>
  </si>
  <si>
    <t>CCH 381</t>
  </si>
  <si>
    <t>CCH 382</t>
  </si>
  <si>
    <t>CCH 383</t>
  </si>
  <si>
    <t>CCH 384</t>
  </si>
  <si>
    <t>CCH 385</t>
  </si>
  <si>
    <t>CCH 386</t>
  </si>
  <si>
    <t>CCH 387</t>
  </si>
  <si>
    <t>CCH 388</t>
  </si>
  <si>
    <t>CCH 389</t>
  </si>
  <si>
    <t>CCH 391</t>
  </si>
  <si>
    <t>CCH 500</t>
  </si>
  <si>
    <t>CCH 501</t>
  </si>
  <si>
    <t>CCH 502</t>
  </si>
  <si>
    <t>CCH 503</t>
  </si>
  <si>
    <t>CCH 504</t>
  </si>
  <si>
    <t>CCH 505</t>
  </si>
  <si>
    <t>CCH 506</t>
  </si>
  <si>
    <t>CCH 507</t>
  </si>
  <si>
    <t>CCH 508</t>
  </si>
  <si>
    <t>CCH 509</t>
  </si>
  <si>
    <t>CCH 510</t>
  </si>
  <si>
    <t>CCH 511</t>
  </si>
  <si>
    <t>CCH 512</t>
  </si>
  <si>
    <t>CCH 513</t>
  </si>
  <si>
    <t>CCH 514</t>
  </si>
  <si>
    <t>CCH 515</t>
  </si>
  <si>
    <t>CCH 516</t>
  </si>
  <si>
    <t>CCH 517</t>
  </si>
  <si>
    <t>CCH 518</t>
  </si>
  <si>
    <t>CCH 519</t>
  </si>
  <si>
    <t>CCH 520</t>
  </si>
  <si>
    <t>CCH 521</t>
  </si>
  <si>
    <t>CCH 522</t>
  </si>
  <si>
    <t>CCH 523</t>
  </si>
  <si>
    <t>CCH 524</t>
  </si>
  <si>
    <t>CCH 525</t>
  </si>
  <si>
    <t>CCH 526</t>
  </si>
  <si>
    <t>CCH 527</t>
  </si>
  <si>
    <t>CCH 528</t>
  </si>
  <si>
    <t>CCH 529</t>
  </si>
  <si>
    <t>CCH 530</t>
  </si>
  <si>
    <t>CCH 531</t>
  </si>
  <si>
    <t>CCH 532</t>
  </si>
  <si>
    <t>CCH 533</t>
  </si>
  <si>
    <t>CCH 534</t>
  </si>
  <si>
    <t>CCH 535</t>
  </si>
  <si>
    <t>CCH 536</t>
  </si>
  <si>
    <t>CCH 537</t>
  </si>
  <si>
    <t>CCH 538</t>
  </si>
  <si>
    <t>CCH 539</t>
  </si>
  <si>
    <t>CCH 540</t>
  </si>
  <si>
    <t>CCH 541</t>
  </si>
  <si>
    <t>CCH 542</t>
  </si>
  <si>
    <t>CCH 543</t>
  </si>
  <si>
    <t>CCH 544</t>
  </si>
  <si>
    <t>CCH 545</t>
  </si>
  <si>
    <t>CCH 546</t>
  </si>
  <si>
    <t>CCH 547</t>
  </si>
  <si>
    <t>Hospital - No Budget required</t>
  </si>
  <si>
    <t>CCH 993</t>
  </si>
  <si>
    <t>Hospital - No Contract required</t>
  </si>
  <si>
    <t>CCH 994</t>
  </si>
  <si>
    <t>Units with Electric Operations have. 07,. 08,. 09</t>
  </si>
  <si>
    <t>CCH 995</t>
  </si>
  <si>
    <t>Units with Water Sewer Operations have. 01</t>
  </si>
  <si>
    <t>CCH 996</t>
  </si>
  <si>
    <t>CCH 998</t>
  </si>
  <si>
    <t>CCH 999</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</si>
  <si>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</si>
  <si>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</si>
  <si>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</si>
  <si>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</si>
  <si>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</si>
  <si>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</si>
  <si>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</si>
  <si>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</si>
  <si>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</si>
  <si>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</si>
  <si>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</si>
  <si>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</si>
  <si>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</si>
  <si>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</si>
  <si>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</si>
  <si>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Unit paid to Officers under LEO</t>
  </si>
  <si>
    <t xml:space="preserve">OPEB 
1-implicit rate only  
2-no benefit 
3-benfit 
4- state health plan  </t>
  </si>
  <si>
    <t>Law Enforcement Officers - Actuarial value of Assets</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</si>
  <si>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</si>
  <si>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</si>
  <si>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</si>
  <si>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</si>
  <si>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</si>
  <si>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</si>
  <si>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</si>
  <si>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</si>
  <si>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</si>
  <si>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</si>
  <si>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</si>
  <si>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</si>
  <si>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</si>
  <si>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</si>
  <si>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</si>
  <si>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</si>
  <si>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</si>
  <si>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</si>
  <si>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</si>
  <si>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r>
      <rPr>
        <u/>
        <sz val="11"/>
        <rFont val="Calibri"/>
        <family val="2"/>
      </rPr>
      <t>Water Sewer - Advance To:</t>
    </r>
    <r>
      <rPr>
        <sz val="11"/>
        <rFont val="Calibri"/>
        <family val="2"/>
      </rPr>
      <t xml:space="preserve">
Interfund loan receivable-portion of repayment plan longer than 12 months</t>
    </r>
  </si>
  <si>
    <t>GF-Advance To - Asset</t>
  </si>
  <si>
    <t>WS -  Advance To - Asset</t>
  </si>
  <si>
    <t>WS - Advance From - Liability</t>
  </si>
  <si>
    <t>EF - Advance To - Asset</t>
  </si>
  <si>
    <t>EF - Advance from - Liability</t>
  </si>
  <si>
    <t>use on upload template</t>
  </si>
  <si>
    <t>Gen Fund - Total Expenditures</t>
  </si>
  <si>
    <t>Gen Fund - Proceeds from LTD</t>
  </si>
  <si>
    <t>CCH 548</t>
  </si>
  <si>
    <t>CCH 549</t>
  </si>
  <si>
    <t>Debt Service payments made from Bond investments</t>
  </si>
  <si>
    <t>CCH 550</t>
  </si>
  <si>
    <t>CCH 551</t>
  </si>
  <si>
    <t>CCH 552</t>
  </si>
  <si>
    <t>not currently used</t>
  </si>
  <si>
    <t>CCH 553</t>
  </si>
  <si>
    <t>Single Audit Only - total amount of federal awards and grants expended as found on SEFSA</t>
  </si>
  <si>
    <t>CCH 554</t>
  </si>
  <si>
    <t>Single Audit Only - Total amount of federal awards and grants that were audited as major as found on SEFSA</t>
  </si>
  <si>
    <t>CCH 555</t>
  </si>
  <si>
    <t>Single Audit Only - total amount of state awards and grants expended as found on SEFSA</t>
  </si>
  <si>
    <t>CCH 556</t>
  </si>
  <si>
    <t>Single Audit Only - Total amount of state awards and grants that were audited as major as found on SEFSA</t>
  </si>
  <si>
    <t>CCH 557</t>
  </si>
  <si>
    <t>CCH 558</t>
  </si>
  <si>
    <t>CCH 559</t>
  </si>
  <si>
    <t>CCH 560</t>
  </si>
  <si>
    <t>CCH 561</t>
  </si>
  <si>
    <t>CCH 562</t>
  </si>
  <si>
    <t>CCH 563</t>
  </si>
  <si>
    <t>CCH 564</t>
  </si>
  <si>
    <t>CCH 565</t>
  </si>
  <si>
    <t>CCH 566</t>
  </si>
  <si>
    <t>CCH 567</t>
  </si>
  <si>
    <t>CCH 568</t>
  </si>
  <si>
    <t>CCH 569</t>
  </si>
  <si>
    <t>CCH 570</t>
  </si>
  <si>
    <t>CCH 571</t>
  </si>
  <si>
    <t>CCH 572</t>
  </si>
  <si>
    <t>CCH 573</t>
  </si>
  <si>
    <t>CCH 574</t>
  </si>
  <si>
    <t>CCH 992</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</si>
  <si>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</si>
  <si>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</si>
  <si>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</si>
  <si>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</si>
  <si>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</si>
  <si>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</si>
  <si>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</si>
  <si>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</si>
  <si>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</si>
  <si>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Indicate if your water/sewer system:
50 - Became Operational
51 - Ceased Operations
52 - No Change</t>
  </si>
  <si>
    <t>50 - Became Operational</t>
  </si>
  <si>
    <t>51 - Ceased Operations</t>
  </si>
  <si>
    <t>52 - No Change</t>
  </si>
  <si>
    <t>Status of Water Sewer</t>
  </si>
  <si>
    <t>Gen Fund - Current Liabilities</t>
  </si>
  <si>
    <t>C-EF- Current Assets (unrestricted, excl. inventory and prepaids)</t>
  </si>
  <si>
    <t>C-EF Current Assets (unrestricted, incl. inventory and prepaids)</t>
  </si>
  <si>
    <t>GF- Total expenditures</t>
  </si>
  <si>
    <t>GF- Proceeds from all LT debt issuance (COPs, IPs, Notes, CLs, etc.)</t>
  </si>
  <si>
    <t>C-EF- Change in Net Assets</t>
  </si>
  <si>
    <t>Hospital-EF - Patient A/Rec, net</t>
  </si>
  <si>
    <t>Hospital-EF- Total Gross Capital Assets (BS), w/o acc. dep.</t>
  </si>
  <si>
    <t xml:space="preserve">Hospital-EF- Unrestricted Fund Equity/Net Assets </t>
  </si>
  <si>
    <t>WS - Total Current Assets</t>
  </si>
  <si>
    <t>WS - Select Current Liabilities</t>
  </si>
  <si>
    <t>E-EF- Current Assets (unrestricted, excl. inventory and prepaids)</t>
  </si>
  <si>
    <t>Electric - Total Current Assets</t>
  </si>
  <si>
    <t>E-EF- Net Transfers In(Out)- with GF only</t>
  </si>
  <si>
    <t>E-EF- Gross Capital Assets</t>
  </si>
  <si>
    <t>Hospital-EF - Total Operating Revenues</t>
  </si>
  <si>
    <t xml:space="preserve">Hospital-EF- Total Operating Expenses. May include Interest Exp. </t>
  </si>
  <si>
    <t>WS Cap Asset - Land &amp; other Non-Construction</t>
  </si>
  <si>
    <t>WS-EF- Accumulated Infrastructure Deprec Expense</t>
  </si>
  <si>
    <t>Gov - Select Current Liabilities</t>
  </si>
  <si>
    <t>GA- Total Program revenues (SOA)</t>
  </si>
  <si>
    <t>GA- Total Net transfers in(out) (SOA)</t>
  </si>
  <si>
    <t>WS-EF- Total depreciable capital assets, gross</t>
  </si>
  <si>
    <t>WS-EF- Total Accum Deprec on all capital assets.</t>
  </si>
  <si>
    <t>GF- Restricted cash &amp; investments</t>
  </si>
  <si>
    <t>CCH 575</t>
  </si>
  <si>
    <t>CCH 576</t>
  </si>
  <si>
    <t>Yes  or "1" indicates unit has defined benefit other than the ones adm. By the state</t>
  </si>
  <si>
    <t>CCH 577</t>
  </si>
  <si>
    <t>WS-Advance From - Liability</t>
  </si>
  <si>
    <t>CCH 578</t>
  </si>
  <si>
    <t>WS-Advance To - Asset</t>
  </si>
  <si>
    <t>CCH 579</t>
  </si>
  <si>
    <t>EF-Advance From - Liability</t>
  </si>
  <si>
    <t>CCH 580</t>
  </si>
  <si>
    <t>EF-Advance To - Asset</t>
  </si>
  <si>
    <t>CCH 581</t>
  </si>
  <si>
    <t>TDA- Government Wide current and long-term debt</t>
  </si>
  <si>
    <t>CCH 582</t>
  </si>
  <si>
    <t>Bus- Total Expenses</t>
  </si>
  <si>
    <t>CCH 583</t>
  </si>
  <si>
    <t>Bus-Total Revenues</t>
  </si>
  <si>
    <t>CCH 584</t>
  </si>
  <si>
    <t>County only-timber receipts sent to the schools</t>
  </si>
  <si>
    <t>CCH 585</t>
  </si>
  <si>
    <t>GF - Advance from</t>
  </si>
  <si>
    <t>CCH 586</t>
  </si>
  <si>
    <t>Local Curr Exp trx to Fund 8</t>
  </si>
  <si>
    <t>CCH 587</t>
  </si>
  <si>
    <t>Capital Outlay trx to Fund 8</t>
  </si>
  <si>
    <t>CCH 588</t>
  </si>
  <si>
    <t>County-supplemental school tax reported in Agency fund</t>
  </si>
  <si>
    <t>CCH 589</t>
  </si>
  <si>
    <t xml:space="preserve">This is a description question that is retained on the data input tab - This information is not uploaded to CCH or our data base </t>
  </si>
  <si>
    <t>CCH 590</t>
  </si>
  <si>
    <t>Statement of Activities                               (all governmental and business funds)</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</si>
  <si>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</si>
  <si>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Only for Review Summary</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</si>
  <si>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</si>
  <si>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</si>
  <si>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</si>
  <si>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</si>
  <si>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</si>
  <si>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</si>
  <si>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</si>
  <si>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</si>
  <si>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Unit Contact Question</t>
  </si>
  <si>
    <t>Interest income from statement of activitites</t>
  </si>
  <si>
    <t>https://efc.sog.unc.edu/reslib/item/north-carolina-water-and-wastewater-rates-dashboard#</t>
  </si>
  <si>
    <t>If you have LEO pension assets and are reporting under GASB 68 please enter "Plan Fiduciary Net Position" which can be found on your RSI schedules and the Notes.</t>
  </si>
  <si>
    <t>Health benefits - total OPEB liability</t>
  </si>
  <si>
    <t>Health benefits- OPEB plan fiduciary net position</t>
  </si>
  <si>
    <t>Vision benefits - total OPEB liability</t>
  </si>
  <si>
    <t>Vision benefits - OPEB plan fiduciary net position</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</si>
  <si>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</si>
  <si>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</si>
  <si>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</si>
  <si>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</si>
  <si>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</si>
  <si>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OPEB
 Note or RSI</t>
  </si>
  <si>
    <t>Financial opinion - enter "1" for clean Opinion or "2" for other than clean opinion</t>
  </si>
  <si>
    <t>Dental benefits - total OPEB liability</t>
  </si>
  <si>
    <t>Notes or formulas</t>
  </si>
  <si>
    <t>OPEB
RSI</t>
  </si>
  <si>
    <t>LEO
RSI</t>
  </si>
  <si>
    <t>Do you expect to issue debt requiring LGC approval within 12 months from the date that the audit is submitted - select "1" for year and "2" for no</t>
  </si>
  <si>
    <t>Do you expect to issue debt requiring LGC approval within 12 months from the date that the audit is submitted - select "1" for yes and "2" for no</t>
  </si>
  <si>
    <t>Debt Issued within next 12 months</t>
  </si>
  <si>
    <t>#VALUE!</t>
  </si>
  <si>
    <t/>
  </si>
  <si>
    <t>If you have LEO pension assets and are reporting under GASB 68 please enter "Plan Fiduciary Net Position" which can be found on your RSI schedules.</t>
  </si>
  <si>
    <t>Health benefits - plan's fiduary net postion as a % of total OPEB liability</t>
  </si>
  <si>
    <t>Vision benefits - plan's fiduary net postion as a % of total OPEB liability</t>
  </si>
  <si>
    <t>Dental benefits - plan's fiduary net postion as a % of total OPEB liability</t>
  </si>
  <si>
    <t>Other benefits - plan's fiduary net postion as a % of total OPEB liability</t>
  </si>
  <si>
    <t>LEOSSA – What is the plan’s fiduciary net position as a percentage of the total pension liability?  Please enter as percentage value; for example, 83.5% should be entered as 83.5.  If assets have not been set aside in a trust, please enter 0.0</t>
  </si>
  <si>
    <t>LEO - plan's fiduary net position as a % of total pension liability</t>
  </si>
  <si>
    <t>FS., OPEB  note or RSI</t>
  </si>
  <si>
    <t>Compliance opinion - enter "1" for clean Opinion or "2" for other than clean opinion</t>
  </si>
  <si>
    <t>FS., Pension note or RSI</t>
  </si>
  <si>
    <t>Notes to the Financial Statements - Pension Note</t>
  </si>
  <si>
    <t>Net OPEB Liability (RHBF)</t>
  </si>
  <si>
    <t>FS., OPEB note or RSI</t>
  </si>
  <si>
    <t>Does the County collect real estate property taxes on your behalf? Select "1" for "yes and "2" for "No"</t>
  </si>
  <si>
    <t>Not loaded to CCH</t>
  </si>
  <si>
    <t>County collects real estate property on your behalf</t>
  </si>
  <si>
    <t>CCH 385-CCH 576</t>
  </si>
  <si>
    <t>CCH 336-CCH 576</t>
  </si>
  <si>
    <t>CCH 338-CCH 576</t>
  </si>
  <si>
    <t>does not include rows 282-284</t>
  </si>
  <si>
    <t>Net Pension Liability</t>
  </si>
  <si>
    <t>Determination of Fiscal Health</t>
  </si>
  <si>
    <t>Fund Balance, Unassigned</t>
  </si>
  <si>
    <t>This information was not collected in 2019</t>
  </si>
  <si>
    <t>Debt Service Fund</t>
  </si>
  <si>
    <t>Please enter the Total Fund Balance for any Debt Service Funds</t>
  </si>
  <si>
    <t>Water Sewer Net Position Statement</t>
  </si>
  <si>
    <t>Total Revenue</t>
  </si>
  <si>
    <t>General Fund:</t>
  </si>
  <si>
    <t>Total Expenditures</t>
  </si>
  <si>
    <t>Increase (decrease) in Fund Balance</t>
  </si>
  <si>
    <t>Transfers-In</t>
  </si>
  <si>
    <t>Transfers-Out</t>
  </si>
  <si>
    <t>Cash</t>
  </si>
  <si>
    <t>Total Fund Balance</t>
  </si>
  <si>
    <t>Quick Ratio</t>
  </si>
  <si>
    <t>506+536</t>
  </si>
  <si>
    <t>Electric Fund</t>
  </si>
  <si>
    <t>Water Sewer All Funds:</t>
  </si>
  <si>
    <t>Total Operating Revenues</t>
  </si>
  <si>
    <t>Total Operating Expenditures</t>
  </si>
  <si>
    <t>Increase (decrease) in operating revenues</t>
  </si>
  <si>
    <t>84-85</t>
  </si>
  <si>
    <t>93-94</t>
  </si>
  <si>
    <t>Important Ratios:</t>
  </si>
  <si>
    <t>General fund:</t>
  </si>
  <si>
    <t>Available Fund Balance</t>
  </si>
  <si>
    <t>Current Assets</t>
  </si>
  <si>
    <t>Current Liabilities</t>
  </si>
  <si>
    <t>Cash Flow from Operations</t>
  </si>
  <si>
    <t>Debt Principal and Interest</t>
  </si>
  <si>
    <t>Cash Flow less Debt Service</t>
  </si>
  <si>
    <t>Additional Information:</t>
  </si>
  <si>
    <t>Electric Fund:</t>
  </si>
  <si>
    <t>Water Sewer Funds:</t>
  </si>
  <si>
    <t>Water and Sewer Operations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</si>
  <si>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</si>
  <si>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</si>
  <si>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</si>
  <si>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</si>
  <si>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</si>
  <si>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</si>
  <si>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</si>
  <si>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</si>
  <si>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</si>
  <si>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</si>
  <si>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</si>
  <si>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</si>
  <si>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</si>
  <si>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</si>
  <si>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</si>
  <si>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</si>
  <si>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</si>
  <si>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</si>
  <si>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</si>
  <si>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</si>
  <si>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</si>
  <si>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Debt Service Funds Total Fund Balance</t>
  </si>
  <si>
    <t>Acct #</t>
  </si>
  <si>
    <t>Fund balance, Assigned (total of all assigned components)</t>
  </si>
  <si>
    <t>Available Fund Balance / Total Expenditures and Transfers-out</t>
  </si>
  <si>
    <t>Amount of the General Fund Balance appropriated in next year's budget. As reported on the General Fund Balance Sheet.</t>
  </si>
  <si>
    <t>Municipalities</t>
  </si>
  <si>
    <t>The LGC is normally concerned about units with a Quick Ratio below 1</t>
  </si>
  <si>
    <t>The LGC is normally concerned about units with a negative cash flow from Operations</t>
  </si>
  <si>
    <t>Unit Data From Audit Worksheet</t>
  </si>
  <si>
    <t>Cherokee</t>
  </si>
  <si>
    <t>Chowan</t>
  </si>
  <si>
    <t>Durham</t>
  </si>
  <si>
    <t>Gaston</t>
  </si>
  <si>
    <t>Henderson</t>
  </si>
  <si>
    <t>Macon</t>
  </si>
  <si>
    <t>McDowell</t>
  </si>
  <si>
    <t>Mecklenburg</t>
  </si>
  <si>
    <t xml:space="preserve">New Hanover </t>
  </si>
  <si>
    <t>Pitt</t>
  </si>
  <si>
    <t>Rockingham</t>
  </si>
  <si>
    <t>Rutherford</t>
  </si>
  <si>
    <t>Wake</t>
  </si>
  <si>
    <t>Chapel Hill</t>
  </si>
  <si>
    <t>Charlotte</t>
  </si>
  <si>
    <t>Durham City</t>
  </si>
  <si>
    <t>Fuquay Varina</t>
  </si>
  <si>
    <t>Greensboro</t>
  </si>
  <si>
    <t>Greenville</t>
  </si>
  <si>
    <t>High Point</t>
  </si>
  <si>
    <t>Wake Forest</t>
  </si>
  <si>
    <t>Wilmington</t>
  </si>
  <si>
    <t>Winston-Salem</t>
  </si>
  <si>
    <t>Unit #</t>
  </si>
  <si>
    <t>CCH # 647</t>
  </si>
  <si>
    <t xml:space="preserve"> (506+536-4-5-6)+647</t>
  </si>
  <si>
    <t>MANDATORY</t>
  </si>
  <si>
    <t>All Fields Must Be Completed</t>
  </si>
  <si>
    <t>Title of Official</t>
  </si>
  <si>
    <t>Date                        (Enter as "MM/DD/YYYY")</t>
  </si>
  <si>
    <t>Telephone number</t>
  </si>
  <si>
    <t>E-mail address</t>
  </si>
  <si>
    <t>Total FB for Debt Service Funds</t>
  </si>
  <si>
    <t>GF  FBA</t>
  </si>
  <si>
    <t>GF Exp and Tran out</t>
  </si>
  <si>
    <t>GF FBA% of Exp</t>
  </si>
  <si>
    <t>Electric cash flow less debt service</t>
  </si>
  <si>
    <t>(506+536-4-5-6)+647</t>
  </si>
  <si>
    <t>WS debt service</t>
  </si>
  <si>
    <t>100+98</t>
  </si>
  <si>
    <t>55-100-98</t>
  </si>
  <si>
    <t>44-510</t>
  </si>
  <si>
    <t>WS Current asset</t>
  </si>
  <si>
    <t>(506+536-4-5-6)+647/(532+20+509-533-508)</t>
  </si>
  <si>
    <t>532+20+509-533-508</t>
  </si>
  <si>
    <t>Total Expenditures + Transfers-out to all funds less bond proceeds</t>
  </si>
  <si>
    <t>331+89</t>
  </si>
  <si>
    <t>WS Days in Sales</t>
  </si>
  <si>
    <t xml:space="preserve">Electric Days in Sales </t>
  </si>
  <si>
    <t>81*365/88</t>
  </si>
  <si>
    <t>91*365/97</t>
  </si>
  <si>
    <t>FORMULAS</t>
  </si>
  <si>
    <t>NOTES</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</si>
  <si>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</si>
  <si>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</si>
  <si>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</si>
  <si>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</si>
  <si>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</si>
  <si>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</si>
  <si>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</si>
  <si>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</si>
  <si>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</si>
  <si>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The LGC is normally concerned about units with a negative cash flow from operation less debt service</t>
  </si>
  <si>
    <t>Days sales in Receivables</t>
  </si>
  <si>
    <t>This information was not collected in this format in 2019</t>
  </si>
  <si>
    <t>WS-Total Current Assets as presented on the Statement of Net Position</t>
  </si>
  <si>
    <t>532+509+20-533-508</t>
  </si>
  <si>
    <t>(506+536-4-5-6)+647/(532+509+20-533-508)</t>
  </si>
  <si>
    <t>2020 Current formulas</t>
  </si>
  <si>
    <t>Descriptions - 2020</t>
  </si>
  <si>
    <t>Total Current assets.  
Exclude any current assets identified as restricted.
Exclude "Advance To": portion of interfund loan with repayment longer than 12 months.</t>
  </si>
  <si>
    <t xml:space="preserve">Total Current assets as listed on the WS New Position Statement.  </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</si>
  <si>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</si>
  <si>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</si>
  <si>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</si>
  <si>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</si>
  <si>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</si>
  <si>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</si>
  <si>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Total Fund Balance for all Debt Service Funds</t>
  </si>
  <si>
    <t>never collected before</t>
  </si>
  <si>
    <t>Debt Service Funds Total Fund Balance
FBA for the general fund now adds total fund balance for debt service to the FBA for calculating FBA as a % of expenditures.  The Total FB for Debt Service funds was loaded for prior years also so the formula should change for all years presented</t>
  </si>
  <si>
    <t>Current liabilities.  
Include:   Current liabilities and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</si>
  <si>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=633-634-635-636-637-638-578</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</si>
  <si>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</si>
  <si>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639-640-641-642-643-644-580</t>
  </si>
  <si>
    <t>580</t>
  </si>
  <si>
    <t>On the above formulas you will have to be careful on the positive and negative formulas for internal balance on the data import tab.</t>
  </si>
  <si>
    <t>Units that have a Tourism Development Authority reported in their audit report</t>
  </si>
  <si>
    <t>Do you use prepared food/occupancy tax revenue stream to support debt?  Select "1" for Yes and "2" for No</t>
  </si>
  <si>
    <t>Electric-Any current assets that are restricted (Cash, Accounts Rec., ect.) and included in account 657 above</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</si>
  <si>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</si>
  <si>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</si>
  <si>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</si>
  <si>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r>
      <rPr>
        <u/>
        <sz val="11"/>
        <color indexed="8"/>
        <rFont val="Calibri"/>
        <family val="2"/>
      </rPr>
      <t>Total Current assets as listed on the Electric Net Position Statement</t>
    </r>
    <r>
      <rPr>
        <sz val="11"/>
        <color indexed="8"/>
        <rFont val="Calibri"/>
        <family val="2"/>
      </rPr>
      <t xml:space="preserve">.  
</t>
    </r>
  </si>
  <si>
    <t xml:space="preserve">Total Current assets as listed on the Electric Net Position Statement.  
</t>
  </si>
  <si>
    <t>Business Rules:</t>
  </si>
  <si>
    <t>   AuditYear (D2)</t>
  </si>
  <si>
    <t>      Is Number.</t>
  </si>
  <si>
    <t>      = 4 Digits.</t>
  </si>
  <si>
    <t>   UnitCode (L Column Value when J Column Value = 999)</t>
  </si>
  <si>
    <t>      999 Found in Column.</t>
  </si>
  <si>
    <t>      &lt;= 8 Characters.</t>
  </si>
  <si>
    <t>      Exists in Unit table.</t>
  </si>
  <si>
    <t>   Data Evaluated from Row 5 to Row ? (Where Column J = 999)</t>
  </si>
  <si>
    <t>      Blank Rows</t>
  </si>
  <si>
    <t>         Allows 1 Blank Row only.</t>
  </si>
  <si>
    <t>      Account Number (J Column)</t>
  </si>
  <si>
    <t>         &lt;= 25 Characters.</t>
  </si>
  <si>
    <t>         No Duplicates.</t>
  </si>
  <si>
    <t>         Exists in Account Table (IntergovernmentalData).</t>
  </si>
  <si>
    <t>      Account Amount (L Column)</t>
  </si>
  <si>
    <t>         &lt;=500 Characters.</t>
  </si>
  <si>
    <t>         Not Blank/Minus/Comma when Required.</t>
  </si>
  <si>
    <t>         Data Type validated.</t>
  </si>
  <si>
    <t> File Drop</t>
  </si>
  <si>
    <t>=========</t>
  </si>
  <si>
    <t>Test Location: \\dst-flsp4A\Share\lgc\publish\AFIRTest\CCH_UploadTest</t>
  </si>
  <si>
    <t>Production Location: \\dst-flsp4A\Share\LGC\publish\AFIRProduction\CCH_Upload</t>
  </si>
  <si>
    <t>File Pickup Time: 8PM</t>
  </si>
  <si>
    <t>File Uploaded to Database Time: 9PM</t>
  </si>
  <si>
    <t>Formula Data Recalculated Time: 12AM</t>
  </si>
  <si>
    <t>English Version</t>
  </si>
  <si>
    <t>The Import tab is the only tab that the sequel interface will access – the entire file is dropped in the folder</t>
  </si>
  <si>
    <t>The Fiscal year is coded in 4 digits to cell D2</t>
  </si>
  <si>
    <t>Unit Code is found in Column L when J=999 – must always be the last field</t>
  </si>
  <si>
    <t>Data starts in Row 5 Column J</t>
  </si>
  <si>
    <t>A blank row is not counted as a row – shading counts as not blank</t>
  </si>
  <si>
    <t>column J has a limit of 25 characters</t>
  </si>
  <si>
    <t>Column L has a limit of 500 characters</t>
  </si>
  <si>
    <t>If second, third, etc. file for the same unit is placed in folder the original data is written over.</t>
  </si>
  <si>
    <t>The program does not read column K</t>
  </si>
  <si>
    <t>If the chart of accounts is changed then it must be uploaded again</t>
  </si>
  <si>
    <t>unit code-unit description-data type(text, numeric, date)-required or blank</t>
  </si>
  <si>
    <t>OPEB-Plan's fiduciary net position as a % of total OPEB liability</t>
  </si>
  <si>
    <t>Do you use prepared food/occupancy tax revenue stream to support debt.  Yes =1 No=2</t>
  </si>
  <si>
    <t>51-331-89</t>
  </si>
  <si>
    <t>654-655-579-510</t>
  </si>
  <si>
    <t>657-658-581-511</t>
  </si>
  <si>
    <t>633-634-635-636-637-638-578</t>
  </si>
  <si>
    <t>The account upload file can now be placed in IT file location along with regular file uploads</t>
  </si>
  <si>
    <t>You can now drop the Chart of Accounts data in the same folder and it will be loaded.  :)</t>
  </si>
  <si>
    <t>I load at 1:15PM and 8:30PM before the CCH loads at 1:30PM and 9:00PM in Test.</t>
  </si>
  <si>
    <t>Requirements</t>
  </si>
  <si>
    <t>==========</t>
  </si>
  <si>
    <t>FileName: YYYYChartOfAccounts.xlsx</t>
  </si>
  <si>
    <t xml:space="preserve">   Where YYYY is the 4 Digit Audit Year.  Ex: 2020ChartofAccounts.xlsx.</t>
  </si>
  <si>
    <t>SheetName: Sheet1</t>
  </si>
  <si>
    <t>Column A: Account Number</t>
  </si>
  <si>
    <t>Column B: Account Description</t>
  </si>
  <si>
    <t>Column C: Account Value Data Type: Numeric, Text, Date Column D: Account Value Required (Not Blank): Required, Empty Cell Value</t>
  </si>
  <si>
    <t>(654-655-579-510)/(633-634-635-636-637-638-578)</t>
  </si>
  <si>
    <t>657-658-581-511/(639-640-641-642-643-644-580)</t>
  </si>
  <si>
    <t>Prior CCH Account #</t>
  </si>
  <si>
    <t>Descriptions of prior number</t>
  </si>
  <si>
    <t>GW-Gov - replace 336</t>
  </si>
  <si>
    <t>Current liabilities
Include:   Current liabilities and current portion of long-term debt. 
Exclude:   Bond Anticipation Notes
                    Compensated  Absences
                    Pension liabilities
                    Liabilities payable from restricted assets
                    Other post employment liabilities (OPEB)
                    Deferred inflows.</t>
  </si>
  <si>
    <t>626-627-628-629-630-631  We have deliberately not included 632 (closure/postclosure liabilities) since if they are in current liabilities they will be paid out and should be included in current liabilities</t>
  </si>
  <si>
    <t>Water Sewer Replace 44</t>
  </si>
  <si>
    <t>654-655-579</t>
  </si>
  <si>
    <t>WS-Any current assets that are restricted (Cash, Accounts Rec., deliberately.) and included in account 654 above</t>
  </si>
  <si>
    <t xml:space="preserve">Water Sewer - replace 45 </t>
  </si>
  <si>
    <t>Electric - replace 47</t>
  </si>
  <si>
    <t>657-658-581</t>
  </si>
  <si>
    <r>
      <rPr>
        <u/>
        <sz val="11"/>
        <rFont val="Calibri"/>
        <family val="2"/>
      </rPr>
      <t>Electric Fund - Advance To:</t>
    </r>
    <r>
      <rPr>
        <sz val="11"/>
        <rFont val="Calibri"/>
        <family val="2"/>
      </rPr>
      <t xml:space="preserve">
Interfund loan receivable-portion of repayment plan longer than 12 months</t>
    </r>
  </si>
  <si>
    <t>Electric replace 48</t>
  </si>
  <si>
    <t>The following are not changes to the formulas but changes that might need to be made to the formulas - Example we are no longer using account 336 beginning in 2020.  If you encounter a formula using 336 you must change it by deleting the 336 and adding (26-627-628-629-630-631) in its place</t>
  </si>
  <si>
    <t>Please enter any current liabilities that are payable from restricted assets and included in account 633 above.</t>
  </si>
  <si>
    <t>Unearned revenue (arising from cash receipts) that were included in Current Liabilities in the question in account 633 above.</t>
  </si>
  <si>
    <t xml:space="preserve">Please enter any current liabilities that are payable from restricted assets and included in account 639 above. </t>
  </si>
  <si>
    <t>Unearned revenue (arising from cash receipts) that were included in Current Liabilities in account 639 above.</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</si>
  <si>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</si>
  <si>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</si>
  <si>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</si>
  <si>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</si>
  <si>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Errors :  The cell to the left indicates the number of error messages on the data input tab</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</si>
  <si>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</si>
  <si>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</si>
  <si>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</si>
  <si>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</si>
  <si>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</si>
  <si>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</si>
  <si>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</si>
  <si>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</si>
  <si>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</si>
  <si>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</si>
  <si>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</si>
  <si>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</si>
  <si>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Micro</t>
  </si>
  <si>
    <t>Middleburg</t>
  </si>
  <si>
    <t>Middlesex</t>
  </si>
  <si>
    <t>Midland</t>
  </si>
  <si>
    <t>Midway</t>
  </si>
  <si>
    <t>Mills River</t>
  </si>
  <si>
    <t>Milton</t>
  </si>
  <si>
    <t>Mineral Springs</t>
  </si>
  <si>
    <t>Minnesott Beach</t>
  </si>
  <si>
    <t>Mint Hill</t>
  </si>
  <si>
    <t>Misenheimer</t>
  </si>
  <si>
    <t>Mocksville</t>
  </si>
  <si>
    <t>Momeyer</t>
  </si>
  <si>
    <t>Monroe</t>
  </si>
  <si>
    <t>Montreat</t>
  </si>
  <si>
    <t>Mooresboro</t>
  </si>
  <si>
    <t>Mooresville</t>
  </si>
  <si>
    <t>Morehead City</t>
  </si>
  <si>
    <t>Morganton</t>
  </si>
  <si>
    <t>Morrisville</t>
  </si>
  <si>
    <t>Morven</t>
  </si>
  <si>
    <t>Mount Airy</t>
  </si>
  <si>
    <t>Mount Gilead</t>
  </si>
  <si>
    <t>Mount Holly</t>
  </si>
  <si>
    <t>Mount Olive</t>
  </si>
  <si>
    <t>Mount Pleasant</t>
  </si>
  <si>
    <t>Murfreesboro</t>
  </si>
  <si>
    <t>Murphy</t>
  </si>
  <si>
    <t>Nags Head</t>
  </si>
  <si>
    <t>Nashville</t>
  </si>
  <si>
    <t>Navassa</t>
  </si>
  <si>
    <t>New Bern</t>
  </si>
  <si>
    <t>New London</t>
  </si>
  <si>
    <t>Newland</t>
  </si>
  <si>
    <t>Newport</t>
  </si>
  <si>
    <t>Newton</t>
  </si>
  <si>
    <t>Newton Grove</t>
  </si>
  <si>
    <t>Norlina</t>
  </si>
  <si>
    <t>Norman</t>
  </si>
  <si>
    <t>North Topsail Beach</t>
  </si>
  <si>
    <t>North Wilkesboro</t>
  </si>
  <si>
    <t>Northwest</t>
  </si>
  <si>
    <t>Norwood</t>
  </si>
  <si>
    <t>Oak City</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</si>
  <si>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</si>
  <si>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</si>
  <si>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</si>
  <si>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</si>
  <si>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</si>
  <si>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</si>
  <si>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</si>
  <si>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</si>
  <si>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</si>
  <si>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</si>
  <si>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</si>
  <si>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</si>
  <si>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</si>
  <si>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</si>
  <si>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</si>
  <si>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</si>
  <si>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Pikeville</t>
  </si>
  <si>
    <t>Pilot Mountain</t>
  </si>
  <si>
    <t>Pine Knoll Shores</t>
  </si>
  <si>
    <t>Pine Level</t>
  </si>
  <si>
    <t>Pinebluff</t>
  </si>
  <si>
    <t>Pinehurst</t>
  </si>
  <si>
    <t>Pinetops</t>
  </si>
  <si>
    <t>Pineville</t>
  </si>
  <si>
    <t>Pink Hill</t>
  </si>
  <si>
    <t>Pittsboro</t>
  </si>
  <si>
    <t>Pleasant Garden</t>
  </si>
  <si>
    <t>Plymouth</t>
  </si>
  <si>
    <t>Polkton</t>
  </si>
  <si>
    <t>Polkville</t>
  </si>
  <si>
    <t>Pollocksville</t>
  </si>
  <si>
    <t>Powellsville</t>
  </si>
  <si>
    <t>Princeton</t>
  </si>
  <si>
    <t>Princeville</t>
  </si>
  <si>
    <t>Proctorville</t>
  </si>
  <si>
    <t>Data Import 2018</t>
  </si>
  <si>
    <t>Hospital-EF- Change in Net Assets</t>
  </si>
  <si>
    <t>OPEB- Annual Expenses</t>
  </si>
  <si>
    <t>Did unit raise Water Sewer rates during the audited fiscal period? - answer Yes or No</t>
  </si>
  <si>
    <t>Did unit raise Water Sewer rates during the budget year following the audited fiscal year? - answer Yes or No</t>
  </si>
  <si>
    <t>Amount employer expends for any retiree health care premiums or retiree health care cost.</t>
  </si>
  <si>
    <t>Amount of the General Fund Balance appropriated in next year's budget</t>
  </si>
  <si>
    <t>Amount of Water Sewer revenues and other financing sources over expenditures and other uses</t>
  </si>
  <si>
    <t>Amount of the Water Sewer Fund Balance appropriated in next year's budget</t>
  </si>
  <si>
    <t>Amount of interest income and investment income recognized as revenue in your audit report for all governmental and proprietary funds.</t>
  </si>
  <si>
    <t>Supplemental School Tax</t>
  </si>
  <si>
    <t xml:space="preserve">Indicate if the Unit does not pay any portion of the retiree's cost other than implicit rate subsidy (1), does not have a plan (2),  has an OPEB plan for which the unit pays at least a portion of retiree’s health care cost (3) or is part of the State Health System (4).  </t>
  </si>
  <si>
    <t>The Unfunded actuarially accrued liability for the unit's Leo benefit.</t>
  </si>
  <si>
    <t>Internal Control-
1) no IC issues 
2)Immaterial 
3) Unit letter for IC 
4) Unit visit for IC</t>
  </si>
  <si>
    <t>LGC Records indicate that your unit has an operational Water and/or Sewer system and needs to complete the Water Sewer Questions</t>
  </si>
  <si>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</si>
  <si>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</si>
  <si>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r>
      <t xml:space="preserve">Indicate if the </t>
    </r>
    <r>
      <rPr>
        <b/>
        <sz val="11"/>
        <color indexed="8"/>
        <rFont val="Calibri"/>
        <family val="2"/>
      </rPr>
      <t xml:space="preserve">Unit </t>
    </r>
    <r>
      <rPr>
        <sz val="11"/>
        <color indexed="8"/>
        <rFont val="Calibri"/>
        <family val="2"/>
      </rPr>
      <t xml:space="preserve">does not pay any portion of the retiree's cost other than implicit rate subsidy (1), does not have a plan (2),  has an OPEB plan for which the </t>
    </r>
    <r>
      <rPr>
        <b/>
        <sz val="11"/>
        <color indexed="8"/>
        <rFont val="Calibri"/>
        <family val="2"/>
      </rPr>
      <t>unit</t>
    </r>
    <r>
      <rPr>
        <sz val="11"/>
        <color indexed="8"/>
        <rFont val="Calibri"/>
        <family val="2"/>
      </rPr>
      <t xml:space="preserve"> pays at least a portion of retiree’s health care cost (3) or is part of the State Health System (4).  </t>
    </r>
  </si>
  <si>
    <r>
      <rPr>
        <b/>
        <sz val="11"/>
        <color indexed="8"/>
        <rFont val="Calibri"/>
        <family val="2"/>
      </rPr>
      <t>Single Audit Only</t>
    </r>
    <r>
      <rPr>
        <sz val="11"/>
        <color indexed="8"/>
        <rFont val="Century Schoolbook"/>
        <family val="2"/>
      </rPr>
      <t xml:space="preserve"> - total amount of federal awards and grants expended as found on SEFSA</t>
    </r>
  </si>
  <si>
    <r>
      <rPr>
        <b/>
        <sz val="11"/>
        <color indexed="8"/>
        <rFont val="Calibri"/>
        <family val="2"/>
      </rPr>
      <t>Single Audit Only</t>
    </r>
    <r>
      <rPr>
        <sz val="11"/>
        <color indexed="8"/>
        <rFont val="Century Schoolbook"/>
        <family val="2"/>
      </rPr>
      <t xml:space="preserve"> - Total amount of federal awards and grants that were audited as major as found on SEFSA</t>
    </r>
  </si>
  <si>
    <r>
      <rPr>
        <b/>
        <sz val="11"/>
        <color indexed="8"/>
        <rFont val="Calibri"/>
        <family val="2"/>
      </rPr>
      <t>Single Audit Only</t>
    </r>
    <r>
      <rPr>
        <sz val="11"/>
        <color indexed="8"/>
        <rFont val="Century Schoolbook"/>
        <family val="2"/>
      </rPr>
      <t xml:space="preserve"> - total amount of state awards and grants expended as found on SEFSA</t>
    </r>
  </si>
  <si>
    <r>
      <rPr>
        <b/>
        <sz val="11"/>
        <color indexed="8"/>
        <rFont val="Calibri"/>
        <family val="2"/>
      </rPr>
      <t>Single Audit Only</t>
    </r>
    <r>
      <rPr>
        <sz val="11"/>
        <color indexed="8"/>
        <rFont val="Century Schoolbook"/>
        <family val="2"/>
      </rPr>
      <t xml:space="preserve"> - Total amount of state awards and grants that were audited as major as found on SEFSA</t>
    </r>
  </si>
  <si>
    <t>Electric cash flow - debt service</t>
  </si>
  <si>
    <t>https://files.nc.gov/nctreasurer/documents/files/SLGFD/Memos/2020-09.pdf</t>
  </si>
  <si>
    <t>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</si>
  <si>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</si>
  <si>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</si>
  <si>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</si>
  <si>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</si>
  <si>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</si>
  <si>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</si>
  <si>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</si>
  <si>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</si>
  <si>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Data used in the worksheet was taken from data submitted from prior years data input worksheets.   If your audit reports were not received and reviewed by our office at the time when this worksheet was created, data from that fiscal year will not be available on this analysis tab.</t>
  </si>
  <si>
    <t>The below information must be completed 
in order to process your audit report.</t>
  </si>
  <si>
    <t>Net OPEB Liability RHBF</t>
  </si>
  <si>
    <t>If unit is an employer participant in one of the State Cost Sharing Plans rows 171 - 173 should be blank.  Unless they have an additional single employer plan.</t>
  </si>
  <si>
    <r>
      <t xml:space="preserve">Instructions:  See Previous Excel tab - </t>
    </r>
    <r>
      <rPr>
        <sz val="14"/>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</si>
  <si>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</si>
  <si>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</si>
  <si>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
</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</si>
  <si>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r>
      <rPr>
        <u/>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</si>
  <si>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</si>
  <si>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</si>
  <si>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</si>
  <si>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</si>
  <si>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</si>
  <si>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</si>
  <si>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</si>
  <si>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</si>
  <si>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</si>
  <si>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</si>
  <si>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</si>
  <si>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</si>
  <si>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</si>
  <si>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</si>
  <si>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</si>
  <si>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</si>
  <si>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</si>
  <si>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</si>
  <si>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</si>
  <si>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</si>
  <si>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</si>
  <si>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</si>
  <si>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</si>
  <si>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9"/>
        <color indexed="8"/>
        <rFont val="Calibri"/>
        <family val="2"/>
        <scheme val="minor"/>
      </rPr>
      <t>General Fund</t>
    </r>
    <r>
      <rPr>
        <sz val="9"/>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</si>
  <si>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</si>
  <si>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</si>
  <si>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</si>
  <si>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</si>
  <si>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</si>
  <si>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</si>
  <si>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</si>
  <si>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</si>
  <si>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</si>
  <si>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</si>
  <si>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9"/>
        <color indexed="8"/>
        <rFont val="Calibri"/>
        <family val="2"/>
        <scheme val="minor"/>
      </rPr>
      <t>Water Sewe</t>
    </r>
    <r>
      <rPr>
        <sz val="9"/>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</si>
  <si>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</si>
  <si>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</si>
  <si>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</si>
  <si>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</si>
  <si>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</si>
  <si>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</si>
  <si>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</si>
  <si>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</si>
  <si>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</si>
  <si>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</si>
  <si>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</si>
  <si>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9"/>
        <color indexed="8"/>
        <rFont val="Calibri"/>
        <family val="2"/>
        <scheme val="minor"/>
      </rPr>
      <t>Electric Fund</t>
    </r>
    <r>
      <rPr>
        <sz val="9"/>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</si>
  <si>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</si>
  <si>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</si>
  <si>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</si>
  <si>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</si>
  <si>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</si>
  <si>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</si>
  <si>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</si>
  <si>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</si>
  <si>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account in 639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</si>
  <si>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</si>
  <si>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</si>
  <si>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9"/>
        <color indexed="8"/>
        <rFont val="Calibri"/>
        <family val="2"/>
        <scheme val="minor"/>
      </rPr>
      <t>Water Sewer</t>
    </r>
    <r>
      <rPr>
        <sz val="9"/>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</si>
  <si>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</si>
  <si>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</si>
  <si>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</si>
  <si>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</si>
  <si>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</si>
  <si>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</si>
  <si>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or No</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</si>
  <si>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 or No</t>
    </r>
  </si>
  <si>
    <r>
      <rPr>
        <b/>
        <sz val="9"/>
        <color indexed="8"/>
        <rFont val="Calibri"/>
        <family val="2"/>
        <scheme val="minor"/>
      </rPr>
      <t>Electric Fund</t>
    </r>
    <r>
      <rPr>
        <sz val="9"/>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</si>
  <si>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</si>
  <si>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</si>
  <si>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</si>
  <si>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</si>
  <si>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</si>
  <si>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</si>
  <si>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</si>
  <si>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</si>
  <si>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</si>
  <si>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9"/>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</si>
  <si>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</si>
  <si>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</si>
  <si>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</si>
  <si>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9"/>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</si>
  <si>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</si>
  <si>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</si>
  <si>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</si>
  <si>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</si>
  <si>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</si>
  <si>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</si>
  <si>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9"/>
        <color indexed="60"/>
        <rFont val="Calibri"/>
        <family val="2"/>
        <scheme val="minor"/>
      </rPr>
      <t>(If unit maintains separate funds please combine all water, sewer and wastewater funds into one activity for purposes of this worksheet)</t>
    </r>
    <r>
      <rPr>
        <b/>
        <sz val="9"/>
        <color indexed="8"/>
        <rFont val="Calibri"/>
        <family val="2"/>
        <scheme val="minor"/>
      </rPr>
      <t xml:space="preserve">
Exclude </t>
    </r>
    <r>
      <rPr>
        <sz val="9"/>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</si>
  <si>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</si>
  <si>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</si>
  <si>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</si>
  <si>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</si>
  <si>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</si>
  <si>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</si>
  <si>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0"/>
        <color indexed="8"/>
        <rFont val="Calibri"/>
        <family val="2"/>
        <scheme val="minor"/>
      </rPr>
      <t>Governmental Activities</t>
    </r>
  </si>
  <si>
    <r>
      <rPr>
        <u/>
        <sz val="11"/>
        <color indexed="8"/>
        <rFont val="Calibri"/>
        <family val="2"/>
        <scheme val="minor"/>
      </rPr>
      <t>Total current and non-current portion of Debt</t>
    </r>
    <r>
      <rPr>
        <sz val="11"/>
        <color theme="1"/>
        <rFont val="Calibri"/>
        <family val="2"/>
        <scheme val="minor"/>
      </rPr>
      <t xml:space="preserve">. 
</t>
    </r>
    <r>
      <rPr>
        <b/>
        <sz val="11"/>
        <color indexed="8"/>
        <rFont val="Calibri"/>
        <family val="2"/>
        <scheme val="minor"/>
      </rPr>
      <t xml:space="preserve">Include:  </t>
    </r>
    <r>
      <rPr>
        <sz val="11"/>
        <color indexed="8"/>
        <rFont val="Calibri"/>
        <family val="2"/>
        <scheme val="minor"/>
      </rPr>
      <t>Bonds, b</t>
    </r>
    <r>
      <rPr>
        <sz val="11"/>
        <color theme="1"/>
        <rFont val="Calibri"/>
        <family val="2"/>
        <scheme val="minor"/>
      </rPr>
      <t>ond anticipation notes, 
                 Capital leases,
                 Premiums and discounts,
                 Installment purchases.</t>
    </r>
    <r>
      <rPr>
        <b/>
        <sz val="11"/>
        <color indexed="8"/>
        <rFont val="Calibri"/>
        <family val="2"/>
        <scheme val="minor"/>
      </rPr>
      <t xml:space="preserve"> 
Exclude:</t>
    </r>
    <r>
      <rPr>
        <sz val="11"/>
        <color theme="1"/>
        <rFont val="Calibri"/>
        <family val="2"/>
        <scheme val="minor"/>
      </rPr>
      <t xml:space="preserve"> Compensated absences, 
                 Pensions, 
                 Other post-employment benefits (OPEB), 
                 Debt </t>
    </r>
    <r>
      <rPr>
        <u/>
        <sz val="11"/>
        <color indexed="8"/>
        <rFont val="Calibri"/>
        <family val="2"/>
        <scheme val="minor"/>
      </rPr>
      <t>within</t>
    </r>
    <r>
      <rPr>
        <sz val="11"/>
        <color theme="1"/>
        <rFont val="Calibri"/>
        <family val="2"/>
        <scheme val="minor"/>
      </rPr>
      <t xml:space="preserve"> the primary government, 
                 Amounts due to participants from
                        internal service funds, 
                 Landfill closure/postclosure liability, 
                 Any other debt not directly related to 
                        long-term contracts.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</si>
  <si>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</si>
  <si>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</si>
  <si>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9"/>
        <color indexed="8"/>
        <rFont val="Calibri"/>
        <family val="2"/>
        <scheme val="minor"/>
      </rPr>
      <t xml:space="preserve"> </t>
    </r>
    <r>
      <rPr>
        <b/>
        <sz val="11"/>
        <color indexed="8"/>
        <rFont val="Calibri"/>
        <family val="2"/>
        <scheme val="minor"/>
      </rPr>
      <t>Electric Activities</t>
    </r>
  </si>
  <si>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</si>
  <si>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RHBF Net OPEB Liability ($s)
- unit of government is a participating employer in the </t>
    </r>
    <r>
      <rPr>
        <b/>
        <sz val="11"/>
        <color theme="1"/>
        <rFont val="Calibri"/>
        <family val="2"/>
        <scheme val="minor"/>
      </rPr>
      <t>State's RHBF</t>
    </r>
    <r>
      <rPr>
        <sz val="11"/>
        <color theme="1"/>
        <rFont val="Calibri"/>
        <family val="2"/>
        <scheme val="minor"/>
      </rPr>
      <t xml:space="preserve"> (Retiree Health Benefit Fund)</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</si>
  <si>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</si>
  <si>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</si>
  <si>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</si>
  <si>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</si>
  <si>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9"/>
        <color indexed="8"/>
        <rFont val="Calibri"/>
        <family val="2"/>
        <scheme val="minor"/>
      </rPr>
      <t>Water Sewer</t>
    </r>
    <r>
      <rPr>
        <sz val="9"/>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</si>
  <si>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</si>
  <si>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9"/>
        <color indexed="8"/>
        <rFont val="Calibri"/>
        <family val="2"/>
        <scheme val="minor"/>
      </rPr>
      <t>Water Sewer</t>
    </r>
    <r>
      <rPr>
        <sz val="9"/>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</si>
  <si>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</si>
  <si>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</si>
  <si>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</si>
  <si>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</si>
  <si>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</si>
  <si>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</si>
  <si>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</si>
  <si>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</si>
  <si>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</si>
  <si>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</si>
  <si>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Date Format MM/DD/YYYY</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</si>
  <si>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</si>
  <si>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t>Introduction to the Unit Data from Audit Worksheet and the 3-Year Analysis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</si>
  <si>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</si>
  <si>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r>
      <t xml:space="preserve">3-Year Analysis Worksheet - </t>
    </r>
    <r>
      <rPr>
        <i/>
        <sz val="12"/>
        <rFont val="Cambria"/>
        <family val="1"/>
      </rPr>
      <t xml:space="preserve">The </t>
    </r>
    <r>
      <rPr>
        <i/>
        <sz val="12"/>
        <color rgb="FFFF0000"/>
        <rFont val="Cambria"/>
        <family val="1"/>
      </rPr>
      <t>self-reported</t>
    </r>
    <r>
      <rPr>
        <i/>
        <sz val="12"/>
        <rFont val="Cambria"/>
        <family val="1"/>
      </rPr>
      <t xml:space="preserve"> financial data uses past and current performance to identify changes and trends that will affect the operations of a unit of government.  Financial measures may be used to evaluate your performance to other comparable  units of governments.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</si>
  <si>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</si>
  <si>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</si>
  <si>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</si>
  <si>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</si>
  <si>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</si>
  <si>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r>
      <t xml:space="preserve">The </t>
    </r>
    <r>
      <rPr>
        <i/>
        <sz val="12"/>
        <color theme="1"/>
        <rFont val="Century Schoolbook"/>
        <family val="1"/>
      </rPr>
      <t xml:space="preserve">3-Year Analysis </t>
    </r>
    <r>
      <rPr>
        <sz val="12"/>
        <color theme="1"/>
        <rFont val="Century Schoolbook"/>
        <family val="1"/>
      </rPr>
      <t xml:space="preserve">worksheet has been included using </t>
    </r>
    <r>
      <rPr>
        <sz val="12"/>
        <color rgb="FFFF0000"/>
        <rFont val="Century Schoolbook"/>
        <family val="1"/>
      </rPr>
      <t>self-reported</t>
    </r>
    <r>
      <rPr>
        <sz val="12"/>
        <color theme="1"/>
        <rFont val="Century Schoolbook"/>
        <family val="1"/>
      </rPr>
      <t xml:space="preserve"> financial information that is intended to aid the auditor and local government in identifying important trends as well as potential strengths and weaknesses.  The Year 2020 column automatically populates when the Unit Data from Audit Worksheet is completed.</t>
    </r>
  </si>
  <si>
    <r>
      <t xml:space="preserve">The </t>
    </r>
    <r>
      <rPr>
        <i/>
        <sz val="12"/>
        <color theme="1"/>
        <rFont val="Century Schoolbook"/>
        <family val="1"/>
      </rPr>
      <t>Average FBA</t>
    </r>
    <r>
      <rPr>
        <sz val="12"/>
        <color theme="1"/>
        <rFont val="Century Schoolbook"/>
        <family val="1"/>
      </rPr>
      <t xml:space="preserve"> worksheet provides the General Fund Average FBA and the FBA % as a Percentage of  Average Expenditures by population group based on audit reports submitted for fiscal year ended as of 6/30/2019.</t>
    </r>
  </si>
  <si>
    <t>Links to Websites that provide financial data and ratios for Municipalities and Counties</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</si>
  <si>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</si>
  <si>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</si>
  <si>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</si>
  <si>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</si>
  <si>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If you have any questions, please call 919-814-4299.</t>
  </si>
  <si>
    <t>unit code must be complete</t>
  </si>
  <si>
    <r>
      <t xml:space="preserve">The chart below shows the average fund balance available for the general fund by population group and the average fund balance as a percentage of average expenditures by population group.  If you are unsure of your population group, please click on the link below and it will take you to the </t>
    </r>
    <r>
      <rPr>
        <b/>
        <i/>
        <sz val="14"/>
        <color theme="0"/>
        <rFont val="Calibri"/>
        <family val="2"/>
        <scheme val="minor"/>
      </rPr>
      <t>Management of Cash and Taxes and Fund Balance Available</t>
    </r>
    <r>
      <rPr>
        <b/>
        <sz val="14"/>
        <color theme="0"/>
        <rFont val="Calibri"/>
        <family val="2"/>
        <scheme val="minor"/>
      </rPr>
      <t xml:space="preserve"> memo. </t>
    </r>
  </si>
  <si>
    <t xml:space="preserve">The self-reported information below is intended to aid the Auditor and Local Government in identifying trends and potential strengths and weaknesses. It might also help to detect a keying error made on the Unit Data from Audit Worksheet.   If the information below shows unexpected results, the auditor should verify the data entered into the Unit Data from Audit Worksheet, since it is the source of the data.  Accounts numbers are provided for each piece of data or ratio used in the calculation of the issue in column F (FORMULAS).  These account numbers are found in column A (Acct #) on the Unit Data from Audit Worksheet tab.   If the data is still producing negative trends after verifying the data, then the unit needs to address the fiscal weakness and develop a fiscal plan that will correct the fiscal weakness.  Revising the current budget and future budgets is normally the major tools used to do this along with any necessary fee revisions.  </t>
  </si>
  <si>
    <t xml:space="preserve">These formulas are used to calculate various ratios.  The numbers used in the formula are taken directly from the Unit Data from Audit Worksheet tab.  The formulas below show the LGC account number for each data element that is listed in Column A on the Unit Data from Audit Worksheet tab.  </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</si>
  <si>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</si>
  <si>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</si>
  <si>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</si>
  <si>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</si>
  <si>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</si>
  <si>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</si>
  <si>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</si>
  <si>
    <t>Version Date 9/17/2020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</si>
</sst>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s>
  <fonts count="192"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sz val="11"/>
      <color indexed="8"/>
      <name val="Century Schoolbook"/>
      <family val="1"/>
    </font>
    <font>
      <b/>
      <sz val="11"/>
      <color indexed="8"/>
      <name val="Century Schoolbook"/>
      <family val="1"/>
    </font>
    <font>
      <u/>
      <sz val="11"/>
      <name val="Calibri"/>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1"/>
      <name val="Calibri"/>
      <family val="2"/>
      <scheme val="minor"/>
    </font>
    <font>
      <sz val="14"/>
      <color theme="1"/>
      <name val="Calibri"/>
      <family val="2"/>
      <scheme val="minor"/>
    </font>
    <font>
      <b/>
      <sz val="11"/>
      <color theme="1"/>
      <name val="Century Schoolbook"/>
      <family val="1"/>
    </font>
    <font>
      <b/>
      <sz val="20"/>
      <color theme="1"/>
      <name val="Calibri"/>
      <family val="2"/>
      <scheme val="minor"/>
    </font>
    <font>
      <sz val="14"/>
      <name val="Calibri"/>
      <family val="2"/>
      <scheme val="minor"/>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b/>
      <u/>
      <sz val="12"/>
      <color theme="1"/>
      <name val="Times New Roman"/>
      <family val="1"/>
    </font>
    <font>
      <u/>
      <sz val="11"/>
      <color theme="1"/>
      <name val="Calibri"/>
      <family val="2"/>
      <scheme val="minor"/>
    </font>
    <font>
      <b/>
      <u/>
      <sz val="16"/>
      <color theme="1"/>
      <name val="Times New Roman"/>
      <family val="1"/>
    </font>
    <font>
      <b/>
      <sz val="10"/>
      <color theme="1"/>
      <name val="Times New Roman"/>
      <family val="1"/>
    </font>
    <font>
      <b/>
      <u/>
      <sz val="10"/>
      <color theme="1"/>
      <name val="Times New Roman"/>
      <family val="1"/>
    </font>
    <font>
      <sz val="10"/>
      <color theme="1"/>
      <name val="Times New Roman"/>
      <family val="1"/>
    </font>
    <font>
      <b/>
      <sz val="11"/>
      <color theme="1"/>
      <name val="Wingdings"/>
      <charset val="2"/>
    </font>
    <font>
      <u/>
      <sz val="10"/>
      <color theme="1"/>
      <name val="Times New Roman"/>
      <family val="1"/>
    </font>
    <font>
      <sz val="11"/>
      <color indexed="9"/>
      <name val="Calibri"/>
      <family val="2"/>
      <scheme val="minor"/>
    </font>
    <font>
      <b/>
      <sz val="11"/>
      <color theme="1"/>
      <name val="Garamond"/>
      <family val="1"/>
    </font>
    <font>
      <sz val="8"/>
      <name val="Calibri"/>
      <family val="2"/>
      <scheme val="minor"/>
    </font>
    <font>
      <sz val="11"/>
      <color rgb="FFC00000"/>
      <name val="Calibri"/>
      <family val="2"/>
      <scheme val="minor"/>
    </font>
    <font>
      <sz val="8"/>
      <color theme="1"/>
      <name val="Century Schoolbook"/>
      <family val="1"/>
    </font>
    <font>
      <sz val="8"/>
      <color theme="1"/>
      <name val="Calibri"/>
      <family val="2"/>
      <scheme val="minor"/>
    </font>
    <font>
      <b/>
      <sz val="11"/>
      <name val="Calibri"/>
      <family val="2"/>
      <scheme val="minor"/>
    </font>
    <font>
      <b/>
      <sz val="11"/>
      <color indexed="8"/>
      <name val="Calibri"/>
      <family val="2"/>
      <scheme val="minor"/>
    </font>
    <font>
      <b/>
      <sz val="18"/>
      <color theme="1"/>
      <name val="Calibri"/>
      <family val="2"/>
      <scheme val="minor"/>
    </font>
    <font>
      <sz val="12"/>
      <color rgb="FFFF0000"/>
      <name val="Calibri"/>
      <family val="2"/>
      <scheme val="minor"/>
    </font>
    <font>
      <sz val="10"/>
      <color rgb="FFFF0000"/>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11"/>
      <color rgb="FFFF0000"/>
      <name val="Century Schoolbook"/>
      <family val="1"/>
    </font>
    <font>
      <b/>
      <i/>
      <u/>
      <sz val="10"/>
      <color theme="1"/>
      <name val="Times New Roman"/>
      <family val="1"/>
    </font>
    <font>
      <sz val="8"/>
      <name val="Arial"/>
      <family val="2"/>
    </font>
    <font>
      <sz val="10"/>
      <name val="Arial"/>
      <family val="2"/>
    </font>
    <font>
      <sz val="12"/>
      <name val="Garamond"/>
      <family val="1"/>
    </font>
    <font>
      <b/>
      <sz val="14"/>
      <color theme="9" tint="-0.249977111117893"/>
      <name val="Calibri"/>
      <family val="2"/>
      <scheme val="minor"/>
    </font>
    <font>
      <b/>
      <sz val="14"/>
      <color rgb="FF0070C0"/>
      <name val="Calibri"/>
      <family val="2"/>
      <scheme val="minor"/>
    </font>
    <font>
      <sz val="11"/>
      <color rgb="FFFF0000"/>
      <name val="Calibri"/>
      <family val="2"/>
      <scheme val="minor"/>
    </font>
    <font>
      <sz val="24"/>
      <color rgb="FFFF0000"/>
      <name val="Calibri"/>
      <family val="2"/>
      <scheme val="minor"/>
    </font>
    <font>
      <sz val="18"/>
      <color theme="1"/>
      <name val="Calibri"/>
      <family val="2"/>
      <scheme val="minor"/>
    </font>
    <font>
      <b/>
      <sz val="11"/>
      <color rgb="FFFF0000"/>
      <name val="Calibri"/>
      <family val="2"/>
      <scheme val="minor"/>
    </font>
    <font>
      <b/>
      <sz val="14"/>
      <color theme="0"/>
      <name val="Calibri"/>
      <family val="2"/>
      <scheme val="minor"/>
    </font>
    <font>
      <b/>
      <sz val="24"/>
      <color theme="8" tint="-0.249977111117893"/>
      <name val="Calibri"/>
      <family val="2"/>
      <scheme val="minor"/>
    </font>
    <font>
      <b/>
      <i/>
      <sz val="14"/>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4"/>
      <color rgb="FF000000"/>
      <name val="Calibri"/>
      <family val="2"/>
    </font>
    <font>
      <sz val="11"/>
      <color rgb="FF000000"/>
      <name val="Calibri"/>
      <family val="2"/>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sz val="9"/>
      <color theme="1"/>
      <name val="Century Schoolbook"/>
      <family val="2"/>
    </font>
    <font>
      <b/>
      <sz val="14"/>
      <color rgb="FFFF0000"/>
      <name val="Calibri"/>
      <family val="2"/>
      <scheme val="minor"/>
    </font>
    <font>
      <sz val="8"/>
      <color rgb="FFFF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sz val="12"/>
      <color rgb="FF000000"/>
      <name val="Courier New"/>
      <family val="3"/>
    </font>
    <font>
      <b/>
      <sz val="8"/>
      <color theme="0"/>
      <name val="Calibri"/>
      <family val="2"/>
      <scheme val="minor"/>
    </font>
    <font>
      <b/>
      <sz val="10"/>
      <color indexed="8"/>
      <name val="Century Schoolbook"/>
      <family val="2"/>
    </font>
    <font>
      <b/>
      <sz val="10"/>
      <color theme="1"/>
      <name val="Century Schoolbook"/>
      <family val="2"/>
    </font>
    <font>
      <b/>
      <sz val="10"/>
      <color indexed="8"/>
      <name val="Calibri"/>
      <family val="2"/>
      <scheme val="minor"/>
    </font>
    <font>
      <sz val="14"/>
      <color indexed="8"/>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b/>
      <sz val="9"/>
      <color indexed="8"/>
      <name val="Calibri"/>
      <family val="2"/>
      <scheme val="minor"/>
    </font>
    <font>
      <sz val="9"/>
      <color indexed="8"/>
      <name val="Calibri"/>
      <family val="2"/>
      <scheme val="minor"/>
    </font>
    <font>
      <u/>
      <sz val="11"/>
      <name val="Calibri"/>
      <family val="2"/>
      <scheme val="minor"/>
    </font>
    <font>
      <sz val="11"/>
      <color indexed="10"/>
      <name val="Calibri"/>
      <family val="2"/>
      <scheme val="minor"/>
    </font>
    <font>
      <sz val="9"/>
      <color indexed="60"/>
      <name val="Calibri"/>
      <family val="2"/>
      <scheme val="minor"/>
    </font>
    <font>
      <b/>
      <sz val="11"/>
      <color rgb="FFC00000"/>
      <name val="Calibri"/>
      <family val="2"/>
      <scheme val="minor"/>
    </font>
    <font>
      <b/>
      <sz val="24"/>
      <color theme="2"/>
      <name val="Calibri"/>
      <family val="2"/>
      <scheme val="minor"/>
    </font>
    <font>
      <b/>
      <sz val="48"/>
      <color theme="0"/>
      <name val="Calibri"/>
      <family val="2"/>
      <scheme val="minor"/>
    </font>
    <font>
      <sz val="24"/>
      <color theme="0"/>
      <name val="Calibri"/>
      <family val="2"/>
      <scheme val="minor"/>
    </font>
    <font>
      <sz val="24"/>
      <color theme="2"/>
      <name val="Calibri"/>
      <family val="2"/>
      <scheme val="minor"/>
    </font>
    <font>
      <sz val="18"/>
      <color theme="0"/>
      <name val="Calibri"/>
      <family val="2"/>
      <scheme val="minor"/>
    </font>
    <font>
      <i/>
      <sz val="12"/>
      <name val="Cambria"/>
      <family val="1"/>
    </font>
    <font>
      <b/>
      <i/>
      <sz val="12"/>
      <name val="Cambria"/>
      <family val="1"/>
    </font>
    <font>
      <i/>
      <sz val="12"/>
      <color rgb="FFFF0000"/>
      <name val="Cambria"/>
      <family val="1"/>
    </font>
    <font>
      <i/>
      <u/>
      <sz val="12"/>
      <color rgb="FFFF0000"/>
      <name val="Cambria"/>
      <family val="1"/>
    </font>
    <font>
      <b/>
      <i/>
      <sz val="14"/>
      <color theme="0"/>
      <name val="Cambria"/>
      <family val="1"/>
    </font>
    <font>
      <sz val="12"/>
      <color theme="1"/>
      <name val="Century Schoolbook"/>
      <family val="1"/>
    </font>
    <font>
      <sz val="12"/>
      <color rgb="FFFF0000"/>
      <name val="Century Schoolbook"/>
      <family val="1"/>
    </font>
    <font>
      <i/>
      <sz val="12"/>
      <color theme="1"/>
      <name val="Century Schoolbook"/>
      <family val="1"/>
    </font>
    <font>
      <i/>
      <sz val="14"/>
      <color theme="0"/>
      <name val="Century Schoolbook"/>
      <family val="1"/>
    </font>
    <font>
      <i/>
      <sz val="14"/>
      <color theme="0"/>
      <name val="Cambria"/>
      <family val="1"/>
    </font>
    <font>
      <b/>
      <sz val="12"/>
      <color indexed="8"/>
      <name val="Century Schoolbook"/>
      <family val="1"/>
    </font>
    <font>
      <sz val="12"/>
      <color indexed="8"/>
      <name val="Century Schoolbook"/>
      <family val="1"/>
    </font>
    <font>
      <sz val="12"/>
      <color theme="0"/>
      <name val="Century Schoolbook"/>
      <family val="1"/>
    </font>
    <font>
      <b/>
      <sz val="11"/>
      <name val="Century Schoolbook"/>
      <family val="1"/>
    </font>
  </fonts>
  <fills count="8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1" tint="0.49998474074526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6" tint="-0.249977111117893"/>
        <bgColor indexed="64"/>
      </patternFill>
    </fill>
  </fills>
  <borders count="6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style="thin">
        <color indexed="44"/>
      </right>
      <top style="thin">
        <color indexed="44"/>
      </top>
      <bottom/>
      <diagonal/>
    </border>
    <border>
      <left/>
      <right/>
      <top style="thin">
        <color theme="3" tint="0.59996337778862885"/>
      </top>
      <bottom/>
      <diagonal/>
    </border>
    <border>
      <left/>
      <right/>
      <top style="thin">
        <color theme="3" tint="0.59996337778862885"/>
      </top>
      <bottom style="thin">
        <color theme="3" tint="0.59996337778862885"/>
      </bottom>
      <diagonal/>
    </border>
  </borders>
  <cellStyleXfs count="3015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0" fillId="6"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0" fillId="3"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20" fillId="15" borderId="1" applyNumberFormat="0" applyAlignment="0" applyProtection="0"/>
    <xf numFmtId="0" fontId="20" fillId="15" borderId="1" applyNumberFormat="0" applyAlignment="0" applyProtection="0"/>
    <xf numFmtId="0" fontId="11" fillId="7" borderId="2" applyNumberFormat="0" applyAlignment="0" applyProtection="0"/>
    <xf numFmtId="0" fontId="11" fillId="7" borderId="2" applyNumberFormat="0" applyAlignment="0" applyProtection="0"/>
    <xf numFmtId="43" fontId="40"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23" fillId="0" borderId="0" applyFont="0" applyFill="0" applyBorder="0" applyAlignment="0" applyProtection="0"/>
    <xf numFmtId="43" fontId="22" fillId="0" borderId="0" applyFont="0" applyFill="0" applyBorder="0" applyAlignment="0" applyProtection="0"/>
    <xf numFmtId="43" fontId="41" fillId="0" borderId="0" applyFont="0" applyFill="0" applyBorder="0" applyAlignment="0" applyProtection="0"/>
    <xf numFmtId="43" fontId="41" fillId="0" borderId="0" applyFont="0" applyFill="0" applyBorder="0" applyAlignment="0" applyProtection="0"/>
    <xf numFmtId="43" fontId="3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38" fillId="0" borderId="0" applyFont="0" applyFill="0" applyBorder="0" applyAlignment="0" applyProtection="0"/>
    <xf numFmtId="43" fontId="4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3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1" fillId="0" borderId="0" applyFont="0" applyFill="0" applyBorder="0" applyAlignment="0" applyProtection="0"/>
    <xf numFmtId="44" fontId="41" fillId="0" borderId="0" applyFont="0" applyFill="0" applyBorder="0" applyAlignment="0" applyProtection="0"/>
    <xf numFmtId="44" fontId="38"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7" fillId="12" borderId="1" applyNumberFormat="0" applyAlignment="0" applyProtection="0"/>
    <xf numFmtId="0" fontId="7" fillId="12" borderId="1" applyNumberFormat="0" applyAlignment="0" applyProtection="0"/>
    <xf numFmtId="0" fontId="21" fillId="0" borderId="6" applyNumberFormat="0" applyFill="0" applyAlignment="0" applyProtection="0"/>
    <xf numFmtId="0" fontId="21" fillId="0" borderId="6" applyNumberFormat="0" applyFill="0" applyAlignment="0" applyProtection="0"/>
    <xf numFmtId="0" fontId="8" fillId="19" borderId="0" applyNumberFormat="0" applyBorder="0" applyAlignment="0" applyProtection="0"/>
    <xf numFmtId="0" fontId="8" fillId="19"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0" fontId="4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0" fontId="22" fillId="0" borderId="0"/>
    <xf numFmtId="0" fontId="23" fillId="0" borderId="0"/>
    <xf numFmtId="0" fontId="22" fillId="0" borderId="0"/>
    <xf numFmtId="0" fontId="35" fillId="0" borderId="0"/>
    <xf numFmtId="0" fontId="22" fillId="0" borderId="0"/>
    <xf numFmtId="0" fontId="22" fillId="0" borderId="0"/>
    <xf numFmtId="0" fontId="22" fillId="0" borderId="0"/>
    <xf numFmtId="0" fontId="32" fillId="0" borderId="0"/>
    <xf numFmtId="0" fontId="22" fillId="0" borderId="0"/>
    <xf numFmtId="0" fontId="22" fillId="0" borderId="0"/>
    <xf numFmtId="0" fontId="35" fillId="0" borderId="0"/>
    <xf numFmtId="0" fontId="22" fillId="0" borderId="0"/>
    <xf numFmtId="0" fontId="35" fillId="0" borderId="0"/>
    <xf numFmtId="0" fontId="22" fillId="0" borderId="0"/>
    <xf numFmtId="0" fontId="22" fillId="0" borderId="0"/>
    <xf numFmtId="0" fontId="22" fillId="0" borderId="0"/>
    <xf numFmtId="0" fontId="22" fillId="0" borderId="0"/>
    <xf numFmtId="0" fontId="35" fillId="0" borderId="0"/>
    <xf numFmtId="0" fontId="22" fillId="0" borderId="0"/>
    <xf numFmtId="0" fontId="35" fillId="0" borderId="0"/>
    <xf numFmtId="0" fontId="22" fillId="0" borderId="0"/>
    <xf numFmtId="0" fontId="22" fillId="0" borderId="0"/>
    <xf numFmtId="0" fontId="22" fillId="0" borderId="0"/>
    <xf numFmtId="0" fontId="35" fillId="0" borderId="0"/>
    <xf numFmtId="0" fontId="22" fillId="0" borderId="0"/>
    <xf numFmtId="0" fontId="22" fillId="0" borderId="0"/>
    <xf numFmtId="0" fontId="22" fillId="0" borderId="0"/>
    <xf numFmtId="0" fontId="22" fillId="0" borderId="0"/>
    <xf numFmtId="0" fontId="22" fillId="0" borderId="0"/>
    <xf numFmtId="0" fontId="35" fillId="0" borderId="0"/>
    <xf numFmtId="0" fontId="22" fillId="0" borderId="0"/>
    <xf numFmtId="0" fontId="35" fillId="0" borderId="0"/>
    <xf numFmtId="0" fontId="22" fillId="0" borderId="0"/>
    <xf numFmtId="0" fontId="22" fillId="0" borderId="0"/>
    <xf numFmtId="0" fontId="22" fillId="0" borderId="0"/>
    <xf numFmtId="0" fontId="22" fillId="0" borderId="0"/>
    <xf numFmtId="0" fontId="22" fillId="0" borderId="0"/>
    <xf numFmtId="0" fontId="35" fillId="0" borderId="0"/>
    <xf numFmtId="0" fontId="22" fillId="0" borderId="0"/>
    <xf numFmtId="0" fontId="35" fillId="0" borderId="0"/>
    <xf numFmtId="0" fontId="22" fillId="0" borderId="0"/>
    <xf numFmtId="0" fontId="22" fillId="0" borderId="0"/>
    <xf numFmtId="0" fontId="22" fillId="0" borderId="0"/>
    <xf numFmtId="0" fontId="22" fillId="0" borderId="0"/>
    <xf numFmtId="0" fontId="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3"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0" fontId="23" fillId="0" borderId="0"/>
    <xf numFmtId="0" fontId="28" fillId="0" borderId="0"/>
    <xf numFmtId="0" fontId="14" fillId="0" borderId="0"/>
    <xf numFmtId="0" fontId="33"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14" fillId="0" borderId="0"/>
    <xf numFmtId="0" fontId="23" fillId="0" borderId="0"/>
    <xf numFmtId="0" fontId="22" fillId="0" borderId="0"/>
    <xf numFmtId="0" fontId="22" fillId="0" borderId="0"/>
    <xf numFmtId="0" fontId="14" fillId="0" borderId="0"/>
    <xf numFmtId="0" fontId="33"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36" fillId="0" borderId="0"/>
    <xf numFmtId="0" fontId="14" fillId="0" borderId="0"/>
    <xf numFmtId="0" fontId="36" fillId="0" borderId="0"/>
    <xf numFmtId="0" fontId="14" fillId="0" borderId="0"/>
    <xf numFmtId="0" fontId="14" fillId="0" borderId="0"/>
    <xf numFmtId="0" fontId="14" fillId="0" borderId="0"/>
    <xf numFmtId="0" fontId="14" fillId="0" borderId="0"/>
    <xf numFmtId="0" fontId="35" fillId="0" borderId="0"/>
    <xf numFmtId="0" fontId="22" fillId="0" borderId="0"/>
    <xf numFmtId="0" fontId="22" fillId="0" borderId="0"/>
    <xf numFmtId="0" fontId="32" fillId="0" borderId="0"/>
    <xf numFmtId="0" fontId="22" fillId="0" borderId="0"/>
    <xf numFmtId="0" fontId="22" fillId="0" borderId="0"/>
    <xf numFmtId="0" fontId="35" fillId="0" borderId="0"/>
    <xf numFmtId="0" fontId="22" fillId="0" borderId="0"/>
    <xf numFmtId="0" fontId="35" fillId="0" borderId="0"/>
    <xf numFmtId="0" fontId="22" fillId="0" borderId="0"/>
    <xf numFmtId="0" fontId="22" fillId="0" borderId="0"/>
    <xf numFmtId="0" fontId="22" fillId="0" borderId="0"/>
    <xf numFmtId="0" fontId="22" fillId="0" borderId="0"/>
    <xf numFmtId="0" fontId="35" fillId="0" borderId="0"/>
    <xf numFmtId="0" fontId="22" fillId="0" borderId="0"/>
    <xf numFmtId="0" fontId="22" fillId="0" borderId="0"/>
    <xf numFmtId="0" fontId="22" fillId="0" borderId="0"/>
    <xf numFmtId="0" fontId="22" fillId="0" borderId="0"/>
    <xf numFmtId="0" fontId="35" fillId="0" borderId="0"/>
    <xf numFmtId="0" fontId="22" fillId="0" borderId="0"/>
    <xf numFmtId="0" fontId="22" fillId="0" borderId="0"/>
    <xf numFmtId="0" fontId="22" fillId="0" borderId="0"/>
    <xf numFmtId="0" fontId="35"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0" borderId="0"/>
    <xf numFmtId="0" fontId="22" fillId="0" borderId="0"/>
    <xf numFmtId="0" fontId="35"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5" fillId="0" borderId="0"/>
    <xf numFmtId="0" fontId="35" fillId="0" borderId="0"/>
    <xf numFmtId="0" fontId="22" fillId="0" borderId="0"/>
    <xf numFmtId="0" fontId="22" fillId="0" borderId="0"/>
    <xf numFmtId="0" fontId="22" fillId="0" borderId="0"/>
    <xf numFmtId="0" fontId="22" fillId="0" borderId="0"/>
    <xf numFmtId="0" fontId="40" fillId="0" borderId="0"/>
    <xf numFmtId="0" fontId="35" fillId="0" borderId="0"/>
    <xf numFmtId="0" fontId="22" fillId="0" borderId="0"/>
    <xf numFmtId="0" fontId="22" fillId="0" borderId="0"/>
    <xf numFmtId="0" fontId="40" fillId="0" borderId="0"/>
    <xf numFmtId="0" fontId="14" fillId="0" borderId="0"/>
    <xf numFmtId="0" fontId="14" fillId="0" borderId="0"/>
    <xf numFmtId="0" fontId="40" fillId="0" borderId="0"/>
    <xf numFmtId="0" fontId="22" fillId="0" borderId="0"/>
    <xf numFmtId="0" fontId="22" fillId="0" borderId="0"/>
    <xf numFmtId="0" fontId="22" fillId="0" borderId="0"/>
    <xf numFmtId="0" fontId="40" fillId="0" borderId="0"/>
    <xf numFmtId="0" fontId="40" fillId="0" borderId="0"/>
    <xf numFmtId="0" fontId="40" fillId="0" borderId="0"/>
    <xf numFmtId="0" fontId="22" fillId="0" borderId="0"/>
    <xf numFmtId="0" fontId="40" fillId="0" borderId="0"/>
    <xf numFmtId="0" fontId="22" fillId="0" borderId="0"/>
    <xf numFmtId="0" fontId="40" fillId="0" borderId="0"/>
    <xf numFmtId="0" fontId="40" fillId="0" borderId="0"/>
    <xf numFmtId="0" fontId="22" fillId="0" borderId="0"/>
    <xf numFmtId="0" fontId="40" fillId="0" borderId="0"/>
    <xf numFmtId="0" fontId="40" fillId="0" borderId="0"/>
    <xf numFmtId="0" fontId="40" fillId="0" borderId="0"/>
    <xf numFmtId="0" fontId="35" fillId="0" borderId="0"/>
    <xf numFmtId="0" fontId="22" fillId="0" borderId="0"/>
    <xf numFmtId="0" fontId="22"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0" fontId="22" fillId="0" borderId="0"/>
    <xf numFmtId="0" fontId="14" fillId="0" borderId="0"/>
    <xf numFmtId="0" fontId="14" fillId="0" borderId="0"/>
    <xf numFmtId="0" fontId="26" fillId="0" borderId="0"/>
    <xf numFmtId="0" fontId="25" fillId="0" borderId="0"/>
    <xf numFmtId="0" fontId="25" fillId="0" borderId="0"/>
    <xf numFmtId="0" fontId="36" fillId="0" borderId="0"/>
    <xf numFmtId="0" fontId="14" fillId="0" borderId="0"/>
    <xf numFmtId="0" fontId="14" fillId="0" borderId="0"/>
    <xf numFmtId="0" fontId="14" fillId="0" borderId="0"/>
    <xf numFmtId="0" fontId="14" fillId="0" borderId="0"/>
    <xf numFmtId="0" fontId="28" fillId="0" borderId="0"/>
    <xf numFmtId="0" fontId="14" fillId="0" borderId="0"/>
    <xf numFmtId="0" fontId="33"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36" fillId="0" borderId="0"/>
    <xf numFmtId="0" fontId="14" fillId="0" borderId="0"/>
    <xf numFmtId="0" fontId="14"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0" fontId="36" fillId="0" borderId="0"/>
    <xf numFmtId="0" fontId="14" fillId="0" borderId="0"/>
    <xf numFmtId="0" fontId="14" fillId="0" borderId="0"/>
    <xf numFmtId="0" fontId="14" fillId="0" borderId="0"/>
    <xf numFmtId="0" fontId="14" fillId="0" borderId="0"/>
    <xf numFmtId="0" fontId="22" fillId="0" borderId="0"/>
    <xf numFmtId="0" fontId="36" fillId="0" borderId="0"/>
    <xf numFmtId="0" fontId="14" fillId="0" borderId="0"/>
    <xf numFmtId="0" fontId="14" fillId="0" borderId="0"/>
    <xf numFmtId="0" fontId="14" fillId="0" borderId="0"/>
    <xf numFmtId="0" fontId="14"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6" fillId="0" borderId="0"/>
    <xf numFmtId="0" fontId="25" fillId="0" borderId="0"/>
    <xf numFmtId="0" fontId="34" fillId="0" borderId="0"/>
    <xf numFmtId="0" fontId="25" fillId="0" borderId="0"/>
    <xf numFmtId="0" fontId="25" fillId="0" borderId="0"/>
    <xf numFmtId="0" fontId="37" fillId="0" borderId="0"/>
    <xf numFmtId="0" fontId="25" fillId="0" borderId="0"/>
    <xf numFmtId="0" fontId="37" fillId="0" borderId="0"/>
    <xf numFmtId="0" fontId="25" fillId="0" borderId="0"/>
    <xf numFmtId="0" fontId="25" fillId="0" borderId="0"/>
    <xf numFmtId="0" fontId="25" fillId="0" borderId="0"/>
    <xf numFmtId="0" fontId="25" fillId="0" borderId="0"/>
    <xf numFmtId="0" fontId="37" fillId="0" borderId="0"/>
    <xf numFmtId="0" fontId="25" fillId="0" borderId="0"/>
    <xf numFmtId="0" fontId="37" fillId="0" borderId="0"/>
    <xf numFmtId="0" fontId="25" fillId="0" borderId="0"/>
    <xf numFmtId="0" fontId="25" fillId="0" borderId="0"/>
    <xf numFmtId="0" fontId="25" fillId="0" borderId="0"/>
    <xf numFmtId="0" fontId="37" fillId="0" borderId="0"/>
    <xf numFmtId="0" fontId="25" fillId="0" borderId="0"/>
    <xf numFmtId="0" fontId="25" fillId="0" borderId="0"/>
    <xf numFmtId="0" fontId="25" fillId="0" borderId="0"/>
    <xf numFmtId="0" fontId="25" fillId="0" borderId="0"/>
    <xf numFmtId="0" fontId="25" fillId="0" borderId="0"/>
    <xf numFmtId="0" fontId="37" fillId="0" borderId="0"/>
    <xf numFmtId="0" fontId="25" fillId="0" borderId="0"/>
    <xf numFmtId="0" fontId="37" fillId="0" borderId="0"/>
    <xf numFmtId="0" fontId="25" fillId="0" borderId="0"/>
    <xf numFmtId="0" fontId="25" fillId="0" borderId="0"/>
    <xf numFmtId="0" fontId="25" fillId="0" borderId="0"/>
    <xf numFmtId="0" fontId="25"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37" fillId="0" borderId="0"/>
    <xf numFmtId="0" fontId="37" fillId="0" borderId="0"/>
    <xf numFmtId="0" fontId="25" fillId="0" borderId="0"/>
    <xf numFmtId="0" fontId="25" fillId="0" borderId="0"/>
    <xf numFmtId="0" fontId="25" fillId="0" borderId="0"/>
    <xf numFmtId="0" fontId="25" fillId="0" borderId="0"/>
    <xf numFmtId="0" fontId="40" fillId="0" borderId="0"/>
    <xf numFmtId="0" fontId="37" fillId="0" borderId="0"/>
    <xf numFmtId="0" fontId="25" fillId="0" borderId="0"/>
    <xf numFmtId="0" fontId="40" fillId="0" borderId="0"/>
    <xf numFmtId="0" fontId="25" fillId="0" borderId="0"/>
    <xf numFmtId="0" fontId="40" fillId="0" borderId="0"/>
    <xf numFmtId="0" fontId="25" fillId="0" borderId="0"/>
    <xf numFmtId="0" fontId="25" fillId="0" borderId="0"/>
    <xf numFmtId="0" fontId="25" fillId="0" borderId="0"/>
    <xf numFmtId="0" fontId="25" fillId="0" borderId="0"/>
    <xf numFmtId="0" fontId="25" fillId="0" borderId="0"/>
    <xf numFmtId="0" fontId="40" fillId="0" borderId="0"/>
    <xf numFmtId="0" fontId="40" fillId="0" borderId="0"/>
    <xf numFmtId="0" fontId="40" fillId="0" borderId="0"/>
    <xf numFmtId="0" fontId="25" fillId="0" borderId="0"/>
    <xf numFmtId="0" fontId="40" fillId="0" borderId="0"/>
    <xf numFmtId="0" fontId="40" fillId="0" borderId="0"/>
    <xf numFmtId="0" fontId="25" fillId="0" borderId="0"/>
    <xf numFmtId="0" fontId="40" fillId="0" borderId="0"/>
    <xf numFmtId="0" fontId="40" fillId="0" borderId="0"/>
    <xf numFmtId="0" fontId="40" fillId="0" borderId="0"/>
    <xf numFmtId="0" fontId="37" fillId="0" borderId="0"/>
    <xf numFmtId="0" fontId="25" fillId="0" borderId="0"/>
    <xf numFmtId="0" fontId="25"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40" fillId="0" borderId="0"/>
    <xf numFmtId="0" fontId="41" fillId="0" borderId="0"/>
    <xf numFmtId="3" fontId="9" fillId="0" borderId="0"/>
    <xf numFmtId="0" fontId="14" fillId="5" borderId="7" applyNumberFormat="0" applyFont="0" applyAlignment="0" applyProtection="0"/>
    <xf numFmtId="0" fontId="14" fillId="5" borderId="7" applyNumberFormat="0" applyFont="0" applyAlignment="0" applyProtection="0"/>
    <xf numFmtId="0" fontId="36" fillId="5" borderId="7" applyNumberFormat="0" applyFont="0" applyAlignment="0" applyProtection="0"/>
    <xf numFmtId="0" fontId="14" fillId="5" borderId="7" applyNumberFormat="0" applyFont="0" applyAlignment="0" applyProtection="0"/>
    <xf numFmtId="0" fontId="14" fillId="5" borderId="7" applyNumberFormat="0" applyFont="0" applyAlignment="0" applyProtection="0"/>
    <xf numFmtId="0" fontId="13" fillId="15" borderId="8" applyNumberFormat="0" applyAlignment="0" applyProtection="0"/>
    <xf numFmtId="0" fontId="13" fillId="15" borderId="8" applyNumberFormat="0" applyAlignment="0" applyProtection="0"/>
    <xf numFmtId="9" fontId="26" fillId="0" borderId="0" applyFont="0" applyFill="0" applyBorder="0" applyAlignment="0" applyProtection="0"/>
    <xf numFmtId="9" fontId="25" fillId="0" borderId="0" applyFont="0" applyFill="0" applyBorder="0" applyAlignment="0" applyProtection="0"/>
    <xf numFmtId="9" fontId="41" fillId="0" borderId="0" applyFont="0" applyFill="0" applyBorder="0" applyAlignment="0" applyProtection="0"/>
    <xf numFmtId="9" fontId="40" fillId="0" borderId="0" applyFont="0" applyFill="0" applyBorder="0" applyAlignment="0" applyProtection="0"/>
    <xf numFmtId="0" fontId="15" fillId="0" borderId="0" applyNumberFormat="0" applyFill="0" applyBorder="0" applyAlignment="0" applyProtection="0"/>
    <xf numFmtId="0" fontId="45" fillId="20" borderId="0" applyFont="0" applyBorder="0" applyAlignment="0">
      <alignment horizontal="center" wrapText="1"/>
    </xf>
    <xf numFmtId="0" fontId="45" fillId="20" borderId="0" applyFont="0" applyBorder="0" applyAlignment="0">
      <alignment horizontal="center" wrapText="1"/>
    </xf>
    <xf numFmtId="0" fontId="39"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4"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9" fillId="20" borderId="0" applyFont="0" applyBorder="0" applyAlignment="0">
      <alignment horizontal="center" wrapText="1"/>
    </xf>
    <xf numFmtId="0" fontId="39" fillId="20" borderId="0" applyFont="0" applyBorder="0" applyAlignment="0">
      <alignment horizontal="center" wrapText="1"/>
    </xf>
    <xf numFmtId="0" fontId="39" fillId="20" borderId="0" applyFont="0" applyBorder="0" applyAlignment="0">
      <alignment horizontal="center" wrapText="1"/>
    </xf>
    <xf numFmtId="0" fontId="39"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2" fillId="0" borderId="0"/>
    <xf numFmtId="43" fontId="1" fillId="0" borderId="0" applyFont="0" applyFill="0" applyBorder="0" applyAlignment="0" applyProtection="0"/>
    <xf numFmtId="0" fontId="25"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0" fillId="0" borderId="0"/>
    <xf numFmtId="0" fontId="91" fillId="0" borderId="0"/>
    <xf numFmtId="0" fontId="91" fillId="0" borderId="0"/>
    <xf numFmtId="0" fontId="90" fillId="0" borderId="0"/>
    <xf numFmtId="0" fontId="91" fillId="0" borderId="0"/>
    <xf numFmtId="0" fontId="91" fillId="0" borderId="0"/>
    <xf numFmtId="0" fontId="92" fillId="0" borderId="0"/>
    <xf numFmtId="0" fontId="9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0"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1" fillId="0" borderId="0"/>
    <xf numFmtId="0" fontId="92"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43" fontId="4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25" fillId="0" borderId="0"/>
    <xf numFmtId="0" fontId="25" fillId="0" borderId="0"/>
    <xf numFmtId="0" fontId="25"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5" borderId="7" applyNumberFormat="0" applyFont="0" applyAlignment="0" applyProtection="0"/>
    <xf numFmtId="0" fontId="14"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5"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5" fillId="0" borderId="0"/>
    <xf numFmtId="43" fontId="1" fillId="0" borderId="0" applyFont="0" applyFill="0" applyBorder="0" applyAlignment="0" applyProtection="0"/>
    <xf numFmtId="43" fontId="1" fillId="0" borderId="0" applyFont="0" applyFill="0" applyBorder="0" applyAlignment="0" applyProtection="0"/>
    <xf numFmtId="0" fontId="41"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1" fillId="0" borderId="0"/>
    <xf numFmtId="0" fontId="90" fillId="0" borderId="0"/>
    <xf numFmtId="0" fontId="90"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2" fillId="0" borderId="0"/>
    <xf numFmtId="0" fontId="91" fillId="5" borderId="7" applyNumberFormat="0" applyFont="0" applyAlignment="0" applyProtection="0"/>
    <xf numFmtId="44" fontId="40" fillId="0" borderId="0" applyFont="0" applyFill="0" applyBorder="0" applyAlignment="0" applyProtection="0"/>
    <xf numFmtId="44" fontId="40" fillId="0" borderId="0" applyFont="0" applyFill="0" applyBorder="0" applyAlignment="0" applyProtection="0"/>
    <xf numFmtId="0" fontId="14" fillId="0" borderId="0"/>
    <xf numFmtId="0" fontId="90" fillId="0" borderId="0"/>
    <xf numFmtId="43" fontId="40" fillId="0" borderId="0" applyFont="0" applyFill="0" applyBorder="0" applyAlignment="0" applyProtection="0"/>
    <xf numFmtId="44" fontId="40" fillId="0" borderId="0" applyFont="0" applyFill="0" applyBorder="0" applyAlignment="0" applyProtection="0"/>
    <xf numFmtId="0" fontId="14" fillId="0" borderId="0"/>
    <xf numFmtId="43" fontId="40" fillId="0" borderId="0" applyFont="0" applyFill="0" applyBorder="0" applyAlignment="0" applyProtection="0"/>
    <xf numFmtId="0" fontId="22" fillId="0" borderId="0"/>
    <xf numFmtId="0" fontId="40" fillId="0" borderId="0"/>
    <xf numFmtId="0" fontId="40" fillId="0" borderId="0"/>
    <xf numFmtId="0" fontId="40" fillId="0" borderId="0"/>
    <xf numFmtId="0" fontId="40" fillId="0" borderId="0"/>
    <xf numFmtId="0" fontId="14" fillId="0" borderId="0"/>
    <xf numFmtId="0" fontId="40" fillId="0" borderId="0"/>
    <xf numFmtId="0" fontId="40" fillId="0" borderId="0"/>
    <xf numFmtId="0" fontId="40" fillId="0" borderId="0"/>
    <xf numFmtId="0" fontId="40" fillId="0" borderId="0"/>
    <xf numFmtId="0" fontId="40" fillId="0" borderId="0"/>
    <xf numFmtId="0" fontId="22" fillId="0" borderId="0"/>
    <xf numFmtId="0" fontId="22" fillId="0" borderId="0"/>
    <xf numFmtId="0" fontId="14"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22" fillId="0" borderId="0"/>
    <xf numFmtId="0" fontId="40" fillId="0" borderId="0"/>
    <xf numFmtId="0" fontId="40" fillId="0" borderId="0"/>
    <xf numFmtId="43" fontId="4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2"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0" fillId="0" borderId="0"/>
    <xf numFmtId="0" fontId="90" fillId="0" borderId="0"/>
    <xf numFmtId="0" fontId="90" fillId="0" borderId="0"/>
    <xf numFmtId="0" fontId="90" fillId="0" borderId="0"/>
    <xf numFmtId="0" fontId="90" fillId="0" borderId="0"/>
    <xf numFmtId="0" fontId="14" fillId="0" borderId="0"/>
    <xf numFmtId="0" fontId="90" fillId="0" borderId="0"/>
    <xf numFmtId="0" fontId="9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40" fillId="0" borderId="0"/>
    <xf numFmtId="0" fontId="40" fillId="0" borderId="0"/>
    <xf numFmtId="0" fontId="25" fillId="0" borderId="0"/>
    <xf numFmtId="0" fontId="40" fillId="0" borderId="0"/>
    <xf numFmtId="0" fontId="40" fillId="0" borderId="0"/>
    <xf numFmtId="0" fontId="40" fillId="0" borderId="0"/>
    <xf numFmtId="0" fontId="90" fillId="0" borderId="0"/>
    <xf numFmtId="0" fontId="40" fillId="0" borderId="0"/>
    <xf numFmtId="0" fontId="40" fillId="0" borderId="0"/>
    <xf numFmtId="0" fontId="40" fillId="0" borderId="0"/>
    <xf numFmtId="0" fontId="40" fillId="0" borderId="0"/>
    <xf numFmtId="0" fontId="40"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0"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40" fillId="0" borderId="0"/>
    <xf numFmtId="0" fontId="40" fillId="0" borderId="0"/>
    <xf numFmtId="0" fontId="40" fillId="0" borderId="0"/>
    <xf numFmtId="0" fontId="40" fillId="0" borderId="0"/>
    <xf numFmtId="0" fontId="40" fillId="0" borderId="0"/>
    <xf numFmtId="0" fontId="14" fillId="0" borderId="0"/>
    <xf numFmtId="0" fontId="92" fillId="0" borderId="0"/>
    <xf numFmtId="0" fontId="92" fillId="0" borderId="0"/>
    <xf numFmtId="0" fontId="92" fillId="0" borderId="0"/>
    <xf numFmtId="0" fontId="92" fillId="0" borderId="0"/>
    <xf numFmtId="0" fontId="9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2" fillId="0" borderId="0"/>
    <xf numFmtId="0" fontId="92" fillId="0" borderId="0"/>
    <xf numFmtId="0" fontId="40" fillId="0" borderId="0"/>
    <xf numFmtId="0" fontId="40" fillId="0" borderId="0"/>
    <xf numFmtId="0" fontId="40" fillId="0" borderId="0"/>
    <xf numFmtId="0" fontId="40" fillId="0" borderId="0"/>
    <xf numFmtId="0" fontId="9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0" fontId="40" fillId="0" borderId="0"/>
    <xf numFmtId="0" fontId="25" fillId="0" borderId="0"/>
    <xf numFmtId="0" fontId="9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2"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14" fillId="0" borderId="0"/>
    <xf numFmtId="0" fontId="91" fillId="0" borderId="0"/>
    <xf numFmtId="0" fontId="14" fillId="0" borderId="0"/>
    <xf numFmtId="0" fontId="14" fillId="0" borderId="0"/>
    <xf numFmtId="0" fontId="14"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14" fillId="0" borderId="0"/>
    <xf numFmtId="0" fontId="25" fillId="0" borderId="0"/>
    <xf numFmtId="0" fontId="14" fillId="0" borderId="0"/>
    <xf numFmtId="0" fontId="14" fillId="0" borderId="0"/>
    <xf numFmtId="44" fontId="40" fillId="0" borderId="0" applyFont="0" applyFill="0" applyBorder="0" applyAlignment="0" applyProtection="0"/>
    <xf numFmtId="0" fontId="25" fillId="0" borderId="0"/>
    <xf numFmtId="0" fontId="14" fillId="0" borderId="0"/>
    <xf numFmtId="0" fontId="14" fillId="0" borderId="0"/>
    <xf numFmtId="0" fontId="22" fillId="0" borderId="0"/>
    <xf numFmtId="0" fontId="14" fillId="0" borderId="0"/>
    <xf numFmtId="43" fontId="40" fillId="0" borderId="0" applyFont="0" applyFill="0" applyBorder="0" applyAlignment="0" applyProtection="0"/>
    <xf numFmtId="0" fontId="22" fillId="0" borderId="0"/>
    <xf numFmtId="0" fontId="14" fillId="0" borderId="0"/>
    <xf numFmtId="43" fontId="40" fillId="0" borderId="0" applyFont="0" applyFill="0" applyBorder="0" applyAlignment="0" applyProtection="0"/>
    <xf numFmtId="0" fontId="14" fillId="0" borderId="0"/>
    <xf numFmtId="0" fontId="22" fillId="0" borderId="0"/>
    <xf numFmtId="0" fontId="22" fillId="0" borderId="0"/>
    <xf numFmtId="43" fontId="40" fillId="0" borderId="0" applyFont="0" applyFill="0" applyBorder="0" applyAlignment="0" applyProtection="0"/>
    <xf numFmtId="0" fontId="22"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92" fillId="0" borderId="0"/>
    <xf numFmtId="0" fontId="14"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0" fontId="25" fillId="0" borderId="0"/>
    <xf numFmtId="43" fontId="40" fillId="0" borderId="0" applyFont="0" applyFill="0" applyBorder="0" applyAlignment="0" applyProtection="0"/>
    <xf numFmtId="0" fontId="14" fillId="0" borderId="0"/>
    <xf numFmtId="0" fontId="22" fillId="0" borderId="0"/>
    <xf numFmtId="0" fontId="22" fillId="0" borderId="0"/>
    <xf numFmtId="0" fontId="14" fillId="0" borderId="0"/>
    <xf numFmtId="0" fontId="25" fillId="0" borderId="0"/>
    <xf numFmtId="0" fontId="22" fillId="0" borderId="0"/>
    <xf numFmtId="0" fontId="22" fillId="0" borderId="0"/>
    <xf numFmtId="0" fontId="14" fillId="0" borderId="0"/>
    <xf numFmtId="44" fontId="40" fillId="0" borderId="0" applyFont="0" applyFill="0" applyBorder="0" applyAlignment="0" applyProtection="0"/>
    <xf numFmtId="44" fontId="40" fillId="0" borderId="0" applyFont="0" applyFill="0" applyBorder="0" applyAlignment="0" applyProtection="0"/>
    <xf numFmtId="43" fontId="41" fillId="0" borderId="0" applyFont="0" applyFill="0" applyBorder="0" applyAlignment="0" applyProtection="0"/>
    <xf numFmtId="0" fontId="25" fillId="0" borderId="0"/>
    <xf numFmtId="43" fontId="40"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25" fillId="0" borderId="0"/>
    <xf numFmtId="43" fontId="40" fillId="0" borderId="0" applyFont="0" applyFill="0" applyBorder="0" applyAlignment="0" applyProtection="0"/>
    <xf numFmtId="44" fontId="40" fillId="0" borderId="0" applyFont="0" applyFill="0" applyBorder="0" applyAlignment="0" applyProtection="0"/>
    <xf numFmtId="0" fontId="14" fillId="0" borderId="0"/>
    <xf numFmtId="0" fontId="91" fillId="0" borderId="0"/>
    <xf numFmtId="0" fontId="22" fillId="0" borderId="0"/>
    <xf numFmtId="44" fontId="40" fillId="0" borderId="0" applyFont="0" applyFill="0" applyBorder="0" applyAlignment="0" applyProtection="0"/>
    <xf numFmtId="9" fontId="40" fillId="0" borderId="0" applyFont="0" applyFill="0" applyBorder="0" applyAlignment="0" applyProtection="0"/>
    <xf numFmtId="0" fontId="22" fillId="0" borderId="0"/>
    <xf numFmtId="0" fontId="25"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22" fillId="0" borderId="0"/>
    <xf numFmtId="0" fontId="22" fillId="0" borderId="0"/>
    <xf numFmtId="0" fontId="14" fillId="0" borderId="0"/>
    <xf numFmtId="0" fontId="22" fillId="0" borderId="0"/>
    <xf numFmtId="0" fontId="14" fillId="0" borderId="0"/>
    <xf numFmtId="0" fontId="22" fillId="0" borderId="0"/>
    <xf numFmtId="0" fontId="14" fillId="0" borderId="0"/>
    <xf numFmtId="0" fontId="14" fillId="0" borderId="0"/>
    <xf numFmtId="0" fontId="25"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22" fillId="0" borderId="0"/>
    <xf numFmtId="0" fontId="14" fillId="0" borderId="0"/>
    <xf numFmtId="0" fontId="14" fillId="0" borderId="0"/>
    <xf numFmtId="0" fontId="22" fillId="0" borderId="0"/>
    <xf numFmtId="0" fontId="14"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25" fillId="0" borderId="0"/>
    <xf numFmtId="0" fontId="14" fillId="0" borderId="0"/>
    <xf numFmtId="0" fontId="22" fillId="0" borderId="0"/>
    <xf numFmtId="0" fontId="25"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14" fillId="0" borderId="0"/>
    <xf numFmtId="0" fontId="25" fillId="0" borderId="0"/>
    <xf numFmtId="0" fontId="22" fillId="0" borderId="0"/>
    <xf numFmtId="0" fontId="14" fillId="0" borderId="0"/>
    <xf numFmtId="0" fontId="14" fillId="0" borderId="0"/>
    <xf numFmtId="0" fontId="25" fillId="0" borderId="0"/>
    <xf numFmtId="0" fontId="22" fillId="0" borderId="0"/>
    <xf numFmtId="0" fontId="14" fillId="0" borderId="0"/>
    <xf numFmtId="0" fontId="14" fillId="0" borderId="0"/>
    <xf numFmtId="0" fontId="22" fillId="0" borderId="0"/>
    <xf numFmtId="0" fontId="25" fillId="0" borderId="0"/>
    <xf numFmtId="0" fontId="14" fillId="0" borderId="0"/>
    <xf numFmtId="0" fontId="22" fillId="0" borderId="0"/>
    <xf numFmtId="0" fontId="25" fillId="0" borderId="0"/>
    <xf numFmtId="0" fontId="14" fillId="0" borderId="0"/>
    <xf numFmtId="0" fontId="14" fillId="0" borderId="0"/>
    <xf numFmtId="0" fontId="14" fillId="0" borderId="0"/>
    <xf numFmtId="0" fontId="22" fillId="0" borderId="0"/>
    <xf numFmtId="0" fontId="25" fillId="0" borderId="0"/>
    <xf numFmtId="0" fontId="25" fillId="0" borderId="0"/>
    <xf numFmtId="0" fontId="14" fillId="0" borderId="0"/>
    <xf numFmtId="0" fontId="14" fillId="0" borderId="0"/>
    <xf numFmtId="0" fontId="22" fillId="0" borderId="0"/>
    <xf numFmtId="0" fontId="14" fillId="0" borderId="0"/>
    <xf numFmtId="0" fontId="22" fillId="0" borderId="0"/>
    <xf numFmtId="0" fontId="14" fillId="0" borderId="0"/>
    <xf numFmtId="0" fontId="22" fillId="0" borderId="0"/>
    <xf numFmtId="0" fontId="14" fillId="0" borderId="0"/>
    <xf numFmtId="0" fontId="22" fillId="0" borderId="0"/>
    <xf numFmtId="0" fontId="22" fillId="0" borderId="0"/>
    <xf numFmtId="0" fontId="14" fillId="0" borderId="0"/>
    <xf numFmtId="0" fontId="14" fillId="0" borderId="0"/>
    <xf numFmtId="0" fontId="14" fillId="0" borderId="0"/>
    <xf numFmtId="0" fontId="25" fillId="0" borderId="0"/>
    <xf numFmtId="0" fontId="25" fillId="0" borderId="0"/>
    <xf numFmtId="0" fontId="14" fillId="0" borderId="0"/>
    <xf numFmtId="0" fontId="22" fillId="0" borderId="0"/>
    <xf numFmtId="0" fontId="22" fillId="0" borderId="0"/>
    <xf numFmtId="0" fontId="14" fillId="0" borderId="0"/>
    <xf numFmtId="0" fontId="14" fillId="0" borderId="0"/>
    <xf numFmtId="0" fontId="14" fillId="0" borderId="0"/>
    <xf numFmtId="0" fontId="22" fillId="0" borderId="0"/>
    <xf numFmtId="0" fontId="22" fillId="0" borderId="0"/>
    <xf numFmtId="0" fontId="25" fillId="0" borderId="0"/>
    <xf numFmtId="0" fontId="14" fillId="5" borderId="7" applyNumberFormat="0" applyFont="0" applyAlignment="0" applyProtection="0"/>
    <xf numFmtId="0" fontId="14" fillId="0" borderId="0"/>
    <xf numFmtId="0" fontId="14" fillId="0" borderId="0"/>
    <xf numFmtId="0" fontId="14" fillId="0" borderId="0"/>
    <xf numFmtId="0" fontId="14" fillId="0" borderId="0"/>
    <xf numFmtId="0" fontId="25" fillId="0" borderId="0"/>
    <xf numFmtId="0" fontId="25" fillId="0" borderId="0"/>
    <xf numFmtId="0" fontId="14" fillId="0" borderId="0"/>
    <xf numFmtId="0" fontId="14" fillId="0" borderId="0"/>
    <xf numFmtId="0" fontId="25" fillId="0" borderId="0"/>
    <xf numFmtId="0" fontId="22" fillId="0" borderId="0"/>
    <xf numFmtId="0" fontId="14" fillId="5" borderId="7" applyNumberFormat="0" applyFont="0" applyAlignment="0" applyProtection="0"/>
    <xf numFmtId="0" fontId="14" fillId="0" borderId="0"/>
    <xf numFmtId="0" fontId="22" fillId="0" borderId="0"/>
    <xf numFmtId="0" fontId="14" fillId="0" borderId="0"/>
    <xf numFmtId="0" fontId="22" fillId="0" borderId="0"/>
    <xf numFmtId="0" fontId="22" fillId="0" borderId="0"/>
    <xf numFmtId="0" fontId="22" fillId="0" borderId="0"/>
    <xf numFmtId="0" fontId="14" fillId="0" borderId="0"/>
    <xf numFmtId="0" fontId="14" fillId="0" borderId="0"/>
    <xf numFmtId="0" fontId="22" fillId="0" borderId="0"/>
    <xf numFmtId="0" fontId="14" fillId="0" borderId="0"/>
    <xf numFmtId="0" fontId="25" fillId="0" borderId="0"/>
    <xf numFmtId="0" fontId="22" fillId="0" borderId="0"/>
    <xf numFmtId="0" fontId="14" fillId="0" borderId="0"/>
    <xf numFmtId="0" fontId="14" fillId="0" borderId="0"/>
    <xf numFmtId="0" fontId="22" fillId="0" borderId="0"/>
    <xf numFmtId="0" fontId="22" fillId="0" borderId="0"/>
    <xf numFmtId="0" fontId="25" fillId="0" borderId="0"/>
    <xf numFmtId="0" fontId="22" fillId="0" borderId="0"/>
    <xf numFmtId="0" fontId="25" fillId="0" borderId="0"/>
    <xf numFmtId="0" fontId="14" fillId="0" borderId="0"/>
    <xf numFmtId="0" fontId="14" fillId="0" borderId="0"/>
    <xf numFmtId="0" fontId="25" fillId="0" borderId="0"/>
    <xf numFmtId="0" fontId="22" fillId="0" borderId="0"/>
    <xf numFmtId="0" fontId="14" fillId="0" borderId="0"/>
    <xf numFmtId="0" fontId="102" fillId="0" borderId="47" applyNumberFormat="0" applyFill="0" applyAlignment="0" applyProtection="0"/>
    <xf numFmtId="0" fontId="103" fillId="0" borderId="48" applyNumberFormat="0" applyFill="0" applyAlignment="0" applyProtection="0"/>
    <xf numFmtId="0" fontId="104" fillId="0" borderId="49" applyNumberFormat="0" applyFill="0" applyAlignment="0" applyProtection="0"/>
    <xf numFmtId="0" fontId="104" fillId="0" borderId="0" applyNumberFormat="0" applyFill="0" applyBorder="0" applyAlignment="0" applyProtection="0"/>
    <xf numFmtId="0" fontId="105" fillId="39" borderId="0" applyNumberFormat="0" applyBorder="0" applyAlignment="0" applyProtection="0"/>
    <xf numFmtId="0" fontId="106" fillId="40" borderId="0" applyNumberFormat="0" applyBorder="0" applyAlignment="0" applyProtection="0"/>
    <xf numFmtId="0" fontId="107" fillId="42" borderId="50" applyNumberFormat="0" applyAlignment="0" applyProtection="0"/>
    <xf numFmtId="0" fontId="108" fillId="43" borderId="51" applyNumberFormat="0" applyAlignment="0" applyProtection="0"/>
    <xf numFmtId="0" fontId="109" fillId="43" borderId="50" applyNumberFormat="0" applyAlignment="0" applyProtection="0"/>
    <xf numFmtId="0" fontId="110" fillId="0" borderId="52" applyNumberFormat="0" applyFill="0" applyAlignment="0" applyProtection="0"/>
    <xf numFmtId="0" fontId="111" fillId="44" borderId="53" applyNumberFormat="0" applyAlignment="0" applyProtection="0"/>
    <xf numFmtId="0" fontId="95" fillId="0" borderId="0" applyNumberFormat="0" applyFill="0" applyBorder="0" applyAlignment="0" applyProtection="0"/>
    <xf numFmtId="0" fontId="46" fillId="0" borderId="55" applyNumberFormat="0" applyFill="0" applyAlignment="0" applyProtection="0"/>
    <xf numFmtId="0" fontId="112" fillId="46" borderId="0" applyNumberFormat="0" applyBorder="0" applyAlignment="0" applyProtection="0"/>
    <xf numFmtId="0" fontId="112" fillId="47" borderId="0" applyNumberFormat="0" applyBorder="0" applyAlignment="0" applyProtection="0"/>
    <xf numFmtId="0" fontId="112" fillId="48" borderId="0" applyNumberFormat="0" applyBorder="0" applyAlignment="0" applyProtection="0"/>
    <xf numFmtId="0" fontId="112" fillId="49" borderId="0" applyNumberFormat="0" applyBorder="0" applyAlignment="0" applyProtection="0"/>
    <xf numFmtId="0" fontId="112" fillId="50" borderId="0" applyNumberFormat="0" applyBorder="0" applyAlignment="0" applyProtection="0"/>
    <xf numFmtId="0" fontId="112" fillId="51" borderId="0" applyNumberFormat="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0" fontId="22"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0" fontId="40" fillId="0" borderId="0"/>
    <xf numFmtId="0" fontId="25"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123" fillId="41" borderId="0" applyNumberFormat="0" applyBorder="0" applyAlignment="0" applyProtection="0"/>
    <xf numFmtId="0" fontId="40" fillId="45" borderId="54" applyNumberFormat="0" applyFont="0" applyAlignment="0" applyProtection="0"/>
    <xf numFmtId="40" fontId="116" fillId="0" borderId="17">
      <alignment horizontal="right"/>
    </xf>
    <xf numFmtId="0" fontId="117" fillId="0" borderId="0">
      <alignment horizontal="left"/>
    </xf>
    <xf numFmtId="49" fontId="14" fillId="0" borderId="0"/>
    <xf numFmtId="0" fontId="117" fillId="0" borderId="0">
      <alignment horizontal="left"/>
    </xf>
    <xf numFmtId="177" fontId="116" fillId="0" borderId="17">
      <alignment horizontal="right"/>
    </xf>
    <xf numFmtId="49" fontId="116" fillId="0" borderId="0">
      <alignment horizontal="right"/>
    </xf>
    <xf numFmtId="40" fontId="14" fillId="0" borderId="0">
      <alignment horizontal="right"/>
    </xf>
    <xf numFmtId="49" fontId="14" fillId="0" borderId="0">
      <alignment horizontal="left"/>
    </xf>
    <xf numFmtId="40" fontId="14" fillId="0" borderId="0"/>
    <xf numFmtId="49" fontId="14" fillId="0" borderId="0">
      <alignment horizontal="left"/>
    </xf>
    <xf numFmtId="177" fontId="14" fillId="0" borderId="0">
      <alignment horizontal="right"/>
    </xf>
    <xf numFmtId="49" fontId="14" fillId="0" borderId="0"/>
    <xf numFmtId="49" fontId="115" fillId="52" borderId="0">
      <alignment horizontal="right" vertical="center"/>
    </xf>
    <xf numFmtId="49" fontId="115" fillId="52" borderId="0">
      <alignment horizontal="left" vertical="center"/>
    </xf>
    <xf numFmtId="49" fontId="115" fillId="52" borderId="0">
      <alignment horizontal="center" vertical="center"/>
    </xf>
    <xf numFmtId="49" fontId="115" fillId="52" borderId="0">
      <alignment horizontal="center" vertical="center"/>
    </xf>
    <xf numFmtId="49" fontId="115" fillId="52" borderId="0">
      <alignment horizontal="right" vertical="center"/>
    </xf>
    <xf numFmtId="40" fontId="115" fillId="52" borderId="0">
      <alignment horizontal="right"/>
    </xf>
    <xf numFmtId="49" fontId="115" fillId="52" borderId="0">
      <alignment horizontal="center" vertical="center"/>
    </xf>
    <xf numFmtId="40" fontId="14" fillId="0" borderId="0"/>
    <xf numFmtId="0" fontId="14" fillId="0" borderId="0">
      <alignment horizontal="left"/>
    </xf>
    <xf numFmtId="49" fontId="14" fillId="0" borderId="0"/>
    <xf numFmtId="49" fontId="14" fillId="0" borderId="0">
      <alignment horizontal="center" vertical="center"/>
    </xf>
    <xf numFmtId="177" fontId="14" fillId="0" borderId="0">
      <alignment horizontal="right"/>
    </xf>
    <xf numFmtId="49" fontId="14" fillId="0" borderId="0"/>
    <xf numFmtId="49" fontId="115" fillId="52" borderId="0">
      <alignment horizontal="center" vertical="center"/>
    </xf>
    <xf numFmtId="49" fontId="115" fillId="52" borderId="0">
      <alignment horizontal="center" vertical="center"/>
    </xf>
    <xf numFmtId="177" fontId="115" fillId="52" borderId="0">
      <alignment horizontal="center" vertical="center"/>
    </xf>
    <xf numFmtId="49" fontId="115" fillId="52" borderId="0">
      <alignment horizontal="right"/>
    </xf>
    <xf numFmtId="40" fontId="116" fillId="0" borderId="19">
      <alignment horizontal="right"/>
    </xf>
    <xf numFmtId="0" fontId="117" fillId="0" borderId="0">
      <alignment horizontal="left"/>
    </xf>
    <xf numFmtId="49" fontId="14" fillId="0" borderId="0"/>
    <xf numFmtId="0" fontId="117" fillId="0" borderId="0">
      <alignment horizontal="left"/>
    </xf>
    <xf numFmtId="177" fontId="116" fillId="0" borderId="19">
      <alignment horizontal="right"/>
    </xf>
    <xf numFmtId="49" fontId="116" fillId="0" borderId="0">
      <alignment horizontal="right"/>
    </xf>
    <xf numFmtId="49" fontId="14" fillId="0" borderId="0"/>
    <xf numFmtId="49" fontId="14" fillId="0" borderId="0"/>
    <xf numFmtId="40" fontId="116" fillId="0" borderId="14">
      <alignment horizontal="right"/>
    </xf>
    <xf numFmtId="49" fontId="116" fillId="0" borderId="0">
      <alignment horizontal="left"/>
    </xf>
    <xf numFmtId="49" fontId="14" fillId="0" borderId="0"/>
    <xf numFmtId="49" fontId="116" fillId="0" borderId="0">
      <alignment horizontal="left"/>
    </xf>
    <xf numFmtId="177" fontId="116" fillId="0" borderId="14">
      <alignment horizontal="right"/>
    </xf>
    <xf numFmtId="49" fontId="116" fillId="0" borderId="0">
      <alignment horizontal="right"/>
    </xf>
    <xf numFmtId="49" fontId="115" fillId="52" borderId="0">
      <alignment horizontal="center" vertical="center"/>
    </xf>
    <xf numFmtId="49" fontId="115" fillId="52" borderId="0">
      <alignment horizontal="center" vertical="center"/>
    </xf>
    <xf numFmtId="49" fontId="115" fillId="52" borderId="0">
      <alignment horizontal="center" vertical="center"/>
    </xf>
    <xf numFmtId="49" fontId="115" fillId="52" borderId="0">
      <alignment horizontal="center" vertical="center"/>
    </xf>
    <xf numFmtId="49" fontId="115" fillId="52" borderId="0">
      <alignment horizontal="center" vertical="center"/>
    </xf>
    <xf numFmtId="49" fontId="115" fillId="52" borderId="0">
      <alignment horizontal="center" vertical="center"/>
    </xf>
    <xf numFmtId="49" fontId="115" fillId="52" borderId="0">
      <alignment horizontal="center" vertical="center"/>
    </xf>
    <xf numFmtId="49" fontId="115" fillId="52" borderId="0">
      <alignment horizontal="center" vertical="center"/>
    </xf>
    <xf numFmtId="49" fontId="115" fillId="52" borderId="0">
      <alignment horizontal="center" vertical="center"/>
    </xf>
    <xf numFmtId="49" fontId="14" fillId="0" borderId="0"/>
    <xf numFmtId="49" fontId="14" fillId="0" borderId="0"/>
    <xf numFmtId="49" fontId="14" fillId="0" borderId="0"/>
    <xf numFmtId="49" fontId="14" fillId="0" borderId="0"/>
    <xf numFmtId="49" fontId="14" fillId="0" borderId="0"/>
    <xf numFmtId="49" fontId="14" fillId="0" borderId="0"/>
    <xf numFmtId="0" fontId="116" fillId="53" borderId="0">
      <alignment horizontal="center" vertical="center"/>
    </xf>
    <xf numFmtId="49" fontId="14" fillId="53" borderId="0">
      <alignment horizontal="left" vertical="center"/>
    </xf>
    <xf numFmtId="49" fontId="116" fillId="53" borderId="0">
      <alignment horizontal="center" vertical="center"/>
    </xf>
    <xf numFmtId="0" fontId="116" fillId="54" borderId="0">
      <alignment horizontal="left"/>
    </xf>
    <xf numFmtId="49" fontId="14" fillId="0" borderId="0"/>
    <xf numFmtId="0" fontId="116" fillId="54" borderId="0">
      <alignment horizontal="left"/>
    </xf>
    <xf numFmtId="40" fontId="116" fillId="0" borderId="0">
      <alignment horizontal="right"/>
    </xf>
    <xf numFmtId="49" fontId="115" fillId="52" borderId="0"/>
    <xf numFmtId="49" fontId="115" fillId="52" borderId="0"/>
    <xf numFmtId="49" fontId="14" fillId="0" borderId="0"/>
    <xf numFmtId="0" fontId="118" fillId="55" borderId="0" applyFont="0" applyFill="0">
      <alignment horizontal="left" vertical="top" wrapText="1"/>
    </xf>
    <xf numFmtId="40" fontId="118" fillId="0" borderId="0"/>
    <xf numFmtId="40" fontId="118" fillId="0" borderId="0"/>
    <xf numFmtId="0" fontId="118" fillId="0" borderId="0">
      <alignment horizontal="left"/>
    </xf>
    <xf numFmtId="0" fontId="118" fillId="0" borderId="0">
      <alignment horizontal="center"/>
    </xf>
    <xf numFmtId="0" fontId="119" fillId="0" borderId="0">
      <alignment horizontal="center"/>
    </xf>
    <xf numFmtId="0" fontId="120" fillId="52" borderId="0">
      <alignment horizontal="left"/>
    </xf>
    <xf numFmtId="0" fontId="120" fillId="52" borderId="0">
      <alignment horizontal="left"/>
    </xf>
    <xf numFmtId="0" fontId="119" fillId="0" borderId="0">
      <alignment horizontal="center"/>
    </xf>
    <xf numFmtId="40" fontId="121" fillId="0" borderId="18"/>
    <xf numFmtId="40" fontId="121" fillId="0" borderId="18"/>
    <xf numFmtId="0" fontId="121" fillId="0" borderId="0"/>
    <xf numFmtId="0" fontId="121" fillId="0" borderId="0"/>
    <xf numFmtId="0" fontId="119" fillId="0" borderId="0">
      <alignment horizontal="center"/>
    </xf>
    <xf numFmtId="0" fontId="122" fillId="56" borderId="0">
      <alignment horizontal="left"/>
    </xf>
    <xf numFmtId="0" fontId="122" fillId="56" borderId="0">
      <alignment horizontal="left"/>
    </xf>
    <xf numFmtId="40" fontId="116" fillId="0" borderId="0">
      <alignment horizontal="right"/>
    </xf>
    <xf numFmtId="0" fontId="117" fillId="0" borderId="0">
      <alignment horizontal="left"/>
    </xf>
    <xf numFmtId="49" fontId="14" fillId="0" borderId="0"/>
    <xf numFmtId="0" fontId="117" fillId="0" borderId="0">
      <alignment horizontal="left"/>
    </xf>
    <xf numFmtId="177" fontId="116" fillId="0" borderId="0">
      <alignment horizontal="right"/>
    </xf>
    <xf numFmtId="49" fontId="116" fillId="0" borderId="0" applyBorder="0">
      <alignment horizontal="right"/>
    </xf>
    <xf numFmtId="0" fontId="14" fillId="0" borderId="0"/>
    <xf numFmtId="49" fontId="124" fillId="55" borderId="0">
      <alignment horizontal="left"/>
    </xf>
    <xf numFmtId="49" fontId="124" fillId="55" borderId="0">
      <alignment horizontal="left"/>
    </xf>
    <xf numFmtId="0" fontId="125" fillId="55" borderId="0">
      <alignment horizontal="left"/>
    </xf>
    <xf numFmtId="178" fontId="125" fillId="55" borderId="0">
      <alignment horizontal="left"/>
    </xf>
    <xf numFmtId="40" fontId="116" fillId="0" borderId="0">
      <alignment horizontal="right"/>
    </xf>
    <xf numFmtId="49" fontId="126" fillId="55" borderId="0">
      <alignment horizontal="left"/>
    </xf>
    <xf numFmtId="49" fontId="126" fillId="55" borderId="0">
      <alignment horizontal="left"/>
    </xf>
    <xf numFmtId="49" fontId="14" fillId="0" borderId="0"/>
    <xf numFmtId="40" fontId="116" fillId="0" borderId="14">
      <alignment horizontal="right"/>
    </xf>
    <xf numFmtId="49" fontId="116" fillId="0" borderId="0">
      <alignment horizontal="left"/>
    </xf>
    <xf numFmtId="49" fontId="14" fillId="0" borderId="0"/>
    <xf numFmtId="49" fontId="116" fillId="0" borderId="0">
      <alignment horizontal="left"/>
    </xf>
    <xf numFmtId="177" fontId="116" fillId="0" borderId="14">
      <alignment horizontal="right"/>
    </xf>
    <xf numFmtId="49" fontId="116" fillId="0" borderId="0">
      <alignment horizontal="right"/>
    </xf>
    <xf numFmtId="40" fontId="116" fillId="0" borderId="14">
      <alignment horizontal="right"/>
    </xf>
    <xf numFmtId="0" fontId="116" fillId="54" borderId="0">
      <alignment horizontal="left"/>
    </xf>
    <xf numFmtId="49" fontId="14" fillId="0" borderId="0"/>
    <xf numFmtId="0" fontId="116" fillId="54" borderId="0">
      <alignment horizontal="left"/>
    </xf>
    <xf numFmtId="177" fontId="116" fillId="0" borderId="14">
      <alignment horizontal="right"/>
    </xf>
    <xf numFmtId="49" fontId="116" fillId="0" borderId="0">
      <alignment horizontal="right"/>
    </xf>
    <xf numFmtId="0" fontId="121" fillId="0" borderId="0"/>
    <xf numFmtId="40" fontId="118" fillId="0" borderId="18"/>
    <xf numFmtId="40" fontId="118" fillId="0" borderId="18"/>
    <xf numFmtId="0" fontId="118" fillId="0" borderId="0"/>
    <xf numFmtId="0" fontId="118" fillId="0" borderId="0"/>
    <xf numFmtId="40" fontId="118" fillId="0" borderId="0"/>
    <xf numFmtId="179" fontId="118" fillId="0" borderId="0"/>
    <xf numFmtId="40" fontId="118" fillId="0" borderId="0"/>
    <xf numFmtId="0" fontId="118" fillId="0" borderId="0"/>
    <xf numFmtId="0" fontId="118" fillId="0" borderId="0"/>
    <xf numFmtId="40" fontId="116" fillId="0" borderId="18">
      <alignment horizontal="right"/>
    </xf>
    <xf numFmtId="49" fontId="116" fillId="0" borderId="0">
      <alignment horizontal="left"/>
    </xf>
    <xf numFmtId="49" fontId="14" fillId="0" borderId="0"/>
    <xf numFmtId="49" fontId="116" fillId="0" borderId="0">
      <alignment horizontal="left"/>
    </xf>
    <xf numFmtId="177" fontId="116" fillId="0" borderId="18">
      <alignment horizontal="right"/>
    </xf>
    <xf numFmtId="49" fontId="116" fillId="0" borderId="0">
      <alignment horizontal="right"/>
    </xf>
    <xf numFmtId="0" fontId="40" fillId="0" borderId="0"/>
    <xf numFmtId="0" fontId="41" fillId="0" borderId="0"/>
    <xf numFmtId="43" fontId="4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9"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45" borderId="54" applyNumberFormat="0" applyFont="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0" fillId="4"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14" fillId="0" borderId="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14" fillId="0" borderId="0"/>
    <xf numFmtId="44" fontId="40" fillId="0" borderId="0" applyFont="0" applyFill="0" applyBorder="0" applyAlignment="0" applyProtection="0"/>
    <xf numFmtId="0" fontId="14" fillId="0" borderId="0"/>
    <xf numFmtId="44"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25"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22"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22"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0" fontId="25"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1"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14" fillId="0" borderId="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1"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14"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1"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10" fillId="11"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10" fillId="4"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14"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14"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10" fillId="4"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4"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22" fillId="0" borderId="0"/>
    <xf numFmtId="0" fontId="40" fillId="0" borderId="0"/>
    <xf numFmtId="0" fontId="40" fillId="0" borderId="0"/>
    <xf numFmtId="44" fontId="40" fillId="0" borderId="0" applyFont="0" applyFill="0" applyBorder="0" applyAlignment="0" applyProtection="0"/>
    <xf numFmtId="0" fontId="40" fillId="0" borderId="0"/>
    <xf numFmtId="0" fontId="22"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1" fillId="0" borderId="0"/>
    <xf numFmtId="0" fontId="14"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14" fillId="0" borderId="0"/>
    <xf numFmtId="0" fontId="25"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4" fontId="40" fillId="0" borderId="0" applyFont="0" applyFill="0" applyBorder="0" applyAlignment="0" applyProtection="0"/>
    <xf numFmtId="43" fontId="4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14" fillId="0" borderId="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14" fillId="0" borderId="0"/>
    <xf numFmtId="0" fontId="40" fillId="0" borderId="0"/>
    <xf numFmtId="0" fontId="40" fillId="0" borderId="0"/>
    <xf numFmtId="0" fontId="40" fillId="0" borderId="0"/>
    <xf numFmtId="43" fontId="40" fillId="0" borderId="0" applyFont="0" applyFill="0" applyBorder="0" applyAlignment="0" applyProtection="0"/>
    <xf numFmtId="0" fontId="22"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14" fillId="0" borderId="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22"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10" fillId="13"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10" fillId="7" borderId="0" applyNumberFormat="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14"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22"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22"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14"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14"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25"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4" fillId="0" borderId="0"/>
    <xf numFmtId="0" fontId="40" fillId="0" borderId="0"/>
    <xf numFmtId="0" fontId="40" fillId="0" borderId="0"/>
    <xf numFmtId="0" fontId="40" fillId="0" borderId="0"/>
    <xf numFmtId="0" fontId="14" fillId="0" borderId="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25" fillId="0" borderId="0"/>
    <xf numFmtId="0" fontId="40" fillId="0" borderId="0"/>
    <xf numFmtId="0" fontId="40" fillId="0" borderId="0"/>
    <xf numFmtId="0" fontId="40" fillId="0" borderId="0"/>
    <xf numFmtId="0" fontId="40" fillId="0" borderId="0"/>
    <xf numFmtId="0" fontId="40" fillId="0" borderId="0"/>
    <xf numFmtId="0" fontId="10" fillId="8"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14" fillId="0" borderId="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14" fillId="0" borderId="0"/>
    <xf numFmtId="0" fontId="40" fillId="0" borderId="0"/>
    <xf numFmtId="0" fontId="25"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14"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10" fillId="11"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14"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10" fillId="4" borderId="0" applyNumberFormat="0" applyBorder="0" applyAlignment="0" applyProtection="0"/>
    <xf numFmtId="0" fontId="40" fillId="0" borderId="0"/>
    <xf numFmtId="0" fontId="40" fillId="0" borderId="0"/>
    <xf numFmtId="0" fontId="40" fillId="0" borderId="0"/>
    <xf numFmtId="0" fontId="40" fillId="0" borderId="0"/>
    <xf numFmtId="0" fontId="14" fillId="0" borderId="0"/>
    <xf numFmtId="0" fontId="40" fillId="0" borderId="0"/>
    <xf numFmtId="43" fontId="40" fillId="0" borderId="0" applyFont="0" applyFill="0" applyBorder="0" applyAlignment="0" applyProtection="0"/>
    <xf numFmtId="0" fontId="40" fillId="0" borderId="0"/>
    <xf numFmtId="0" fontId="14"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38"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9"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10" fillId="4"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0" fillId="13" borderId="0" applyNumberFormat="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14" fillId="0" borderId="0"/>
    <xf numFmtId="0" fontId="40" fillId="0" borderId="0"/>
    <xf numFmtId="9"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14" fillId="0" borderId="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22"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25"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0" fontId="40" fillId="0" borderId="0"/>
    <xf numFmtId="0" fontId="14"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44" fontId="40" fillId="0" borderId="0" applyFont="0" applyFill="0" applyBorder="0" applyAlignment="0" applyProtection="0"/>
    <xf numFmtId="9" fontId="41" fillId="0" borderId="0" applyFont="0" applyFill="0" applyBorder="0" applyAlignment="0" applyProtection="0"/>
    <xf numFmtId="0" fontId="14"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14" fillId="0" borderId="0"/>
    <xf numFmtId="0" fontId="40" fillId="0" borderId="0"/>
    <xf numFmtId="0" fontId="40" fillId="0" borderId="0"/>
    <xf numFmtId="44" fontId="40" fillId="0" borderId="0" applyFont="0" applyFill="0" applyBorder="0" applyAlignment="0" applyProtection="0"/>
    <xf numFmtId="0" fontId="40" fillId="0" borderId="0"/>
    <xf numFmtId="0" fontId="25" fillId="0" borderId="0"/>
    <xf numFmtId="0" fontId="14"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22" fillId="0" borderId="0"/>
    <xf numFmtId="0" fontId="25"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14" fillId="0" borderId="0"/>
    <xf numFmtId="0" fontId="40" fillId="0" borderId="0"/>
    <xf numFmtId="44" fontId="40" fillId="0" borderId="0" applyFont="0" applyFill="0" applyBorder="0" applyAlignment="0" applyProtection="0"/>
    <xf numFmtId="9" fontId="38" fillId="0" borderId="0" applyFont="0" applyFill="0" applyBorder="0" applyAlignment="0" applyProtection="0"/>
    <xf numFmtId="0" fontId="25"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39" fillId="20" borderId="0" applyFont="0" applyBorder="0" applyAlignment="0">
      <alignment horizontal="center" wrapText="1"/>
    </xf>
    <xf numFmtId="0" fontId="40" fillId="0" borderId="0"/>
    <xf numFmtId="43" fontId="1" fillId="0" borderId="0" applyFont="0" applyFill="0" applyBorder="0" applyAlignment="0" applyProtection="0"/>
    <xf numFmtId="44" fontId="40" fillId="0" borderId="0" applyFont="0" applyFill="0" applyBorder="0" applyAlignment="0" applyProtection="0"/>
    <xf numFmtId="0" fontId="14"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14"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14"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14"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22"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22"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14" fillId="0" borderId="0"/>
    <xf numFmtId="0" fontId="40" fillId="0" borderId="0"/>
    <xf numFmtId="0" fontId="40" fillId="0" borderId="0"/>
    <xf numFmtId="43" fontId="40" fillId="0" borderId="0" applyFont="0" applyFill="0" applyBorder="0" applyAlignment="0" applyProtection="0"/>
    <xf numFmtId="0" fontId="40" fillId="0" borderId="0"/>
    <xf numFmtId="43" fontId="4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14" fillId="0" borderId="0"/>
    <xf numFmtId="0" fontId="40" fillId="0" borderId="0"/>
    <xf numFmtId="0" fontId="40" fillId="0" borderId="0"/>
    <xf numFmtId="43" fontId="1" fillId="0" borderId="0" applyFont="0" applyFill="0" applyBorder="0" applyAlignment="0" applyProtection="0"/>
    <xf numFmtId="0" fontId="40" fillId="0" borderId="0"/>
    <xf numFmtId="0" fontId="22"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14"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14"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14" fillId="0" borderId="0"/>
    <xf numFmtId="0" fontId="40" fillId="0" borderId="0"/>
    <xf numFmtId="0" fontId="40" fillId="0" borderId="0"/>
    <xf numFmtId="0" fontId="14"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0" fontId="22" fillId="0" borderId="0"/>
    <xf numFmtId="0" fontId="40" fillId="0" borderId="0"/>
    <xf numFmtId="0" fontId="40" fillId="0" borderId="0"/>
    <xf numFmtId="0" fontId="40" fillId="0" borderId="0"/>
    <xf numFmtId="0" fontId="22" fillId="0" borderId="0"/>
    <xf numFmtId="44" fontId="1"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22" fillId="0" borderId="0"/>
    <xf numFmtId="0" fontId="40" fillId="0" borderId="0"/>
    <xf numFmtId="0" fontId="40" fillId="0" borderId="0"/>
    <xf numFmtId="0" fontId="14"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14"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10" fillId="8"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10" fillId="13" borderId="0" applyNumberFormat="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14"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14"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14" fillId="0" borderId="0"/>
    <xf numFmtId="0" fontId="40" fillId="0" borderId="0"/>
    <xf numFmtId="44" fontId="40" fillId="0" borderId="0" applyFont="0" applyFill="0" applyBorder="0" applyAlignment="0" applyProtection="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4" fontId="40" fillId="0" borderId="0" applyFont="0" applyFill="0" applyBorder="0" applyAlignment="0" applyProtection="0"/>
    <xf numFmtId="0" fontId="40" fillId="0" borderId="0"/>
    <xf numFmtId="44" fontId="40" fillId="0" borderId="0" applyFont="0" applyFill="0" applyBorder="0" applyAlignment="0" applyProtection="0"/>
    <xf numFmtId="43" fontId="40" fillId="0" borderId="0" applyFont="0" applyFill="0" applyBorder="0" applyAlignment="0" applyProtection="0"/>
    <xf numFmtId="0" fontId="14"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43"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25" fillId="0" borderId="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0" fillId="4" borderId="0" applyNumberFormat="0" applyBorder="0" applyAlignment="0" applyProtection="0"/>
    <xf numFmtId="0" fontId="40" fillId="0" borderId="0"/>
    <xf numFmtId="0" fontId="22"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10" fillId="8" borderId="0" applyNumberFormat="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25" fillId="0" borderId="0"/>
    <xf numFmtId="0" fontId="40" fillId="0" borderId="0"/>
    <xf numFmtId="43" fontId="4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25" fillId="0" borderId="0"/>
    <xf numFmtId="0" fontId="25"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25"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38"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14"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14"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22"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25"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14" fillId="0" borderId="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14"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14"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25"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4" fontId="38"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0" fontId="22"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0" fillId="7" borderId="0" applyNumberFormat="0" applyBorder="0" applyAlignment="0" applyProtection="0"/>
    <xf numFmtId="0" fontId="40" fillId="0" borderId="0"/>
    <xf numFmtId="0" fontId="10" fillId="11" borderId="0" applyNumberFormat="0" applyBorder="0" applyAlignment="0" applyProtection="0"/>
    <xf numFmtId="0" fontId="40" fillId="0" borderId="0"/>
    <xf numFmtId="0" fontId="22" fillId="0" borderId="0"/>
    <xf numFmtId="44" fontId="40" fillId="0" borderId="0" applyFont="0" applyFill="0" applyBorder="0" applyAlignment="0" applyProtection="0"/>
    <xf numFmtId="0" fontId="14" fillId="0" borderId="0"/>
    <xf numFmtId="44" fontId="40" fillId="0" borderId="0" applyFont="0" applyFill="0" applyBorder="0" applyAlignment="0" applyProtection="0"/>
    <xf numFmtId="43" fontId="40" fillId="0" borderId="0" applyFont="0" applyFill="0" applyBorder="0" applyAlignment="0" applyProtection="0"/>
    <xf numFmtId="0" fontId="25" fillId="0" borderId="0"/>
    <xf numFmtId="0" fontId="40" fillId="0" borderId="0"/>
    <xf numFmtId="0" fontId="40" fillId="0" borderId="0"/>
    <xf numFmtId="0" fontId="40" fillId="0" borderId="0"/>
    <xf numFmtId="0" fontId="40" fillId="0" borderId="0"/>
    <xf numFmtId="0" fontId="22" fillId="0" borderId="0"/>
    <xf numFmtId="43"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43"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25"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43" fontId="40" fillId="0" borderId="0" applyFont="0" applyFill="0" applyBorder="0" applyAlignment="0" applyProtection="0"/>
    <xf numFmtId="0" fontId="40" fillId="0" borderId="0"/>
    <xf numFmtId="0" fontId="14" fillId="0" borderId="0"/>
    <xf numFmtId="0" fontId="14" fillId="0" borderId="0"/>
    <xf numFmtId="43" fontId="4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10" fillId="7" borderId="0" applyNumberFormat="0" applyBorder="0" applyAlignment="0" applyProtection="0"/>
    <xf numFmtId="0" fontId="14" fillId="0" borderId="0"/>
    <xf numFmtId="0" fontId="45" fillId="20" borderId="0" applyFont="0" applyBorder="0" applyAlignment="0">
      <alignment horizontal="center" wrapText="1"/>
    </xf>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14" fillId="0" borderId="0"/>
    <xf numFmtId="44" fontId="1" fillId="0" borderId="0" applyFont="0" applyFill="0" applyBorder="0" applyAlignment="0" applyProtection="0"/>
    <xf numFmtId="44" fontId="1"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4" fillId="0" borderId="0"/>
    <xf numFmtId="43" fontId="40" fillId="0" borderId="0" applyFont="0" applyFill="0" applyBorder="0" applyAlignment="0" applyProtection="0"/>
    <xf numFmtId="0" fontId="25" fillId="0" borderId="0"/>
    <xf numFmtId="0" fontId="22" fillId="0" borderId="0"/>
    <xf numFmtId="0" fontId="14" fillId="0" borderId="0"/>
    <xf numFmtId="0" fontId="14"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22"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14"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22" fillId="0" borderId="0"/>
    <xf numFmtId="0" fontId="40" fillId="0" borderId="0"/>
    <xf numFmtId="0" fontId="14" fillId="0" borderId="0"/>
    <xf numFmtId="0" fontId="40" fillId="0" borderId="0"/>
    <xf numFmtId="0" fontId="40" fillId="0" borderId="0"/>
    <xf numFmtId="0" fontId="40" fillId="0" borderId="0"/>
    <xf numFmtId="0" fontId="40" fillId="0" borderId="0"/>
    <xf numFmtId="0" fontId="22" fillId="0" borderId="0"/>
    <xf numFmtId="0" fontId="22" fillId="0" borderId="0"/>
    <xf numFmtId="0" fontId="40" fillId="0" borderId="0"/>
    <xf numFmtId="0" fontId="40" fillId="0" borderId="0"/>
    <xf numFmtId="0" fontId="40" fillId="0" borderId="0"/>
    <xf numFmtId="43" fontId="1" fillId="0" borderId="0" applyFont="0" applyFill="0" applyBorder="0" applyAlignment="0" applyProtection="0"/>
    <xf numFmtId="0" fontId="14" fillId="0" borderId="0"/>
    <xf numFmtId="43" fontId="40" fillId="0" borderId="0" applyFont="0" applyFill="0" applyBorder="0" applyAlignment="0" applyProtection="0"/>
    <xf numFmtId="0" fontId="22"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0" fontId="22"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14" fillId="0" borderId="0"/>
    <xf numFmtId="43" fontId="40" fillId="0" borderId="0" applyFont="0" applyFill="0" applyBorder="0" applyAlignment="0" applyProtection="0"/>
    <xf numFmtId="0" fontId="40" fillId="0" borderId="0"/>
    <xf numFmtId="0" fontId="40" fillId="0" borderId="0"/>
    <xf numFmtId="0" fontId="22"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43" fontId="41" fillId="0" borderId="0" applyFont="0" applyFill="0" applyBorder="0" applyAlignment="0" applyProtection="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22" fillId="0" borderId="0"/>
    <xf numFmtId="0" fontId="25" fillId="0" borderId="0"/>
    <xf numFmtId="44" fontId="41" fillId="0" borderId="0" applyFont="0" applyFill="0" applyBorder="0" applyAlignment="0" applyProtection="0"/>
    <xf numFmtId="43" fontId="40" fillId="0" borderId="0" applyFont="0" applyFill="0" applyBorder="0" applyAlignment="0" applyProtection="0"/>
    <xf numFmtId="0" fontId="22" fillId="0" borderId="0"/>
    <xf numFmtId="0" fontId="14" fillId="0" borderId="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44" fontId="40" fillId="0" borderId="0" applyFont="0" applyFill="0" applyBorder="0" applyAlignment="0" applyProtection="0"/>
    <xf numFmtId="43" fontId="40" fillId="0" borderId="0" applyFont="0" applyFill="0" applyBorder="0" applyAlignment="0" applyProtection="0"/>
    <xf numFmtId="0" fontId="14" fillId="0" borderId="0"/>
    <xf numFmtId="0" fontId="22" fillId="0" borderId="0"/>
    <xf numFmtId="0" fontId="40" fillId="0" borderId="0"/>
    <xf numFmtId="44" fontId="1"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5" fillId="20" borderId="0" applyFont="0" applyBorder="0" applyAlignment="0">
      <alignment horizontal="center" wrapText="1"/>
    </xf>
    <xf numFmtId="0" fontId="25" fillId="0" borderId="0"/>
    <xf numFmtId="0" fontId="14" fillId="0" borderId="0"/>
    <xf numFmtId="43" fontId="1" fillId="0" borderId="0" applyFont="0" applyFill="0" applyBorder="0" applyAlignment="0" applyProtection="0"/>
    <xf numFmtId="0" fontId="40" fillId="0" borderId="0"/>
    <xf numFmtId="0" fontId="14"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22" fillId="0" borderId="0"/>
    <xf numFmtId="0" fontId="14" fillId="0" borderId="0"/>
    <xf numFmtId="0" fontId="40" fillId="0" borderId="0"/>
    <xf numFmtId="0" fontId="39" fillId="20" borderId="0" applyFont="0" applyBorder="0" applyAlignment="0">
      <alignment horizontal="center" wrapText="1"/>
    </xf>
    <xf numFmtId="0" fontId="40" fillId="0" borderId="0"/>
    <xf numFmtId="0" fontId="40" fillId="0" borderId="0"/>
    <xf numFmtId="0" fontId="14"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0" fontId="40" fillId="0" borderId="0"/>
    <xf numFmtId="0" fontId="40" fillId="0" borderId="0"/>
    <xf numFmtId="0" fontId="40" fillId="0" borderId="0"/>
    <xf numFmtId="43" fontId="38" fillId="0" borderId="0" applyFont="0" applyFill="0" applyBorder="0" applyAlignment="0" applyProtection="0"/>
    <xf numFmtId="0" fontId="40" fillId="0" borderId="0"/>
    <xf numFmtId="0" fontId="14" fillId="0" borderId="0"/>
    <xf numFmtId="44" fontId="1" fillId="0" borderId="0" applyFont="0" applyFill="0" applyBorder="0" applyAlignment="0" applyProtection="0"/>
    <xf numFmtId="0" fontId="14" fillId="0" borderId="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25"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14" fillId="0" borderId="0"/>
    <xf numFmtId="0" fontId="14" fillId="0" borderId="0"/>
    <xf numFmtId="0" fontId="22" fillId="0" borderId="0"/>
    <xf numFmtId="0" fontId="40" fillId="0" borderId="0"/>
    <xf numFmtId="0" fontId="22" fillId="0" borderId="0"/>
    <xf numFmtId="0" fontId="14"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14" fillId="0" borderId="0"/>
    <xf numFmtId="0" fontId="22" fillId="0" borderId="0"/>
    <xf numFmtId="43" fontId="40" fillId="0" borderId="0" applyFont="0" applyFill="0" applyBorder="0" applyAlignment="0" applyProtection="0"/>
    <xf numFmtId="0" fontId="40" fillId="0" borderId="0"/>
    <xf numFmtId="0" fontId="40" fillId="0" borderId="0"/>
    <xf numFmtId="0" fontId="14" fillId="0" borderId="0"/>
    <xf numFmtId="0" fontId="40" fillId="0" borderId="0"/>
    <xf numFmtId="0" fontId="40" fillId="0" borderId="0"/>
    <xf numFmtId="43"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44"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9"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22" fillId="0" borderId="0"/>
    <xf numFmtId="0" fontId="40" fillId="0" borderId="0"/>
    <xf numFmtId="44" fontId="1" fillId="0" borderId="0" applyFont="0" applyFill="0" applyBorder="0" applyAlignment="0" applyProtection="0"/>
    <xf numFmtId="44"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9" fontId="1" fillId="0" borderId="0" applyFont="0" applyFill="0" applyBorder="0" applyAlignment="0" applyProtection="0"/>
    <xf numFmtId="0" fontId="22"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44" fontId="1" fillId="0" borderId="0" applyFont="0" applyFill="0" applyBorder="0" applyAlignment="0" applyProtection="0"/>
    <xf numFmtId="0" fontId="14"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4" fontId="40"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0" fontId="40" fillId="0" borderId="0"/>
    <xf numFmtId="44" fontId="40" fillId="0" borderId="0" applyFont="0" applyFill="0" applyBorder="0" applyAlignment="0" applyProtection="0"/>
    <xf numFmtId="43" fontId="4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38"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1" fillId="0" borderId="0" applyFont="0" applyFill="0" applyBorder="0" applyAlignment="0" applyProtection="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44"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25" fillId="0" borderId="0"/>
    <xf numFmtId="0" fontId="14"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40" fillId="0" borderId="0" applyFont="0" applyFill="0" applyBorder="0" applyAlignment="0" applyProtection="0"/>
    <xf numFmtId="43" fontId="38"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2" fillId="0" borderId="0"/>
    <xf numFmtId="44"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22" fillId="0" borderId="0"/>
    <xf numFmtId="44"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25"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43"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44"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4" fontId="1" fillId="0" borderId="0" applyFont="0" applyFill="0" applyBorder="0" applyAlignment="0" applyProtection="0"/>
    <xf numFmtId="43" fontId="1" fillId="0" borderId="0" applyFont="0" applyFill="0" applyBorder="0" applyAlignment="0" applyProtection="0"/>
    <xf numFmtId="0" fontId="40" fillId="0" borderId="0"/>
    <xf numFmtId="44" fontId="1" fillId="0" borderId="0" applyFont="0" applyFill="0" applyBorder="0" applyAlignment="0" applyProtection="0"/>
    <xf numFmtId="44" fontId="4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22" fillId="0" borderId="0"/>
    <xf numFmtId="43" fontId="40" fillId="0" borderId="0" applyFont="0" applyFill="0" applyBorder="0" applyAlignment="0" applyProtection="0"/>
    <xf numFmtId="0" fontId="14"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25"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22" fillId="0" borderId="0"/>
    <xf numFmtId="44"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4" fontId="1" fillId="0" borderId="0" applyFont="0" applyFill="0" applyBorder="0" applyAlignment="0" applyProtection="0"/>
    <xf numFmtId="0" fontId="40" fillId="0" borderId="0"/>
    <xf numFmtId="44"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0" fontId="40" fillId="0" borderId="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22"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44" fontId="1" fillId="0" borderId="0" applyFont="0" applyFill="0" applyBorder="0" applyAlignment="0" applyProtection="0"/>
    <xf numFmtId="43" fontId="4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38"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38"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25"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1"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0" fontId="40" fillId="0" borderId="0"/>
    <xf numFmtId="44" fontId="1"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9"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9"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4" fontId="38"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44" fontId="40"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1" fillId="0" borderId="0" applyFont="0" applyFill="0" applyBorder="0" applyAlignment="0" applyProtection="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44" fontId="1" fillId="0" borderId="0" applyFont="0" applyFill="0" applyBorder="0" applyAlignment="0" applyProtection="0"/>
    <xf numFmtId="0" fontId="40" fillId="0" borderId="0"/>
    <xf numFmtId="44" fontId="1" fillId="0" borderId="0" applyFont="0" applyFill="0" applyBorder="0" applyAlignment="0" applyProtection="0"/>
    <xf numFmtId="44" fontId="40"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4"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44"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22" fillId="0" borderId="0"/>
    <xf numFmtId="0" fontId="14" fillId="0" borderId="0"/>
    <xf numFmtId="0" fontId="14" fillId="0" borderId="0"/>
    <xf numFmtId="0" fontId="22" fillId="0" borderId="0"/>
    <xf numFmtId="0" fontId="14" fillId="0" borderId="0"/>
    <xf numFmtId="0" fontId="14" fillId="0" borderId="0"/>
    <xf numFmtId="0" fontId="25"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44" fontId="1" fillId="0" borderId="0" applyFont="0" applyFill="0" applyBorder="0" applyAlignment="0" applyProtection="0"/>
    <xf numFmtId="44" fontId="1" fillId="0" borderId="0" applyFont="0" applyFill="0" applyBorder="0" applyAlignment="0" applyProtection="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25" fillId="0" borderId="0"/>
    <xf numFmtId="43"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25"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44" fontId="1" fillId="0" borderId="0" applyFont="0" applyFill="0" applyBorder="0" applyAlignment="0" applyProtection="0"/>
    <xf numFmtId="0" fontId="40" fillId="0" borderId="0"/>
    <xf numFmtId="43" fontId="40"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22"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0" fontId="25" fillId="0" borderId="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44"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44" fontId="1" fillId="0" borderId="0" applyFont="0" applyFill="0" applyBorder="0" applyAlignment="0" applyProtection="0"/>
    <xf numFmtId="44" fontId="40" fillId="0" borderId="0" applyFont="0" applyFill="0" applyBorder="0" applyAlignment="0" applyProtection="0"/>
    <xf numFmtId="43" fontId="1" fillId="0" borderId="0" applyFont="0" applyFill="0" applyBorder="0" applyAlignment="0" applyProtection="0"/>
    <xf numFmtId="0" fontId="40" fillId="0" borderId="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38"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4" fontId="1"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44"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44"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4"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38"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43" fontId="38"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44"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9"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38"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44"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44" fontId="1" fillId="0" borderId="0" applyFont="0" applyFill="0" applyBorder="0" applyAlignment="0" applyProtection="0"/>
    <xf numFmtId="0" fontId="40" fillId="0" borderId="0"/>
    <xf numFmtId="43" fontId="40" fillId="0" borderId="0" applyFont="0" applyFill="0" applyBorder="0" applyAlignment="0" applyProtection="0"/>
    <xf numFmtId="44"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14" fillId="0" borderId="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4" fontId="1" fillId="0" borderId="0" applyFont="0" applyFill="0" applyBorder="0" applyAlignment="0" applyProtection="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40" fillId="0" borderId="0"/>
    <xf numFmtId="44" fontId="1"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9"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25"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4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40" fillId="0" borderId="0"/>
    <xf numFmtId="44"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1" fillId="0" borderId="0" applyFont="0" applyFill="0" applyBorder="0" applyAlignment="0" applyProtection="0"/>
    <xf numFmtId="0" fontId="40" fillId="0" borderId="0"/>
    <xf numFmtId="44" fontId="1"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4" fontId="40" fillId="0" borderId="0" applyFont="0" applyFill="0" applyBorder="0" applyAlignment="0" applyProtection="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44"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1" fillId="0" borderId="0" applyFont="0" applyFill="0" applyBorder="0" applyAlignment="0" applyProtection="0"/>
    <xf numFmtId="43" fontId="38"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0" fontId="22"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44"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22" fillId="0" borderId="0"/>
    <xf numFmtId="0" fontId="40" fillId="0" borderId="0"/>
    <xf numFmtId="43" fontId="40"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4" fontId="40" fillId="0" borderId="0" applyFont="0" applyFill="0" applyBorder="0" applyAlignment="0" applyProtection="0"/>
    <xf numFmtId="43" fontId="38"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3" fontId="1"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44" fontId="1" fillId="0" borderId="0" applyFont="0" applyFill="0" applyBorder="0" applyAlignment="0" applyProtection="0"/>
    <xf numFmtId="43" fontId="1" fillId="0" borderId="0" applyFont="0" applyFill="0" applyBorder="0" applyAlignment="0" applyProtection="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40" fillId="0" borderId="0" applyFont="0" applyFill="0" applyBorder="0" applyAlignment="0" applyProtection="0"/>
    <xf numFmtId="0" fontId="40" fillId="0" borderId="0"/>
    <xf numFmtId="43" fontId="38" fillId="0" borderId="0" applyFont="0" applyFill="0" applyBorder="0" applyAlignment="0" applyProtection="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44"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0" fontId="40" fillId="0" borderId="0"/>
    <xf numFmtId="44"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3" fontId="1" fillId="0" borderId="0" applyFont="0" applyFill="0" applyBorder="0" applyAlignment="0" applyProtection="0"/>
    <xf numFmtId="0" fontId="40" fillId="0" borderId="0"/>
    <xf numFmtId="44"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3"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4"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1"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45" borderId="54" applyNumberFormat="0" applyFont="0" applyAlignment="0" applyProtection="0"/>
    <xf numFmtId="0" fontId="127" fillId="0" borderId="0" applyNumberFormat="0" applyFill="0" applyBorder="0" applyAlignment="0" applyProtection="0"/>
    <xf numFmtId="0" fontId="40" fillId="57" borderId="0" applyNumberFormat="0" applyBorder="0" applyAlignment="0" applyProtection="0"/>
    <xf numFmtId="0" fontId="40" fillId="58" borderId="0" applyNumberFormat="0" applyBorder="0" applyAlignment="0" applyProtection="0"/>
    <xf numFmtId="0" fontId="40" fillId="60" borderId="0" applyNumberFormat="0" applyBorder="0" applyAlignment="0" applyProtection="0"/>
    <xf numFmtId="0" fontId="40" fillId="61" borderId="0" applyNumberFormat="0" applyBorder="0" applyAlignment="0" applyProtection="0"/>
    <xf numFmtId="0" fontId="40" fillId="63" borderId="0" applyNumberFormat="0" applyBorder="0" applyAlignment="0" applyProtection="0"/>
    <xf numFmtId="0" fontId="40" fillId="64" borderId="0" applyNumberFormat="0" applyBorder="0" applyAlignment="0" applyProtection="0"/>
    <xf numFmtId="0" fontId="40" fillId="66" borderId="0" applyNumberFormat="0" applyBorder="0" applyAlignment="0" applyProtection="0"/>
    <xf numFmtId="0" fontId="40" fillId="67"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2" borderId="0" applyNumberFormat="0" applyBorder="0" applyAlignment="0" applyProtection="0"/>
    <xf numFmtId="0" fontId="40" fillId="73" borderId="0" applyNumberFormat="0" applyBorder="0" applyAlignment="0" applyProtection="0"/>
    <xf numFmtId="0" fontId="41" fillId="57" borderId="0" applyNumberFormat="0" applyBorder="0" applyAlignment="0" applyProtection="0"/>
    <xf numFmtId="0" fontId="41" fillId="60" borderId="0" applyNumberFormat="0" applyBorder="0" applyAlignment="0" applyProtection="0"/>
    <xf numFmtId="0" fontId="41" fillId="63" borderId="0" applyNumberFormat="0" applyBorder="0" applyAlignment="0" applyProtection="0"/>
    <xf numFmtId="0" fontId="41" fillId="66" borderId="0" applyNumberFormat="0" applyBorder="0" applyAlignment="0" applyProtection="0"/>
    <xf numFmtId="0" fontId="41" fillId="69" borderId="0" applyNumberFormat="0" applyBorder="0" applyAlignment="0" applyProtection="0"/>
    <xf numFmtId="0" fontId="41" fillId="72" borderId="0" applyNumberFormat="0" applyBorder="0" applyAlignment="0" applyProtection="0"/>
    <xf numFmtId="0" fontId="41" fillId="58" borderId="0" applyNumberFormat="0" applyBorder="0" applyAlignment="0" applyProtection="0"/>
    <xf numFmtId="0" fontId="41" fillId="61" borderId="0" applyNumberFormat="0" applyBorder="0" applyAlignment="0" applyProtection="0"/>
    <xf numFmtId="0" fontId="41" fillId="64" borderId="0" applyNumberFormat="0" applyBorder="0" applyAlignment="0" applyProtection="0"/>
    <xf numFmtId="0" fontId="41" fillId="67" borderId="0" applyNumberFormat="0" applyBorder="0" applyAlignment="0" applyProtection="0"/>
    <xf numFmtId="0" fontId="41" fillId="70" borderId="0" applyNumberFormat="0" applyBorder="0" applyAlignment="0" applyProtection="0"/>
    <xf numFmtId="0" fontId="41" fillId="73" borderId="0" applyNumberFormat="0" applyBorder="0" applyAlignment="0" applyProtection="0"/>
    <xf numFmtId="0" fontId="112" fillId="59" borderId="0" applyNumberFormat="0" applyBorder="0" applyAlignment="0" applyProtection="0"/>
    <xf numFmtId="0" fontId="128" fillId="59" borderId="0" applyNumberFormat="0" applyBorder="0" applyAlignment="0" applyProtection="0"/>
    <xf numFmtId="0" fontId="112" fillId="62" borderId="0" applyNumberFormat="0" applyBorder="0" applyAlignment="0" applyProtection="0"/>
    <xf numFmtId="0" fontId="128" fillId="62" borderId="0" applyNumberFormat="0" applyBorder="0" applyAlignment="0" applyProtection="0"/>
    <xf numFmtId="0" fontId="112" fillId="65" borderId="0" applyNumberFormat="0" applyBorder="0" applyAlignment="0" applyProtection="0"/>
    <xf numFmtId="0" fontId="128" fillId="65" borderId="0" applyNumberFormat="0" applyBorder="0" applyAlignment="0" applyProtection="0"/>
    <xf numFmtId="0" fontId="112" fillId="68" borderId="0" applyNumberFormat="0" applyBorder="0" applyAlignment="0" applyProtection="0"/>
    <xf numFmtId="0" fontId="128" fillId="68" borderId="0" applyNumberFormat="0" applyBorder="0" applyAlignment="0" applyProtection="0"/>
    <xf numFmtId="0" fontId="112" fillId="71" borderId="0" applyNumberFormat="0" applyBorder="0" applyAlignment="0" applyProtection="0"/>
    <xf numFmtId="0" fontId="128" fillId="71" borderId="0" applyNumberFormat="0" applyBorder="0" applyAlignment="0" applyProtection="0"/>
    <xf numFmtId="0" fontId="112" fillId="74" borderId="0" applyNumberFormat="0" applyBorder="0" applyAlignment="0" applyProtection="0"/>
    <xf numFmtId="0" fontId="128" fillId="74" borderId="0" applyNumberFormat="0" applyBorder="0" applyAlignment="0" applyProtection="0"/>
    <xf numFmtId="0" fontId="128" fillId="46" borderId="0" applyNumberFormat="0" applyBorder="0" applyAlignment="0" applyProtection="0"/>
    <xf numFmtId="0" fontId="128" fillId="46" borderId="0" applyNumberFormat="0" applyBorder="0" applyAlignment="0" applyProtection="0"/>
    <xf numFmtId="0" fontId="128" fillId="47" borderId="0" applyNumberFormat="0" applyBorder="0" applyAlignment="0" applyProtection="0"/>
    <xf numFmtId="0" fontId="128" fillId="47" borderId="0" applyNumberFormat="0" applyBorder="0" applyAlignment="0" applyProtection="0"/>
    <xf numFmtId="0" fontId="128" fillId="48" borderId="0" applyNumberFormat="0" applyBorder="0" applyAlignment="0" applyProtection="0"/>
    <xf numFmtId="0" fontId="128" fillId="48" borderId="0" applyNumberFormat="0" applyBorder="0" applyAlignment="0" applyProtection="0"/>
    <xf numFmtId="0" fontId="128" fillId="49" borderId="0" applyNumberFormat="0" applyBorder="0" applyAlignment="0" applyProtection="0"/>
    <xf numFmtId="0" fontId="128" fillId="49" borderId="0" applyNumberFormat="0" applyBorder="0" applyAlignment="0" applyProtection="0"/>
    <xf numFmtId="0" fontId="128" fillId="50" borderId="0" applyNumberFormat="0" applyBorder="0" applyAlignment="0" applyProtection="0"/>
    <xf numFmtId="0" fontId="128" fillId="50" borderId="0" applyNumberFormat="0" applyBorder="0" applyAlignment="0" applyProtection="0"/>
    <xf numFmtId="0" fontId="128" fillId="51" borderId="0" applyNumberFormat="0" applyBorder="0" applyAlignment="0" applyProtection="0"/>
    <xf numFmtId="0" fontId="128" fillId="51" borderId="0" applyNumberFormat="0" applyBorder="0" applyAlignment="0" applyProtection="0"/>
    <xf numFmtId="0" fontId="129" fillId="40" borderId="0" applyNumberFormat="0" applyBorder="0" applyAlignment="0" applyProtection="0"/>
    <xf numFmtId="0" fontId="130" fillId="43" borderId="50" applyNumberFormat="0" applyAlignment="0" applyProtection="0"/>
    <xf numFmtId="0" fontId="131" fillId="44" borderId="53"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14" fillId="0" borderId="0" applyFont="0" applyFill="0" applyBorder="0" applyAlignment="0" applyProtection="0"/>
    <xf numFmtId="43" fontId="41" fillId="0" borderId="0" applyFont="0" applyFill="0" applyBorder="0" applyAlignment="0" applyProtection="0"/>
    <xf numFmtId="0" fontId="132" fillId="0" borderId="0" applyNumberFormat="0" applyFill="0" applyBorder="0" applyAlignment="0" applyProtection="0"/>
    <xf numFmtId="0" fontId="133" fillId="39" borderId="0" applyNumberFormat="0" applyBorder="0" applyAlignment="0" applyProtection="0"/>
    <xf numFmtId="0" fontId="134" fillId="0" borderId="47" applyNumberFormat="0" applyFill="0" applyAlignment="0" applyProtection="0"/>
    <xf numFmtId="0" fontId="135" fillId="0" borderId="48" applyNumberFormat="0" applyFill="0" applyAlignment="0" applyProtection="0"/>
    <xf numFmtId="0" fontId="18" fillId="0" borderId="58" applyNumberFormat="0" applyFill="0" applyAlignment="0" applyProtection="0"/>
    <xf numFmtId="0" fontId="18" fillId="0" borderId="58" applyNumberFormat="0" applyFill="0" applyAlignment="0" applyProtection="0"/>
    <xf numFmtId="0" fontId="136" fillId="0" borderId="49" applyNumberFormat="0" applyFill="0" applyAlignment="0" applyProtection="0"/>
    <xf numFmtId="0" fontId="136" fillId="0" borderId="0" applyNumberFormat="0" applyFill="0" applyBorder="0" applyAlignment="0" applyProtection="0"/>
    <xf numFmtId="0" fontId="137" fillId="42" borderId="50" applyNumberFormat="0" applyAlignment="0" applyProtection="0"/>
    <xf numFmtId="0" fontId="138" fillId="0" borderId="52" applyNumberFormat="0" applyFill="0" applyAlignment="0" applyProtection="0"/>
    <xf numFmtId="0" fontId="139" fillId="41" borderId="0" applyNumberFormat="0" applyBorder="0" applyAlignment="0" applyProtection="0"/>
    <xf numFmtId="0" fontId="9" fillId="0" borderId="0"/>
    <xf numFmtId="0" fontId="41" fillId="0" borderId="0"/>
    <xf numFmtId="0" fontId="41" fillId="0" borderId="0"/>
    <xf numFmtId="0" fontId="41" fillId="0" borderId="0"/>
    <xf numFmtId="0" fontId="41" fillId="0" borderId="0"/>
    <xf numFmtId="0" fontId="9" fillId="0" borderId="0"/>
    <xf numFmtId="0" fontId="9" fillId="0" borderId="0"/>
    <xf numFmtId="0" fontId="14" fillId="0" borderId="0"/>
    <xf numFmtId="0" fontId="22" fillId="0" borderId="0"/>
    <xf numFmtId="0" fontId="14" fillId="0" borderId="0"/>
    <xf numFmtId="0" fontId="41" fillId="0" borderId="0"/>
    <xf numFmtId="0" fontId="40"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41" fillId="45" borderId="54" applyNumberFormat="0" applyFont="0" applyAlignment="0" applyProtection="0"/>
    <xf numFmtId="0" fontId="140" fillId="43" borderId="51" applyNumberFormat="0" applyAlignment="0" applyProtection="0"/>
    <xf numFmtId="9" fontId="9" fillId="0" borderId="0" applyFont="0" applyFill="0" applyBorder="0" applyAlignment="0" applyProtection="0"/>
    <xf numFmtId="0" fontId="141" fillId="0" borderId="0" applyNumberFormat="0" applyFill="0" applyBorder="0" applyAlignment="0" applyProtection="0"/>
    <xf numFmtId="0" fontId="142" fillId="0" borderId="55" applyNumberFormat="0" applyFill="0" applyAlignment="0" applyProtection="0"/>
    <xf numFmtId="0" fontId="143" fillId="0" borderId="0" applyNumberFormat="0" applyFill="0" applyBorder="0" applyAlignment="0" applyProtection="0"/>
    <xf numFmtId="0" fontId="149" fillId="0" borderId="0"/>
    <xf numFmtId="43" fontId="150" fillId="0" borderId="0" applyFont="0" applyFill="0" applyBorder="0" applyAlignment="0" applyProtection="0"/>
    <xf numFmtId="0" fontId="15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9" fillId="0" borderId="0"/>
    <xf numFmtId="0" fontId="151" fillId="0" borderId="0" applyNumberFormat="0" applyFill="0" applyBorder="0" applyAlignment="0" applyProtection="0">
      <alignment vertical="top"/>
      <protection locked="0"/>
    </xf>
    <xf numFmtId="0" fontId="152" fillId="0" borderId="0" applyNumberFormat="0" applyFill="0" applyBorder="0" applyAlignment="0" applyProtection="0"/>
    <xf numFmtId="0" fontId="90" fillId="0" borderId="0"/>
    <xf numFmtId="0" fontId="90" fillId="0" borderId="0"/>
    <xf numFmtId="0" fontId="90" fillId="0" borderId="0"/>
    <xf numFmtId="0" fontId="91" fillId="0" borderId="0"/>
    <xf numFmtId="0" fontId="91" fillId="0" borderId="0"/>
    <xf numFmtId="0" fontId="91" fillId="0" borderId="0"/>
    <xf numFmtId="0" fontId="91" fillId="0" borderId="0"/>
    <xf numFmtId="0" fontId="91" fillId="0" borderId="0"/>
    <xf numFmtId="0" fontId="90" fillId="0" borderId="0"/>
    <xf numFmtId="0" fontId="91" fillId="0" borderId="0"/>
    <xf numFmtId="0" fontId="91" fillId="0" borderId="0"/>
    <xf numFmtId="0" fontId="91" fillId="0" borderId="0"/>
    <xf numFmtId="0" fontId="91" fillId="0" borderId="0"/>
    <xf numFmtId="0" fontId="91" fillId="0" borderId="0"/>
    <xf numFmtId="0" fontId="92" fillId="0" borderId="0"/>
    <xf numFmtId="0" fontId="92" fillId="0" borderId="0"/>
    <xf numFmtId="0" fontId="40" fillId="0" borderId="0"/>
    <xf numFmtId="43" fontId="40" fillId="0" borderId="0" applyFont="0" applyFill="0" applyBorder="0" applyAlignment="0" applyProtection="0"/>
    <xf numFmtId="0" fontId="40" fillId="0" borderId="0"/>
    <xf numFmtId="0" fontId="14" fillId="0" borderId="0"/>
    <xf numFmtId="0" fontId="14" fillId="0" borderId="0"/>
    <xf numFmtId="0" fontId="22" fillId="0" borderId="0"/>
    <xf numFmtId="0" fontId="14" fillId="0" borderId="0"/>
    <xf numFmtId="0" fontId="14" fillId="0" borderId="0"/>
    <xf numFmtId="0" fontId="14" fillId="0" borderId="0"/>
    <xf numFmtId="0" fontId="14" fillId="0" borderId="0"/>
    <xf numFmtId="0" fontId="25" fillId="0" borderId="0"/>
    <xf numFmtId="0" fontId="14" fillId="0" borderId="0"/>
    <xf numFmtId="0" fontId="22" fillId="0" borderId="0"/>
    <xf numFmtId="43" fontId="9" fillId="0" borderId="0" applyFont="0" applyFill="0" applyBorder="0" applyAlignment="0" applyProtection="0"/>
    <xf numFmtId="43" fontId="1" fillId="0" borderId="0" applyFont="0" applyFill="0" applyBorder="0" applyAlignment="0" applyProtection="0"/>
    <xf numFmtId="0" fontId="41" fillId="0" borderId="0"/>
    <xf numFmtId="0" fontId="14" fillId="0" borderId="0"/>
    <xf numFmtId="0" fontId="14" fillId="0" borderId="0"/>
    <xf numFmtId="0" fontId="40" fillId="0" borderId="0"/>
    <xf numFmtId="0" fontId="14" fillId="0" borderId="0"/>
    <xf numFmtId="0" fontId="22" fillId="0" borderId="0"/>
    <xf numFmtId="0" fontId="25" fillId="0" borderId="0"/>
    <xf numFmtId="0" fontId="14" fillId="0" borderId="0"/>
    <xf numFmtId="0" fontId="14" fillId="0" borderId="0"/>
    <xf numFmtId="0" fontId="22" fillId="0" borderId="0"/>
    <xf numFmtId="0" fontId="150" fillId="0" borderId="0"/>
    <xf numFmtId="0" fontId="14" fillId="0" borderId="0"/>
    <xf numFmtId="0" fontId="150"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0" fontId="22" fillId="0" borderId="0"/>
    <xf numFmtId="0" fontId="25" fillId="0" borderId="0"/>
    <xf numFmtId="0" fontId="40" fillId="0" borderId="0"/>
    <xf numFmtId="43" fontId="40" fillId="0" borderId="0" applyFont="0" applyFill="0" applyBorder="0" applyAlignment="0" applyProtection="0"/>
    <xf numFmtId="0" fontId="22" fillId="0" borderId="0"/>
    <xf numFmtId="0" fontId="25" fillId="0" borderId="0"/>
    <xf numFmtId="43" fontId="40" fillId="0" borderId="0" applyFont="0" applyFill="0" applyBorder="0" applyAlignment="0" applyProtection="0"/>
    <xf numFmtId="44" fontId="4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5" fillId="20" borderId="0" applyFont="0" applyBorder="0" applyAlignment="0">
      <alignment horizontal="center" wrapText="1"/>
    </xf>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25" fillId="0" borderId="0"/>
    <xf numFmtId="0" fontId="40" fillId="0" borderId="0"/>
    <xf numFmtId="44" fontId="40" fillId="0" borderId="0" applyFont="0" applyFill="0" applyBorder="0" applyAlignment="0" applyProtection="0"/>
    <xf numFmtId="0" fontId="40" fillId="0" borderId="0"/>
    <xf numFmtId="43" fontId="40" fillId="0" borderId="0" applyFont="0" applyFill="0" applyBorder="0" applyAlignment="0" applyProtection="0"/>
    <xf numFmtId="44" fontId="41" fillId="0" borderId="0" applyFont="0" applyFill="0" applyBorder="0" applyAlignment="0" applyProtection="0"/>
    <xf numFmtId="43" fontId="41" fillId="0" borderId="0" applyFont="0" applyFill="0" applyBorder="0" applyAlignment="0" applyProtection="0"/>
    <xf numFmtId="0" fontId="22" fillId="0" borderId="0"/>
    <xf numFmtId="43" fontId="41" fillId="0" borderId="0" applyFont="0" applyFill="0" applyBorder="0" applyAlignment="0" applyProtection="0"/>
    <xf numFmtId="43" fontId="41" fillId="0" borderId="0" applyFont="0" applyFill="0" applyBorder="0" applyAlignment="0" applyProtection="0"/>
    <xf numFmtId="9" fontId="41" fillId="0" borderId="0" applyFont="0" applyFill="0" applyBorder="0" applyAlignment="0" applyProtection="0"/>
    <xf numFmtId="43" fontId="4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45" fillId="20" borderId="0" applyFont="0" applyBorder="0" applyAlignment="0">
      <alignment horizontal="center" wrapText="1"/>
    </xf>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14" fillId="0" borderId="0"/>
    <xf numFmtId="0" fontId="25"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14" fillId="0" borderId="0"/>
    <xf numFmtId="43" fontId="1" fillId="0" borderId="0" applyFont="0" applyFill="0" applyBorder="0" applyAlignment="0" applyProtection="0"/>
    <xf numFmtId="43" fontId="1" fillId="0" borderId="0" applyFont="0" applyFill="0" applyBorder="0" applyAlignment="0" applyProtection="0"/>
    <xf numFmtId="0" fontId="25"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5" fillId="0" borderId="0"/>
    <xf numFmtId="43" fontId="1" fillId="0" borderId="0" applyFont="0" applyFill="0" applyBorder="0" applyAlignment="0" applyProtection="0"/>
    <xf numFmtId="44" fontId="1" fillId="0" borderId="0" applyFont="0" applyFill="0" applyBorder="0" applyAlignment="0" applyProtection="0"/>
    <xf numFmtId="0" fontId="22" fillId="0" borderId="0"/>
    <xf numFmtId="44" fontId="1" fillId="0" borderId="0" applyFont="0" applyFill="0" applyBorder="0" applyAlignment="0" applyProtection="0"/>
    <xf numFmtId="0" fontId="14" fillId="0" borderId="0"/>
    <xf numFmtId="0" fontId="22" fillId="0" borderId="0"/>
    <xf numFmtId="0" fontId="22" fillId="0" borderId="0"/>
    <xf numFmtId="0" fontId="40" fillId="0" borderId="0"/>
    <xf numFmtId="43" fontId="40" fillId="0" borderId="0" applyFont="0" applyFill="0" applyBorder="0" applyAlignment="0" applyProtection="0"/>
    <xf numFmtId="44" fontId="1" fillId="0" borderId="0" applyFont="0" applyFill="0" applyBorder="0" applyAlignment="0" applyProtection="0"/>
    <xf numFmtId="0" fontId="14" fillId="0" borderId="0"/>
    <xf numFmtId="0" fontId="14" fillId="0" borderId="0"/>
    <xf numFmtId="0" fontId="40" fillId="0" borderId="0"/>
    <xf numFmtId="0" fontId="40" fillId="0" borderId="0"/>
    <xf numFmtId="43" fontId="40" fillId="0" borderId="0" applyFont="0" applyFill="0" applyBorder="0" applyAlignment="0" applyProtection="0"/>
    <xf numFmtId="43" fontId="1" fillId="0" borderId="0" applyFont="0" applyFill="0" applyBorder="0" applyAlignment="0" applyProtection="0"/>
    <xf numFmtId="0" fontId="14" fillId="5" borderId="7" applyNumberFormat="0" applyFont="0" applyAlignment="0" applyProtection="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0" fontId="14" fillId="0" borderId="0"/>
    <xf numFmtId="0" fontId="22" fillId="0" borderId="0"/>
    <xf numFmtId="0" fontId="14" fillId="0" borderId="0"/>
    <xf numFmtId="0" fontId="22" fillId="0" borderId="0"/>
    <xf numFmtId="0" fontId="14" fillId="0" borderId="0"/>
    <xf numFmtId="0" fontId="14" fillId="0" borderId="0"/>
    <xf numFmtId="43" fontId="40" fillId="0" borderId="0" applyFont="0" applyFill="0" applyBorder="0" applyAlignment="0" applyProtection="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2" fillId="0" borderId="0"/>
    <xf numFmtId="0" fontId="22" fillId="0" borderId="0"/>
    <xf numFmtId="0" fontId="22" fillId="0" borderId="0"/>
    <xf numFmtId="0" fontId="2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5" fillId="0" borderId="0"/>
    <xf numFmtId="0" fontId="25" fillId="0" borderId="0"/>
    <xf numFmtId="0" fontId="25" fillId="0" borderId="0"/>
    <xf numFmtId="0" fontId="25"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cellStyleXfs>
  <cellXfs count="952">
    <xf numFmtId="0" fontId="0" fillId="0" borderId="0" xfId="0"/>
    <xf numFmtId="0" fontId="0" fillId="0" borderId="0" xfId="0" applyProtection="1"/>
    <xf numFmtId="0" fontId="0" fillId="0" borderId="0" xfId="0" applyAlignment="1" applyProtection="1">
      <alignment wrapText="1"/>
    </xf>
    <xf numFmtId="0" fontId="0" fillId="0" borderId="0" xfId="0" applyFill="1" applyProtection="1"/>
    <xf numFmtId="0" fontId="47" fillId="21" borderId="10" xfId="0" applyFont="1" applyFill="1" applyBorder="1" applyAlignment="1" applyProtection="1">
      <alignment horizontal="center" wrapText="1"/>
    </xf>
    <xf numFmtId="164" fontId="46" fillId="0" borderId="0" xfId="439" applyNumberFormat="1" applyFont="1" applyFill="1" applyAlignment="1" applyProtection="1">
      <alignment horizontal="center" wrapText="1"/>
    </xf>
    <xf numFmtId="41" fontId="48" fillId="0" borderId="0" xfId="0" applyNumberFormat="1" applyFont="1" applyFill="1" applyAlignment="1" applyProtection="1">
      <alignment wrapText="1"/>
    </xf>
    <xf numFmtId="41" fontId="48" fillId="0" borderId="0" xfId="0" applyNumberFormat="1" applyFont="1" applyAlignment="1" applyProtection="1">
      <alignment wrapText="1"/>
    </xf>
    <xf numFmtId="164" fontId="46" fillId="22" borderId="0" xfId="439" applyNumberFormat="1" applyFont="1" applyFill="1" applyAlignment="1" applyProtection="1">
      <alignment horizontal="center" wrapText="1"/>
    </xf>
    <xf numFmtId="41" fontId="48" fillId="21" borderId="11" xfId="0" applyNumberFormat="1" applyFont="1" applyFill="1" applyBorder="1" applyAlignment="1" applyProtection="1">
      <alignment wrapText="1"/>
    </xf>
    <xf numFmtId="41" fontId="48" fillId="21" borderId="12" xfId="0" applyNumberFormat="1" applyFont="1" applyFill="1" applyBorder="1" applyAlignment="1" applyProtection="1">
      <alignment wrapText="1"/>
    </xf>
    <xf numFmtId="0" fontId="50" fillId="0" borderId="0" xfId="0" applyFont="1" applyProtection="1"/>
    <xf numFmtId="0" fontId="45" fillId="0" borderId="0" xfId="0" applyFont="1" applyFill="1" applyBorder="1" applyAlignment="1" applyProtection="1">
      <alignment horizontal="center"/>
    </xf>
    <xf numFmtId="0" fontId="51" fillId="21" borderId="10" xfId="0" applyFont="1" applyFill="1" applyBorder="1" applyAlignment="1" applyProtection="1">
      <alignment horizontal="center" vertical="center" wrapText="1"/>
    </xf>
    <xf numFmtId="0" fontId="51" fillId="0" borderId="0" xfId="0" applyFont="1" applyAlignment="1" applyProtection="1">
      <alignment horizontal="center"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0" fillId="0" borderId="0" xfId="0" applyAlignment="1" applyProtection="1">
      <alignment vertical="center"/>
    </xf>
    <xf numFmtId="0" fontId="53" fillId="21" borderId="0" xfId="0" applyFont="1" applyFill="1" applyBorder="1" applyProtection="1"/>
    <xf numFmtId="0" fontId="0" fillId="0" borderId="0" xfId="0" applyAlignment="1" applyProtection="1">
      <alignment vertical="center"/>
      <protection locked="0"/>
    </xf>
    <xf numFmtId="0" fontId="0" fillId="0" borderId="0" xfId="0" applyProtection="1">
      <protection locked="0"/>
    </xf>
    <xf numFmtId="0" fontId="55" fillId="0" borderId="0" xfId="0" applyFont="1" applyAlignment="1" applyProtection="1">
      <alignment horizontal="right"/>
    </xf>
    <xf numFmtId="0" fontId="51" fillId="21" borderId="0" xfId="0" applyFont="1" applyFill="1" applyBorder="1" applyAlignment="1" applyProtection="1">
      <alignment horizontal="center" vertical="center" wrapText="1"/>
    </xf>
    <xf numFmtId="0" fontId="47" fillId="21" borderId="0" xfId="0" applyFont="1" applyFill="1" applyBorder="1" applyAlignment="1" applyProtection="1">
      <alignment horizontal="center" wrapText="1"/>
    </xf>
    <xf numFmtId="0" fontId="42" fillId="0" borderId="0" xfId="611" applyAlignment="1">
      <alignment vertical="center"/>
    </xf>
    <xf numFmtId="0" fontId="0" fillId="23" borderId="0" xfId="0" applyFill="1" applyProtection="1"/>
    <xf numFmtId="40" fontId="56" fillId="21" borderId="16" xfId="0" applyNumberFormat="1" applyFont="1" applyFill="1" applyBorder="1" applyProtection="1"/>
    <xf numFmtId="0" fontId="57" fillId="24" borderId="10" xfId="0" applyFont="1" applyFill="1" applyBorder="1" applyAlignment="1" applyProtection="1">
      <alignment horizontal="center" wrapText="1"/>
    </xf>
    <xf numFmtId="0" fontId="48" fillId="0" borderId="0" xfId="0" applyFont="1" applyAlignment="1" applyProtection="1">
      <alignment horizontal="left" wrapText="1"/>
    </xf>
    <xf numFmtId="0" fontId="48" fillId="0" borderId="0" xfId="0" applyFont="1" applyAlignment="1" applyProtection="1">
      <alignment horizontal="left" vertical="center" wrapText="1"/>
    </xf>
    <xf numFmtId="0" fontId="48" fillId="24" borderId="0" xfId="0" applyFont="1" applyFill="1" applyBorder="1" applyAlignment="1" applyProtection="1">
      <alignment horizontal="left" wrapText="1"/>
    </xf>
    <xf numFmtId="0" fontId="46" fillId="0" borderId="0" xfId="0" applyFont="1" applyAlignment="1" applyProtection="1">
      <alignment horizontal="center"/>
    </xf>
    <xf numFmtId="0" fontId="58" fillId="21" borderId="10" xfId="0" applyFont="1" applyFill="1" applyBorder="1" applyAlignment="1" applyProtection="1">
      <alignment horizontal="center" wrapText="1"/>
    </xf>
    <xf numFmtId="164" fontId="52" fillId="22" borderId="0" xfId="439" applyNumberFormat="1" applyFont="1" applyFill="1" applyProtection="1"/>
    <xf numFmtId="167" fontId="46" fillId="23" borderId="0" xfId="545" applyNumberFormat="1" applyFont="1" applyFill="1" applyProtection="1"/>
    <xf numFmtId="0" fontId="0" fillId="0" borderId="0" xfId="0" applyFill="1" applyBorder="1" applyProtection="1"/>
    <xf numFmtId="0" fontId="0" fillId="0" borderId="0" xfId="0" applyBorder="1" applyProtection="1"/>
    <xf numFmtId="0" fontId="60" fillId="25" borderId="0" xfId="0" applyFont="1" applyFill="1" applyAlignment="1" applyProtection="1">
      <alignment horizontal="center" wrapText="1"/>
    </xf>
    <xf numFmtId="0" fontId="61" fillId="21" borderId="10" xfId="0" applyFont="1" applyFill="1" applyBorder="1" applyAlignment="1" applyProtection="1">
      <alignment horizontal="center" wrapText="1"/>
    </xf>
    <xf numFmtId="0" fontId="61" fillId="21" borderId="0" xfId="0" applyFont="1" applyFill="1" applyBorder="1" applyAlignment="1" applyProtection="1">
      <alignment horizontal="center" wrapText="1"/>
    </xf>
    <xf numFmtId="0" fontId="62" fillId="0" borderId="0" xfId="0" applyFont="1" applyBorder="1" applyAlignment="1" applyProtection="1">
      <alignment wrapText="1"/>
    </xf>
    <xf numFmtId="0" fontId="0" fillId="0" borderId="0" xfId="0" applyFont="1" applyAlignment="1" applyProtection="1">
      <alignment wrapText="1"/>
      <protection locked="0"/>
    </xf>
    <xf numFmtId="0" fontId="0" fillId="0" borderId="0" xfId="0" applyFont="1" applyFill="1" applyProtection="1"/>
    <xf numFmtId="0" fontId="0" fillId="0" borderId="0" xfId="0"/>
    <xf numFmtId="0" fontId="0" fillId="0" borderId="0" xfId="0" applyProtection="1"/>
    <xf numFmtId="41" fontId="49" fillId="0" borderId="0" xfId="0" applyNumberFormat="1" applyFont="1" applyFill="1" applyAlignment="1" applyProtection="1">
      <alignment wrapText="1"/>
    </xf>
    <xf numFmtId="0" fontId="41" fillId="0" borderId="0" xfId="682"/>
    <xf numFmtId="0" fontId="63" fillId="26" borderId="0" xfId="682" applyFont="1" applyFill="1"/>
    <xf numFmtId="0" fontId="41" fillId="26" borderId="0" xfId="682" applyFill="1"/>
    <xf numFmtId="0" fontId="64" fillId="26" borderId="0" xfId="682" applyFont="1" applyFill="1"/>
    <xf numFmtId="0" fontId="64" fillId="0" borderId="0" xfId="682" applyFont="1" applyFill="1"/>
    <xf numFmtId="0" fontId="65" fillId="0" borderId="0" xfId="682" applyFont="1"/>
    <xf numFmtId="0" fontId="65" fillId="0" borderId="0" xfId="682" applyFont="1" applyAlignment="1">
      <alignment vertical="center"/>
    </xf>
    <xf numFmtId="0" fontId="66" fillId="0" borderId="17" xfId="682" applyFont="1" applyBorder="1" applyAlignment="1">
      <alignment horizontal="center"/>
    </xf>
    <xf numFmtId="0" fontId="66" fillId="0" borderId="14" xfId="682" applyFont="1" applyBorder="1" applyAlignment="1">
      <alignment horizontal="center" vertical="center" wrapText="1"/>
    </xf>
    <xf numFmtId="0" fontId="67" fillId="0" borderId="0" xfId="682" applyFont="1"/>
    <xf numFmtId="0" fontId="68" fillId="0" borderId="0" xfId="682" applyFont="1"/>
    <xf numFmtId="167" fontId="24" fillId="26" borderId="0" xfId="546" applyNumberFormat="1" applyFont="1" applyFill="1"/>
    <xf numFmtId="167" fontId="68" fillId="0" borderId="0" xfId="546" applyNumberFormat="1" applyFont="1"/>
    <xf numFmtId="38" fontId="24" fillId="26" borderId="0" xfId="682" applyNumberFormat="1" applyFont="1" applyFill="1"/>
    <xf numFmtId="38" fontId="68" fillId="0" borderId="0" xfId="682" applyNumberFormat="1" applyFont="1"/>
    <xf numFmtId="38" fontId="68" fillId="26" borderId="0" xfId="682" applyNumberFormat="1" applyFont="1" applyFill="1"/>
    <xf numFmtId="38" fontId="68" fillId="26" borderId="17" xfId="449" applyNumberFormat="1" applyFont="1" applyFill="1" applyBorder="1"/>
    <xf numFmtId="38" fontId="68" fillId="0" borderId="0" xfId="449" applyNumberFormat="1" applyFont="1"/>
    <xf numFmtId="0" fontId="69" fillId="0" borderId="0" xfId="682" applyFont="1"/>
    <xf numFmtId="0" fontId="66" fillId="27" borderId="0" xfId="682" applyFont="1" applyFill="1"/>
    <xf numFmtId="0" fontId="41" fillId="27" borderId="0" xfId="682" applyFill="1"/>
    <xf numFmtId="0" fontId="68" fillId="27" borderId="0" xfId="682" applyFont="1" applyFill="1"/>
    <xf numFmtId="167" fontId="66" fillId="27" borderId="0" xfId="546" applyNumberFormat="1" applyFont="1" applyFill="1"/>
    <xf numFmtId="167" fontId="68" fillId="27" borderId="0" xfId="546" applyNumberFormat="1" applyFont="1" applyFill="1"/>
    <xf numFmtId="164" fontId="68" fillId="26" borderId="17" xfId="449" applyNumberFormat="1" applyFont="1" applyFill="1" applyBorder="1"/>
    <xf numFmtId="164" fontId="68" fillId="0" borderId="0" xfId="449" applyNumberFormat="1" applyFont="1"/>
    <xf numFmtId="0" fontId="67" fillId="0" borderId="0" xfId="682" applyFont="1" applyAlignment="1">
      <alignment vertical="center"/>
    </xf>
    <xf numFmtId="0" fontId="70" fillId="0" borderId="0" xfId="682" applyFont="1"/>
    <xf numFmtId="38" fontId="68" fillId="26" borderId="0" xfId="449" applyNumberFormat="1" applyFont="1" applyFill="1"/>
    <xf numFmtId="167" fontId="66" fillId="27" borderId="18" xfId="546" applyNumberFormat="1" applyFont="1" applyFill="1" applyBorder="1"/>
    <xf numFmtId="167" fontId="68" fillId="26" borderId="19" xfId="546" applyNumberFormat="1" applyFont="1" applyFill="1" applyBorder="1"/>
    <xf numFmtId="0" fontId="66" fillId="0" borderId="0" xfId="682" applyFont="1"/>
    <xf numFmtId="167" fontId="66" fillId="0" borderId="20" xfId="546" applyNumberFormat="1" applyFont="1" applyBorder="1"/>
    <xf numFmtId="0" fontId="66" fillId="0" borderId="0" xfId="682" applyFont="1" applyAlignment="1">
      <alignment horizontal="center"/>
    </xf>
    <xf numFmtId="167" fontId="24" fillId="0" borderId="0" xfId="546" applyNumberFormat="1" applyFont="1" applyFill="1"/>
    <xf numFmtId="38" fontId="24" fillId="0" borderId="0" xfId="449" applyNumberFormat="1" applyFont="1" applyFill="1"/>
    <xf numFmtId="38" fontId="24" fillId="0" borderId="17" xfId="449" applyNumberFormat="1" applyFont="1" applyFill="1" applyBorder="1"/>
    <xf numFmtId="167" fontId="68" fillId="0" borderId="19" xfId="546" applyNumberFormat="1" applyFont="1" applyBorder="1"/>
    <xf numFmtId="0" fontId="46" fillId="0" borderId="0" xfId="682" applyFont="1"/>
    <xf numFmtId="10" fontId="66" fillId="0" borderId="19" xfId="682" applyNumberFormat="1" applyFont="1" applyBorder="1"/>
    <xf numFmtId="164" fontId="40" fillId="0" borderId="0" xfId="439" applyNumberFormat="1" applyFont="1"/>
    <xf numFmtId="40" fontId="71" fillId="0" borderId="0" xfId="0" applyNumberFormat="1" applyFont="1"/>
    <xf numFmtId="0" fontId="61" fillId="0" borderId="0" xfId="0" applyFont="1"/>
    <xf numFmtId="2" fontId="0" fillId="0" borderId="0" xfId="0" applyNumberFormat="1"/>
    <xf numFmtId="38" fontId="24" fillId="26" borderId="0" xfId="0" applyNumberFormat="1" applyFont="1" applyFill="1"/>
    <xf numFmtId="38" fontId="24" fillId="26" borderId="17" xfId="0" applyNumberFormat="1" applyFont="1" applyFill="1" applyBorder="1"/>
    <xf numFmtId="0" fontId="61" fillId="0" borderId="0" xfId="0" applyFont="1" applyAlignment="1" applyProtection="1">
      <alignment wrapText="1"/>
      <protection locked="0"/>
    </xf>
    <xf numFmtId="0" fontId="58" fillId="21" borderId="0" xfId="0" applyFont="1" applyFill="1" applyBorder="1" applyAlignment="1" applyProtection="1">
      <alignment horizontal="center"/>
    </xf>
    <xf numFmtId="0" fontId="41" fillId="0" borderId="0" xfId="682"/>
    <xf numFmtId="0" fontId="72" fillId="0" borderId="0" xfId="682" applyFont="1" applyFill="1" applyAlignment="1">
      <alignment wrapText="1"/>
    </xf>
    <xf numFmtId="166" fontId="53" fillId="21" borderId="16" xfId="0" applyNumberFormat="1" applyFont="1" applyFill="1" applyBorder="1" applyProtection="1"/>
    <xf numFmtId="0" fontId="53" fillId="28" borderId="0" xfId="0" applyNumberFormat="1" applyFont="1" applyFill="1" applyAlignment="1" applyProtection="1">
      <alignment vertical="center" wrapText="1"/>
    </xf>
    <xf numFmtId="0" fontId="46" fillId="28" borderId="0" xfId="0" applyNumberFormat="1" applyFont="1" applyFill="1" applyAlignment="1" applyProtection="1">
      <alignment vertical="center" wrapText="1"/>
    </xf>
    <xf numFmtId="0" fontId="52" fillId="0" borderId="0" xfId="0" applyFont="1" applyFill="1" applyAlignment="1" applyProtection="1">
      <alignment vertical="center" wrapText="1"/>
      <protection hidden="1"/>
    </xf>
    <xf numFmtId="0" fontId="47" fillId="28" borderId="0" xfId="0" applyFont="1" applyFill="1" applyAlignment="1" applyProtection="1">
      <alignment vertical="center" wrapText="1"/>
    </xf>
    <xf numFmtId="0" fontId="0" fillId="0" borderId="0" xfId="0" applyNumberFormat="1" applyFont="1" applyFill="1" applyAlignment="1" applyProtection="1">
      <alignment vertical="center" wrapText="1"/>
    </xf>
    <xf numFmtId="0" fontId="64"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0" fillId="28" borderId="0" xfId="0" applyFont="1" applyFill="1" applyAlignment="1" applyProtection="1">
      <alignment vertical="center"/>
    </xf>
    <xf numFmtId="0" fontId="47" fillId="28" borderId="0" xfId="0" applyFont="1" applyFill="1" applyAlignment="1" applyProtection="1">
      <alignment horizontal="left" vertical="center" wrapText="1"/>
    </xf>
    <xf numFmtId="38" fontId="73" fillId="28" borderId="0" xfId="439" applyNumberFormat="1" applyFont="1" applyFill="1" applyAlignment="1" applyProtection="1">
      <alignment horizontal="center" vertical="center" wrapText="1"/>
    </xf>
    <xf numFmtId="0" fontId="74" fillId="0" borderId="0" xfId="0" applyNumberFormat="1" applyFont="1" applyFill="1" applyAlignment="1" applyProtection="1">
      <alignment vertical="center" wrapText="1"/>
    </xf>
    <xf numFmtId="38" fontId="52" fillId="28" borderId="0" xfId="439" applyNumberFormat="1" applyFont="1" applyFill="1" applyProtection="1"/>
    <xf numFmtId="0" fontId="47" fillId="28" borderId="0" xfId="0" applyFont="1" applyFill="1" applyAlignment="1" applyProtection="1">
      <alignment vertical="center"/>
    </xf>
    <xf numFmtId="0" fontId="47" fillId="28" borderId="0" xfId="0" applyFont="1" applyFill="1" applyAlignment="1" applyProtection="1"/>
    <xf numFmtId="0" fontId="47" fillId="0" borderId="0" xfId="0" applyNumberFormat="1" applyFont="1" applyFill="1" applyAlignment="1" applyProtection="1">
      <alignment wrapText="1"/>
    </xf>
    <xf numFmtId="0" fontId="47" fillId="22" borderId="0" xfId="0" applyNumberFormat="1" applyFont="1" applyFill="1" applyAlignment="1" applyProtection="1">
      <alignment wrapText="1"/>
    </xf>
    <xf numFmtId="0" fontId="46" fillId="0" borderId="0" xfId="0" applyNumberFormat="1" applyFont="1" applyFill="1" applyAlignment="1" applyProtection="1">
      <alignment horizontal="left" vertical="center" wrapText="1" indent="3"/>
    </xf>
    <xf numFmtId="0" fontId="47" fillId="0" borderId="0" xfId="0" applyNumberFormat="1" applyFont="1" applyFill="1" applyAlignment="1" applyProtection="1">
      <alignment vertical="center" wrapText="1"/>
    </xf>
    <xf numFmtId="0" fontId="64" fillId="0" borderId="0" xfId="0" applyNumberFormat="1" applyFont="1" applyFill="1" applyAlignment="1" applyProtection="1">
      <alignment vertical="center" wrapText="1"/>
    </xf>
    <xf numFmtId="0" fontId="64" fillId="0" borderId="0" xfId="0" applyNumberFormat="1" applyFont="1" applyFill="1" applyAlignment="1" applyProtection="1">
      <alignment horizontal="left" vertical="center" wrapText="1" indent="3"/>
    </xf>
    <xf numFmtId="0" fontId="64" fillId="0" borderId="14" xfId="0" applyNumberFormat="1" applyFont="1" applyFill="1" applyBorder="1" applyAlignment="1" applyProtection="1">
      <alignment horizontal="left" vertical="center" wrapText="1" indent="3"/>
    </xf>
    <xf numFmtId="0" fontId="64" fillId="0" borderId="0" xfId="0" applyNumberFormat="1" applyFont="1" applyFill="1" applyAlignment="1" applyProtection="1">
      <alignment horizontal="left" vertical="center" wrapText="1" indent="6"/>
    </xf>
    <xf numFmtId="0" fontId="53" fillId="21" borderId="16"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Alignment="1" applyProtection="1">
      <alignment horizontal="center" vertical="center"/>
    </xf>
    <xf numFmtId="0" fontId="52" fillId="0" borderId="0" xfId="0" applyNumberFormat="1" applyFont="1" applyFill="1" applyAlignment="1" applyProtection="1">
      <alignment horizontal="center" vertical="center"/>
    </xf>
    <xf numFmtId="40" fontId="52" fillId="0" borderId="0" xfId="439" applyNumberFormat="1" applyFont="1" applyFill="1" applyAlignment="1" applyProtection="1">
      <alignment horizontal="center" vertical="center" wrapText="1"/>
    </xf>
    <xf numFmtId="173" fontId="52" fillId="0" borderId="0" xfId="439" applyNumberFormat="1" applyFont="1" applyFill="1" applyAlignment="1" applyProtection="1">
      <alignment horizontal="center" vertical="center" wrapText="1"/>
    </xf>
    <xf numFmtId="0" fontId="0" fillId="0" borderId="23" xfId="0" applyFont="1" applyFill="1" applyBorder="1" applyAlignment="1" applyProtection="1">
      <alignment vertical="center" wrapText="1"/>
    </xf>
    <xf numFmtId="164" fontId="7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0" fillId="22" borderId="0" xfId="0" applyFill="1" applyBorder="1" applyProtection="1"/>
    <xf numFmtId="0" fontId="77" fillId="0" borderId="25" xfId="0" applyNumberFormat="1" applyFont="1" applyFill="1" applyBorder="1" applyAlignment="1" applyProtection="1">
      <alignment horizontal="center" vertical="center"/>
    </xf>
    <xf numFmtId="0" fontId="78" fillId="0" borderId="25" xfId="0" applyNumberFormat="1" applyFont="1" applyFill="1" applyBorder="1" applyAlignment="1" applyProtection="1">
      <alignment horizontal="center" vertical="center"/>
    </xf>
    <xf numFmtId="0" fontId="46" fillId="23" borderId="25" xfId="0" applyNumberFormat="1" applyFont="1" applyFill="1" applyBorder="1" applyAlignment="1" applyProtection="1">
      <alignment horizontal="center" vertical="center"/>
    </xf>
    <xf numFmtId="0" fontId="46" fillId="0" borderId="25" xfId="0" applyNumberFormat="1" applyFont="1" applyFill="1" applyBorder="1" applyAlignment="1" applyProtection="1">
      <alignment horizontal="center" vertical="center"/>
    </xf>
    <xf numFmtId="0" fontId="46" fillId="0" borderId="26" xfId="0" applyNumberFormat="1" applyFont="1" applyFill="1" applyBorder="1" applyAlignment="1" applyProtection="1">
      <alignment horizontal="center" vertical="center"/>
    </xf>
    <xf numFmtId="0" fontId="59" fillId="24" borderId="21" xfId="0" applyFont="1" applyFill="1" applyBorder="1" applyAlignment="1" applyProtection="1">
      <alignment horizontal="center" vertical="center" wrapText="1"/>
    </xf>
    <xf numFmtId="0" fontId="0" fillId="22" borderId="28" xfId="0" applyFill="1" applyBorder="1" applyAlignment="1" applyProtection="1">
      <alignment vertical="center"/>
    </xf>
    <xf numFmtId="164" fontId="76" fillId="0" borderId="29" xfId="439" applyNumberFormat="1"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0" fillId="22" borderId="30" xfId="0" applyFill="1" applyBorder="1" applyAlignment="1" applyProtection="1">
      <alignment vertical="center"/>
    </xf>
    <xf numFmtId="0" fontId="0" fillId="22" borderId="23" xfId="0" applyFill="1" applyBorder="1" applyAlignment="1" applyProtection="1">
      <alignment vertical="center"/>
      <protection locked="0"/>
    </xf>
    <xf numFmtId="172" fontId="76" fillId="0" borderId="23" xfId="439" applyNumberFormat="1" applyFont="1" applyFill="1" applyBorder="1" applyAlignment="1" applyProtection="1">
      <alignment horizontal="center" vertical="center" wrapText="1"/>
    </xf>
    <xf numFmtId="3" fontId="5" fillId="0" borderId="23" xfId="1540" applyFont="1" applyFill="1" applyBorder="1" applyAlignment="1" applyProtection="1">
      <alignment vertical="center" wrapText="1"/>
    </xf>
    <xf numFmtId="0" fontId="76" fillId="0" borderId="23" xfId="439" applyNumberFormat="1" applyFont="1" applyFill="1" applyBorder="1" applyAlignment="1" applyProtection="1">
      <alignment horizontal="center" vertical="center" wrapText="1"/>
    </xf>
    <xf numFmtId="164" fontId="76" fillId="0" borderId="23" xfId="439" applyNumberFormat="1" applyFont="1" applyFill="1" applyBorder="1" applyAlignment="1" applyProtection="1">
      <alignment horizontal="center" vertical="center" wrapText="1"/>
    </xf>
    <xf numFmtId="0" fontId="0" fillId="0" borderId="31" xfId="0" applyNumberFormat="1" applyFill="1" applyBorder="1" applyAlignment="1" applyProtection="1">
      <alignment horizontal="left" vertical="center" wrapText="1"/>
    </xf>
    <xf numFmtId="0" fontId="47" fillId="24" borderId="0" xfId="0" applyFont="1" applyFill="1" applyBorder="1" applyAlignment="1" applyProtection="1">
      <alignment horizontal="center" vertical="center" wrapText="1"/>
    </xf>
    <xf numFmtId="0" fontId="0" fillId="23" borderId="23" xfId="0" applyNumberFormat="1" applyFill="1" applyBorder="1" applyAlignment="1" applyProtection="1">
      <alignment horizontal="left" vertical="center" wrapText="1"/>
    </xf>
    <xf numFmtId="0" fontId="61" fillId="21" borderId="10" xfId="0" applyFont="1" applyFill="1" applyBorder="1" applyAlignment="1" applyProtection="1">
      <alignment horizontal="center" vertical="center" wrapText="1"/>
    </xf>
    <xf numFmtId="164" fontId="76" fillId="0" borderId="31" xfId="439" applyNumberFormat="1" applyFont="1" applyFill="1" applyBorder="1" applyAlignment="1" applyProtection="1">
      <alignment horizontal="center" vertical="center" wrapText="1"/>
    </xf>
    <xf numFmtId="0" fontId="60" fillId="25" borderId="0" xfId="0" applyFont="1" applyFill="1" applyAlignment="1" applyProtection="1">
      <alignment horizontal="center" vertical="center"/>
    </xf>
    <xf numFmtId="0" fontId="0" fillId="22" borderId="23" xfId="0" applyFill="1" applyBorder="1" applyAlignment="1" applyProtection="1">
      <alignment vertical="center"/>
    </xf>
    <xf numFmtId="0" fontId="0" fillId="0" borderId="23" xfId="0" applyNumberFormat="1" applyFill="1" applyBorder="1" applyAlignment="1" applyProtection="1">
      <alignment horizontal="left" vertical="center" wrapText="1"/>
    </xf>
    <xf numFmtId="0" fontId="0" fillId="0" borderId="0" xfId="0" applyProtection="1"/>
    <xf numFmtId="0" fontId="0" fillId="0" borderId="25"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47" fillId="23" borderId="0" xfId="0" applyFont="1" applyFill="1" applyAlignment="1" applyProtection="1">
      <alignment vertical="center" wrapText="1"/>
    </xf>
    <xf numFmtId="0" fontId="47"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0" fillId="0" borderId="0" xfId="0" applyNumberFormat="1" applyFill="1" applyAlignment="1" applyProtection="1">
      <alignment horizontal="left" vertical="center" wrapText="1"/>
    </xf>
    <xf numFmtId="0" fontId="76" fillId="0" borderId="0" xfId="0" applyFont="1" applyProtection="1"/>
    <xf numFmtId="0" fontId="75" fillId="21" borderId="10" xfId="0" applyFont="1" applyFill="1" applyBorder="1" applyAlignment="1" applyProtection="1">
      <alignment horizontal="center" vertical="center" wrapText="1"/>
    </xf>
    <xf numFmtId="0" fontId="75" fillId="21" borderId="0" xfId="0" applyFont="1" applyFill="1" applyBorder="1" applyAlignment="1" applyProtection="1">
      <alignment horizontal="center" vertical="center" wrapText="1"/>
    </xf>
    <xf numFmtId="0" fontId="76" fillId="0" borderId="23" xfId="0" applyNumberFormat="1" applyFont="1" applyFill="1" applyBorder="1" applyAlignment="1" applyProtection="1">
      <alignment horizontal="left" vertical="center" wrapText="1"/>
    </xf>
    <xf numFmtId="0" fontId="76" fillId="23" borderId="23" xfId="0" applyNumberFormat="1" applyFont="1" applyFill="1" applyBorder="1" applyAlignment="1" applyProtection="1">
      <alignment horizontal="left" vertical="center" wrapText="1"/>
    </xf>
    <xf numFmtId="0" fontId="75" fillId="0" borderId="0" xfId="0" applyFont="1" applyAlignment="1" applyProtection="1">
      <alignment horizontal="center" vertical="center"/>
    </xf>
    <xf numFmtId="0" fontId="76" fillId="0" borderId="31" xfId="0" applyNumberFormat="1" applyFont="1" applyFill="1" applyBorder="1" applyAlignment="1" applyProtection="1">
      <alignment horizontal="left" vertical="center" wrapText="1"/>
    </xf>
    <xf numFmtId="0" fontId="76" fillId="0" borderId="32" xfId="0" applyFont="1" applyFill="1" applyBorder="1" applyAlignment="1">
      <alignment horizont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0" fontId="0" fillId="0" borderId="23" xfId="0" applyNumberFormat="1" applyFill="1" applyBorder="1" applyAlignment="1" applyProtection="1">
      <alignment horizontal="left" vertical="center" wrapText="1"/>
    </xf>
    <xf numFmtId="164" fontId="79" fillId="29" borderId="16" xfId="439" applyNumberFormat="1" applyFont="1" applyFill="1" applyBorder="1" applyAlignment="1" applyProtection="1">
      <alignment horizontal="center" wrapText="1"/>
      <protection locked="0"/>
    </xf>
    <xf numFmtId="164" fontId="7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2" fillId="0" borderId="0" xfId="439" applyNumberFormat="1" applyFont="1" applyFill="1" applyAlignment="1" applyProtection="1">
      <alignment horizontal="center" vertical="center" wrapText="1"/>
    </xf>
    <xf numFmtId="0" fontId="61" fillId="21" borderId="22" xfId="0" applyFont="1" applyFill="1" applyBorder="1" applyAlignment="1" applyProtection="1">
      <alignment horizontal="center" wrapText="1"/>
    </xf>
    <xf numFmtId="0" fontId="47" fillId="0" borderId="0" xfId="0" applyFont="1" applyFill="1" applyBorder="1" applyAlignment="1" applyProtection="1">
      <alignment horizontal="center"/>
    </xf>
    <xf numFmtId="0" fontId="82" fillId="0" borderId="0" xfId="0" applyNumberFormat="1" applyFont="1" applyFill="1" applyAlignment="1" applyProtection="1">
      <alignment vertical="center" wrapText="1"/>
    </xf>
    <xf numFmtId="0" fontId="59" fillId="0" borderId="0" xfId="0" applyFont="1" applyAlignment="1" applyProtection="1">
      <alignment wrapText="1"/>
    </xf>
    <xf numFmtId="0" fontId="52" fillId="0" borderId="23" xfId="1243" applyFont="1" applyFill="1" applyBorder="1" applyAlignment="1" applyProtection="1">
      <alignment horizontal="left" vertical="center" wrapText="1"/>
    </xf>
    <xf numFmtId="0" fontId="0" fillId="0" borderId="23" xfId="0" applyFill="1" applyBorder="1" applyAlignment="1">
      <alignment vertical="center" wrapText="1"/>
    </xf>
    <xf numFmtId="164" fontId="60" fillId="25" borderId="0" xfId="439" applyNumberFormat="1" applyFont="1" applyFill="1" applyAlignment="1" applyProtection="1">
      <alignment horizontal="center"/>
    </xf>
    <xf numFmtId="0" fontId="83"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76" fillId="22" borderId="23" xfId="439" applyNumberFormat="1" applyFont="1" applyFill="1" applyBorder="1" applyAlignment="1" applyProtection="1">
      <alignment horizontal="center" vertical="center" wrapText="1"/>
    </xf>
    <xf numFmtId="164" fontId="40" fillId="0" borderId="0" xfId="439" applyNumberFormat="1" applyFont="1" applyAlignment="1" applyProtection="1">
      <alignment vertical="center"/>
    </xf>
    <xf numFmtId="0" fontId="59" fillId="30" borderId="25" xfId="0" applyNumberFormat="1" applyFont="1" applyFill="1" applyBorder="1" applyAlignment="1" applyProtection="1">
      <alignment horizontal="center" vertical="center" wrapText="1"/>
    </xf>
    <xf numFmtId="164" fontId="59" fillId="24" borderId="10" xfId="439" applyNumberFormat="1" applyFont="1" applyFill="1" applyBorder="1" applyAlignment="1" applyProtection="1">
      <alignment horizontal="center" wrapText="1"/>
    </xf>
    <xf numFmtId="164" fontId="40" fillId="0" borderId="0" xfId="439" applyNumberFormat="1" applyFont="1" applyProtection="1"/>
    <xf numFmtId="0" fontId="51" fillId="0" borderId="0" xfId="0" applyFont="1" applyFill="1" applyAlignment="1" applyProtection="1">
      <alignment vertical="center" wrapText="1"/>
      <protection locked="0"/>
    </xf>
    <xf numFmtId="0" fontId="51" fillId="0" borderId="0" xfId="0" applyFont="1" applyFill="1" applyAlignment="1" applyProtection="1">
      <alignment vertical="center" wrapText="1"/>
      <protection locked="0"/>
    </xf>
    <xf numFmtId="0" fontId="51" fillId="0" borderId="0" xfId="0" applyFont="1" applyFill="1" applyAlignment="1" applyProtection="1">
      <alignment vertical="center" wrapText="1"/>
      <protection locked="0"/>
    </xf>
    <xf numFmtId="0" fontId="51" fillId="0" borderId="0" xfId="0" applyFont="1" applyFill="1" applyAlignment="1" applyProtection="1">
      <alignment vertical="center" wrapText="1"/>
      <protection locked="0"/>
    </xf>
    <xf numFmtId="0" fontId="51" fillId="0" borderId="0" xfId="0" applyFont="1" applyFill="1" applyBorder="1" applyAlignment="1" applyProtection="1">
      <alignment vertical="center" wrapText="1"/>
      <protection locked="0"/>
    </xf>
    <xf numFmtId="0" fontId="51" fillId="0" borderId="0" xfId="0" applyFont="1" applyFill="1" applyAlignment="1" applyProtection="1">
      <alignment vertical="center" wrapText="1"/>
      <protection locked="0"/>
    </xf>
    <xf numFmtId="0" fontId="51" fillId="0" borderId="0" xfId="0" applyFont="1" applyFill="1" applyBorder="1" applyAlignment="1" applyProtection="1">
      <alignment vertical="center" wrapText="1"/>
      <protection locked="0"/>
    </xf>
    <xf numFmtId="0" fontId="51" fillId="0" borderId="0" xfId="0" applyFont="1" applyFill="1" applyAlignment="1" applyProtection="1">
      <alignment vertical="center" wrapText="1"/>
      <protection locked="0"/>
    </xf>
    <xf numFmtId="0" fontId="51" fillId="0" borderId="0" xfId="0" applyFont="1" applyFill="1" applyAlignment="1" applyProtection="1">
      <alignment vertical="center" wrapText="1"/>
      <protection locked="0"/>
    </xf>
    <xf numFmtId="0" fontId="51" fillId="0" borderId="0" xfId="0" applyFont="1" applyFill="1" applyAlignment="1" applyProtection="1">
      <alignment vertical="center" wrapText="1"/>
      <protection locked="0"/>
    </xf>
    <xf numFmtId="0" fontId="84" fillId="0" borderId="0" xfId="720" applyNumberFormat="1" applyFont="1" applyFill="1" applyAlignment="1" applyProtection="1">
      <alignment horizontal="left" vertical="center" wrapText="1"/>
    </xf>
    <xf numFmtId="0" fontId="51" fillId="0" borderId="0" xfId="0" applyFont="1" applyFill="1" applyAlignment="1" applyProtection="1">
      <alignment vertical="center" wrapText="1"/>
    </xf>
    <xf numFmtId="3" fontId="6" fillId="0" borderId="0" xfId="1540" applyFont="1" applyFill="1" applyAlignment="1" applyProtection="1">
      <alignment vertical="center" wrapText="1"/>
    </xf>
    <xf numFmtId="0" fontId="51" fillId="0" borderId="0" xfId="0" applyFont="1" applyFill="1" applyAlignment="1" applyProtection="1">
      <alignment vertical="center" wrapText="1"/>
      <protection locked="0"/>
    </xf>
    <xf numFmtId="0" fontId="51" fillId="0" borderId="0" xfId="0" applyFont="1" applyFill="1" applyAlignment="1" applyProtection="1">
      <alignment vertical="center" wrapText="1"/>
      <protection locked="0"/>
    </xf>
    <xf numFmtId="39" fontId="0" fillId="0" borderId="0" xfId="0" applyNumberFormat="1" applyProtection="1"/>
    <xf numFmtId="39" fontId="46" fillId="0" borderId="0" xfId="0" applyNumberFormat="1" applyFont="1" applyAlignment="1" applyProtection="1">
      <alignment horizontal="center"/>
    </xf>
    <xf numFmtId="39" fontId="47" fillId="21" borderId="0" xfId="0" applyNumberFormat="1" applyFont="1" applyFill="1" applyBorder="1" applyAlignment="1" applyProtection="1">
      <alignment horizontal="center" wrapText="1"/>
    </xf>
    <xf numFmtId="39" fontId="76" fillId="0" borderId="29" xfId="439" applyNumberFormat="1" applyFont="1" applyFill="1" applyBorder="1" applyAlignment="1" applyProtection="1">
      <alignment horizontal="center" vertical="center" wrapText="1"/>
    </xf>
    <xf numFmtId="39" fontId="76" fillId="0" borderId="28" xfId="439" applyNumberFormat="1" applyFont="1" applyFill="1" applyBorder="1" applyAlignment="1" applyProtection="1">
      <alignment horizontal="center" vertical="center" wrapText="1"/>
    </xf>
    <xf numFmtId="39" fontId="76" fillId="23" borderId="28" xfId="439" applyNumberFormat="1" applyFont="1" applyFill="1" applyBorder="1" applyAlignment="1" applyProtection="1">
      <alignment horizontal="center" vertical="center" wrapText="1"/>
    </xf>
    <xf numFmtId="39" fontId="0" fillId="22" borderId="28" xfId="0" applyNumberFormat="1" applyFill="1" applyBorder="1" applyAlignment="1" applyProtection="1">
      <alignment vertical="center"/>
    </xf>
    <xf numFmtId="39" fontId="0" fillId="0" borderId="0" xfId="0" applyNumberFormat="1" applyAlignment="1" applyProtection="1">
      <alignment vertical="center"/>
    </xf>
    <xf numFmtId="0" fontId="47" fillId="0" borderId="0" xfId="0" applyFont="1" applyFill="1" applyAlignment="1" applyProtection="1">
      <alignment vertical="center" wrapText="1"/>
    </xf>
    <xf numFmtId="39" fontId="61" fillId="31" borderId="0" xfId="0" applyNumberFormat="1" applyFont="1" applyFill="1" applyBorder="1" applyAlignment="1" applyProtection="1">
      <alignment horizontal="center" wrapText="1"/>
    </xf>
    <xf numFmtId="0" fontId="46"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83" fillId="32" borderId="0" xfId="0" applyFont="1" applyFill="1" applyAlignment="1" applyProtection="1">
      <alignment horizontal="center" vertical="center" wrapText="1"/>
    </xf>
    <xf numFmtId="164" fontId="76" fillId="0" borderId="23" xfId="439" applyNumberFormat="1" applyFont="1" applyFill="1" applyBorder="1" applyAlignment="1" applyProtection="1">
      <alignment horizontal="center" vertical="center" wrapText="1"/>
    </xf>
    <xf numFmtId="0" fontId="48" fillId="0" borderId="0" xfId="0" applyFont="1" applyFill="1" applyAlignment="1" applyProtection="1">
      <alignment wrapText="1"/>
      <protection locked="0"/>
    </xf>
    <xf numFmtId="0" fontId="81" fillId="0" borderId="0" xfId="0" applyFont="1" applyFill="1" applyAlignment="1" applyProtection="1">
      <alignment wrapText="1"/>
      <protection locked="0"/>
    </xf>
    <xf numFmtId="0" fontId="80" fillId="0" borderId="0" xfId="0" applyFont="1" applyAlignment="1" applyProtection="1">
      <alignment wrapText="1"/>
      <protection locked="0"/>
    </xf>
    <xf numFmtId="0" fontId="0" fillId="0" borderId="0" xfId="0" applyFont="1" applyProtection="1">
      <protection locked="0"/>
    </xf>
    <xf numFmtId="0" fontId="0" fillId="0" borderId="0" xfId="0" applyAlignment="1" applyProtection="1">
      <alignment horizontal="center"/>
    </xf>
    <xf numFmtId="0" fontId="0" fillId="0" borderId="0" xfId="0"/>
    <xf numFmtId="39" fontId="76" fillId="0" borderId="28" xfId="439" applyNumberFormat="1" applyFont="1" applyFill="1" applyBorder="1" applyAlignment="1" applyProtection="1">
      <alignment horizontal="center" vertical="center" wrapText="1"/>
    </xf>
    <xf numFmtId="0" fontId="62" fillId="0" borderId="25" xfId="0" applyNumberFormat="1" applyFont="1" applyFill="1" applyBorder="1" applyAlignment="1" applyProtection="1">
      <alignment horizontal="left" vertical="center" wrapText="1"/>
    </xf>
    <xf numFmtId="0" fontId="48" fillId="0" borderId="25" xfId="0" applyNumberFormat="1" applyFont="1" applyFill="1" applyBorder="1" applyAlignment="1" applyProtection="1">
      <alignment horizontal="left" vertical="center" wrapText="1"/>
    </xf>
    <xf numFmtId="0" fontId="52" fillId="0" borderId="0" xfId="0" applyNumberFormat="1" applyFont="1" applyFill="1" applyAlignment="1" applyProtection="1">
      <alignment vertical="center" wrapText="1"/>
    </xf>
    <xf numFmtId="164" fontId="73" fillId="22" borderId="0" xfId="439" applyNumberFormat="1" applyFont="1" applyFill="1" applyAlignment="1" applyProtection="1">
      <alignment horizontal="center" vertical="center" wrapText="1"/>
    </xf>
    <xf numFmtId="0" fontId="51" fillId="0" borderId="0" xfId="0" applyFont="1" applyFill="1" applyBorder="1" applyAlignment="1" applyProtection="1">
      <alignment vertical="center" wrapText="1"/>
    </xf>
    <xf numFmtId="38" fontId="52" fillId="22" borderId="0" xfId="439" applyNumberFormat="1" applyFont="1" applyFill="1" applyAlignment="1" applyProtection="1">
      <alignment horizontal="center" vertical="center" wrapText="1"/>
    </xf>
    <xf numFmtId="41" fontId="49" fillId="0" borderId="0" xfId="0" applyNumberFormat="1" applyFont="1" applyFill="1" applyBorder="1" applyAlignment="1" applyProtection="1">
      <alignment wrapText="1"/>
      <protection locked="0"/>
    </xf>
    <xf numFmtId="41" fontId="76" fillId="0" borderId="23" xfId="439" applyNumberFormat="1" applyFont="1" applyFill="1" applyBorder="1" applyAlignment="1" applyProtection="1">
      <alignment horizontal="center" vertical="center" wrapText="1"/>
    </xf>
    <xf numFmtId="0" fontId="57" fillId="0" borderId="23" xfId="439" applyNumberFormat="1" applyFont="1" applyFill="1" applyBorder="1" applyAlignment="1" applyProtection="1">
      <alignment horizontal="center" vertical="center" wrapText="1"/>
    </xf>
    <xf numFmtId="41" fontId="86" fillId="0" borderId="0" xfId="0" applyNumberFormat="1" applyFont="1" applyFill="1" applyAlignment="1" applyProtection="1">
      <alignment wrapText="1"/>
    </xf>
    <xf numFmtId="0" fontId="85" fillId="0" borderId="0" xfId="0" applyFont="1" applyFill="1" applyAlignment="1" applyProtection="1">
      <alignment horizontal="center" vertical="center"/>
    </xf>
    <xf numFmtId="41" fontId="87" fillId="0" borderId="0" xfId="0" applyNumberFormat="1" applyFont="1" applyFill="1" applyAlignment="1" applyProtection="1">
      <alignment wrapText="1"/>
    </xf>
    <xf numFmtId="0" fontId="0" fillId="0" borderId="0" xfId="0" applyProtection="1"/>
    <xf numFmtId="0" fontId="0" fillId="0" borderId="0" xfId="0" applyFill="1" applyProtection="1"/>
    <xf numFmtId="0" fontId="59" fillId="0" borderId="0" xfId="0" applyFont="1" applyFill="1" applyAlignment="1" applyProtection="1">
      <alignment horizontal="center" vertical="center" wrapText="1"/>
    </xf>
    <xf numFmtId="0" fontId="76" fillId="0" borderId="23" xfId="439" applyNumberFormat="1" applyFont="1" applyFill="1" applyBorder="1" applyAlignment="1" applyProtection="1">
      <alignment horizontal="center" vertical="center" wrapText="1"/>
    </xf>
    <xf numFmtId="164" fontId="7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39" fontId="76"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164" fontId="76" fillId="0" borderId="0" xfId="439" applyNumberFormat="1" applyFont="1" applyFill="1" applyBorder="1" applyAlignment="1" applyProtection="1">
      <alignment horizontal="center" vertical="center" wrapText="1"/>
    </xf>
    <xf numFmtId="170" fontId="76" fillId="29" borderId="23" xfId="439" applyNumberFormat="1" applyFont="1" applyFill="1" applyBorder="1" applyAlignment="1" applyProtection="1">
      <alignment horizontal="center" vertical="center" wrapText="1"/>
      <protection locked="0"/>
    </xf>
    <xf numFmtId="164" fontId="76" fillId="0" borderId="23" xfId="439" applyNumberFormat="1" applyFont="1" applyFill="1" applyBorder="1" applyAlignment="1" applyProtection="1">
      <alignment horizontal="center" vertical="center" wrapText="1"/>
    </xf>
    <xf numFmtId="0" fontId="0" fillId="0" borderId="23" xfId="0" applyFont="1" applyFill="1" applyBorder="1" applyAlignment="1" applyProtection="1">
      <alignment vertical="center" wrapText="1"/>
    </xf>
    <xf numFmtId="0" fontId="46" fillId="0" borderId="25" xfId="0" applyNumberFormat="1" applyFont="1" applyFill="1" applyBorder="1" applyAlignment="1" applyProtection="1">
      <alignment horizontal="center" vertical="center"/>
    </xf>
    <xf numFmtId="0" fontId="0" fillId="0" borderId="23" xfId="0" applyNumberFormat="1" applyFill="1" applyBorder="1" applyAlignment="1" applyProtection="1">
      <alignment horizontal="left" vertical="center" wrapText="1"/>
    </xf>
    <xf numFmtId="0" fontId="76" fillId="0" borderId="23" xfId="0" applyNumberFormat="1" applyFont="1" applyFill="1" applyBorder="1" applyAlignment="1" applyProtection="1">
      <alignment horizontal="left" vertical="center" wrapText="1"/>
    </xf>
    <xf numFmtId="164" fontId="76" fillId="0" borderId="0" xfId="439" applyNumberFormat="1" applyFont="1" applyFill="1" applyBorder="1" applyAlignment="1" applyProtection="1">
      <alignment horizontal="center" vertical="center" wrapText="1"/>
    </xf>
    <xf numFmtId="0" fontId="42" fillId="0" borderId="0" xfId="611"/>
    <xf numFmtId="0" fontId="0" fillId="0" borderId="0" xfId="0" applyFont="1" applyFill="1" applyBorder="1" applyAlignment="1" applyProtection="1">
      <alignment vertical="center" wrapText="1"/>
    </xf>
    <xf numFmtId="37" fontId="77" fillId="33" borderId="28" xfId="439" applyNumberFormat="1" applyFont="1" applyFill="1" applyBorder="1" applyAlignment="1" applyProtection="1">
      <alignment horizontal="center" vertical="center" wrapText="1"/>
    </xf>
    <xf numFmtId="37" fontId="46" fillId="0" borderId="28" xfId="439" applyNumberFormat="1" applyFont="1" applyFill="1" applyBorder="1" applyAlignment="1" applyProtection="1">
      <alignment horizontal="center" vertical="center" wrapText="1"/>
    </xf>
    <xf numFmtId="37" fontId="77" fillId="0" borderId="28" xfId="439" applyNumberFormat="1" applyFont="1" applyFill="1" applyBorder="1" applyAlignment="1" applyProtection="1">
      <alignment horizontal="center" vertical="center" wrapText="1"/>
    </xf>
    <xf numFmtId="0" fontId="46" fillId="0" borderId="24" xfId="0" applyNumberFormat="1" applyFont="1" applyFill="1" applyBorder="1" applyAlignment="1" applyProtection="1">
      <alignment horizontal="center" vertical="center"/>
    </xf>
    <xf numFmtId="0" fontId="51" fillId="0" borderId="0" xfId="0" applyNumberFormat="1" applyFont="1" applyFill="1" applyAlignment="1" applyProtection="1">
      <alignment horizontal="left" vertical="center" wrapText="1"/>
    </xf>
    <xf numFmtId="0" fontId="76" fillId="34" borderId="23" xfId="0" applyNumberFormat="1" applyFont="1" applyFill="1" applyBorder="1" applyAlignment="1" applyProtection="1">
      <alignment horizontal="left"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76" fillId="29" borderId="23" xfId="439" applyNumberFormat="1" applyFont="1" applyFill="1" applyBorder="1" applyAlignment="1" applyProtection="1">
      <alignment horizontal="center" vertical="center" wrapText="1"/>
      <protection locked="0"/>
    </xf>
    <xf numFmtId="0" fontId="0" fillId="35" borderId="0" xfId="0" applyFill="1" applyAlignment="1" applyProtection="1">
      <alignment horizontal="center" vertical="center"/>
    </xf>
    <xf numFmtId="39" fontId="76" fillId="34" borderId="28" xfId="439" applyNumberFormat="1" applyFont="1" applyFill="1" applyBorder="1" applyAlignment="1" applyProtection="1">
      <alignment horizontal="center" vertical="center" wrapText="1"/>
    </xf>
    <xf numFmtId="0" fontId="0" fillId="28" borderId="0" xfId="0" applyNumberFormat="1" applyFont="1" applyFill="1" applyAlignment="1" applyProtection="1">
      <alignment vertical="center" wrapText="1"/>
    </xf>
    <xf numFmtId="41" fontId="87" fillId="28" borderId="0" xfId="0" applyNumberFormat="1" applyFont="1" applyFill="1" applyAlignment="1" applyProtection="1">
      <alignment wrapText="1"/>
    </xf>
    <xf numFmtId="0" fontId="76" fillId="22" borderId="25" xfId="0" applyNumberFormat="1" applyFont="1" applyFill="1" applyBorder="1" applyAlignment="1" applyProtection="1">
      <alignment horizontal="left" vertical="center" wrapText="1"/>
    </xf>
    <xf numFmtId="0" fontId="0" fillId="22" borderId="23" xfId="0" applyNumberFormat="1" applyFill="1" applyBorder="1" applyAlignment="1" applyProtection="1">
      <alignment horizontal="left" vertical="center" wrapText="1"/>
    </xf>
    <xf numFmtId="39" fontId="76" fillId="0" borderId="0" xfId="439" applyNumberFormat="1" applyFont="1" applyFill="1" applyBorder="1" applyAlignment="1" applyProtection="1">
      <alignment horizontal="center" vertical="center" wrapText="1"/>
    </xf>
    <xf numFmtId="164" fontId="0" fillId="0" borderId="0" xfId="0" applyNumberFormat="1" applyFont="1" applyFill="1" applyProtection="1"/>
    <xf numFmtId="164" fontId="76" fillId="34" borderId="23" xfId="439" applyNumberFormat="1" applyFont="1" applyFill="1" applyBorder="1" applyAlignment="1" applyProtection="1">
      <alignment horizontal="center" vertical="center" wrapText="1"/>
    </xf>
    <xf numFmtId="164" fontId="76" fillId="34" borderId="29" xfId="439" applyNumberFormat="1" applyFont="1" applyFill="1" applyBorder="1" applyAlignment="1" applyProtection="1">
      <alignment horizontal="center" vertical="center" wrapText="1"/>
    </xf>
    <xf numFmtId="3" fontId="0" fillId="0" borderId="0" xfId="0" applyNumberFormat="1" applyFill="1" applyProtection="1"/>
    <xf numFmtId="40" fontId="0" fillId="0" borderId="0" xfId="0" applyNumberFormat="1"/>
    <xf numFmtId="0" fontId="0" fillId="0" borderId="0" xfId="0" applyFill="1" applyAlignment="1">
      <alignment vertical="center" wrapText="1"/>
    </xf>
    <xf numFmtId="0" fontId="0" fillId="23" borderId="0" xfId="0" applyFill="1"/>
    <xf numFmtId="40" fontId="0" fillId="23" borderId="0" xfId="0" applyNumberFormat="1" applyFill="1"/>
    <xf numFmtId="0" fontId="0" fillId="0" borderId="0" xfId="0" applyFill="1"/>
    <xf numFmtId="0" fontId="51" fillId="0" borderId="0" xfId="659" applyNumberFormat="1" applyFont="1" applyFill="1"/>
    <xf numFmtId="0" fontId="29" fillId="0" borderId="0" xfId="659" applyNumberFormat="1" applyFont="1" applyFill="1" applyAlignment="1" applyProtection="1">
      <alignment horizontal="left" vertical="center" wrapText="1"/>
    </xf>
    <xf numFmtId="0" fontId="51" fillId="0" borderId="0" xfId="659" applyFont="1" applyFill="1" applyAlignment="1">
      <alignment horizontal="center"/>
    </xf>
    <xf numFmtId="169" fontId="46" fillId="0" borderId="0" xfId="439" applyNumberFormat="1" applyFont="1" applyFill="1" applyAlignment="1" applyProtection="1">
      <alignment horizontal="center" vertical="center"/>
      <protection locked="0"/>
    </xf>
    <xf numFmtId="38" fontId="52" fillId="0" borderId="14" xfId="439" applyNumberFormat="1" applyFont="1" applyFill="1" applyBorder="1" applyAlignment="1" applyProtection="1">
      <alignment horizontal="center" vertical="center" wrapText="1"/>
    </xf>
    <xf numFmtId="0" fontId="0" fillId="0" borderId="0" xfId="0" applyAlignment="1" applyProtection="1">
      <alignment horizontal="center" vertical="center" wrapText="1"/>
    </xf>
    <xf numFmtId="176" fontId="48" fillId="0" borderId="0" xfId="0" applyNumberFormat="1" applyFont="1" applyAlignment="1" applyProtection="1">
      <alignment wrapText="1"/>
    </xf>
    <xf numFmtId="0" fontId="0" fillId="0" borderId="25" xfId="0" applyNumberForma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76" fillId="0" borderId="29" xfId="439" applyNumberFormat="1" applyFont="1" applyFill="1" applyBorder="1" applyAlignment="1" applyProtection="1">
      <alignment horizontal="center" vertical="center" wrapText="1"/>
    </xf>
    <xf numFmtId="0" fontId="46" fillId="0" borderId="0" xfId="0" applyFont="1" applyProtection="1"/>
    <xf numFmtId="0" fontId="46" fillId="34" borderId="25" xfId="0" applyNumberFormat="1" applyFont="1" applyFill="1" applyBorder="1" applyAlignment="1" applyProtection="1">
      <alignment horizontal="center" vertical="center"/>
    </xf>
    <xf numFmtId="38" fontId="30" fillId="0" borderId="0" xfId="440" applyNumberFormat="1" applyFont="1" applyFill="1" applyAlignment="1" applyProtection="1">
      <alignment horizontal="right" vertical="center"/>
    </xf>
    <xf numFmtId="0" fontId="0" fillId="37" borderId="0" xfId="0" applyFill="1"/>
    <xf numFmtId="0" fontId="29" fillId="37" borderId="0" xfId="659" applyNumberFormat="1" applyFont="1" applyFill="1" applyAlignment="1" applyProtection="1">
      <alignment horizontal="left" vertical="center" wrapText="1"/>
    </xf>
    <xf numFmtId="0" fontId="51" fillId="37" borderId="0" xfId="659" applyFont="1" applyFill="1" applyAlignment="1">
      <alignment horizontal="center"/>
    </xf>
    <xf numFmtId="0" fontId="51" fillId="37" borderId="0" xfId="659" applyNumberFormat="1" applyFont="1" applyFill="1"/>
    <xf numFmtId="38" fontId="30" fillId="37" borderId="0" xfId="440" applyNumberFormat="1" applyFont="1" applyFill="1" applyAlignment="1" applyProtection="1">
      <alignment horizontal="right" vertical="center"/>
    </xf>
    <xf numFmtId="0" fontId="0" fillId="0" borderId="0" xfId="0" applyProtection="1"/>
    <xf numFmtId="164" fontId="76" fillId="0" borderId="29" xfId="439" applyNumberFormat="1" applyFont="1" applyFill="1" applyBorder="1" applyAlignment="1" applyProtection="1">
      <alignment horizontal="center" vertical="center" wrapText="1"/>
    </xf>
    <xf numFmtId="172" fontId="76" fillId="0" borderId="23" xfId="439" applyNumberFormat="1" applyFont="1" applyFill="1" applyBorder="1" applyAlignment="1" applyProtection="1">
      <alignment horizontal="center" vertical="center" wrapText="1"/>
    </xf>
    <xf numFmtId="164" fontId="76" fillId="0" borderId="23" xfId="439" applyNumberFormat="1" applyFont="1" applyFill="1" applyBorder="1" applyAlignment="1" applyProtection="1">
      <alignment horizontal="center" vertical="center" wrapText="1"/>
    </xf>
    <xf numFmtId="164" fontId="76" fillId="29" borderId="23" xfId="439" applyNumberFormat="1" applyFont="1" applyFill="1" applyBorder="1" applyAlignment="1" applyProtection="1">
      <alignment horizontal="center" vertical="center" wrapText="1"/>
      <protection locked="0"/>
    </xf>
    <xf numFmtId="0" fontId="0" fillId="0" borderId="23" xfId="0" applyNumberFormat="1" applyFill="1" applyBorder="1" applyAlignment="1" applyProtection="1">
      <alignment horizontal="left" vertical="center" wrapText="1"/>
    </xf>
    <xf numFmtId="0" fontId="76" fillId="0" borderId="23" xfId="0" applyNumberFormat="1" applyFont="1" applyFill="1" applyBorder="1" applyAlignment="1" applyProtection="1">
      <alignment horizontal="left" vertical="center" wrapText="1"/>
    </xf>
    <xf numFmtId="0" fontId="51" fillId="0" borderId="0" xfId="0" applyFont="1" applyFill="1" applyAlignment="1" applyProtection="1">
      <alignment vertical="center" wrapText="1"/>
      <protection locked="0"/>
    </xf>
    <xf numFmtId="39" fontId="76" fillId="0" borderId="28" xfId="439" applyNumberFormat="1" applyFont="1" applyFill="1" applyBorder="1" applyAlignment="1" applyProtection="1">
      <alignment horizontal="center" vertical="center" wrapText="1"/>
    </xf>
    <xf numFmtId="0" fontId="46" fillId="0" borderId="24" xfId="0" applyNumberFormat="1" applyFont="1" applyFill="1" applyBorder="1" applyAlignment="1" applyProtection="1">
      <alignment horizontal="center" vertical="center"/>
    </xf>
    <xf numFmtId="40" fontId="0" fillId="0" borderId="0" xfId="0" applyNumberFormat="1"/>
    <xf numFmtId="43" fontId="0" fillId="0" borderId="0" xfId="439" applyFont="1"/>
    <xf numFmtId="43" fontId="0" fillId="0" borderId="0" xfId="0" applyNumberFormat="1"/>
    <xf numFmtId="0" fontId="95" fillId="0" borderId="0" xfId="0" applyFont="1"/>
    <xf numFmtId="0" fontId="0" fillId="0" borderId="0" xfId="0" applyProtection="1"/>
    <xf numFmtId="0" fontId="64" fillId="0" borderId="0" xfId="0" applyFont="1" applyFill="1" applyAlignment="1" applyProtection="1">
      <alignment vertical="center" wrapText="1"/>
    </xf>
    <xf numFmtId="0" fontId="64"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164" fontId="76" fillId="0" borderId="29" xfId="439" applyNumberFormat="1" applyFont="1" applyFill="1" applyBorder="1" applyAlignment="1" applyProtection="1">
      <alignment horizontal="center" vertical="center" wrapText="1"/>
    </xf>
    <xf numFmtId="164" fontId="40" fillId="0" borderId="28" xfId="439" applyNumberFormat="1" applyFont="1" applyFill="1" applyBorder="1" applyAlignment="1" applyProtection="1">
      <alignment vertical="center"/>
    </xf>
    <xf numFmtId="164" fontId="76" fillId="0" borderId="23" xfId="439" applyNumberFormat="1"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0" fillId="0" borderId="25" xfId="0" applyNumberFormat="1" applyFill="1" applyBorder="1" applyAlignment="1" applyProtection="1">
      <alignment horizontal="left" vertical="center" wrapText="1"/>
    </xf>
    <xf numFmtId="0" fontId="76" fillId="0" borderId="23" xfId="0" applyNumberFormat="1" applyFont="1" applyFill="1" applyBorder="1" applyAlignment="1" applyProtection="1">
      <alignment horizontal="left" vertical="center" wrapText="1"/>
    </xf>
    <xf numFmtId="39" fontId="76" fillId="0" borderId="28" xfId="439" applyNumberFormat="1" applyFont="1" applyFill="1" applyBorder="1" applyAlignment="1" applyProtection="1">
      <alignment horizontal="center" vertical="center" wrapText="1"/>
    </xf>
    <xf numFmtId="0" fontId="0" fillId="0" borderId="0" xfId="0" applyFill="1" applyAlignment="1" applyProtection="1">
      <alignment horizontal="center" vertical="center"/>
    </xf>
    <xf numFmtId="164" fontId="0" fillId="0" borderId="0" xfId="0" applyNumberFormat="1" applyProtection="1"/>
    <xf numFmtId="0" fontId="0" fillId="0" borderId="23" xfId="0" applyFont="1" applyFill="1" applyBorder="1" applyAlignment="1" applyProtection="1">
      <alignment vertical="center" wrapText="1"/>
    </xf>
    <xf numFmtId="0" fontId="46" fillId="0" borderId="25" xfId="0" applyNumberFormat="1" applyFont="1" applyFill="1" applyBorder="1" applyAlignment="1" applyProtection="1">
      <alignment horizontal="center" vertical="center"/>
    </xf>
    <xf numFmtId="0" fontId="0" fillId="0" borderId="23" xfId="0" applyFont="1" applyFill="1" applyBorder="1" applyAlignment="1" applyProtection="1">
      <alignment vertical="center" wrapText="1"/>
      <protection locked="0"/>
    </xf>
    <xf numFmtId="164" fontId="76" fillId="29" borderId="44" xfId="439" applyNumberFormat="1" applyFont="1" applyFill="1" applyBorder="1" applyAlignment="1" applyProtection="1">
      <alignment horizontal="center" vertical="center" wrapText="1"/>
      <protection locked="0"/>
    </xf>
    <xf numFmtId="164" fontId="76" fillId="0" borderId="30" xfId="439" applyNumberFormat="1" applyFont="1" applyFill="1" applyBorder="1" applyAlignment="1" applyProtection="1">
      <alignment horizontal="center" vertical="center" wrapText="1"/>
    </xf>
    <xf numFmtId="39" fontId="76" fillId="0" borderId="27" xfId="439" applyNumberFormat="1" applyFont="1" applyFill="1" applyBorder="1" applyAlignment="1" applyProtection="1">
      <alignment horizontal="center" vertical="center" wrapText="1"/>
    </xf>
    <xf numFmtId="164" fontId="76" fillId="0" borderId="46" xfId="439" applyNumberFormat="1" applyFont="1" applyFill="1" applyBorder="1" applyAlignment="1" applyProtection="1">
      <alignment horizontal="center" vertical="center" wrapText="1"/>
    </xf>
    <xf numFmtId="0" fontId="46"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76" fillId="29" borderId="45" xfId="439" applyNumberFormat="1" applyFont="1" applyFill="1" applyBorder="1" applyAlignment="1" applyProtection="1">
      <alignment horizontal="center" vertical="center" wrapText="1"/>
      <protection locked="0"/>
    </xf>
    <xf numFmtId="0" fontId="76" fillId="0" borderId="30" xfId="0" applyNumberFormat="1" applyFont="1" applyFill="1" applyBorder="1" applyAlignment="1" applyProtection="1">
      <alignment horizontal="left" vertical="center" wrapText="1"/>
    </xf>
    <xf numFmtId="0" fontId="0" fillId="0" borderId="30" xfId="0" applyNumberFormat="1" applyFill="1" applyBorder="1" applyAlignment="1" applyProtection="1">
      <alignment horizontal="left" vertical="center" wrapText="1"/>
    </xf>
    <xf numFmtId="0" fontId="76" fillId="23" borderId="31" xfId="0" applyNumberFormat="1" applyFont="1" applyFill="1" applyBorder="1" applyAlignment="1" applyProtection="1">
      <alignment horizontal="left" vertical="center" wrapText="1"/>
    </xf>
    <xf numFmtId="0" fontId="0" fillId="23" borderId="31" xfId="0" applyNumberFormat="1" applyFill="1" applyBorder="1" applyAlignment="1" applyProtection="1">
      <alignment horizontal="left" vertical="center" wrapText="1"/>
    </xf>
    <xf numFmtId="0" fontId="76" fillId="23" borderId="31" xfId="439" applyNumberFormat="1" applyFont="1" applyFill="1" applyBorder="1" applyAlignment="1" applyProtection="1">
      <alignment horizontal="center" vertical="center" wrapText="1"/>
    </xf>
    <xf numFmtId="37" fontId="46" fillId="23" borderId="29" xfId="439" applyNumberFormat="1" applyFont="1" applyFill="1" applyBorder="1" applyAlignment="1" applyProtection="1">
      <alignment horizontal="center" vertical="center" wrapText="1"/>
    </xf>
    <xf numFmtId="0" fontId="46" fillId="23" borderId="26" xfId="0" applyNumberFormat="1" applyFont="1" applyFill="1" applyBorder="1" applyAlignment="1" applyProtection="1">
      <alignment horizontal="center" vertical="center"/>
    </xf>
    <xf numFmtId="37" fontId="46" fillId="0" borderId="27" xfId="439" applyNumberFormat="1" applyFont="1" applyFill="1" applyBorder="1" applyAlignment="1" applyProtection="1">
      <alignment horizontal="center" vertical="center" wrapText="1"/>
    </xf>
    <xf numFmtId="0" fontId="96" fillId="0" borderId="0" xfId="0" applyFont="1" applyFill="1" applyProtection="1"/>
    <xf numFmtId="0" fontId="0" fillId="36" borderId="23" xfId="0" applyNumberFormat="1" applyFill="1" applyBorder="1" applyAlignment="1" applyProtection="1">
      <alignment horizontal="left" vertical="center" wrapText="1"/>
    </xf>
    <xf numFmtId="41" fontId="49" fillId="0" borderId="45" xfId="0" applyNumberFormat="1" applyFont="1" applyFill="1" applyBorder="1" applyAlignment="1" applyProtection="1">
      <alignment wrapText="1"/>
    </xf>
    <xf numFmtId="0" fontId="48" fillId="0" borderId="45" xfId="0" applyFont="1" applyFill="1" applyBorder="1" applyAlignment="1" applyProtection="1">
      <alignment wrapText="1"/>
      <protection locked="0"/>
    </xf>
    <xf numFmtId="0" fontId="62" fillId="0" borderId="45" xfId="0" applyFont="1" applyFill="1" applyBorder="1" applyAlignment="1" applyProtection="1">
      <alignment wrapText="1"/>
      <protection locked="0"/>
    </xf>
    <xf numFmtId="0" fontId="97" fillId="0" borderId="0" xfId="0" applyFont="1" applyFill="1" applyProtection="1"/>
    <xf numFmtId="0" fontId="53" fillId="0" borderId="0" xfId="0" applyFont="1" applyFill="1" applyProtection="1"/>
    <xf numFmtId="9" fontId="0" fillId="0" borderId="0" xfId="0" applyNumberFormat="1" applyAlignment="1">
      <alignment horizontal="center"/>
    </xf>
    <xf numFmtId="0" fontId="100" fillId="0" borderId="0" xfId="0" applyFont="1"/>
    <xf numFmtId="0" fontId="46" fillId="34" borderId="0" xfId="0" applyFont="1" applyFill="1" applyProtection="1"/>
    <xf numFmtId="0" fontId="0" fillId="34" borderId="0" xfId="0" applyFill="1" applyProtection="1"/>
    <xf numFmtId="0" fontId="0" fillId="34" borderId="45" xfId="0" applyNumberFormat="1" applyFont="1" applyFill="1" applyBorder="1" applyAlignment="1" applyProtection="1">
      <alignment horizontal="center" vertical="center" wrapText="1"/>
    </xf>
    <xf numFmtId="38" fontId="52" fillId="34" borderId="45" xfId="439" applyNumberFormat="1" applyFont="1" applyFill="1" applyBorder="1" applyAlignment="1" applyProtection="1">
      <alignment horizontal="center" vertical="center" wrapText="1"/>
    </xf>
    <xf numFmtId="0" fontId="0" fillId="34" borderId="45" xfId="0" applyNumberFormat="1" applyFont="1" applyFill="1" applyBorder="1" applyAlignment="1" applyProtection="1">
      <alignment horizontal="center" vertical="center"/>
    </xf>
    <xf numFmtId="38" fontId="95" fillId="34" borderId="45" xfId="439" applyNumberFormat="1" applyFont="1" applyFill="1" applyBorder="1" applyAlignment="1" applyProtection="1">
      <alignment horizontal="center" vertical="center" wrapText="1"/>
    </xf>
    <xf numFmtId="41" fontId="49" fillId="34" borderId="0" xfId="0" applyNumberFormat="1" applyFont="1" applyFill="1" applyAlignment="1" applyProtection="1">
      <alignment wrapText="1"/>
    </xf>
    <xf numFmtId="0" fontId="0" fillId="34" borderId="0" xfId="0" applyNumberFormat="1" applyFont="1" applyFill="1" applyAlignment="1" applyProtection="1">
      <alignment horizontal="left" vertical="center" wrapText="1"/>
    </xf>
    <xf numFmtId="0" fontId="98" fillId="34" borderId="0" xfId="0" applyNumberFormat="1" applyFont="1" applyFill="1" applyAlignment="1" applyProtection="1">
      <alignment vertical="center" wrapText="1"/>
    </xf>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45" xfId="0" applyNumberFormat="1" applyFill="1" applyBorder="1" applyAlignment="1" applyProtection="1">
      <alignment horizontal="left" vertical="center" wrapText="1"/>
    </xf>
    <xf numFmtId="0" fontId="76" fillId="34" borderId="45" xfId="0" applyNumberFormat="1" applyFont="1" applyFill="1" applyBorder="1" applyAlignment="1" applyProtection="1">
      <alignment horizontal="left" vertical="center" wrapText="1"/>
    </xf>
    <xf numFmtId="164" fontId="76" fillId="34" borderId="45" xfId="439" applyNumberFormat="1" applyFont="1" applyFill="1" applyBorder="1" applyAlignment="1" applyProtection="1">
      <alignment horizontal="center" vertical="center" wrapText="1"/>
    </xf>
    <xf numFmtId="39" fontId="76" fillId="34" borderId="45" xfId="439" applyNumberFormat="1" applyFont="1" applyFill="1" applyBorder="1" applyAlignment="1" applyProtection="1">
      <alignment horizontal="center" vertical="center" wrapText="1"/>
    </xf>
    <xf numFmtId="0" fontId="46" fillId="34" borderId="45" xfId="0" applyNumberFormat="1" applyFont="1" applyFill="1" applyBorder="1" applyAlignment="1" applyProtection="1">
      <alignment horizontal="center" vertical="center"/>
    </xf>
    <xf numFmtId="0" fontId="0" fillId="34" borderId="45" xfId="0" applyFont="1" applyFill="1" applyBorder="1" applyAlignment="1" applyProtection="1">
      <alignment vertical="center" wrapText="1"/>
    </xf>
    <xf numFmtId="0" fontId="0" fillId="34" borderId="45" xfId="0" applyFill="1" applyBorder="1" applyProtection="1"/>
    <xf numFmtId="0" fontId="0" fillId="34" borderId="23" xfId="0" applyNumberFormat="1" applyFill="1" applyBorder="1" applyAlignment="1" applyProtection="1">
      <alignment horizontal="left" vertical="center" wrapText="1"/>
    </xf>
    <xf numFmtId="0" fontId="0" fillId="34" borderId="23" xfId="0" applyFont="1" applyFill="1" applyBorder="1" applyAlignment="1" applyProtection="1">
      <alignment vertical="center" wrapText="1"/>
    </xf>
    <xf numFmtId="0" fontId="46" fillId="34" borderId="43" xfId="0" applyNumberFormat="1" applyFont="1" applyFill="1" applyBorder="1" applyAlignment="1" applyProtection="1">
      <alignment horizontal="center" vertical="center"/>
    </xf>
    <xf numFmtId="0" fontId="0" fillId="0" borderId="0" xfId="0" applyFill="1" applyAlignment="1">
      <alignment horizontal="left" vertical="center" wrapText="1"/>
    </xf>
    <xf numFmtId="37" fontId="4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0" fontId="46" fillId="0" borderId="0" xfId="439" applyNumberFormat="1" applyFont="1" applyAlignment="1">
      <alignment horizontal="center" vertical="center"/>
    </xf>
    <xf numFmtId="164" fontId="0" fillId="0" borderId="0" xfId="439" applyNumberFormat="1" applyFont="1"/>
    <xf numFmtId="0" fontId="113" fillId="0" borderId="0" xfId="0" applyFont="1" applyAlignment="1">
      <alignment vertical="center"/>
    </xf>
    <xf numFmtId="164" fontId="48" fillId="0" borderId="0" xfId="439" applyNumberFormat="1" applyFont="1" applyAlignment="1">
      <alignment horizontal="center" vertical="center" wrapText="1"/>
    </xf>
    <xf numFmtId="0" fontId="48" fillId="0" borderId="0" xfId="0" applyFont="1" applyAlignment="1">
      <alignment horizontal="center" vertical="center" wrapText="1"/>
    </xf>
    <xf numFmtId="0" fontId="114" fillId="0" borderId="0" xfId="0" applyFont="1" applyAlignment="1">
      <alignment vertical="center"/>
    </xf>
    <xf numFmtId="0" fontId="0" fillId="0" borderId="0" xfId="0"/>
    <xf numFmtId="0" fontId="0" fillId="0" borderId="0" xfId="0" applyProtection="1"/>
    <xf numFmtId="0" fontId="0" fillId="0" borderId="0" xfId="0" applyFill="1" applyProtection="1"/>
    <xf numFmtId="0" fontId="41" fillId="0" borderId="0" xfId="659"/>
    <xf numFmtId="0" fontId="51" fillId="0" borderId="0" xfId="659" applyNumberFormat="1" applyFont="1" applyFill="1"/>
    <xf numFmtId="0" fontId="29" fillId="0" borderId="0" xfId="659" applyNumberFormat="1" applyFont="1" applyFill="1" applyAlignment="1" applyProtection="1">
      <alignment horizontal="left" vertical="center" wrapText="1"/>
    </xf>
    <xf numFmtId="0" fontId="41" fillId="0" borderId="0" xfId="659" applyFill="1"/>
    <xf numFmtId="0" fontId="51" fillId="0" borderId="0" xfId="659" applyFont="1" applyFill="1" applyAlignment="1">
      <alignment horizontal="center"/>
    </xf>
    <xf numFmtId="43" fontId="52" fillId="0" borderId="0" xfId="439" applyFont="1" applyFill="1" applyAlignment="1" applyProtection="1">
      <alignment horizontal="center" vertical="center" wrapText="1"/>
    </xf>
    <xf numFmtId="0" fontId="144" fillId="0" borderId="0" xfId="0" applyFont="1"/>
    <xf numFmtId="172" fontId="0" fillId="0" borderId="0" xfId="439" applyNumberFormat="1" applyFont="1"/>
    <xf numFmtId="164" fontId="41" fillId="0" borderId="0" xfId="659" applyNumberFormat="1"/>
    <xf numFmtId="38" fontId="0" fillId="0" borderId="0" xfId="0" applyNumberFormat="1"/>
    <xf numFmtId="0" fontId="145" fillId="0" borderId="0" xfId="659" applyFont="1" applyFill="1"/>
    <xf numFmtId="37" fontId="48" fillId="0" borderId="45" xfId="0" applyNumberFormat="1" applyFont="1" applyFill="1" applyBorder="1" applyAlignment="1" applyProtection="1">
      <alignment wrapText="1"/>
      <protection locked="0"/>
    </xf>
    <xf numFmtId="0" fontId="98" fillId="0" borderId="0" xfId="0" applyFont="1" applyFill="1" applyAlignment="1" applyProtection="1">
      <alignment horizontal="center" wrapText="1"/>
    </xf>
    <xf numFmtId="0" fontId="79" fillId="0" borderId="0" xfId="0" applyFont="1" applyAlignment="1" applyProtection="1">
      <alignment horizontal="center"/>
    </xf>
    <xf numFmtId="0" fontId="46" fillId="0" borderId="0" xfId="0" applyFont="1" applyAlignment="1" applyProtection="1">
      <alignment wrapText="1"/>
    </xf>
    <xf numFmtId="0" fontId="93" fillId="0" borderId="0" xfId="0" applyFont="1" applyProtection="1"/>
    <xf numFmtId="0" fontId="46" fillId="0" borderId="0" xfId="0" applyFont="1" applyAlignment="1" applyProtection="1">
      <alignment horizontal="center" wrapText="1"/>
    </xf>
    <xf numFmtId="0" fontId="94" fillId="0" borderId="0" xfId="0" applyFont="1" applyProtection="1"/>
    <xf numFmtId="0" fontId="46" fillId="26" borderId="0" xfId="0" applyFont="1" applyFill="1" applyAlignment="1" applyProtection="1">
      <alignment horizontal="center"/>
    </xf>
    <xf numFmtId="0" fontId="0" fillId="0" borderId="37" xfId="0" applyBorder="1" applyAlignment="1" applyProtection="1">
      <alignment wrapText="1"/>
    </xf>
    <xf numFmtId="0" fontId="0" fillId="0" borderId="38" xfId="0" applyBorder="1" applyProtection="1"/>
    <xf numFmtId="164" fontId="46" fillId="0" borderId="38" xfId="439" applyNumberFormat="1" applyFont="1" applyBorder="1" applyAlignment="1" applyProtection="1">
      <alignment horizontal="center"/>
    </xf>
    <xf numFmtId="167" fontId="46" fillId="0" borderId="39" xfId="545" applyNumberFormat="1" applyFont="1" applyFill="1" applyBorder="1" applyAlignment="1" applyProtection="1">
      <alignment horizontal="center"/>
    </xf>
    <xf numFmtId="0" fontId="52" fillId="0" borderId="15" xfId="0" applyFont="1" applyFill="1" applyBorder="1" applyAlignment="1" applyProtection="1">
      <alignment wrapText="1"/>
    </xf>
    <xf numFmtId="164" fontId="46" fillId="0" borderId="0" xfId="439" applyNumberFormat="1" applyFont="1" applyBorder="1" applyAlignment="1" applyProtection="1">
      <alignment horizontal="center"/>
    </xf>
    <xf numFmtId="0" fontId="46" fillId="0" borderId="0" xfId="0" quotePrefix="1" applyFont="1" applyAlignment="1" applyProtection="1">
      <alignment horizontal="center" wrapText="1"/>
    </xf>
    <xf numFmtId="0" fontId="0" fillId="0" borderId="16" xfId="0" applyBorder="1" applyProtection="1"/>
    <xf numFmtId="0" fontId="95" fillId="0" borderId="0" xfId="0" applyFont="1" applyFill="1" applyBorder="1" applyAlignment="1" applyProtection="1">
      <alignment wrapText="1"/>
    </xf>
    <xf numFmtId="10" fontId="98" fillId="0" borderId="0" xfId="4688" applyNumberFormat="1" applyFont="1" applyFill="1" applyBorder="1" applyAlignment="1" applyProtection="1">
      <alignment horizontal="left"/>
    </xf>
    <xf numFmtId="10" fontId="46" fillId="0" borderId="0" xfId="4688" applyNumberFormat="1" applyFont="1" applyFill="1" applyBorder="1" applyAlignment="1" applyProtection="1">
      <alignment horizontal="center"/>
    </xf>
    <xf numFmtId="0" fontId="0" fillId="76" borderId="0" xfId="0" applyFill="1" applyProtection="1"/>
    <xf numFmtId="0" fontId="46" fillId="76" borderId="0" xfId="0" applyFont="1" applyFill="1" applyAlignment="1" applyProtection="1">
      <alignment horizontal="center"/>
    </xf>
    <xf numFmtId="0" fontId="46" fillId="76" borderId="0" xfId="0" applyFont="1" applyFill="1" applyAlignment="1" applyProtection="1">
      <alignment horizontal="center" wrapText="1"/>
    </xf>
    <xf numFmtId="0" fontId="46" fillId="76" borderId="0" xfId="0" applyFont="1" applyFill="1" applyAlignment="1" applyProtection="1">
      <alignment horizontal="left" vertical="center" wrapText="1"/>
    </xf>
    <xf numFmtId="0" fontId="46" fillId="0" borderId="0" xfId="0" applyFont="1" applyFill="1" applyAlignment="1" applyProtection="1">
      <alignment horizontal="left" vertical="center" wrapText="1"/>
    </xf>
    <xf numFmtId="0" fontId="0" fillId="0" borderId="37" xfId="0" applyFill="1" applyBorder="1" applyProtection="1"/>
    <xf numFmtId="164" fontId="46" fillId="0" borderId="39" xfId="439" applyNumberFormat="1" applyFont="1" applyBorder="1" applyAlignment="1" applyProtection="1">
      <alignment horizontal="center"/>
    </xf>
    <xf numFmtId="0" fontId="0" fillId="0" borderId="40" xfId="0" applyFill="1" applyBorder="1" applyProtection="1"/>
    <xf numFmtId="0" fontId="0" fillId="0" borderId="41" xfId="0" applyBorder="1" applyProtection="1"/>
    <xf numFmtId="164" fontId="46" fillId="0" borderId="0" xfId="0" applyNumberFormat="1" applyFont="1" applyAlignment="1" applyProtection="1">
      <alignment horizontal="center" wrapText="1"/>
    </xf>
    <xf numFmtId="0" fontId="0" fillId="0" borderId="13" xfId="0" applyFill="1" applyBorder="1" applyProtection="1"/>
    <xf numFmtId="43" fontId="46" fillId="0" borderId="16" xfId="439" applyFont="1" applyBorder="1" applyAlignment="1" applyProtection="1">
      <alignment horizontal="center"/>
    </xf>
    <xf numFmtId="0" fontId="48" fillId="0" borderId="0" xfId="0" applyFont="1" applyFill="1" applyAlignment="1" applyProtection="1">
      <alignment horizontal="left" vertical="center" wrapText="1"/>
    </xf>
    <xf numFmtId="0" fontId="46" fillId="0" borderId="0" xfId="0" applyFont="1" applyFill="1" applyAlignment="1" applyProtection="1">
      <alignment horizontal="center"/>
    </xf>
    <xf numFmtId="167" fontId="46" fillId="0" borderId="16" xfId="545" applyNumberFormat="1" applyFont="1" applyBorder="1" applyAlignment="1" applyProtection="1">
      <alignment horizontal="center"/>
    </xf>
    <xf numFmtId="0" fontId="62" fillId="0" borderId="0" xfId="0" applyFont="1" applyFill="1" applyAlignment="1" applyProtection="1">
      <alignment horizontal="left" vertical="center" wrapText="1"/>
    </xf>
    <xf numFmtId="0" fontId="0" fillId="76" borderId="0" xfId="0" applyFill="1" applyBorder="1" applyProtection="1"/>
    <xf numFmtId="167" fontId="46" fillId="76" borderId="0" xfId="545" applyNumberFormat="1" applyFont="1" applyFill="1" applyBorder="1" applyAlignment="1" applyProtection="1">
      <alignment horizontal="center"/>
    </xf>
    <xf numFmtId="0" fontId="46" fillId="76" borderId="0" xfId="0" quotePrefix="1" applyFont="1" applyFill="1" applyAlignment="1" applyProtection="1">
      <alignment horizontal="center" wrapText="1"/>
    </xf>
    <xf numFmtId="0" fontId="62" fillId="76" borderId="0" xfId="0" applyFont="1" applyFill="1" applyAlignment="1" applyProtection="1">
      <alignment horizontal="left" vertical="center" wrapText="1"/>
    </xf>
    <xf numFmtId="0" fontId="46" fillId="0" borderId="0" xfId="0" applyFont="1" applyFill="1" applyAlignment="1" applyProtection="1">
      <alignment horizontal="center" wrapText="1"/>
    </xf>
    <xf numFmtId="164" fontId="46" fillId="0" borderId="42" xfId="439" applyNumberFormat="1" applyFont="1" applyBorder="1" applyAlignment="1" applyProtection="1">
      <alignment horizontal="center"/>
    </xf>
    <xf numFmtId="43" fontId="46" fillId="0" borderId="11" xfId="439" applyFont="1" applyBorder="1" applyAlignment="1" applyProtection="1">
      <alignment horizontal="center"/>
    </xf>
    <xf numFmtId="167" fontId="46" fillId="22" borderId="0" xfId="545" applyNumberFormat="1" applyFont="1" applyFill="1" applyBorder="1" applyAlignment="1" applyProtection="1">
      <alignment horizontal="center"/>
    </xf>
    <xf numFmtId="167" fontId="46" fillId="0" borderId="0" xfId="545" applyNumberFormat="1" applyFont="1" applyBorder="1" applyAlignment="1" applyProtection="1">
      <alignment horizontal="center"/>
    </xf>
    <xf numFmtId="0" fontId="47" fillId="0" borderId="0" xfId="0" applyFont="1" applyProtection="1"/>
    <xf numFmtId="167" fontId="40" fillId="0" borderId="0" xfId="545" applyNumberFormat="1" applyFont="1" applyProtection="1"/>
    <xf numFmtId="167" fontId="0" fillId="0" borderId="0" xfId="545" applyNumberFormat="1" applyFont="1" applyProtection="1"/>
    <xf numFmtId="0" fontId="0" fillId="0" borderId="0" xfId="0" quotePrefix="1" applyAlignment="1" applyProtection="1">
      <alignment horizontal="center"/>
    </xf>
    <xf numFmtId="0" fontId="0" fillId="0" borderId="0" xfId="0" applyFont="1" applyAlignment="1" applyProtection="1">
      <alignment horizontal="center"/>
    </xf>
    <xf numFmtId="167" fontId="95" fillId="0" borderId="0" xfId="545" applyNumberFormat="1" applyFont="1" applyProtection="1"/>
    <xf numFmtId="0" fontId="0" fillId="0" borderId="0" xfId="0" applyAlignment="1" applyProtection="1">
      <alignment horizontal="left"/>
    </xf>
    <xf numFmtId="164" fontId="146" fillId="21" borderId="12" xfId="439" applyNumberFormat="1" applyFont="1" applyFill="1" applyBorder="1" applyAlignment="1" applyProtection="1">
      <alignment horizontal="center" wrapText="1"/>
    </xf>
    <xf numFmtId="41" fontId="87" fillId="28" borderId="0" xfId="439" applyNumberFormat="1" applyFont="1" applyFill="1" applyAlignment="1" applyProtection="1">
      <alignment wrapText="1"/>
    </xf>
    <xf numFmtId="41" fontId="87" fillId="0" borderId="0" xfId="439" applyNumberFormat="1" applyFont="1" applyFill="1" applyAlignment="1" applyProtection="1">
      <alignment wrapText="1"/>
    </xf>
    <xf numFmtId="41" fontId="49" fillId="28" borderId="0" xfId="439" applyNumberFormat="1" applyFont="1" applyFill="1" applyAlignment="1" applyProtection="1">
      <alignment wrapText="1"/>
    </xf>
    <xf numFmtId="0" fontId="146" fillId="28" borderId="0" xfId="0" applyFont="1" applyFill="1" applyAlignment="1" applyProtection="1">
      <alignment wrapText="1"/>
    </xf>
    <xf numFmtId="0" fontId="146" fillId="28" borderId="0" xfId="0" applyFont="1" applyFill="1" applyAlignment="1" applyProtection="1"/>
    <xf numFmtId="0" fontId="146" fillId="28" borderId="0" xfId="0" applyFont="1" applyFill="1" applyAlignment="1" applyProtection="1">
      <alignment horizontal="left" wrapText="1" indent="2"/>
    </xf>
    <xf numFmtId="0" fontId="146" fillId="0" borderId="0" xfId="0" applyFont="1" applyFill="1" applyAlignment="1" applyProtection="1">
      <alignment horizontal="left" wrapText="1" indent="2"/>
    </xf>
    <xf numFmtId="0" fontId="146" fillId="28" borderId="0" xfId="0" applyFont="1" applyFill="1" applyAlignment="1" applyProtection="1">
      <alignment vertical="center"/>
    </xf>
    <xf numFmtId="0" fontId="95" fillId="0" borderId="0" xfId="0" applyNumberFormat="1" applyFont="1" applyFill="1" applyAlignment="1" applyProtection="1">
      <alignment horizontal="left" vertical="center" wrapText="1" indent="6"/>
    </xf>
    <xf numFmtId="41" fontId="49" fillId="29" borderId="0" xfId="439" applyNumberFormat="1" applyFont="1" applyFill="1" applyAlignment="1" applyProtection="1">
      <alignment horizontal="center" vertical="center" wrapText="1"/>
      <protection locked="0"/>
    </xf>
    <xf numFmtId="39" fontId="147" fillId="35" borderId="0" xfId="439" applyNumberFormat="1" applyFont="1" applyFill="1" applyBorder="1" applyAlignment="1" applyProtection="1">
      <alignment horizontal="center" vertical="center" wrapText="1"/>
    </xf>
    <xf numFmtId="39" fontId="147" fillId="0" borderId="0" xfId="439" applyNumberFormat="1" applyFont="1" applyFill="1" applyBorder="1" applyAlignment="1" applyProtection="1">
      <alignment horizontal="center" vertical="center" wrapText="1"/>
    </xf>
    <xf numFmtId="41" fontId="87" fillId="0" borderId="0" xfId="439" applyNumberFormat="1" applyFont="1" applyFill="1" applyAlignment="1" applyProtection="1">
      <alignment vertical="center" wrapText="1"/>
    </xf>
    <xf numFmtId="38" fontId="52" fillId="28" borderId="0" xfId="439" applyNumberFormat="1" applyFont="1" applyFill="1" applyAlignment="1" applyProtection="1">
      <alignment horizontal="center" vertical="center" wrapText="1"/>
    </xf>
    <xf numFmtId="41" fontId="48" fillId="28" borderId="0" xfId="439" applyNumberFormat="1" applyFont="1" applyFill="1" applyAlignment="1" applyProtection="1">
      <alignment vertical="center" wrapText="1"/>
    </xf>
    <xf numFmtId="0" fontId="0" fillId="28" borderId="0" xfId="0" applyNumberFormat="1" applyFont="1" applyFill="1" applyAlignment="1" applyProtection="1">
      <alignment horizontal="center" vertical="center"/>
    </xf>
    <xf numFmtId="0" fontId="0" fillId="23" borderId="23" xfId="0" applyFont="1" applyFill="1" applyBorder="1" applyAlignment="1" applyProtection="1">
      <alignment vertical="center" wrapText="1"/>
    </xf>
    <xf numFmtId="0" fontId="47" fillId="24" borderId="0" xfId="439" applyNumberFormat="1" applyFont="1" applyFill="1" applyBorder="1" applyAlignment="1" applyProtection="1">
      <alignment horizontal="center" wrapText="1"/>
    </xf>
    <xf numFmtId="174" fontId="46" fillId="22" borderId="0" xfId="439" applyNumberFormat="1" applyFont="1" applyFill="1" applyAlignment="1" applyProtection="1">
      <alignment horizontal="center" vertical="center"/>
      <protection locked="0"/>
    </xf>
    <xf numFmtId="0" fontId="0" fillId="0" borderId="0" xfId="0" applyProtection="1"/>
    <xf numFmtId="41" fontId="49" fillId="28" borderId="0" xfId="0" applyNumberFormat="1" applyFont="1" applyFill="1" applyAlignment="1" applyProtection="1">
      <alignment wrapText="1"/>
    </xf>
    <xf numFmtId="41" fontId="87" fillId="0" borderId="0" xfId="0" applyNumberFormat="1" applyFont="1" applyFill="1" applyAlignment="1" applyProtection="1">
      <alignment wrapText="1"/>
    </xf>
    <xf numFmtId="175" fontId="46" fillId="29" borderId="0" xfId="439" applyNumberFormat="1" applyFont="1" applyFill="1" applyAlignment="1" applyProtection="1">
      <alignment horizontal="center" vertical="center"/>
      <protection locked="0"/>
    </xf>
    <xf numFmtId="169" fontId="46" fillId="29" borderId="0" xfId="439" applyNumberFormat="1" applyFont="1" applyFill="1" applyAlignment="1" applyProtection="1">
      <alignment horizontal="center" vertical="center"/>
      <protection locked="0"/>
    </xf>
    <xf numFmtId="2" fontId="46" fillId="29" borderId="0" xfId="439" applyNumberFormat="1" applyFont="1" applyFill="1" applyAlignment="1" applyProtection="1">
      <alignment horizontal="center" vertical="center"/>
      <protection locked="0"/>
    </xf>
    <xf numFmtId="3" fontId="46" fillId="29" borderId="0" xfId="439" applyNumberFormat="1" applyFont="1" applyFill="1" applyAlignment="1" applyProtection="1">
      <alignment horizontal="center" vertical="center"/>
      <protection locked="0"/>
    </xf>
    <xf numFmtId="0" fontId="95" fillId="0" borderId="0" xfId="0" applyFont="1" applyFill="1"/>
    <xf numFmtId="14" fontId="76" fillId="0" borderId="23" xfId="439" applyNumberFormat="1" applyFont="1" applyFill="1" applyBorder="1" applyAlignment="1" applyProtection="1">
      <alignment horizontal="center" vertical="center" wrapText="1"/>
    </xf>
    <xf numFmtId="167" fontId="46" fillId="0" borderId="42" xfId="545" applyNumberFormat="1" applyFont="1" applyFill="1" applyBorder="1" applyAlignment="1" applyProtection="1">
      <alignment horizontal="center"/>
    </xf>
    <xf numFmtId="167" fontId="46" fillId="0" borderId="11" xfId="545" applyNumberFormat="1" applyFont="1" applyFill="1" applyBorder="1" applyAlignment="1" applyProtection="1">
      <alignment horizontal="center"/>
    </xf>
    <xf numFmtId="167" fontId="0" fillId="0" borderId="0" xfId="545" applyNumberFormat="1" applyFont="1" applyFill="1" applyProtection="1"/>
    <xf numFmtId="173" fontId="52" fillId="22" borderId="0" xfId="439" applyNumberFormat="1" applyFont="1" applyFill="1" applyAlignment="1" applyProtection="1">
      <alignment horizontal="center" vertical="center" wrapText="1"/>
    </xf>
    <xf numFmtId="37" fontId="0" fillId="0" borderId="0" xfId="0" applyNumberFormat="1" applyFont="1" applyFill="1" applyAlignment="1" applyProtection="1">
      <alignment horizontal="center" vertical="center"/>
    </xf>
    <xf numFmtId="0" fontId="84" fillId="34" borderId="0" xfId="0" applyNumberFormat="1" applyFont="1" applyFill="1" applyAlignment="1" applyProtection="1">
      <alignment horizontal="left" vertical="center" wrapText="1"/>
    </xf>
    <xf numFmtId="164" fontId="76" fillId="34" borderId="45" xfId="439" applyNumberFormat="1" applyFont="1" applyFill="1" applyBorder="1" applyAlignment="1" applyProtection="1">
      <alignment horizontal="center" vertical="center" wrapText="1"/>
      <protection locked="0"/>
    </xf>
    <xf numFmtId="164" fontId="59" fillId="0" borderId="0" xfId="0" applyNumberFormat="1" applyFont="1" applyAlignment="1" applyProtection="1">
      <alignment wrapText="1"/>
    </xf>
    <xf numFmtId="164" fontId="76" fillId="22" borderId="23" xfId="439" applyNumberFormat="1" applyFont="1" applyFill="1" applyBorder="1" applyAlignment="1" applyProtection="1">
      <alignment horizontal="center" vertical="center" wrapText="1"/>
      <protection locked="0"/>
    </xf>
    <xf numFmtId="172" fontId="76" fillId="22" borderId="23" xfId="439" applyNumberFormat="1" applyFont="1" applyFill="1" applyBorder="1" applyAlignment="1" applyProtection="1">
      <alignment horizontal="center" vertical="center" wrapText="1"/>
    </xf>
    <xf numFmtId="39" fontId="76" fillId="22" borderId="28" xfId="439" applyNumberFormat="1" applyFont="1" applyFill="1" applyBorder="1" applyAlignment="1" applyProtection="1">
      <alignment horizontal="center" vertical="center" wrapText="1"/>
    </xf>
    <xf numFmtId="164" fontId="76" fillId="22" borderId="29" xfId="439" applyNumberFormat="1" applyFont="1" applyFill="1" applyBorder="1" applyAlignment="1" applyProtection="1">
      <alignment horizontal="center" vertical="center" wrapText="1"/>
    </xf>
    <xf numFmtId="0" fontId="46" fillId="22" borderId="24" xfId="0" applyNumberFormat="1" applyFont="1" applyFill="1" applyBorder="1" applyAlignment="1" applyProtection="1">
      <alignment horizontal="center" vertical="center"/>
    </xf>
    <xf numFmtId="0" fontId="51" fillId="22" borderId="0" xfId="0" applyFont="1" applyFill="1" applyAlignment="1" applyProtection="1">
      <alignment vertical="center" wrapText="1"/>
      <protection locked="0"/>
    </xf>
    <xf numFmtId="164" fontId="40" fillId="22" borderId="28" xfId="439" applyNumberFormat="1" applyFont="1" applyFill="1" applyBorder="1" applyAlignment="1" applyProtection="1">
      <alignment vertical="center"/>
    </xf>
    <xf numFmtId="0" fontId="0" fillId="22" borderId="0" xfId="0" applyFill="1" applyProtection="1"/>
    <xf numFmtId="164" fontId="59" fillId="22" borderId="0" xfId="0" applyNumberFormat="1" applyFont="1" applyFill="1" applyAlignment="1" applyProtection="1">
      <alignment wrapText="1"/>
    </xf>
    <xf numFmtId="0" fontId="95" fillId="22" borderId="0" xfId="0" applyFont="1" applyFill="1"/>
    <xf numFmtId="0" fontId="0" fillId="22" borderId="0" xfId="0" applyFill="1" applyAlignment="1" applyProtection="1">
      <alignment horizontal="center" vertical="center"/>
    </xf>
    <xf numFmtId="0" fontId="0" fillId="0" borderId="0" xfId="0" applyProtection="1"/>
    <xf numFmtId="0" fontId="0" fillId="0" borderId="0" xfId="0" applyFill="1" applyProtection="1"/>
    <xf numFmtId="41" fontId="49" fillId="0" borderId="0" xfId="0" applyNumberFormat="1" applyFont="1" applyFill="1" applyAlignment="1" applyProtection="1">
      <alignment wrapText="1"/>
    </xf>
    <xf numFmtId="0" fontId="0" fillId="22" borderId="0" xfId="0" applyFill="1" applyBorder="1" applyAlignment="1" applyProtection="1">
      <alignment vertical="center"/>
    </xf>
    <xf numFmtId="164" fontId="76" fillId="29" borderId="31" xfId="439" applyNumberFormat="1" applyFont="1" applyFill="1" applyBorder="1" applyAlignment="1" applyProtection="1">
      <alignment horizontal="center" vertical="center" wrapText="1"/>
      <protection locked="0"/>
    </xf>
    <xf numFmtId="0" fontId="0" fillId="0" borderId="0" xfId="0" applyFill="1" applyAlignment="1" applyProtection="1">
      <alignment horizontal="center" vertical="center"/>
    </xf>
    <xf numFmtId="37" fontId="46" fillId="29" borderId="0" xfId="439" applyNumberFormat="1" applyFont="1" applyFill="1" applyAlignment="1" applyProtection="1">
      <alignment horizontal="center" vertical="center"/>
      <protection locked="0"/>
    </xf>
    <xf numFmtId="2" fontId="4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xf>
    <xf numFmtId="0" fontId="46" fillId="77" borderId="24" xfId="0" applyNumberFormat="1" applyFont="1" applyFill="1" applyBorder="1" applyAlignment="1" applyProtection="1">
      <alignment horizontal="center" vertical="center"/>
    </xf>
    <xf numFmtId="169" fontId="40" fillId="77" borderId="28" xfId="439" applyNumberFormat="1" applyFont="1" applyFill="1" applyBorder="1" applyAlignment="1" applyProtection="1">
      <alignment vertical="center"/>
    </xf>
    <xf numFmtId="0" fontId="0" fillId="0" borderId="0" xfId="0" quotePrefix="1"/>
    <xf numFmtId="0" fontId="58" fillId="0" borderId="0" xfId="0" applyFont="1"/>
    <xf numFmtId="0" fontId="47" fillId="0" borderId="0" xfId="0" applyFont="1" applyAlignment="1">
      <alignment vertical="center"/>
    </xf>
    <xf numFmtId="0" fontId="58" fillId="0" borderId="0" xfId="0" applyFont="1" applyAlignment="1">
      <alignment vertical="center"/>
    </xf>
    <xf numFmtId="0" fontId="47" fillId="0" borderId="0" xfId="0" applyFont="1"/>
    <xf numFmtId="0" fontId="0" fillId="34" borderId="0" xfId="0" applyFont="1" applyFill="1" applyBorder="1" applyAlignment="1" applyProtection="1">
      <alignment vertical="center" wrapText="1"/>
    </xf>
    <xf numFmtId="0" fontId="0" fillId="0" borderId="0" xfId="0"/>
    <xf numFmtId="0" fontId="0" fillId="34" borderId="0" xfId="0" applyFont="1" applyFill="1" applyAlignment="1" applyProtection="1">
      <alignment horizontal="left" vertical="center" wrapText="1"/>
    </xf>
    <xf numFmtId="0" fontId="0" fillId="34" borderId="0" xfId="0" applyFill="1" applyAlignment="1">
      <alignment vertical="center" wrapText="1"/>
    </xf>
    <xf numFmtId="0" fontId="95" fillId="0" borderId="0" xfId="0" applyFont="1"/>
    <xf numFmtId="0" fontId="0" fillId="0" borderId="0" xfId="0" applyAlignment="1">
      <alignment vertical="center"/>
    </xf>
    <xf numFmtId="0" fontId="153" fillId="0" borderId="0" xfId="0" applyFont="1" applyAlignment="1">
      <alignment vertical="center"/>
    </xf>
    <xf numFmtId="0" fontId="0" fillId="0" borderId="0" xfId="0" applyFill="1" applyBorder="1" applyAlignment="1" applyProtection="1">
      <alignment vertical="center"/>
    </xf>
    <xf numFmtId="0" fontId="0" fillId="22" borderId="45" xfId="0" applyFill="1" applyBorder="1" applyAlignment="1" applyProtection="1">
      <alignment vertical="center"/>
    </xf>
    <xf numFmtId="0" fontId="58" fillId="0" borderId="0" xfId="0" applyFont="1" applyAlignment="1" applyProtection="1">
      <alignment horizontal="center"/>
    </xf>
    <xf numFmtId="0" fontId="0" fillId="34" borderId="23" xfId="0" applyNumberFormat="1" applyFont="1" applyFill="1" applyBorder="1" applyAlignment="1" applyProtection="1">
      <alignment horizontal="left" vertical="center" wrapText="1"/>
    </xf>
    <xf numFmtId="0" fontId="46" fillId="0" borderId="25" xfId="0" applyNumberFormat="1" applyFont="1" applyFill="1" applyBorder="1" applyAlignment="1" applyProtection="1">
      <alignment horizontal="center" vertical="center"/>
    </xf>
    <xf numFmtId="0" fontId="48" fillId="22" borderId="0" xfId="0" applyFont="1" applyFill="1" applyAlignment="1" applyProtection="1">
      <alignment horizontal="left" wrapText="1"/>
    </xf>
    <xf numFmtId="164" fontId="40" fillId="22" borderId="0" xfId="439" applyNumberFormat="1" applyFont="1" applyFill="1" applyProtection="1"/>
    <xf numFmtId="172" fontId="76" fillId="22" borderId="30" xfId="439" applyNumberFormat="1" applyFont="1" applyFill="1" applyBorder="1" applyAlignment="1" applyProtection="1">
      <alignment horizontal="center" vertical="center" wrapText="1"/>
    </xf>
    <xf numFmtId="37" fontId="0" fillId="0" borderId="0" xfId="439" applyNumberFormat="1" applyFont="1"/>
    <xf numFmtId="10" fontId="46" fillId="0" borderId="42" xfId="4688" applyNumberFormat="1" applyFont="1" applyFill="1" applyBorder="1" applyAlignment="1" applyProtection="1">
      <alignment horizontal="center"/>
    </xf>
    <xf numFmtId="0" fontId="46" fillId="76" borderId="0" xfId="0" applyFont="1" applyFill="1" applyBorder="1" applyAlignment="1" applyProtection="1">
      <alignment horizontal="center" wrapText="1"/>
    </xf>
    <xf numFmtId="0" fontId="0" fillId="0" borderId="0" xfId="0" applyBorder="1" applyAlignment="1" applyProtection="1">
      <alignment horizontal="center" vertical="center"/>
    </xf>
    <xf numFmtId="0" fontId="83" fillId="0" borderId="0" xfId="0" applyFont="1" applyFill="1" applyAlignment="1" applyProtection="1">
      <alignment horizontal="center" wrapText="1"/>
    </xf>
    <xf numFmtId="0" fontId="0" fillId="34" borderId="0" xfId="0" applyNumberFormat="1" applyFont="1" applyFill="1" applyAlignment="1" applyProtection="1">
      <alignment horizontal="center" vertical="center"/>
    </xf>
    <xf numFmtId="0" fontId="0" fillId="0" borderId="0" xfId="0" applyAlignment="1">
      <alignment wrapText="1"/>
    </xf>
    <xf numFmtId="175" fontId="76" fillId="78" borderId="23" xfId="439" applyNumberFormat="1" applyFont="1" applyFill="1" applyBorder="1" applyAlignment="1" applyProtection="1">
      <alignment horizontal="center" vertical="center" wrapText="1"/>
    </xf>
    <xf numFmtId="37" fontId="40" fillId="34" borderId="45" xfId="439" applyNumberFormat="1" applyFont="1" applyFill="1" applyBorder="1" applyAlignment="1" applyProtection="1">
      <alignment vertical="center"/>
    </xf>
    <xf numFmtId="37" fontId="40" fillId="0" borderId="28" xfId="439" applyNumberFormat="1" applyFont="1" applyBorder="1" applyAlignment="1" applyProtection="1">
      <alignment vertical="center"/>
    </xf>
    <xf numFmtId="37" fontId="40" fillId="23" borderId="28" xfId="439" applyNumberFormat="1" applyFont="1" applyFill="1" applyBorder="1" applyAlignment="1" applyProtection="1">
      <alignment vertical="center"/>
    </xf>
    <xf numFmtId="3" fontId="76" fillId="0" borderId="23" xfId="439" applyNumberFormat="1" applyFont="1" applyFill="1" applyBorder="1" applyAlignment="1" applyProtection="1">
      <alignment horizontal="center" vertical="center" wrapText="1"/>
      <protection locked="0"/>
    </xf>
    <xf numFmtId="37" fontId="40" fillId="0" borderId="27" xfId="439" applyNumberFormat="1" applyFont="1" applyFill="1" applyBorder="1" applyAlignment="1" applyProtection="1">
      <alignment vertical="center"/>
    </xf>
    <xf numFmtId="39" fontId="76" fillId="0" borderId="23" xfId="439" applyNumberFormat="1" applyFont="1" applyFill="1" applyBorder="1" applyAlignment="1" applyProtection="1">
      <alignment horizontal="center" vertical="center" wrapText="1"/>
    </xf>
    <xf numFmtId="37" fontId="40" fillId="34" borderId="29" xfId="439" applyNumberFormat="1" applyFont="1" applyFill="1" applyBorder="1" applyAlignment="1" applyProtection="1">
      <alignment vertical="center"/>
    </xf>
    <xf numFmtId="37" fontId="40" fillId="23" borderId="29" xfId="439" applyNumberFormat="1" applyFont="1" applyFill="1" applyBorder="1" applyAlignment="1" applyProtection="1">
      <alignment vertical="center"/>
    </xf>
    <xf numFmtId="37" fontId="40" fillId="0" borderId="27" xfId="439" applyNumberFormat="1" applyFont="1" applyBorder="1" applyAlignment="1" applyProtection="1">
      <alignment vertical="center"/>
    </xf>
    <xf numFmtId="37" fontId="40" fillId="34" borderId="28" xfId="439" applyNumberFormat="1" applyFont="1" applyFill="1" applyBorder="1" applyAlignment="1" applyProtection="1">
      <alignment vertical="center"/>
    </xf>
    <xf numFmtId="181" fontId="40" fillId="78" borderId="28" xfId="439" applyNumberFormat="1" applyFont="1" applyFill="1" applyBorder="1" applyAlignment="1" applyProtection="1">
      <alignment vertical="center"/>
    </xf>
    <xf numFmtId="38" fontId="52" fillId="34" borderId="0" xfId="439" applyNumberFormat="1" applyFont="1" applyFill="1" applyAlignment="1" applyProtection="1">
      <alignment horizontal="center" vertical="center" wrapText="1"/>
    </xf>
    <xf numFmtId="0" fontId="0" fillId="34" borderId="45" xfId="0" applyFill="1" applyBorder="1" applyProtection="1"/>
    <xf numFmtId="174" fontId="46" fillId="29" borderId="0" xfId="439" applyNumberFormat="1" applyFont="1" applyFill="1" applyAlignment="1" applyProtection="1">
      <alignment horizontal="center" vertical="center"/>
      <protection locked="0"/>
    </xf>
    <xf numFmtId="3" fontId="76" fillId="0" borderId="31" xfId="439" applyNumberFormat="1" applyFont="1" applyFill="1" applyBorder="1" applyAlignment="1" applyProtection="1">
      <alignment horizontal="center" vertical="center" wrapText="1"/>
    </xf>
    <xf numFmtId="37" fontId="40" fillId="0" borderId="46" xfId="439" applyNumberFormat="1" applyFont="1" applyFill="1" applyBorder="1" applyAlignment="1" applyProtection="1">
      <alignment vertical="center"/>
    </xf>
    <xf numFmtId="3" fontId="76" fillId="0" borderId="23" xfId="439" applyNumberFormat="1" applyFont="1" applyFill="1" applyBorder="1" applyAlignment="1" applyProtection="1">
      <alignment horizontal="center" vertical="center" wrapText="1"/>
    </xf>
    <xf numFmtId="37" fontId="40" fillId="0" borderId="28" xfId="439" applyNumberFormat="1" applyFont="1" applyFill="1" applyBorder="1" applyAlignment="1" applyProtection="1">
      <alignment vertical="center"/>
    </xf>
    <xf numFmtId="37" fontId="40" fillId="0" borderId="29" xfId="439" applyNumberFormat="1" applyFont="1" applyBorder="1" applyAlignment="1" applyProtection="1">
      <alignment vertical="center"/>
    </xf>
    <xf numFmtId="3" fontId="76" fillId="34" borderId="23" xfId="439" applyNumberFormat="1" applyFont="1" applyFill="1" applyBorder="1" applyAlignment="1" applyProtection="1">
      <alignment horizontal="center" vertical="center" wrapText="1"/>
    </xf>
    <xf numFmtId="3" fontId="76" fillId="23" borderId="31" xfId="439" applyNumberFormat="1" applyFont="1" applyFill="1" applyBorder="1" applyAlignment="1" applyProtection="1">
      <alignment horizontal="center" vertical="center" wrapText="1"/>
    </xf>
    <xf numFmtId="3" fontId="76" fillId="23" borderId="23" xfId="439" applyNumberFormat="1" applyFont="1" applyFill="1" applyBorder="1" applyAlignment="1" applyProtection="1">
      <alignment horizontal="center" vertical="center" wrapText="1"/>
    </xf>
    <xf numFmtId="3" fontId="76" fillId="34" borderId="45" xfId="439" applyNumberFormat="1" applyFont="1" applyFill="1" applyBorder="1" applyAlignment="1" applyProtection="1">
      <alignment horizontal="center" vertical="center" wrapText="1"/>
    </xf>
    <xf numFmtId="3" fontId="76" fillId="0" borderId="30" xfId="439" applyNumberFormat="1" applyFont="1" applyFill="1" applyBorder="1" applyAlignment="1" applyProtection="1">
      <alignment horizontal="center" vertical="center" wrapText="1"/>
    </xf>
    <xf numFmtId="37" fontId="76" fillId="0" borderId="23" xfId="439" applyNumberFormat="1" applyFont="1" applyFill="1" applyBorder="1" applyAlignment="1" applyProtection="1">
      <alignment horizontal="center" vertical="center" wrapText="1"/>
    </xf>
    <xf numFmtId="37" fontId="40" fillId="0" borderId="29" xfId="439" applyNumberFormat="1" applyFont="1" applyFill="1" applyBorder="1" applyAlignment="1" applyProtection="1">
      <alignment vertical="center"/>
    </xf>
    <xf numFmtId="37" fontId="40" fillId="32" borderId="29" xfId="439" applyNumberFormat="1" applyFont="1" applyFill="1" applyBorder="1" applyAlignment="1" applyProtection="1">
      <alignment vertical="center"/>
    </xf>
    <xf numFmtId="1" fontId="40" fillId="0" borderId="28" xfId="439" applyNumberFormat="1" applyFont="1" applyFill="1" applyBorder="1" applyAlignment="1" applyProtection="1">
      <alignment vertical="center"/>
    </xf>
    <xf numFmtId="164" fontId="46" fillId="0" borderId="60" xfId="439" applyNumberFormat="1" applyFont="1" applyBorder="1" applyAlignment="1" applyProtection="1">
      <alignment horizontal="center"/>
    </xf>
    <xf numFmtId="0" fontId="0" fillId="0" borderId="40" xfId="0" applyFill="1" applyBorder="1" applyAlignment="1" applyProtection="1">
      <alignment wrapText="1"/>
    </xf>
    <xf numFmtId="0" fontId="77" fillId="0" borderId="0" xfId="0" applyFont="1" applyFill="1" applyAlignment="1" applyProtection="1">
      <alignment horizontal="center" wrapText="1"/>
    </xf>
    <xf numFmtId="0" fontId="46" fillId="0" borderId="0" xfId="0" quotePrefix="1" applyFont="1" applyFill="1" applyAlignment="1" applyProtection="1">
      <alignment horizontal="center" wrapText="1"/>
    </xf>
    <xf numFmtId="0" fontId="0" fillId="26" borderId="0" xfId="0" applyFill="1" applyAlignment="1">
      <alignment wrapText="1"/>
    </xf>
    <xf numFmtId="0" fontId="46" fillId="0" borderId="0" xfId="0" applyFont="1"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5" fillId="0" borderId="0" xfId="0" applyFont="1" applyAlignment="1">
      <alignment vertical="center" wrapText="1"/>
    </xf>
    <xf numFmtId="0" fontId="46" fillId="0" borderId="0" xfId="0" applyFont="1" applyAlignment="1">
      <alignment horizontal="center" vertical="center" wrapText="1"/>
    </xf>
    <xf numFmtId="0" fontId="0" fillId="0" borderId="0" xfId="0" applyAlignment="1">
      <alignment horizontal="center" vertical="center" wrapText="1"/>
    </xf>
    <xf numFmtId="0" fontId="0" fillId="0" borderId="23" xfId="0" applyBorder="1" applyAlignment="1">
      <alignment vertical="center" wrapText="1"/>
    </xf>
    <xf numFmtId="0" fontId="47" fillId="0" borderId="0" xfId="0" applyFont="1" applyAlignment="1">
      <alignment wrapText="1"/>
    </xf>
    <xf numFmtId="0" fontId="0" fillId="0" borderId="0" xfId="0" applyFill="1" applyAlignment="1">
      <alignment wrapText="1"/>
    </xf>
    <xf numFmtId="0" fontId="46" fillId="0" borderId="0" xfId="0" applyFont="1" applyFill="1"/>
    <xf numFmtId="0" fontId="47" fillId="0" borderId="0" xfId="0" applyFont="1" applyAlignment="1">
      <alignment horizontal="left"/>
    </xf>
    <xf numFmtId="3" fontId="0" fillId="0" borderId="0" xfId="0" applyNumberFormat="1" applyProtection="1"/>
    <xf numFmtId="4" fontId="0" fillId="0" borderId="0" xfId="0" applyNumberFormat="1" applyProtection="1"/>
    <xf numFmtId="0" fontId="46" fillId="0" borderId="0" xfId="0" applyFont="1" applyAlignment="1" applyProtection="1">
      <alignment horizontal="left" vertical="center" wrapText="1"/>
    </xf>
    <xf numFmtId="0" fontId="85" fillId="0" borderId="0" xfId="0" applyFont="1" applyProtection="1"/>
    <xf numFmtId="0" fontId="0" fillId="0" borderId="0" xfId="0" applyFill="1" applyAlignment="1" applyProtection="1">
      <alignment horizontal="center" vertical="center"/>
    </xf>
    <xf numFmtId="0" fontId="0" fillId="35" borderId="0" xfId="0" applyFill="1" applyAlignment="1" applyProtection="1">
      <alignment horizontal="center" vertical="center"/>
    </xf>
    <xf numFmtId="0" fontId="76" fillId="22" borderId="23" xfId="439" applyNumberFormat="1" applyFont="1" applyFill="1" applyBorder="1" applyAlignment="1" applyProtection="1">
      <alignment horizontal="center" vertical="center" wrapText="1"/>
      <protection locked="0"/>
    </xf>
    <xf numFmtId="38" fontId="52" fillId="0" borderId="0" xfId="439" applyNumberFormat="1" applyFont="1" applyFill="1" applyAlignment="1" applyProtection="1">
      <alignment horizontal="center" vertical="center" wrapText="1"/>
    </xf>
    <xf numFmtId="0" fontId="46" fillId="0" borderId="57" xfId="0" applyFont="1" applyBorder="1"/>
    <xf numFmtId="0" fontId="46" fillId="26" borderId="16" xfId="0" applyFont="1" applyFill="1" applyBorder="1" applyAlignment="1" applyProtection="1">
      <alignment horizontal="left"/>
    </xf>
    <xf numFmtId="0" fontId="46" fillId="0" borderId="59" xfId="0" applyFont="1" applyBorder="1" applyAlignment="1">
      <alignment vertical="center"/>
    </xf>
    <xf numFmtId="0" fontId="46" fillId="0" borderId="17" xfId="0" applyFont="1" applyBorder="1" applyAlignment="1">
      <alignment vertical="center"/>
    </xf>
    <xf numFmtId="0" fontId="46" fillId="0" borderId="0" xfId="0" applyFont="1" applyBorder="1" applyAlignment="1">
      <alignment vertical="center"/>
    </xf>
    <xf numFmtId="0" fontId="46" fillId="0" borderId="15" xfId="0" applyFont="1" applyBorder="1" applyAlignment="1">
      <alignment vertical="center"/>
    </xf>
    <xf numFmtId="38" fontId="46" fillId="29" borderId="0" xfId="439" applyNumberFormat="1" applyFont="1" applyFill="1" applyAlignment="1" applyProtection="1">
      <alignment horizontal="center" vertical="center"/>
      <protection locked="0"/>
    </xf>
    <xf numFmtId="164" fontId="46" fillId="28" borderId="0" xfId="439" applyNumberFormat="1" applyFont="1" applyFill="1" applyAlignment="1" applyProtection="1">
      <alignment horizontal="center" vertical="center"/>
      <protection locked="0"/>
    </xf>
    <xf numFmtId="2" fontId="47" fillId="28" borderId="0" xfId="0" applyNumberFormat="1" applyFont="1" applyFill="1" applyAlignment="1" applyProtection="1">
      <alignment horizontal="center" vertical="center" wrapText="1"/>
      <protection locked="0"/>
    </xf>
    <xf numFmtId="0" fontId="47" fillId="28" borderId="0" xfId="0" applyFont="1" applyFill="1" applyAlignment="1" applyProtection="1">
      <alignment horizontal="center" vertical="center"/>
      <protection locked="0"/>
    </xf>
    <xf numFmtId="0" fontId="47" fillId="28" borderId="0" xfId="0" applyFont="1" applyFill="1" applyAlignment="1" applyProtection="1">
      <alignment horizontal="center" vertical="center" wrapText="1"/>
      <protection locked="0"/>
    </xf>
    <xf numFmtId="3" fontId="47" fillId="28" borderId="0" xfId="0" applyNumberFormat="1" applyFont="1" applyFill="1" applyAlignment="1" applyProtection="1">
      <alignment horizontal="center" vertical="center"/>
      <protection locked="0"/>
    </xf>
    <xf numFmtId="3" fontId="47" fillId="28" borderId="0" xfId="0" applyNumberFormat="1" applyFont="1" applyFill="1" applyAlignment="1" applyProtection="1">
      <alignment horizontal="center" vertical="center" wrapText="1"/>
      <protection locked="0"/>
    </xf>
    <xf numFmtId="3" fontId="46" fillId="28" borderId="0" xfId="439" applyNumberFormat="1" applyFont="1" applyFill="1" applyAlignment="1" applyProtection="1">
      <alignment horizontal="center" vertical="center"/>
      <protection locked="0"/>
    </xf>
    <xf numFmtId="3" fontId="46" fillId="0" borderId="0" xfId="439" applyNumberFormat="1" applyFont="1" applyFill="1" applyAlignment="1" applyProtection="1">
      <alignment horizontal="center" vertical="center" wrapText="1"/>
      <protection locked="0"/>
    </xf>
    <xf numFmtId="3" fontId="46" fillId="22" borderId="0" xfId="439" applyNumberFormat="1" applyFont="1" applyFill="1" applyAlignment="1" applyProtection="1">
      <alignment horizontal="center" vertical="center" wrapText="1"/>
      <protection locked="0"/>
    </xf>
    <xf numFmtId="38" fontId="52" fillId="29" borderId="0" xfId="439" applyNumberFormat="1" applyFont="1" applyFill="1" applyAlignment="1" applyProtection="1">
      <alignment horizontal="center" vertical="center" wrapText="1"/>
      <protection locked="0"/>
    </xf>
    <xf numFmtId="41" fontId="87" fillId="28" borderId="0" xfId="439" applyNumberFormat="1" applyFont="1" applyFill="1" applyAlignment="1" applyProtection="1">
      <alignment wrapText="1"/>
      <protection locked="0"/>
    </xf>
    <xf numFmtId="41" fontId="49" fillId="28" borderId="0" xfId="0" applyNumberFormat="1" applyFont="1" applyFill="1" applyAlignment="1" applyProtection="1">
      <alignment wrapText="1"/>
      <protection locked="0"/>
    </xf>
    <xf numFmtId="41" fontId="87" fillId="28" borderId="0" xfId="0" applyNumberFormat="1" applyFont="1" applyFill="1" applyAlignment="1" applyProtection="1">
      <alignment wrapText="1"/>
      <protection locked="0"/>
    </xf>
    <xf numFmtId="0" fontId="146" fillId="28" borderId="0" xfId="0" applyFont="1" applyFill="1" applyAlignment="1" applyProtection="1">
      <protection locked="0"/>
    </xf>
    <xf numFmtId="14" fontId="48" fillId="29" borderId="0" xfId="439" applyNumberFormat="1" applyFont="1" applyFill="1" applyAlignment="1" applyProtection="1">
      <alignment horizontal="left" vertical="center" wrapText="1"/>
      <protection locked="0"/>
    </xf>
    <xf numFmtId="0" fontId="154" fillId="22" borderId="0" xfId="0" applyFont="1" applyFill="1" applyProtection="1"/>
    <xf numFmtId="0" fontId="112" fillId="22" borderId="0" xfId="0" applyFont="1" applyFill="1" applyAlignment="1" applyProtection="1">
      <alignment vertical="center" wrapText="1"/>
    </xf>
    <xf numFmtId="0" fontId="112" fillId="22" borderId="0" xfId="0" applyFont="1" applyFill="1" applyAlignment="1" applyProtection="1">
      <alignment vertical="center"/>
      <protection locked="0"/>
    </xf>
    <xf numFmtId="0" fontId="112" fillId="22" borderId="0" xfId="0" applyFont="1" applyFill="1" applyAlignment="1" applyProtection="1">
      <alignment vertical="center"/>
    </xf>
    <xf numFmtId="0" fontId="51" fillId="27" borderId="0" xfId="0" applyFont="1" applyFill="1" applyAlignment="1">
      <alignment horizontal="center"/>
    </xf>
    <xf numFmtId="1" fontId="0" fillId="27" borderId="0" xfId="0" applyNumberFormat="1" applyFill="1" applyAlignment="1">
      <alignment horizontal="right"/>
    </xf>
    <xf numFmtId="0" fontId="78" fillId="27" borderId="0" xfId="0" applyFont="1" applyFill="1" applyAlignment="1">
      <alignment horizontal="left" vertical="center" wrapText="1"/>
    </xf>
    <xf numFmtId="0" fontId="0" fillId="34" borderId="0" xfId="0" applyFill="1" applyAlignment="1">
      <alignment wrapText="1"/>
    </xf>
    <xf numFmtId="2" fontId="0" fillId="27" borderId="0" xfId="0" applyNumberFormat="1" applyFill="1"/>
    <xf numFmtId="0" fontId="88" fillId="0" borderId="0" xfId="683" applyFont="1" applyAlignment="1">
      <alignment horizontal="left" vertical="center" wrapText="1"/>
    </xf>
    <xf numFmtId="38" fontId="46" fillId="0" borderId="0" xfId="439" applyNumberFormat="1" applyFont="1" applyAlignment="1">
      <alignment horizontal="center" vertical="center"/>
    </xf>
    <xf numFmtId="0" fontId="0" fillId="0" borderId="0" xfId="0" applyAlignment="1">
      <alignment horizontal="center" wrapText="1"/>
    </xf>
    <xf numFmtId="40" fontId="78" fillId="0" borderId="0" xfId="439" applyNumberFormat="1" applyFont="1" applyAlignment="1">
      <alignment horizontal="center" vertical="center"/>
    </xf>
    <xf numFmtId="0" fontId="0" fillId="27" borderId="0" xfId="0" applyFill="1"/>
    <xf numFmtId="1" fontId="0" fillId="0" borderId="0" xfId="0" applyNumberFormat="1" applyAlignment="1">
      <alignment horizontal="right"/>
    </xf>
    <xf numFmtId="38" fontId="78" fillId="27" borderId="0" xfId="439" applyNumberFormat="1" applyFont="1" applyFill="1" applyAlignment="1">
      <alignment horizontal="center" vertical="center"/>
    </xf>
    <xf numFmtId="38" fontId="156" fillId="27" borderId="0" xfId="0" applyNumberFormat="1" applyFont="1" applyFill="1" applyAlignment="1">
      <alignment horizontal="center"/>
    </xf>
    <xf numFmtId="38" fontId="46" fillId="27" borderId="0" xfId="439" applyNumberFormat="1" applyFont="1" applyFill="1" applyAlignment="1">
      <alignment horizontal="center" vertical="center"/>
    </xf>
    <xf numFmtId="1" fontId="0" fillId="0" borderId="0" xfId="0" applyNumberFormat="1"/>
    <xf numFmtId="0" fontId="46" fillId="0" borderId="0" xfId="22965" applyFont="1" applyAlignment="1">
      <alignment horizontal="center" vertical="center"/>
    </xf>
    <xf numFmtId="0" fontId="41" fillId="27" borderId="23" xfId="720" applyFill="1" applyBorder="1" applyAlignment="1">
      <alignment vertical="center" wrapText="1"/>
    </xf>
    <xf numFmtId="169" fontId="78" fillId="0" borderId="0" xfId="0" applyNumberFormat="1" applyFont="1" applyAlignment="1">
      <alignment horizontal="center" vertical="center"/>
    </xf>
    <xf numFmtId="40" fontId="156" fillId="0" borderId="0" xfId="0" applyNumberFormat="1" applyFont="1" applyAlignment="1">
      <alignment horizontal="center"/>
    </xf>
    <xf numFmtId="170" fontId="155" fillId="0" borderId="0" xfId="0" applyNumberFormat="1" applyFont="1" applyAlignment="1">
      <alignment horizontal="center"/>
    </xf>
    <xf numFmtId="40" fontId="46" fillId="27" borderId="0" xfId="439" applyNumberFormat="1" applyFont="1" applyFill="1" applyAlignment="1">
      <alignment horizontal="center" vertical="center"/>
    </xf>
    <xf numFmtId="38" fontId="156" fillId="0" borderId="0" xfId="0" applyNumberFormat="1" applyFont="1" applyAlignment="1">
      <alignment horizontal="center"/>
    </xf>
    <xf numFmtId="40" fontId="46" fillId="0" borderId="0" xfId="439" applyNumberFormat="1" applyFont="1" applyAlignment="1">
      <alignment horizontal="center" vertical="center"/>
    </xf>
    <xf numFmtId="38" fontId="78" fillId="0" borderId="0" xfId="0" applyNumberFormat="1" applyFont="1" applyAlignment="1">
      <alignment horizontal="center" vertical="center"/>
    </xf>
    <xf numFmtId="0" fontId="51" fillId="0" borderId="0" xfId="684" applyFont="1" applyAlignment="1">
      <alignment vertical="center" wrapText="1"/>
    </xf>
    <xf numFmtId="2" fontId="78" fillId="27" borderId="0" xfId="439" applyNumberFormat="1" applyFont="1" applyFill="1" applyAlignment="1">
      <alignment horizontal="center" vertical="center"/>
    </xf>
    <xf numFmtId="0" fontId="40" fillId="0" borderId="0" xfId="683" applyAlignment="1">
      <alignment wrapText="1"/>
    </xf>
    <xf numFmtId="169" fontId="78" fillId="0" borderId="0" xfId="439" applyNumberFormat="1" applyFont="1" applyAlignment="1">
      <alignment horizontal="center" vertical="center"/>
    </xf>
    <xf numFmtId="0" fontId="33" fillId="27" borderId="0" xfId="1049" applyFill="1" applyAlignment="1">
      <alignment horizontal="left" wrapText="1"/>
    </xf>
    <xf numFmtId="40" fontId="78" fillId="0" borderId="0" xfId="0" applyNumberFormat="1" applyFont="1" applyAlignment="1">
      <alignment horizontal="center" vertical="center"/>
    </xf>
    <xf numFmtId="0" fontId="33" fillId="0" borderId="0" xfId="1049" applyAlignment="1">
      <alignment horizontal="left" wrapText="1"/>
    </xf>
    <xf numFmtId="169" fontId="46" fillId="0" borderId="0" xfId="439" applyNumberFormat="1" applyFont="1" applyAlignment="1">
      <alignment horizontal="center" vertical="center"/>
    </xf>
    <xf numFmtId="40" fontId="156" fillId="27" borderId="0" xfId="0" applyNumberFormat="1" applyFont="1" applyFill="1" applyAlignment="1">
      <alignment horizontal="center"/>
    </xf>
    <xf numFmtId="0" fontId="51" fillId="0" borderId="0" xfId="683" applyFont="1" applyAlignment="1">
      <alignment horizontal="left" vertical="center" wrapText="1"/>
    </xf>
    <xf numFmtId="169" fontId="78" fillId="27" borderId="0" xfId="0" applyNumberFormat="1" applyFont="1" applyFill="1" applyAlignment="1">
      <alignment horizontal="center" vertical="center"/>
    </xf>
    <xf numFmtId="2" fontId="156" fillId="27" borderId="0" xfId="0" applyNumberFormat="1" applyFont="1" applyFill="1" applyAlignment="1">
      <alignment horizontal="center"/>
    </xf>
    <xf numFmtId="1" fontId="0" fillId="27" borderId="0" xfId="0" applyNumberFormat="1" applyFill="1"/>
    <xf numFmtId="0" fontId="41" fillId="0" borderId="0" xfId="1531"/>
    <xf numFmtId="0" fontId="78" fillId="0" borderId="0" xfId="0" applyFont="1" applyAlignment="1">
      <alignment horizontal="left" vertical="center" wrapText="1"/>
    </xf>
    <xf numFmtId="169" fontId="0" fillId="27" borderId="0" xfId="0" applyNumberFormat="1" applyFill="1"/>
    <xf numFmtId="40" fontId="155" fillId="0" borderId="0" xfId="0" applyNumberFormat="1" applyFont="1" applyAlignment="1">
      <alignment horizontal="center"/>
    </xf>
    <xf numFmtId="1" fontId="41" fillId="0" borderId="0" xfId="1531" applyNumberFormat="1" applyAlignment="1">
      <alignment horizontal="right"/>
    </xf>
    <xf numFmtId="169" fontId="59" fillId="0" borderId="0" xfId="0" applyNumberFormat="1" applyFont="1" applyAlignment="1">
      <alignment horizontal="center" vertical="center"/>
    </xf>
    <xf numFmtId="1" fontId="41" fillId="0" borderId="0" xfId="1531" applyNumberFormat="1"/>
    <xf numFmtId="38" fontId="155" fillId="27" borderId="0" xfId="0" applyNumberFormat="1" applyFont="1" applyFill="1" applyAlignment="1">
      <alignment horizontal="center"/>
    </xf>
    <xf numFmtId="169" fontId="78" fillId="27" borderId="0" xfId="439" applyNumberFormat="1" applyFont="1" applyFill="1" applyAlignment="1">
      <alignment horizontal="center" vertical="center"/>
    </xf>
    <xf numFmtId="169" fontId="156" fillId="0" borderId="0" xfId="0" applyNumberFormat="1" applyFont="1" applyAlignment="1">
      <alignment horizontal="center"/>
    </xf>
    <xf numFmtId="2" fontId="78" fillId="27" borderId="0" xfId="0" applyNumberFormat="1" applyFont="1" applyFill="1" applyAlignment="1">
      <alignment horizontal="left" vertical="center" wrapText="1"/>
    </xf>
    <xf numFmtId="169" fontId="78" fillId="0" borderId="0" xfId="0" applyNumberFormat="1" applyFont="1" applyAlignment="1">
      <alignment horizontal="left" vertical="center"/>
    </xf>
    <xf numFmtId="0" fontId="41" fillId="0" borderId="0" xfId="720" applyAlignment="1">
      <alignment vertical="center" wrapText="1"/>
    </xf>
    <xf numFmtId="0" fontId="0" fillId="0" borderId="0" xfId="0" applyAlignment="1">
      <alignment horizontal="center"/>
    </xf>
    <xf numFmtId="0" fontId="40" fillId="34" borderId="0" xfId="2858" applyFill="1" applyAlignment="1">
      <alignment horizontal="left" vertical="center" wrapText="1"/>
    </xf>
    <xf numFmtId="169" fontId="78" fillId="0" borderId="0" xfId="0" applyNumberFormat="1" applyFont="1" applyAlignment="1">
      <alignment horizontal="left" vertical="center" wrapText="1"/>
    </xf>
    <xf numFmtId="170" fontId="78" fillId="0" borderId="0" xfId="0" applyNumberFormat="1" applyFont="1" applyAlignment="1">
      <alignment horizontal="center" vertical="center"/>
    </xf>
    <xf numFmtId="170" fontId="46" fillId="0" borderId="0" xfId="439" applyNumberFormat="1" applyFont="1" applyAlignment="1">
      <alignment horizontal="center" vertical="center"/>
    </xf>
    <xf numFmtId="0" fontId="40" fillId="27" borderId="0" xfId="683" applyFill="1" applyAlignment="1">
      <alignment vertical="center" wrapText="1"/>
    </xf>
    <xf numFmtId="38" fontId="78" fillId="27" borderId="0" xfId="0" applyNumberFormat="1" applyFont="1" applyFill="1" applyAlignment="1">
      <alignment horizontal="center" vertical="center"/>
    </xf>
    <xf numFmtId="38" fontId="78" fillId="0" borderId="0" xfId="439" applyNumberFormat="1" applyFont="1" applyAlignment="1">
      <alignment horizontal="center" vertical="center"/>
    </xf>
    <xf numFmtId="40" fontId="78" fillId="27" borderId="0" xfId="439" applyNumberFormat="1" applyFont="1" applyFill="1" applyAlignment="1">
      <alignment horizontal="center" vertical="center"/>
    </xf>
    <xf numFmtId="169" fontId="156" fillId="27" borderId="0" xfId="0" applyNumberFormat="1" applyFont="1" applyFill="1" applyAlignment="1">
      <alignment horizontal="center"/>
    </xf>
    <xf numFmtId="0" fontId="51" fillId="0" borderId="0" xfId="0" applyFont="1" applyAlignment="1">
      <alignment horizontal="center"/>
    </xf>
    <xf numFmtId="170" fontId="156" fillId="0" borderId="0" xfId="0" applyNumberFormat="1" applyFont="1" applyAlignment="1">
      <alignment horizontal="center"/>
    </xf>
    <xf numFmtId="0" fontId="40" fillId="0" borderId="0" xfId="683"/>
    <xf numFmtId="0" fontId="29" fillId="34" borderId="0" xfId="0" applyFont="1" applyFill="1" applyAlignment="1">
      <alignment horizontal="left" vertical="center" wrapText="1"/>
    </xf>
    <xf numFmtId="169" fontId="78" fillId="27" borderId="0" xfId="0" applyNumberFormat="1" applyFont="1" applyFill="1" applyAlignment="1">
      <alignment horizontal="left" vertical="center" wrapText="1"/>
    </xf>
    <xf numFmtId="0" fontId="41" fillId="0" borderId="23" xfId="720" applyBorder="1" applyAlignment="1">
      <alignment vertical="center" wrapText="1"/>
    </xf>
    <xf numFmtId="0" fontId="40" fillId="0" borderId="0" xfId="683" applyAlignment="1" applyProtection="1">
      <alignment vertical="center" wrapText="1"/>
      <protection locked="0"/>
    </xf>
    <xf numFmtId="2" fontId="46" fillId="27" borderId="0" xfId="439" applyNumberFormat="1" applyFont="1" applyFill="1" applyAlignment="1">
      <alignment horizontal="center" vertical="center"/>
    </xf>
    <xf numFmtId="0" fontId="14" fillId="0" borderId="0" xfId="841" applyAlignment="1">
      <alignment horizontal="left" vertical="center" wrapText="1"/>
    </xf>
    <xf numFmtId="40" fontId="78" fillId="27" borderId="0" xfId="0" applyNumberFormat="1" applyFont="1" applyFill="1" applyAlignment="1">
      <alignment horizontal="center" vertical="center"/>
    </xf>
    <xf numFmtId="10" fontId="46" fillId="0" borderId="41" xfId="4688" applyNumberFormat="1" applyFont="1" applyBorder="1" applyAlignment="1" applyProtection="1">
      <alignment horizontal="right"/>
    </xf>
    <xf numFmtId="38" fontId="155" fillId="0" borderId="0" xfId="0" applyNumberFormat="1" applyFont="1" applyAlignment="1">
      <alignment horizontal="center"/>
    </xf>
    <xf numFmtId="40" fontId="155" fillId="27" borderId="0" xfId="0" applyNumberFormat="1" applyFont="1" applyFill="1" applyAlignment="1">
      <alignment horizontal="center"/>
    </xf>
    <xf numFmtId="0" fontId="46" fillId="0" borderId="0" xfId="683" applyFont="1"/>
    <xf numFmtId="169" fontId="157" fillId="0" borderId="0" xfId="0" applyNumberFormat="1" applyFont="1" applyAlignment="1">
      <alignment horizontal="center" vertical="center"/>
    </xf>
    <xf numFmtId="0" fontId="40" fillId="0" borderId="0" xfId="683" applyAlignment="1">
      <alignment vertical="center" wrapText="1"/>
    </xf>
    <xf numFmtId="169" fontId="155" fillId="0" borderId="0" xfId="0" applyNumberFormat="1" applyFont="1" applyAlignment="1">
      <alignment horizontal="center"/>
    </xf>
    <xf numFmtId="169" fontId="0" fillId="0" borderId="0" xfId="0" applyNumberFormat="1"/>
    <xf numFmtId="170" fontId="78" fillId="0" borderId="0" xfId="439" applyNumberFormat="1" applyFont="1" applyAlignment="1">
      <alignment horizontal="center" vertical="center"/>
    </xf>
    <xf numFmtId="2" fontId="78" fillId="27" borderId="0" xfId="0" applyNumberFormat="1" applyFont="1" applyFill="1" applyAlignment="1">
      <alignment horizontal="center" vertical="center"/>
    </xf>
    <xf numFmtId="169" fontId="155" fillId="27" borderId="0" xfId="0" applyNumberFormat="1" applyFont="1" applyFill="1" applyAlignment="1">
      <alignment horizontal="center"/>
    </xf>
    <xf numFmtId="2" fontId="155" fillId="27" borderId="0" xfId="0" applyNumberFormat="1" applyFont="1" applyFill="1" applyAlignment="1">
      <alignment horizontal="center"/>
    </xf>
    <xf numFmtId="0" fontId="54" fillId="0" borderId="0" xfId="683" applyFont="1" applyAlignment="1">
      <alignment horizontal="right" vertical="center"/>
    </xf>
    <xf numFmtId="169" fontId="46" fillId="27" borderId="0" xfId="439" applyNumberFormat="1" applyFont="1" applyFill="1" applyAlignment="1">
      <alignment horizontal="center" vertical="center"/>
    </xf>
    <xf numFmtId="0" fontId="40" fillId="27" borderId="0" xfId="683" applyFill="1" applyAlignment="1">
      <alignment wrapText="1"/>
    </xf>
    <xf numFmtId="0" fontId="0" fillId="27" borderId="0" xfId="1531" applyFont="1" applyFill="1"/>
    <xf numFmtId="0" fontId="0" fillId="0" borderId="0" xfId="0"/>
    <xf numFmtId="0" fontId="0" fillId="0" borderId="61" xfId="0" applyNumberFormat="1" applyFont="1" applyFill="1" applyBorder="1" applyAlignment="1">
      <alignment horizontal="center"/>
    </xf>
    <xf numFmtId="0" fontId="1" fillId="0" borderId="62" xfId="0" applyFont="1" applyFill="1" applyBorder="1" applyAlignment="1">
      <alignment vertical="center" wrapText="1"/>
    </xf>
    <xf numFmtId="0" fontId="40" fillId="27" borderId="0" xfId="683" applyFill="1"/>
    <xf numFmtId="0" fontId="41" fillId="29" borderId="0" xfId="720" applyFill="1"/>
    <xf numFmtId="0" fontId="41" fillId="27" borderId="0" xfId="1531" applyFill="1"/>
    <xf numFmtId="1" fontId="41" fillId="27" borderId="0" xfId="1531" applyNumberFormat="1" applyFill="1" applyAlignment="1">
      <alignment horizontal="right"/>
    </xf>
    <xf numFmtId="3" fontId="0" fillId="0" borderId="0" xfId="0" applyNumberFormat="1"/>
    <xf numFmtId="41" fontId="49" fillId="0" borderId="0" xfId="0" applyNumberFormat="1" applyFont="1" applyFill="1" applyAlignment="1">
      <alignment wrapText="1"/>
    </xf>
    <xf numFmtId="0" fontId="112" fillId="0" borderId="0" xfId="0" applyFont="1" applyFill="1" applyAlignment="1" applyProtection="1">
      <alignment horizontal="center"/>
    </xf>
    <xf numFmtId="0" fontId="0" fillId="0" borderId="45" xfId="0" applyFill="1" applyBorder="1" applyProtection="1"/>
    <xf numFmtId="0" fontId="95" fillId="0" borderId="45" xfId="0" applyFont="1" applyFill="1" applyBorder="1"/>
    <xf numFmtId="0" fontId="0" fillId="0" borderId="45" xfId="0" applyFill="1" applyBorder="1" applyAlignment="1" applyProtection="1">
      <alignment horizontal="center" vertical="center"/>
    </xf>
    <xf numFmtId="0" fontId="83" fillId="0" borderId="45" xfId="0" applyFont="1" applyFill="1" applyBorder="1" applyAlignment="1" applyProtection="1">
      <alignment horizontal="center" vertical="center" wrapText="1"/>
    </xf>
    <xf numFmtId="38" fontId="0" fillId="0" borderId="45" xfId="0" applyNumberFormat="1" applyFill="1" applyBorder="1" applyProtection="1"/>
    <xf numFmtId="41" fontId="48" fillId="28" borderId="0" xfId="439" applyNumberFormat="1" applyFont="1" applyFill="1" applyAlignment="1" applyProtection="1">
      <alignment vertical="center" wrapText="1"/>
      <protection locked="0"/>
    </xf>
    <xf numFmtId="41" fontId="87" fillId="0" borderId="0" xfId="439" applyNumberFormat="1" applyFont="1" applyFill="1" applyAlignment="1" applyProtection="1">
      <alignment vertical="center" wrapText="1"/>
      <protection locked="0"/>
    </xf>
    <xf numFmtId="0" fontId="0" fillId="0" borderId="26" xfId="0" applyNumberFormat="1" applyFill="1" applyBorder="1" applyAlignment="1" applyProtection="1">
      <alignment horizontal="center" vertical="center" wrapText="1"/>
    </xf>
    <xf numFmtId="0" fontId="0" fillId="34" borderId="25" xfId="0" applyNumberFormat="1" applyFill="1" applyBorder="1" applyAlignment="1" applyProtection="1">
      <alignment horizontal="center" vertical="center" wrapText="1"/>
    </xf>
    <xf numFmtId="0" fontId="0" fillId="0" borderId="24" xfId="0" applyNumberFormat="1" applyFill="1" applyBorder="1" applyAlignment="1" applyProtection="1">
      <alignment horizontal="center" vertical="center" wrapText="1"/>
    </xf>
    <xf numFmtId="0" fontId="0" fillId="34" borderId="45" xfId="0" applyNumberFormat="1" applyFill="1" applyBorder="1" applyAlignment="1" applyProtection="1">
      <alignment horizontal="center" vertical="center" wrapText="1"/>
    </xf>
    <xf numFmtId="0" fontId="0" fillId="0" borderId="34" xfId="0" applyNumberFormat="1" applyFill="1" applyBorder="1" applyAlignment="1" applyProtection="1">
      <alignment horizontal="center" vertical="center" wrapText="1"/>
    </xf>
    <xf numFmtId="0" fontId="0" fillId="0" borderId="35" xfId="0" applyNumberFormat="1" applyFill="1" applyBorder="1" applyAlignment="1" applyProtection="1">
      <alignment horizontal="center" vertical="center" wrapText="1"/>
    </xf>
    <xf numFmtId="0" fontId="0" fillId="34" borderId="25" xfId="0" applyNumberFormat="1" applyFont="1" applyFill="1" applyBorder="1" applyAlignment="1" applyProtection="1">
      <alignment horizontal="center" vertical="center" wrapText="1"/>
    </xf>
    <xf numFmtId="0" fontId="0" fillId="23" borderId="25" xfId="0" applyNumberFormat="1" applyFill="1" applyBorder="1" applyAlignment="1" applyProtection="1">
      <alignment horizontal="center" vertical="center" wrapText="1"/>
    </xf>
    <xf numFmtId="0" fontId="0" fillId="22" borderId="25" xfId="0" applyNumberFormat="1" applyFill="1" applyBorder="1" applyAlignment="1" applyProtection="1">
      <alignment horizontal="center" vertical="center" wrapText="1"/>
    </xf>
    <xf numFmtId="0" fontId="99" fillId="22" borderId="0" xfId="0" applyFont="1" applyFill="1" applyAlignment="1" applyProtection="1">
      <alignment horizontal="center"/>
    </xf>
    <xf numFmtId="43" fontId="40" fillId="0" borderId="0" xfId="545" applyNumberFormat="1" applyFont="1" applyFill="1" applyProtection="1"/>
    <xf numFmtId="43" fontId="40" fillId="0" borderId="0" xfId="545" applyNumberFormat="1" applyFont="1" applyProtection="1"/>
    <xf numFmtId="0" fontId="0" fillId="22" borderId="29" xfId="0" applyFill="1" applyBorder="1" applyAlignment="1" applyProtection="1">
      <alignment vertical="center"/>
    </xf>
    <xf numFmtId="0" fontId="46" fillId="0" borderId="24" xfId="0" applyFont="1" applyBorder="1" applyAlignment="1">
      <alignment horizontal="center" vertical="center"/>
    </xf>
    <xf numFmtId="0" fontId="48" fillId="0" borderId="0" xfId="0" applyFont="1" applyAlignment="1">
      <alignment horizontal="left" vertical="center" wrapText="1"/>
    </xf>
    <xf numFmtId="0" fontId="46" fillId="75" borderId="0" xfId="0" applyFont="1" applyFill="1" applyAlignment="1">
      <alignment horizontal="left" vertical="center" wrapText="1"/>
    </xf>
    <xf numFmtId="0" fontId="46" fillId="0" borderId="0" xfId="0" applyFont="1" applyAlignment="1">
      <alignment vertical="center"/>
    </xf>
    <xf numFmtId="41" fontId="87" fillId="0" borderId="0" xfId="439" applyNumberFormat="1" applyFont="1" applyAlignment="1">
      <alignment vertical="center" wrapText="1"/>
    </xf>
    <xf numFmtId="41" fontId="98" fillId="0" borderId="0" xfId="439" applyNumberFormat="1" applyFont="1" applyAlignment="1">
      <alignment vertical="center" wrapText="1"/>
    </xf>
    <xf numFmtId="0" fontId="46" fillId="26" borderId="26" xfId="0" applyNumberFormat="1" applyFont="1" applyFill="1" applyBorder="1" applyAlignment="1" applyProtection="1">
      <alignment horizontal="center" vertical="center"/>
    </xf>
    <xf numFmtId="0" fontId="0" fillId="26" borderId="31" xfId="0" applyFont="1" applyFill="1" applyBorder="1" applyAlignment="1" applyProtection="1">
      <alignment vertical="center" wrapText="1"/>
    </xf>
    <xf numFmtId="164" fontId="40" fillId="26" borderId="29" xfId="439" applyNumberFormat="1" applyFont="1" applyFill="1" applyBorder="1" applyAlignment="1" applyProtection="1">
      <alignment vertical="center"/>
    </xf>
    <xf numFmtId="0" fontId="46" fillId="26" borderId="25" xfId="0" applyNumberFormat="1" applyFont="1" applyFill="1" applyBorder="1" applyAlignment="1" applyProtection="1">
      <alignment horizontal="center" vertical="center"/>
    </xf>
    <xf numFmtId="0" fontId="0" fillId="26" borderId="23" xfId="0" applyFont="1" applyFill="1" applyBorder="1" applyAlignment="1" applyProtection="1">
      <alignment vertical="center" wrapText="1"/>
    </xf>
    <xf numFmtId="39" fontId="40" fillId="26" borderId="28" xfId="439" applyNumberFormat="1" applyFont="1" applyFill="1" applyBorder="1" applyAlignment="1" applyProtection="1">
      <alignment vertical="center"/>
    </xf>
    <xf numFmtId="171" fontId="76" fillId="34" borderId="29" xfId="439" applyNumberFormat="1" applyFont="1" applyFill="1" applyBorder="1" applyAlignment="1" applyProtection="1">
      <alignment horizontal="center" vertical="center" wrapText="1"/>
    </xf>
    <xf numFmtId="37" fontId="40" fillId="34" borderId="27" xfId="439" applyNumberFormat="1" applyFont="1" applyFill="1" applyBorder="1" applyAlignment="1" applyProtection="1">
      <alignment vertical="center"/>
    </xf>
    <xf numFmtId="37" fontId="46" fillId="34" borderId="45" xfId="439" applyNumberFormat="1" applyFont="1" applyFill="1" applyBorder="1" applyAlignment="1" applyProtection="1">
      <alignment horizontal="center" vertical="center" wrapText="1"/>
    </xf>
    <xf numFmtId="41" fontId="49" fillId="0" borderId="0" xfId="0" applyNumberFormat="1" applyFont="1" applyFill="1" applyAlignment="1" applyProtection="1">
      <alignment vertical="center" wrapText="1"/>
    </xf>
    <xf numFmtId="39" fontId="76" fillId="20" borderId="28" xfId="439" applyNumberFormat="1" applyFont="1" applyFill="1" applyBorder="1" applyAlignment="1" applyProtection="1">
      <alignment horizontal="center" vertical="center" wrapText="1"/>
    </xf>
    <xf numFmtId="180" fontId="76" fillId="34" borderId="23" xfId="439" applyNumberFormat="1" applyFont="1" applyFill="1" applyBorder="1" applyAlignment="1" applyProtection="1">
      <alignment horizontal="center" vertical="center" wrapText="1"/>
    </xf>
    <xf numFmtId="174" fontId="40" fillId="34" borderId="28" xfId="439" applyNumberFormat="1" applyFont="1" applyFill="1" applyBorder="1" applyAlignment="1" applyProtection="1">
      <alignment vertical="center"/>
    </xf>
    <xf numFmtId="180" fontId="76" fillId="0" borderId="23" xfId="439" applyNumberFormat="1" applyFont="1" applyFill="1" applyBorder="1" applyAlignment="1" applyProtection="1">
      <alignment horizontal="center" vertical="center" wrapText="1"/>
    </xf>
    <xf numFmtId="174" fontId="40" fillId="0" borderId="28" xfId="439" applyNumberFormat="1" applyFont="1" applyFill="1" applyBorder="1" applyAlignment="1" applyProtection="1">
      <alignment vertical="center"/>
    </xf>
    <xf numFmtId="0" fontId="46" fillId="0" borderId="0" xfId="0" applyFont="1" applyFill="1" applyBorder="1" applyAlignment="1" applyProtection="1">
      <alignment horizontal="left" vertic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0" fontId="0" fillId="0" borderId="0" xfId="0" applyFont="1"/>
    <xf numFmtId="0" fontId="0" fillId="21" borderId="0" xfId="0" applyFont="1" applyFill="1" applyAlignment="1" applyProtection="1">
      <alignment wrapText="1"/>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0" xfId="0" applyFont="1" applyFill="1" applyProtection="1"/>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0" fillId="21" borderId="10" xfId="0" applyFont="1" applyFill="1" applyBorder="1" applyAlignment="1" applyProtection="1">
      <alignment horizontal="center" vertical="center" wrapText="1"/>
    </xf>
    <xf numFmtId="0" fontId="77" fillId="28" borderId="0" xfId="0" applyFont="1" applyFill="1" applyAlignment="1" applyProtection="1">
      <alignment horizontal="left" vertical="center"/>
    </xf>
    <xf numFmtId="0" fontId="52" fillId="28" borderId="0" xfId="0" applyFont="1" applyFill="1" applyAlignment="1" applyProtection="1">
      <alignment horizontal="left" vertical="center"/>
    </xf>
    <xf numFmtId="0" fontId="0" fillId="28" borderId="0" xfId="0" applyNumberFormat="1" applyFont="1" applyFill="1" applyAlignment="1" applyProtection="1">
      <alignment wrapText="1"/>
    </xf>
    <xf numFmtId="164" fontId="0" fillId="28" borderId="0" xfId="0" applyNumberFormat="1" applyFont="1" applyFill="1" applyAlignment="1" applyProtection="1">
      <alignment vertical="center"/>
    </xf>
    <xf numFmtId="0" fontId="62" fillId="0" borderId="0" xfId="0" applyFont="1" applyFill="1" applyAlignment="1" applyProtection="1">
      <alignment horizontal="center" vertical="center" wrapText="1"/>
    </xf>
    <xf numFmtId="0" fontId="48" fillId="0" borderId="0" xfId="0" applyFont="1" applyFill="1" applyAlignment="1" applyProtection="1">
      <alignment horizontal="center" vertical="center" wrapText="1"/>
    </xf>
    <xf numFmtId="0" fontId="0" fillId="0" borderId="0" xfId="0" applyFont="1" applyFill="1" applyAlignment="1" applyProtection="1">
      <alignment wrapText="1"/>
      <protection locked="0"/>
    </xf>
    <xf numFmtId="0" fontId="0" fillId="0" borderId="0" xfId="0" applyFont="1" applyFill="1" applyProtection="1">
      <protection locked="0"/>
    </xf>
    <xf numFmtId="3" fontId="0" fillId="0" borderId="0" xfId="0" applyNumberFormat="1" applyFont="1" applyFill="1" applyProtection="1"/>
    <xf numFmtId="0" fontId="84" fillId="0" borderId="62" xfId="0" applyFont="1" applyFill="1" applyBorder="1" applyAlignment="1">
      <alignment vertical="center" wrapText="1"/>
    </xf>
    <xf numFmtId="0" fontId="62" fillId="0" borderId="0" xfId="0" applyFont="1" applyAlignment="1" applyProtection="1">
      <alignment horizontal="center" vertical="center" wrapText="1"/>
    </xf>
    <xf numFmtId="0" fontId="159" fillId="0" borderId="0" xfId="0" applyNumberFormat="1" applyFont="1" applyFill="1" applyAlignment="1" applyProtection="1">
      <alignment vertical="center" wrapText="1"/>
    </xf>
    <xf numFmtId="164" fontId="0" fillId="0" borderId="0" xfId="0" applyNumberFormat="1" applyFont="1" applyFill="1" applyAlignment="1" applyProtection="1">
      <alignment wrapText="1"/>
      <protection locked="0"/>
    </xf>
    <xf numFmtId="0" fontId="62" fillId="34" borderId="45" xfId="0" applyFont="1" applyFill="1" applyBorder="1" applyAlignment="1" applyProtection="1">
      <alignment horizontal="center" vertical="center" wrapText="1"/>
    </xf>
    <xf numFmtId="0" fontId="48" fillId="34" borderId="45" xfId="0" applyFont="1" applyFill="1" applyBorder="1" applyAlignment="1" applyProtection="1">
      <alignment horizontal="center" vertical="center" wrapText="1"/>
    </xf>
    <xf numFmtId="0" fontId="84" fillId="34" borderId="45" xfId="0" applyNumberFormat="1" applyFont="1" applyFill="1" applyBorder="1" applyAlignment="1" applyProtection="1">
      <alignment horizontal="left" vertical="center" wrapText="1"/>
    </xf>
    <xf numFmtId="0" fontId="0" fillId="0" borderId="45" xfId="0" applyFont="1" applyFill="1" applyBorder="1" applyAlignment="1" applyProtection="1">
      <alignment wrapText="1"/>
      <protection locked="0"/>
    </xf>
    <xf numFmtId="0" fontId="163" fillId="34" borderId="45" xfId="0" applyFont="1" applyFill="1" applyBorder="1" applyAlignment="1" applyProtection="1">
      <alignment horizontal="center" vertical="center" wrapText="1"/>
    </xf>
    <xf numFmtId="0" fontId="46" fillId="28" borderId="0" xfId="0" applyFont="1" applyFill="1" applyAlignment="1" applyProtection="1">
      <alignment horizontal="left" vertical="center"/>
    </xf>
    <xf numFmtId="0" fontId="0" fillId="28" borderId="0" xfId="0" applyFont="1" applyFill="1" applyAlignment="1" applyProtection="1">
      <alignment horizontal="left" vertical="center"/>
    </xf>
    <xf numFmtId="164" fontId="0" fillId="28" borderId="0" xfId="439" applyNumberFormat="1" applyFont="1" applyFill="1" applyAlignment="1" applyProtection="1">
      <alignment vertical="center"/>
    </xf>
    <xf numFmtId="37" fontId="0" fillId="28" borderId="0" xfId="439" applyNumberFormat="1" applyFont="1" applyFill="1" applyAlignment="1" applyProtection="1">
      <alignment horizontal="center" vertical="center"/>
      <protection locked="0"/>
    </xf>
    <xf numFmtId="0" fontId="48" fillId="0" borderId="0" xfId="0" applyFont="1" applyAlignment="1" applyProtection="1">
      <alignment horizontal="center" vertical="center" wrapText="1"/>
    </xf>
    <xf numFmtId="38" fontId="0" fillId="0" borderId="0" xfId="0" applyNumberFormat="1" applyFont="1" applyFill="1" applyAlignment="1" applyProtection="1">
      <alignment wrapText="1"/>
      <protection locked="0"/>
    </xf>
    <xf numFmtId="0" fontId="159" fillId="0" borderId="0" xfId="0" applyFont="1" applyFill="1" applyAlignment="1" applyProtection="1">
      <alignment vertical="center" wrapText="1"/>
    </xf>
    <xf numFmtId="0" fontId="0" fillId="0" borderId="0" xfId="0" applyFont="1" applyFill="1" applyAlignment="1" applyProtection="1">
      <alignment horizontal="left" vertical="center"/>
    </xf>
    <xf numFmtId="0" fontId="76" fillId="0" borderId="0" xfId="0" applyFont="1" applyFill="1" applyAlignment="1" applyProtection="1">
      <alignment horizontal="center" vertical="center" wrapText="1"/>
    </xf>
    <xf numFmtId="37" fontId="0" fillId="29" borderId="0" xfId="439" applyNumberFormat="1" applyFont="1" applyFill="1" applyAlignment="1" applyProtection="1">
      <alignment horizontal="center" vertical="center"/>
      <protection locked="0"/>
    </xf>
    <xf numFmtId="164" fontId="0" fillId="28" borderId="0" xfId="439" applyNumberFormat="1" applyFont="1" applyFill="1" applyAlignment="1" applyProtection="1">
      <alignment horizontal="center" vertical="center"/>
      <protection locked="0"/>
    </xf>
    <xf numFmtId="0" fontId="163" fillId="0" borderId="0" xfId="0" applyFont="1" applyFill="1" applyAlignment="1" applyProtection="1">
      <alignment horizontal="center" vertical="center" wrapText="1"/>
    </xf>
    <xf numFmtId="0" fontId="86" fillId="0" borderId="0" xfId="0" applyFont="1" applyFill="1" applyAlignment="1" applyProtection="1">
      <alignment horizontal="center" vertical="center" wrapText="1"/>
    </xf>
    <xf numFmtId="0" fontId="0" fillId="0" borderId="0" xfId="0" applyFont="1" applyFill="1" applyAlignment="1" applyProtection="1">
      <alignment horizontal="left" vertical="center" wrapText="1"/>
    </xf>
    <xf numFmtId="0" fontId="163" fillId="34" borderId="0" xfId="0" applyFont="1" applyFill="1" applyAlignment="1" applyProtection="1">
      <alignment horizontal="center" vertical="center" wrapText="1"/>
    </xf>
    <xf numFmtId="0" fontId="86" fillId="34" borderId="0" xfId="0" applyFont="1" applyFill="1" applyAlignment="1" applyProtection="1">
      <alignment horizontal="center" vertical="center" wrapText="1"/>
    </xf>
    <xf numFmtId="0" fontId="0" fillId="34" borderId="0" xfId="0" applyNumberFormat="1" applyFont="1" applyFill="1" applyAlignment="1" applyProtection="1">
      <alignment vertical="center" wrapText="1"/>
    </xf>
    <xf numFmtId="0" fontId="46" fillId="28" borderId="0" xfId="0" applyFont="1" applyFill="1" applyAlignment="1" applyProtection="1">
      <alignment vertical="center"/>
    </xf>
    <xf numFmtId="0" fontId="0" fillId="34" borderId="45" xfId="0" applyNumberFormat="1" applyFont="1" applyFill="1" applyBorder="1" applyAlignment="1" applyProtection="1">
      <alignment vertical="center" wrapText="1"/>
    </xf>
    <xf numFmtId="164" fontId="0" fillId="0" borderId="45" xfId="0" applyNumberFormat="1" applyFont="1" applyFill="1" applyBorder="1" applyAlignment="1" applyProtection="1">
      <alignment wrapText="1"/>
      <protection locked="0"/>
    </xf>
    <xf numFmtId="0" fontId="0" fillId="0" borderId="0" xfId="0" applyFont="1" applyFill="1" applyAlignment="1" applyProtection="1">
      <alignment vertical="center"/>
    </xf>
    <xf numFmtId="37" fontId="0" fillId="0" borderId="0" xfId="0" applyNumberFormat="1" applyFont="1" applyAlignment="1" applyProtection="1">
      <alignment wrapText="1"/>
      <protection locked="0"/>
    </xf>
    <xf numFmtId="164" fontId="0" fillId="0" borderId="0" xfId="0" applyNumberFormat="1" applyFont="1" applyAlignment="1" applyProtection="1">
      <alignment wrapText="1"/>
      <protection locked="0"/>
    </xf>
    <xf numFmtId="0" fontId="0" fillId="0" borderId="0" xfId="0" applyFont="1" applyAlignment="1" applyProtection="1">
      <alignment wrapText="1"/>
    </xf>
    <xf numFmtId="0" fontId="62" fillId="0" borderId="0" xfId="0" applyFont="1" applyAlignment="1" applyProtection="1">
      <alignment horizontal="center" vertical="center"/>
    </xf>
    <xf numFmtId="3" fontId="0" fillId="28" borderId="0" xfId="439" applyNumberFormat="1" applyFont="1" applyFill="1" applyAlignment="1" applyProtection="1">
      <alignment horizontal="center" vertical="center"/>
      <protection locked="0"/>
    </xf>
    <xf numFmtId="0" fontId="84" fillId="28" borderId="0" xfId="0" applyFont="1" applyFill="1" applyAlignment="1" applyProtection="1">
      <alignment horizontal="left" vertical="center"/>
    </xf>
    <xf numFmtId="0" fontId="57" fillId="0" borderId="0" xfId="0" applyFont="1" applyAlignment="1" applyProtection="1">
      <alignment horizontal="center" vertical="center" wrapText="1"/>
    </xf>
    <xf numFmtId="0" fontId="0" fillId="0" borderId="0" xfId="0" applyFont="1" applyFill="1" applyAlignment="1" applyProtection="1">
      <alignment horizontal="center" vertical="center"/>
    </xf>
    <xf numFmtId="0" fontId="0" fillId="0" borderId="0" xfId="0" applyNumberFormat="1" applyFont="1" applyFill="1" applyAlignment="1" applyProtection="1">
      <alignment wrapText="1"/>
    </xf>
    <xf numFmtId="0" fontId="76" fillId="0" borderId="0" xfId="0" applyFont="1" applyAlignment="1" applyProtection="1">
      <alignment horizontal="center" vertical="center" wrapText="1"/>
    </xf>
    <xf numFmtId="0" fontId="0" fillId="22" borderId="0" xfId="0" applyFont="1" applyFill="1" applyAlignment="1" applyProtection="1">
      <alignment horizontal="center" vertical="center"/>
    </xf>
    <xf numFmtId="0" fontId="76" fillId="0" borderId="0" xfId="0" applyFont="1" applyFill="1" applyAlignment="1" applyProtection="1">
      <alignment horizontal="center" vertical="center"/>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protection locked="0"/>
    </xf>
    <xf numFmtId="0" fontId="48" fillId="0" borderId="0" xfId="0" applyFont="1" applyFill="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protection locked="0"/>
    </xf>
    <xf numFmtId="0" fontId="0" fillId="0" borderId="14" xfId="0" applyFont="1" applyFill="1" applyBorder="1" applyAlignment="1" applyProtection="1">
      <alignment horizontal="center" vertical="center"/>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8" fontId="0" fillId="35" borderId="0" xfId="0" applyNumberFormat="1" applyFont="1" applyFill="1" applyAlignment="1" applyProtection="1">
      <alignment wrapText="1"/>
    </xf>
    <xf numFmtId="0" fontId="0" fillId="0" borderId="63" xfId="0" applyNumberFormat="1" applyFont="1" applyFill="1" applyBorder="1" applyAlignment="1" applyProtection="1">
      <alignment horizontal="center" vertical="center" wrapText="1"/>
    </xf>
    <xf numFmtId="0" fontId="0" fillId="0" borderId="63" xfId="0" applyNumberFormat="1" applyFont="1" applyFill="1" applyBorder="1" applyAlignment="1" applyProtection="1">
      <alignment horizontal="left" vertical="center" wrapText="1"/>
    </xf>
    <xf numFmtId="0" fontId="0" fillId="34" borderId="45" xfId="0" applyFont="1" applyFill="1" applyBorder="1" applyAlignment="1" applyProtection="1">
      <alignment horizontal="left" vertical="center" wrapText="1"/>
    </xf>
    <xf numFmtId="0" fontId="0" fillId="34" borderId="45" xfId="0" applyFont="1" applyFill="1" applyBorder="1" applyAlignment="1">
      <alignment vertical="center" wrapText="1"/>
    </xf>
    <xf numFmtId="168" fontId="0" fillId="0" borderId="0" xfId="0" applyNumberFormat="1" applyFont="1" applyFill="1" applyAlignment="1" applyProtection="1">
      <alignment wrapText="1"/>
    </xf>
    <xf numFmtId="168" fontId="0" fillId="0" borderId="0" xfId="0" applyNumberFormat="1" applyFont="1" applyProtection="1"/>
    <xf numFmtId="164" fontId="0" fillId="28" borderId="0" xfId="439" applyNumberFormat="1" applyFont="1" applyFill="1" applyProtection="1">
      <protection locked="0"/>
    </xf>
    <xf numFmtId="0" fontId="168" fillId="0" borderId="0" xfId="0" applyFont="1" applyFill="1" applyAlignment="1" applyProtection="1">
      <alignment horizontal="center" vertical="center" wrapText="1"/>
    </xf>
    <xf numFmtId="0" fontId="0" fillId="0" borderId="0" xfId="0" applyFont="1" applyFill="1" applyAlignment="1" applyProtection="1">
      <alignment horizontal="center" wrapText="1"/>
      <protection locked="0"/>
    </xf>
    <xf numFmtId="0" fontId="172" fillId="28" borderId="0" xfId="0" applyFont="1" applyFill="1" applyAlignment="1" applyProtection="1">
      <alignment horizontal="left" vertical="center"/>
    </xf>
    <xf numFmtId="3" fontId="52" fillId="0" borderId="0" xfId="1540" applyFont="1" applyFill="1" applyAlignment="1" applyProtection="1">
      <alignment vertical="center" wrapText="1"/>
    </xf>
    <xf numFmtId="2" fontId="0" fillId="0" borderId="0" xfId="0" applyNumberFormat="1" applyFont="1" applyFill="1" applyProtection="1"/>
    <xf numFmtId="3" fontId="169" fillId="0" borderId="0" xfId="1540" applyFont="1" applyFill="1" applyAlignment="1" applyProtection="1">
      <alignment vertical="center" wrapText="1"/>
    </xf>
    <xf numFmtId="2" fontId="0" fillId="0" borderId="0" xfId="0" applyNumberFormat="1" applyFont="1" applyAlignment="1" applyProtection="1">
      <alignment wrapText="1"/>
      <protection locked="0"/>
    </xf>
    <xf numFmtId="38" fontId="46" fillId="28" borderId="0" xfId="0" applyNumberFormat="1" applyFont="1" applyFill="1" applyAlignment="1" applyProtection="1">
      <alignment horizontal="left" vertical="center"/>
    </xf>
    <xf numFmtId="38" fontId="46" fillId="28" borderId="0" xfId="0" applyNumberFormat="1" applyFont="1" applyFill="1" applyAlignment="1" applyProtection="1">
      <alignment horizontal="left" vertical="center"/>
      <protection locked="0"/>
    </xf>
    <xf numFmtId="0" fontId="98" fillId="28" borderId="0" xfId="0" applyFont="1" applyFill="1" applyAlignment="1" applyProtection="1">
      <alignment horizontal="left" vertical="center"/>
    </xf>
    <xf numFmtId="0" fontId="0" fillId="0" borderId="0" xfId="0" applyFont="1" applyFill="1"/>
    <xf numFmtId="0" fontId="77" fillId="28" borderId="0" xfId="0" applyFont="1" applyFill="1" applyAlignment="1" applyProtection="1">
      <alignment vertical="center" wrapText="1"/>
    </xf>
    <xf numFmtId="0" fontId="0" fillId="28" borderId="0" xfId="0" applyFont="1" applyFill="1" applyProtection="1"/>
    <xf numFmtId="0" fontId="48" fillId="28" borderId="0" xfId="0" applyFont="1" applyFill="1" applyAlignment="1" applyProtection="1">
      <alignment horizontal="center" vertical="center" wrapText="1"/>
    </xf>
    <xf numFmtId="0" fontId="58" fillId="28" borderId="0" xfId="0" applyFont="1" applyFill="1" applyAlignment="1" applyProtection="1">
      <alignment horizontal="center" vertical="center" wrapText="1"/>
    </xf>
    <xf numFmtId="0" fontId="0" fillId="28" borderId="0" xfId="0" applyFont="1" applyFill="1" applyAlignment="1" applyProtection="1">
      <alignment wrapText="1"/>
      <protection locked="0"/>
    </xf>
    <xf numFmtId="0" fontId="0" fillId="0" borderId="22" xfId="0" applyFont="1" applyBorder="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26" borderId="11" xfId="0" applyFont="1" applyFill="1" applyBorder="1" applyAlignment="1" applyProtection="1">
      <alignment horizontal="center"/>
    </xf>
    <xf numFmtId="0" fontId="0" fillId="0" borderId="0" xfId="0" applyFont="1" applyAlignment="1">
      <alignment horizontal="center" vertical="center"/>
    </xf>
    <xf numFmtId="41" fontId="98" fillId="0" borderId="0" xfId="439" applyNumberFormat="1" applyFont="1" applyAlignment="1">
      <alignment horizontal="center" vertical="center" wrapText="1"/>
    </xf>
    <xf numFmtId="0" fontId="173" fillId="22" borderId="0" xfId="0" applyFont="1" applyFill="1" applyAlignment="1" applyProtection="1">
      <alignment horizontal="left" vertical="center"/>
    </xf>
    <xf numFmtId="0" fontId="174" fillId="22" borderId="0" xfId="0" applyFont="1" applyFill="1" applyAlignment="1" applyProtection="1">
      <alignment vertical="center"/>
    </xf>
    <xf numFmtId="0" fontId="175" fillId="22" borderId="0" xfId="0" applyFont="1" applyFill="1" applyAlignment="1" applyProtection="1">
      <alignment vertical="center"/>
    </xf>
    <xf numFmtId="0" fontId="175" fillId="22" borderId="0" xfId="0" applyFont="1" applyFill="1" applyAlignment="1" applyProtection="1">
      <alignment vertical="center"/>
      <protection locked="0"/>
    </xf>
    <xf numFmtId="0" fontId="176" fillId="22" borderId="0" xfId="0" applyFont="1" applyFill="1" applyAlignment="1" applyProtection="1">
      <alignment vertical="center"/>
      <protection locked="0"/>
    </xf>
    <xf numFmtId="0" fontId="46" fillId="0" borderId="0" xfId="0" applyFont="1" applyFill="1" applyAlignment="1" applyProtection="1">
      <alignment horizontal="center" vertical="center"/>
    </xf>
    <xf numFmtId="0" fontId="0" fillId="0" borderId="0" xfId="0" applyFont="1" applyFill="1" applyAlignment="1" applyProtection="1">
      <alignment horizontal="center"/>
    </xf>
    <xf numFmtId="0" fontId="0" fillId="0" borderId="0" xfId="0" applyFont="1" applyFill="1" applyBorder="1" applyAlignment="1" applyProtection="1">
      <alignment horizontal="center"/>
    </xf>
    <xf numFmtId="38" fontId="0" fillId="0" borderId="0" xfId="0" applyNumberFormat="1" applyFont="1"/>
    <xf numFmtId="0" fontId="0" fillId="0" borderId="0" xfId="0" applyFont="1" applyBorder="1" applyProtection="1"/>
    <xf numFmtId="40" fontId="0" fillId="0" borderId="0" xfId="0" applyNumberFormat="1" applyFont="1"/>
    <xf numFmtId="0" fontId="46" fillId="34" borderId="64" xfId="0" applyFont="1" applyFill="1" applyBorder="1" applyAlignment="1">
      <alignment horizontal="center" vertical="center"/>
    </xf>
    <xf numFmtId="0" fontId="0" fillId="34" borderId="45" xfId="0" applyFill="1" applyBorder="1" applyAlignment="1">
      <alignment vertical="center" wrapText="1"/>
    </xf>
    <xf numFmtId="0" fontId="51" fillId="34" borderId="45" xfId="0" applyFont="1" applyFill="1" applyBorder="1" applyAlignment="1" applyProtection="1">
      <alignment vertical="center" wrapText="1"/>
      <protection locked="0"/>
    </xf>
    <xf numFmtId="0" fontId="0" fillId="77" borderId="23" xfId="0" applyNumberFormat="1" applyFill="1" applyBorder="1" applyAlignment="1" applyProtection="1">
      <alignment horizontal="left" vertical="center" wrapText="1"/>
    </xf>
    <xf numFmtId="41" fontId="49" fillId="34" borderId="45" xfId="0" applyNumberFormat="1" applyFont="1" applyFill="1" applyBorder="1" applyAlignment="1" applyProtection="1">
      <alignment wrapText="1"/>
    </xf>
    <xf numFmtId="41" fontId="49" fillId="34" borderId="45" xfId="0" applyNumberFormat="1" applyFont="1" applyFill="1" applyBorder="1" applyAlignment="1">
      <alignment wrapText="1"/>
    </xf>
    <xf numFmtId="41" fontId="49" fillId="34" borderId="0" xfId="0" applyNumberFormat="1" applyFont="1" applyFill="1" applyAlignment="1">
      <alignment wrapText="1"/>
    </xf>
    <xf numFmtId="39" fontId="147" fillId="34" borderId="0" xfId="439" applyNumberFormat="1" applyFont="1" applyFill="1" applyBorder="1" applyAlignment="1" applyProtection="1">
      <alignment horizontal="center" vertical="center" wrapText="1"/>
    </xf>
    <xf numFmtId="37" fontId="40" fillId="34" borderId="65" xfId="439" applyNumberFormat="1" applyFont="1" applyFill="1" applyBorder="1" applyAlignment="1" applyProtection="1">
      <alignment vertical="center"/>
    </xf>
    <xf numFmtId="0" fontId="0" fillId="75" borderId="0" xfId="0" applyFill="1"/>
    <xf numFmtId="0" fontId="177" fillId="79" borderId="57" xfId="0" applyFont="1" applyFill="1" applyBorder="1" applyAlignment="1">
      <alignment horizontal="center" vertical="center"/>
    </xf>
    <xf numFmtId="0" fontId="179" fillId="75" borderId="0" xfId="0" applyFont="1" applyFill="1" applyAlignment="1">
      <alignment vertical="center" wrapText="1"/>
    </xf>
    <xf numFmtId="0" fontId="182" fillId="79" borderId="0" xfId="0" applyFont="1" applyFill="1" applyAlignment="1">
      <alignment horizontal="center" vertical="center" wrapText="1"/>
    </xf>
    <xf numFmtId="0" fontId="183" fillId="75" borderId="0" xfId="0" applyFont="1" applyFill="1" applyAlignment="1">
      <alignment horizontal="justify" vertical="center"/>
    </xf>
    <xf numFmtId="0" fontId="183" fillId="75" borderId="0" xfId="0" applyFont="1" applyFill="1" applyAlignment="1">
      <alignment vertical="center"/>
    </xf>
    <xf numFmtId="0" fontId="183" fillId="75" borderId="0" xfId="0" applyFont="1" applyFill="1" applyAlignment="1">
      <alignment vertical="center" wrapText="1"/>
    </xf>
    <xf numFmtId="0" fontId="186" fillId="79" borderId="0" xfId="0" applyFont="1" applyFill="1" applyAlignment="1">
      <alignment horizontal="center" vertical="center"/>
    </xf>
    <xf numFmtId="0" fontId="51" fillId="75" borderId="0" xfId="0" applyFont="1" applyFill="1" applyAlignment="1">
      <alignment vertical="center"/>
    </xf>
    <xf numFmtId="0" fontId="42" fillId="75" borderId="0" xfId="611" applyFill="1" applyAlignment="1" applyProtection="1">
      <alignment vertical="center"/>
      <protection locked="0"/>
    </xf>
    <xf numFmtId="0" fontId="42" fillId="75" borderId="0" xfId="611" applyFill="1" applyProtection="1">
      <protection locked="0"/>
    </xf>
    <xf numFmtId="0" fontId="187" fillId="79" borderId="0" xfId="0" applyFont="1" applyFill="1" applyAlignment="1">
      <alignment horizontal="center" vertical="center"/>
    </xf>
    <xf numFmtId="0" fontId="190" fillId="79" borderId="0" xfId="0" applyFont="1" applyFill="1" applyAlignment="1">
      <alignment vertical="center"/>
    </xf>
    <xf numFmtId="0" fontId="183" fillId="0" borderId="0" xfId="0" applyFont="1" applyAlignment="1">
      <alignment vertical="center"/>
    </xf>
    <xf numFmtId="0" fontId="52" fillId="31" borderId="45" xfId="0" applyFont="1" applyFill="1" applyBorder="1" applyAlignment="1">
      <alignment horizontal="center"/>
    </xf>
    <xf numFmtId="0" fontId="76" fillId="31" borderId="25" xfId="0" applyNumberFormat="1" applyFont="1" applyFill="1" applyBorder="1" applyAlignment="1" applyProtection="1">
      <alignment horizontal="left" vertical="center" wrapText="1"/>
    </xf>
    <xf numFmtId="0" fontId="86" fillId="31" borderId="45" xfId="0" applyFont="1" applyFill="1" applyBorder="1" applyAlignment="1">
      <alignment wrapText="1"/>
    </xf>
    <xf numFmtId="0" fontId="46" fillId="31" borderId="24" xfId="0" applyNumberFormat="1" applyFont="1" applyFill="1" applyBorder="1" applyAlignment="1" applyProtection="1">
      <alignment horizontal="center" vertical="center"/>
    </xf>
    <xf numFmtId="0" fontId="0" fillId="31" borderId="23" xfId="0" applyNumberFormat="1" applyFill="1" applyBorder="1" applyAlignment="1" applyProtection="1">
      <alignment horizontal="left" vertical="center" wrapText="1"/>
    </xf>
    <xf numFmtId="0" fontId="0" fillId="77" borderId="25" xfId="0" applyNumberFormat="1" applyFill="1" applyBorder="1" applyAlignment="1" applyProtection="1">
      <alignment horizontal="center" vertical="center" wrapText="1"/>
    </xf>
    <xf numFmtId="0" fontId="76" fillId="77" borderId="25" xfId="0" applyNumberFormat="1" applyFont="1" applyFill="1" applyBorder="1" applyAlignment="1" applyProtection="1">
      <alignment horizontal="left" vertical="center" wrapText="1"/>
    </xf>
    <xf numFmtId="49" fontId="40" fillId="77" borderId="28" xfId="439" applyNumberFormat="1" applyFont="1" applyFill="1" applyBorder="1" applyAlignment="1" applyProtection="1">
      <alignment horizontal="center" vertical="center"/>
    </xf>
    <xf numFmtId="14" fontId="40" fillId="77" borderId="28" xfId="439" applyNumberFormat="1" applyFont="1" applyFill="1" applyBorder="1" applyAlignment="1" applyProtection="1">
      <alignment horizontal="center" vertical="center"/>
    </xf>
    <xf numFmtId="49" fontId="40" fillId="31" borderId="27" xfId="439" applyNumberFormat="1" applyFont="1" applyFill="1" applyBorder="1" applyAlignment="1" applyProtection="1">
      <alignment horizontal="center" vertical="center"/>
    </xf>
    <xf numFmtId="14" fontId="40" fillId="31" borderId="27" xfId="439" applyNumberFormat="1" applyFont="1" applyFill="1" applyBorder="1" applyAlignment="1" applyProtection="1">
      <alignment horizontal="center" vertical="center"/>
    </xf>
    <xf numFmtId="49" fontId="40" fillId="77" borderId="27" xfId="439" applyNumberFormat="1" applyFont="1" applyFill="1" applyBorder="1" applyAlignment="1" applyProtection="1">
      <alignment horizontal="center" vertical="center"/>
    </xf>
    <xf numFmtId="0" fontId="83" fillId="32" borderId="45" xfId="0" applyFont="1" applyFill="1" applyBorder="1" applyAlignment="1" applyProtection="1">
      <alignment horizontal="center" vertical="center" wrapText="1"/>
    </xf>
    <xf numFmtId="164" fontId="0" fillId="0" borderId="0" xfId="0" applyNumberFormat="1" applyFill="1" applyProtection="1"/>
    <xf numFmtId="49" fontId="0" fillId="29" borderId="0" xfId="0" applyNumberFormat="1" applyFont="1" applyFill="1" applyProtection="1">
      <protection locked="0"/>
    </xf>
    <xf numFmtId="49" fontId="76" fillId="0" borderId="23" xfId="439" applyNumberFormat="1" applyFont="1" applyFill="1" applyBorder="1" applyAlignment="1" applyProtection="1">
      <alignment horizontal="center" vertical="center" wrapText="1"/>
    </xf>
    <xf numFmtId="49" fontId="86" fillId="31" borderId="45" xfId="0" applyNumberFormat="1" applyFont="1" applyFill="1" applyBorder="1" applyAlignment="1">
      <alignment horizontal="center" vertical="center"/>
    </xf>
    <xf numFmtId="49" fontId="52" fillId="31" borderId="45" xfId="0" applyNumberFormat="1" applyFont="1" applyFill="1" applyBorder="1" applyAlignment="1">
      <alignment horizontal="center" vertical="center"/>
    </xf>
    <xf numFmtId="14" fontId="52" fillId="31" borderId="45" xfId="0" applyNumberFormat="1" applyFont="1" applyFill="1" applyBorder="1" applyAlignment="1">
      <alignment horizontal="center" vertical="center"/>
    </xf>
    <xf numFmtId="0" fontId="76" fillId="0" borderId="25" xfId="0" applyNumberFormat="1" applyFont="1" applyFill="1" applyBorder="1" applyAlignment="1" applyProtection="1">
      <alignment horizontal="left" vertical="center" wrapText="1"/>
    </xf>
    <xf numFmtId="0" fontId="0" fillId="0" borderId="23" xfId="0" applyFill="1" applyBorder="1" applyAlignment="1" applyProtection="1">
      <alignment vertical="center"/>
      <protection locked="0"/>
    </xf>
    <xf numFmtId="0" fontId="0" fillId="0" borderId="30" xfId="0" applyFill="1" applyBorder="1" applyAlignment="1" applyProtection="1">
      <alignment vertical="center"/>
    </xf>
    <xf numFmtId="0" fontId="0" fillId="0" borderId="23" xfId="0" applyFill="1" applyBorder="1" applyAlignment="1" applyProtection="1">
      <alignment vertical="center"/>
    </xf>
    <xf numFmtId="39" fontId="0" fillId="0" borderId="28" xfId="0" applyNumberFormat="1" applyFill="1" applyBorder="1" applyAlignment="1" applyProtection="1">
      <alignment vertical="center"/>
    </xf>
    <xf numFmtId="0" fontId="0" fillId="0" borderId="28" xfId="0" applyFill="1" applyBorder="1" applyAlignment="1" applyProtection="1">
      <alignment vertical="center"/>
    </xf>
    <xf numFmtId="0" fontId="178" fillId="75" borderId="0" xfId="0" applyFont="1" applyFill="1" applyAlignment="1">
      <alignment horizontal="left" vertical="center" wrapText="1"/>
    </xf>
    <xf numFmtId="0" fontId="42" fillId="75" borderId="0" xfId="611" applyFill="1"/>
    <xf numFmtId="0" fontId="76" fillId="0" borderId="13" xfId="0" applyFont="1" applyBorder="1" applyAlignment="1">
      <alignment horizontal="left" wrapText="1"/>
    </xf>
    <xf numFmtId="0" fontId="76" fillId="0" borderId="16" xfId="0" applyFont="1" applyBorder="1" applyAlignment="1">
      <alignment horizontal="left" wrapText="1"/>
    </xf>
    <xf numFmtId="0" fontId="76" fillId="0" borderId="13" xfId="0" applyFont="1" applyBorder="1" applyAlignment="1">
      <alignment horizontal="left"/>
    </xf>
    <xf numFmtId="0" fontId="76" fillId="0" borderId="16" xfId="0" applyFont="1" applyBorder="1" applyAlignment="1">
      <alignment horizontal="left"/>
    </xf>
    <xf numFmtId="49" fontId="0" fillId="31" borderId="13" xfId="0" applyNumberFormat="1" applyFont="1" applyFill="1" applyBorder="1" applyAlignment="1" applyProtection="1">
      <alignment horizontal="center"/>
      <protection locked="0"/>
    </xf>
    <xf numFmtId="49" fontId="0" fillId="31" borderId="11" xfId="0" applyNumberFormat="1" applyFont="1" applyFill="1" applyBorder="1" applyAlignment="1" applyProtection="1">
      <alignment horizontal="center"/>
      <protection locked="0"/>
    </xf>
    <xf numFmtId="49" fontId="42" fillId="31" borderId="13" xfId="611"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14" fontId="0" fillId="31" borderId="11" xfId="0" applyNumberFormat="1" applyFont="1" applyFill="1" applyBorder="1" applyAlignment="1" applyProtection="1">
      <alignment horizontal="center"/>
      <protection locked="0"/>
    </xf>
    <xf numFmtId="0" fontId="48" fillId="27" borderId="16" xfId="0" applyFont="1" applyFill="1" applyBorder="1" applyAlignment="1" applyProtection="1">
      <alignment horizontal="center" wrapText="1"/>
      <protection locked="0"/>
    </xf>
    <xf numFmtId="0" fontId="48" fillId="27" borderId="11" xfId="0" applyFont="1" applyFill="1" applyBorder="1" applyAlignment="1" applyProtection="1">
      <alignment horizontal="center" wrapText="1"/>
      <protection locked="0"/>
    </xf>
    <xf numFmtId="0" fontId="62" fillId="21" borderId="13" xfId="0" applyFont="1" applyFill="1" applyBorder="1" applyAlignment="1" applyProtection="1">
      <alignment horizontal="left" vertical="center" wrapText="1"/>
    </xf>
    <xf numFmtId="0" fontId="62" fillId="21" borderId="16" xfId="0" applyFont="1" applyFill="1" applyBorder="1" applyAlignment="1" applyProtection="1">
      <alignment horizontal="left" vertical="center" wrapText="1"/>
    </xf>
    <xf numFmtId="0" fontId="0" fillId="28" borderId="0" xfId="0" applyFont="1" applyFill="1" applyAlignment="1" applyProtection="1">
      <alignment horizontal="left" vertical="center" wrapText="1"/>
    </xf>
    <xf numFmtId="0" fontId="58" fillId="0" borderId="13" xfId="0" applyFont="1" applyBorder="1" applyAlignment="1">
      <alignment horizontal="center"/>
    </xf>
    <xf numFmtId="0" fontId="58" fillId="0" borderId="16" xfId="0" applyFont="1" applyBorder="1" applyAlignment="1">
      <alignment horizontal="center"/>
    </xf>
    <xf numFmtId="0" fontId="58" fillId="0" borderId="11" xfId="0" applyFont="1" applyBorder="1" applyAlignment="1">
      <alignment horizontal="center"/>
    </xf>
    <xf numFmtId="0" fontId="0" fillId="0" borderId="38" xfId="0" applyBorder="1" applyAlignment="1">
      <alignment horizontal="left" vertical="center" wrapText="1"/>
    </xf>
    <xf numFmtId="0" fontId="47" fillId="31" borderId="37" xfId="0" applyFont="1" applyFill="1" applyBorder="1" applyAlignment="1">
      <alignment horizontal="center" vertical="center" wrapText="1"/>
    </xf>
    <xf numFmtId="0" fontId="47" fillId="31" borderId="39" xfId="0" applyFont="1" applyFill="1" applyBorder="1" applyAlignment="1">
      <alignment horizontal="center" vertical="center" wrapText="1"/>
    </xf>
    <xf numFmtId="0" fontId="191" fillId="28" borderId="0" xfId="0" applyFont="1" applyFill="1" applyAlignment="1">
      <alignment horizontal="left" vertical="center" wrapText="1"/>
    </xf>
    <xf numFmtId="0" fontId="68" fillId="0" borderId="0" xfId="682" applyFont="1" applyAlignment="1">
      <alignment horizontal="left" wrapText="1"/>
    </xf>
    <xf numFmtId="0" fontId="89" fillId="27" borderId="0" xfId="682" applyFont="1" applyFill="1" applyAlignment="1">
      <alignment horizontal="left" vertical="center" wrapText="1"/>
    </xf>
    <xf numFmtId="0" fontId="67" fillId="0" borderId="0" xfId="682" applyFont="1" applyAlignment="1">
      <alignment horizontal="center" vertical="center"/>
    </xf>
    <xf numFmtId="0" fontId="72" fillId="27" borderId="0" xfId="682" applyFont="1" applyFill="1" applyAlignment="1">
      <alignment horizontal="left" wrapText="1"/>
    </xf>
    <xf numFmtId="0" fontId="47" fillId="0" borderId="13" xfId="0" applyFont="1" applyBorder="1" applyAlignment="1" applyProtection="1">
      <alignment horizontal="center"/>
    </xf>
    <xf numFmtId="0" fontId="47" fillId="0" borderId="16" xfId="0" applyFont="1" applyBorder="1" applyAlignment="1" applyProtection="1">
      <alignment horizontal="center"/>
    </xf>
    <xf numFmtId="0" fontId="47" fillId="0" borderId="11" xfId="0" applyFont="1" applyBorder="1" applyAlignment="1" applyProtection="1">
      <alignment horizontal="center"/>
    </xf>
    <xf numFmtId="0" fontId="47" fillId="0" borderId="13" xfId="0" applyFont="1" applyFill="1" applyBorder="1" applyAlignment="1" applyProtection="1">
      <alignment horizontal="center" wrapText="1"/>
    </xf>
    <xf numFmtId="0" fontId="47" fillId="0" borderId="16" xfId="0" applyFont="1" applyFill="1" applyBorder="1" applyAlignment="1" applyProtection="1">
      <alignment horizontal="center" wrapText="1"/>
    </xf>
    <xf numFmtId="0" fontId="47" fillId="0" borderId="11" xfId="0" applyFont="1" applyFill="1" applyBorder="1" applyAlignment="1" applyProtection="1">
      <alignment horizontal="center" wrapText="1"/>
    </xf>
    <xf numFmtId="0" fontId="46" fillId="75" borderId="0" xfId="0" applyFont="1" applyFill="1" applyAlignment="1">
      <alignment horizontal="left" vertical="center" wrapText="1"/>
    </xf>
    <xf numFmtId="0" fontId="47" fillId="0" borderId="0" xfId="0" applyFont="1" applyAlignment="1">
      <alignment horizontal="center" vertical="center" wrapText="1"/>
    </xf>
    <xf numFmtId="0" fontId="99" fillId="38" borderId="0" xfId="0" applyFont="1" applyFill="1" applyAlignment="1">
      <alignment horizontal="left" vertical="center" wrapText="1"/>
    </xf>
  </cellXfs>
  <cellStyles count="30158">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3DB79409-089F-4154-B6D9-8B7E7C062F18}"/>
    <cellStyle name="Comma 10 2 2 2 3" xfId="24673" xr:uid="{DDF8ACA5-2AFD-4024-B635-F103D987427D}"/>
    <cellStyle name="Comma 10 2 2 2 4" xfId="30048" xr:uid="{75A77AC4-2E3A-4EF1-BE83-0ED18449B418}"/>
    <cellStyle name="Comma 10 2 2 3" xfId="4848" xr:uid="{8F94D0E0-B6FC-4A5A-96EA-540CD9CE6C5C}"/>
    <cellStyle name="Comma 10 2 2 3 2" xfId="28026" xr:uid="{9E108CF4-A88E-4CA8-B7DD-2946C5BBAD0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90F913FD-9741-49F0-9145-8D65C787361F}"/>
    <cellStyle name="Comma 10 2 3 5" xfId="23967" xr:uid="{872D2A5E-2248-4DBD-A4C8-F9817C8FE0C9}"/>
    <cellStyle name="Comma 10 2 3 5 2" xfId="29840" xr:uid="{86A86ABE-36F3-4504-92D6-1F624BF60617}"/>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EB0A7165-BF7B-4225-B3AF-7726A6A2E88B}"/>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AAB8B15C-61E7-49EA-B3F1-2AC616113DF8}"/>
    <cellStyle name="Comma 10 2 5 3" xfId="25744" xr:uid="{0CB8BCFE-C336-455F-AB49-F3C7B1BC9CDD}"/>
    <cellStyle name="Comma 10 2 5 4" xfId="26726" xr:uid="{E10D12CB-9FC4-43DF-9506-CC26BADEEDA0}"/>
    <cellStyle name="Comma 10 2 6" xfId="22924" xr:uid="{6875A78D-7D82-435D-82A6-AE342806D5C5}"/>
    <cellStyle name="Comma 10 2 6 2" xfId="29717" xr:uid="{4950FC62-242F-442A-BB25-C3E6DED6DA4F}"/>
    <cellStyle name="Comma 10 2 7" xfId="28538" xr:uid="{DC7A2659-338F-45FE-B0DB-9DBBE3311BDD}"/>
    <cellStyle name="Comma 10 2 7 2" xfId="29672" xr:uid="{BBA8DA85-56BC-4355-916D-35BA0BBF3481}"/>
    <cellStyle name="Comma 10 2 8" xfId="29838" xr:uid="{B172B567-7E9F-4A5D-AB9D-93938786F532}"/>
    <cellStyle name="Comma 10 2 9" xfId="29983" xr:uid="{31352395-2942-4D4C-8605-A9AE21C4F9B2}"/>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5456FAE4-2285-4799-948D-E20F6A87EC03}"/>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0FDBFA87-3F2D-4659-AA72-896DBFC48746}"/>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7" xfId="24295" xr:uid="{344DCAF3-DA96-45E3-9F88-C607554C61E4}"/>
    <cellStyle name="Comma 10 7 2" xfId="27814" xr:uid="{1067AA7F-8FEA-4C90-923A-936739E57666}"/>
    <cellStyle name="Comma 10 8" xfId="28005" xr:uid="{E7712595-FDE1-4527-8110-F08C9BD2B4D5}"/>
    <cellStyle name="Comma 10 9" xfId="26457" xr:uid="{34BF2C5E-A5C7-4A84-AB73-BFB00FFDC39F}"/>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A34B8EA3-3BEB-43E9-AECF-80A9108B05CA}"/>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11C6B86B-0A66-417D-B511-EF29A9487D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3" xfId="3625" xr:uid="{00000000-0005-0000-0000-0000C3010000}"/>
    <cellStyle name="Comma 11 3 4" xfId="24017" xr:uid="{14E1B29C-AAA1-44F5-AD07-8E4FC697E6A9}"/>
    <cellStyle name="Comma 11 3 4 2" xfId="29748" xr:uid="{06BCA639-0030-4014-8E46-7D5AE296DF1E}"/>
    <cellStyle name="Comma 11 3 5" xfId="29890" xr:uid="{7DA3E3B3-CFE6-4F2C-9DF4-A0489418264C}"/>
    <cellStyle name="Comma 11 3 6" xfId="30008" xr:uid="{601222F1-EA60-497A-A2EC-BB076D8B341B}"/>
    <cellStyle name="Comma 11 4" xfId="1566" xr:uid="{00000000-0005-0000-0000-0000C4010000}"/>
    <cellStyle name="Comma 11 4 2" xfId="25795" xr:uid="{0F4819E6-8400-47DB-97BA-E4B83CC33474}"/>
    <cellStyle name="Comma 11 4 2 2" xfId="30126" xr:uid="{CD75D79F-1687-42ED-A072-B6483AF85C2E}"/>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C2FDAC63-2295-469E-A75E-2E57ACCE18C2}"/>
    <cellStyle name="Comma 12 2 3" xfId="29656" xr:uid="{0DB9AE32-6DE1-4DD5-9528-5C089E3595DA}"/>
    <cellStyle name="Comma 12 2 4" xfId="30096" xr:uid="{A31E1884-E5E4-4D3F-A8C2-2CEDDD280763}"/>
    <cellStyle name="Comma 12 3" xfId="3626" xr:uid="{00000000-0005-0000-0000-0000C5010000}"/>
    <cellStyle name="Comma 12 3 2" xfId="29788" xr:uid="{C3518DEF-5B24-42E3-97FE-E01DB18E94DF}"/>
    <cellStyle name="Comma 12 3 3" xfId="29658" xr:uid="{92B79916-703A-4F39-8115-25BBE1383AAC}"/>
    <cellStyle name="Comma 12 4" xfId="5538" xr:uid="{A85C391B-D1F2-4216-9318-8F0D3F6AE60C}"/>
    <cellStyle name="Comma 12 4 2" xfId="29742" xr:uid="{2721BA70-3771-400C-89AA-CB80EDE6E49F}"/>
    <cellStyle name="Comma 12 5" xfId="23517" xr:uid="{07A7475F-DD9D-4311-BCE3-CDFB929ABEC3}"/>
    <cellStyle name="Comma 12 5 2" xfId="24228" xr:uid="{737B9A1D-50A5-487A-9FD7-3644CCD4DE49}"/>
    <cellStyle name="Comma 12 6" xfId="29839" xr:uid="{F518550E-6358-4AF7-AACD-42FB60D4E2C0}"/>
    <cellStyle name="Comma 12 7" xfId="29984" xr:uid="{CE32B2C3-F870-4E5A-9688-F4D344A04DB6}"/>
    <cellStyle name="Comma 12 8" xfId="29657" xr:uid="{3794DB02-F0F2-4C01-B525-FA0D1205BCED}"/>
    <cellStyle name="Comma 13" xfId="4847" xr:uid="{98FB8AE3-8A74-4A04-B00D-D9411690E8F8}"/>
    <cellStyle name="Comma 13 2" xfId="23769" xr:uid="{8137F544-9DC0-4A1D-A743-03E39E4E26C7}"/>
    <cellStyle name="Comma 13 3" xfId="27979" xr:uid="{280881A1-6BC3-460B-B930-F17C044447D4}"/>
    <cellStyle name="Comma 13 3 2" xfId="29987" xr:uid="{0950BE67-4DE7-45A8-9711-97EDC34FA271}"/>
    <cellStyle name="Comma 13 4" xfId="14135" xr:uid="{B486616B-8B26-4DA6-8C53-0516518C48A3}"/>
    <cellStyle name="Comma 13 5" xfId="29615" xr:uid="{5F5E5C0E-EC18-477B-9B73-CD31B3561E61}"/>
    <cellStyle name="Comma 13 6" xfId="29590" xr:uid="{FB89F83E-E37C-4FFC-BA48-F04575448186}"/>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2" xfId="445" xr:uid="{00000000-0005-0000-0000-0000C6010000}"/>
    <cellStyle name="Comma 2 2" xfId="446" xr:uid="{00000000-0005-0000-0000-0000C7010000}"/>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2822BAB8-1DE0-4E88-98B4-D709631682B9}"/>
    <cellStyle name="Comma 4 2 2 3" xfId="23122" xr:uid="{ECBCBC83-1276-4F3B-90ED-6EB6B5E3BEE4}"/>
    <cellStyle name="Comma 4 2 3" xfId="1572" xr:uid="{00000000-0005-0000-0000-0000CD010000}"/>
    <cellStyle name="Comma 4 2 4" xfId="1570" xr:uid="{00000000-0005-0000-0000-0000CE010000}"/>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F949BBC1-2316-416F-8D86-B7193BDA98B6}"/>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7" xfId="29547" xr:uid="{B78349B5-AC35-4642-873C-F8F50234A6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F0919C75-35A1-4531-A0BD-6E40EF6D50AF}"/>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8FB1A848-49F3-4D1A-8B03-4C617BB9E30A}"/>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3" xfId="10621" xr:uid="{B59C76FD-A4E9-4866-9F1E-6518BC0C5396}"/>
    <cellStyle name="Comma 5 10 3 2 3 2" xfId="21001" xr:uid="{47E7FFC6-63B5-4650-B36B-84C80C2755B8}"/>
    <cellStyle name="Comma 5 10 3 2 4" xfId="15335" xr:uid="{62DDD7AA-A1D8-420F-846E-73F0CBC3D630}"/>
    <cellStyle name="Comma 5 10 3 3" xfId="3623" xr:uid="{00000000-0005-0000-0000-0000E0010000}"/>
    <cellStyle name="Comma 5 10 3 4" xfId="5540" xr:uid="{2F4176BB-1147-4705-9BF5-3478E814BF1F}"/>
    <cellStyle name="Comma 5 10 3 4 2" xfId="29750" xr:uid="{21BE281A-CD86-4AC2-8362-FFCD589F93F5}"/>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4 4 2" xfId="30155" xr:uid="{E11DCCA5-FDEC-4D18-A22E-ECB94A08F5E7}"/>
    <cellStyle name="Comma 5 10 5" xfId="3859" xr:uid="{F8C8D734-DCC5-4C88-B842-664E1299CBF0}"/>
    <cellStyle name="Comma 5 10 5 2" xfId="8691" xr:uid="{5E5913C1-036C-42F6-8350-C4BD4BAE9EF4}"/>
    <cellStyle name="Comma 5 10 5 2 2" xfId="28963" xr:uid="{7ED6E5D1-F2F9-47D7-B3B9-B23DAC9DEA56}"/>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3" xfId="30081" xr:uid="{48D8E17A-FCD4-4520-BCB4-8FD881F76A48}"/>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93BC9893-78F5-499B-80E7-4FB900755508}"/>
    <cellStyle name="Comma 5 11 2 5" xfId="22728" xr:uid="{8D9ECDAE-292F-46A0-BFD2-DA9957370FAD}"/>
    <cellStyle name="Comma 5 11 2 6" xfId="13515" xr:uid="{39ABB685-FAC4-4C1E-B36A-85BFF7734362}"/>
    <cellStyle name="Comma 5 11 2 7" xfId="29988" xr:uid="{1E53AD9D-FE3D-4B06-ACE2-66A3DAD77AD9}"/>
    <cellStyle name="Comma 5 11 3" xfId="1588" xr:uid="{00000000-0005-0000-0000-0000E4010000}"/>
    <cellStyle name="Comma 5 11 3 2" xfId="23724" xr:uid="{DE4AAC3D-5400-4129-ACD2-D8964E8AE622}"/>
    <cellStyle name="Comma 5 11 3 2 2" xfId="29678" xr:uid="{632D1668-A065-4368-99A4-37103DBC6611}"/>
    <cellStyle name="Comma 5 11 3 3" xfId="25078" xr:uid="{C5B7A41E-9D71-47D2-9EF7-127D9DBA2D47}"/>
    <cellStyle name="Comma 5 11 3 3 2" xfId="30089" xr:uid="{0A6F124A-F2A5-491A-8CDB-F0924F78716F}"/>
    <cellStyle name="Comma 5 11 3 3 3" xfId="29790" xr:uid="{46CFFD87-1AAB-454E-9237-5A7FF1D7710B}"/>
    <cellStyle name="Comma 5 11 3 4" xfId="29931" xr:uid="{97F22F2B-CFC7-44F1-A29E-E0A958FA6258}"/>
    <cellStyle name="Comma 5 11 3 5" xfId="30049" xr:uid="{43D9F74B-5C4F-45B2-B906-9714F1519CEB}"/>
    <cellStyle name="Comma 5 11 3 6" xfId="29659" xr:uid="{AD430119-382E-45BE-AF28-8D3DF5072AEC}"/>
    <cellStyle name="Comma 5 11 4" xfId="1586" xr:uid="{00000000-0005-0000-0000-0000E5010000}"/>
    <cellStyle name="Comma 5 11 4 2" xfId="25781" xr:uid="{DBEBD298-D49E-492E-82DD-D45AE9C70099}"/>
    <cellStyle name="Comma 5 11 4 2 2" xfId="29791" xr:uid="{2520539B-1CEC-4FC9-A720-49A606173454}"/>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DB34373C-2C53-4205-8144-39C3C3F575F6}"/>
    <cellStyle name="Comma 5 12 2 3" xfId="25392" xr:uid="{743C3469-6FF5-41E6-ABC2-03AE1A3F0028}"/>
    <cellStyle name="Comma 5 12 2 3 2" xfId="30095" xr:uid="{BBAF6016-9A40-468D-9EDB-12ED8BF69013}"/>
    <cellStyle name="Comma 5 12 2 3 3" xfId="29789" xr:uid="{262819DC-CB29-40AA-9049-AF037CEFD35A}"/>
    <cellStyle name="Comma 5 12 2 4" xfId="29920" xr:uid="{00D7CD2D-0404-4AA4-9877-5A6BB6569EA0}"/>
    <cellStyle name="Comma 5 12 2 5" xfId="30034" xr:uid="{4808E877-2100-47A7-BA65-63154337286A}"/>
    <cellStyle name="Comma 5 12 2 6" xfId="29654" xr:uid="{A111807A-7284-447F-B3E0-7D8213293A5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A8EAAF2E-0923-44F1-BB9C-2CDAF749045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2" xfId="460" xr:uid="{00000000-0005-0000-0000-0000EC010000}"/>
    <cellStyle name="Comma 5 2 2 2" xfId="1594" xr:uid="{00000000-0005-0000-0000-0000ED010000}"/>
    <cellStyle name="Comma 5 2 2 3" xfId="1595" xr:uid="{00000000-0005-0000-0000-0000EE010000}"/>
    <cellStyle name="Comma 5 2 2 4" xfId="1593" xr:uid="{00000000-0005-0000-0000-0000EF010000}"/>
    <cellStyle name="Comma 5 2 2 5" xfId="6599" xr:uid="{273D3645-09BF-4A18-A4AB-EDE25B05A3A6}"/>
    <cellStyle name="Comma 5 2 2 5 2" xfId="16979" xr:uid="{2C95035C-ACBA-47B5-BDB7-B687EB0B1702}"/>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4" xfId="29548" xr:uid="{508F08B6-13CA-453B-BC60-59F1E4465DDC}"/>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41005997-B81B-4951-9022-18EBCC1B185B}"/>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FFB9BD1E-1EFF-435E-A59F-1DA23603726D}"/>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D11A6BFC-65BA-4792-B302-FD9C9D9D73A5}"/>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2782A230-2559-41B4-9A11-780B8FF28BB4}"/>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19A07309-6F5E-4D9B-BF33-B5F1F7FDF93D}"/>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146F803D-FCE0-4A16-A991-FCC7A307DAB9}"/>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A8904733-9606-4598-BC48-87A899975AEB}"/>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C123CA70-428C-4A86-8263-18C6899CEBCC}"/>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B7A6C685-5698-42F1-9968-E70AF868EAD8}"/>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A5779E59-0447-45E8-A003-3192692FFA68}"/>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9678E2AE-EA1E-4222-A742-686A95D96C32}"/>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592C14BD-AEE7-40AA-8D9E-812FBCE7E029}"/>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0C73509F-426B-4BA7-9A3D-3D126E77CD75}"/>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FFC68BDC-74BE-4D43-8846-C3486C0468F9}"/>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DE930E68-2469-4E7A-9DCB-9FB49C45B94E}"/>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BA100E4E-72B3-4D77-BFF8-51CE5A8B67AA}"/>
    <cellStyle name="Comma 5 4 2 2 3 4" xfId="30010" xr:uid="{047479F3-AF4B-4C8E-9F60-670E8822CD39}"/>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02D8F5A4-31F1-477B-9AA1-08B76364BAAE}"/>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FB63487-1005-4E8E-A488-2C415B0184DD}"/>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F0B79F42-2A29-4B1C-A6BA-6163E7D4874D}"/>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66EA746D-C412-45A1-9901-A481309B7B16}"/>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961CAE7D-50B6-4B66-9D71-89D6B19EAF3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EFC14DCD-CD19-4126-9886-D6955B13E17B}"/>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D627FB2F-BBEE-4A5F-AC90-5A1E4B333D07}"/>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AE8C5AF8-C3E5-4D89-9EB8-5547E7FD8DBA}"/>
    <cellStyle name="Comma 5 4 4 3 4" xfId="30009" xr:uid="{2BECF434-6AF3-4F79-B9A5-A44FC7FB93C6}"/>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E8BA77D-5EEC-49FD-8D6F-9BEDE514BF91}"/>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55ACC360-C8D0-45D2-B93D-C306F23A1486}"/>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55565A60-9236-4A0B-B0DB-C33DAEEC2712}"/>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F04844BD-C57D-46F5-A31A-5125BE475A6D}"/>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CA3DBE50-871E-4EE8-8C71-898A45A1BF07}"/>
    <cellStyle name="Comma 5 5 2 2 3 4" xfId="30011" xr:uid="{BF3BD6C1-DECB-43F5-8F94-5A2541B53704}"/>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D46898EA-AF6C-44BF-8262-E46B05296FAC}"/>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1E4E0C0B-8C5C-462D-9FC8-C67718D02459}"/>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2F438D5B-2900-4DAD-B053-C211511665A5}"/>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1FD746B9-6DE4-4D74-A897-30338517B73B}"/>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3" xfId="3632" xr:uid="{00000000-0005-0000-0000-000023020000}"/>
    <cellStyle name="Comma 5 5 3 3 4" xfId="5573" xr:uid="{D0F45DDC-9CDB-4C3E-93A0-24657C4062B9}"/>
    <cellStyle name="Comma 5 5 3 3 4 2" xfId="29896" xr:uid="{883D68FF-8579-4340-A158-802487E8BC22}"/>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0EF113F1-C844-4AF0-928C-B5DA4E36B696}"/>
    <cellStyle name="Comma 5 5 4 2 3" xfId="25591" xr:uid="{C5C79797-796D-481F-AAE7-1B994078CEAF}"/>
    <cellStyle name="Comma 5 5 4 2 4" xfId="30050" xr:uid="{6D9D070A-8496-4BFA-81CC-6C703D8398BE}"/>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9B5CE7D5-32DE-4A68-9005-669406F18C0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2A0CBE5A-4990-46C1-9B03-A8C897A819EC}"/>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63C77DDA-3E7C-4376-9D1B-3DEDB06125AD}"/>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D25B10E3-34D8-4294-9898-2996126774A0}"/>
    <cellStyle name="Comma 5 6 2 2 3 4" xfId="30012" xr:uid="{00BD7E04-FED7-432D-9D1A-786C35CC92B0}"/>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5261199E-D60C-4A33-9B01-5240AFDF05EC}"/>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E7853E65-96CF-41CF-B2B8-0C1FBFE04431}"/>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D440B0D5-7406-400A-B5B9-25607EBF2477}"/>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2B02F3F3-DEAB-402E-A7EE-A491442BE1F4}"/>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3" xfId="3540" xr:uid="{00000000-0005-0000-0000-000037020000}"/>
    <cellStyle name="Comma 5 6 3 3 4" xfId="5581" xr:uid="{761EBF54-5B24-4AA9-86E2-6BDAAF962FA7}"/>
    <cellStyle name="Comma 5 6 3 3 4 2" xfId="29898" xr:uid="{33FA927F-626E-49AF-9E9A-EB27D77D351F}"/>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3C614CED-4DF8-4426-AD24-30AD71007ABF}"/>
    <cellStyle name="Comma 5 6 4 2 3" xfId="23617" xr:uid="{EB20E96A-ABBE-4405-A83A-0C56D225D782}"/>
    <cellStyle name="Comma 5 6 4 2 4" xfId="30051" xr:uid="{BAAEBDE1-6C7B-46A8-8B19-E40532A85693}"/>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7CB6EA57-4B17-4EED-B1B7-EF5FAC930F5B}"/>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B8B061A7-58AB-43BB-B761-6C2A9206C569}"/>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7B9B8B9F-3E95-45D7-B226-7E6496D87C48}"/>
    <cellStyle name="Comma 5 7 2 2 2 3" xfId="25603" xr:uid="{2E4144DF-BA35-444A-B073-CD4ECDA4E41B}"/>
    <cellStyle name="Comma 5 7 2 2 2 4" xfId="30052" xr:uid="{4F88688D-DEB2-4AF5-8DBA-DC93F85D6FD6}"/>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3" xfId="3542" xr:uid="{00000000-0005-0000-0000-000046020000}"/>
    <cellStyle name="Comma 5 7 2 3 4" xfId="5584" xr:uid="{F1C4E9C9-E7C5-4999-9F4B-6A3BEE167DF3}"/>
    <cellStyle name="Comma 5 7 2 3 4 2" xfId="29751" xr:uid="{F4DA0167-9F5E-4D99-84F8-D0507E5E66CF}"/>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230BF86B-2331-4777-BB89-8FF45B18043D}"/>
    <cellStyle name="Comma 5 7 2 4 4" xfId="30013" xr:uid="{F65697DA-1ECD-4C03-9FD8-F63F8D21FA22}"/>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9589A17F-804A-4669-AB8D-68AE891A38FA}"/>
    <cellStyle name="Comma 5 7 3 2 3" xfId="24036" xr:uid="{A956536C-0D0C-4B64-AB6C-3D32B84691CB}"/>
    <cellStyle name="Comma 5 7 3 2 3 2" xfId="27246" xr:uid="{2D391E2F-17BF-40F3-AC9B-F935480D75C5}"/>
    <cellStyle name="Comma 5 7 3 2 4" xfId="30053" xr:uid="{ADDB6CD8-74C9-4E7B-B6C7-3C44E6D7A3D1}"/>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6DF64DC5-BD76-4FAB-BEDD-031C212237AC}"/>
    <cellStyle name="Comma 5 7 4 2 3" xfId="23289" xr:uid="{D45419FA-DEA1-4FF5-944A-3804F3B313AF}"/>
    <cellStyle name="Comma 5 7 4 2 4" xfId="30035" xr:uid="{51984D5D-09D5-4A94-BAC8-DBFEA282DFCF}"/>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3" xfId="3708" xr:uid="{00000000-0005-0000-0000-000051020000}"/>
    <cellStyle name="Comma 5 7 5 4" xfId="5585" xr:uid="{445FBE4B-D100-4012-9843-6726F1C23419}"/>
    <cellStyle name="Comma 5 7 5 4 2" xfId="29843" xr:uid="{47BB1A59-F1D8-4C1A-BE99-336FC1ACE9AB}"/>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D9410F1F-20E3-4E80-A00B-02FADCF67F9B}"/>
    <cellStyle name="Comma 5 7 6 5" xfId="30004" xr:uid="{3268D30C-6B86-4A4D-A8F9-D9DECFBA13F1}"/>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7D04B466-0885-4F2B-9467-B75B90FC9635}"/>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3" xfId="23017" xr:uid="{DB6EE825-2DCD-429A-9F59-4AC7F43A2769}"/>
    <cellStyle name="Comma 5 8 2 3 4" xfId="30054" xr:uid="{D2C71C4B-C19E-4089-AC24-33C58714BBF1}"/>
    <cellStyle name="Comma 5 8 2 3 5" xfId="29660" xr:uid="{D59D3A8C-3255-43BC-B68D-378B9F150A56}"/>
    <cellStyle name="Comma 5 8 2 4" xfId="1672" xr:uid="{00000000-0005-0000-0000-000058020000}"/>
    <cellStyle name="Comma 5 8 2 4 2" xfId="28519" xr:uid="{DB5287D2-A3BC-4D9D-A5AD-D97C9934A7A4}"/>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467862A7-F944-4C0D-AA11-C7E018BE7B87}"/>
    <cellStyle name="Comma 5 8 3 2 3" xfId="25444" xr:uid="{8F83E9BD-D752-4670-83D0-42D787B89054}"/>
    <cellStyle name="Comma 5 8 3 2 3 2" xfId="27841" xr:uid="{3EDC9502-0DFD-4975-83D4-00C65AD487AD}"/>
    <cellStyle name="Comma 5 8 3 2 4" xfId="30036" xr:uid="{D02B70CA-263B-403A-86B3-9EA461E1CA09}"/>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10F2F0A4-F7CE-49B7-AF7B-A31FFAEC8142}"/>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3" xfId="2086" xr:uid="{00000000-0005-0000-0000-00005E020000}"/>
    <cellStyle name="Comma 5 8 5 4" xfId="24921" xr:uid="{73CD0007-7AA6-4C23-BE0B-E3F5295A5FA9}"/>
    <cellStyle name="Comma 5 8 5 4 2" xfId="29901" xr:uid="{840D3C2A-6B04-4B48-8741-A9CFE5319A14}"/>
    <cellStyle name="Comma 5 8 5 5" xfId="30014" xr:uid="{6983A903-ADC1-463C-B4A0-31D1C7EFC67C}"/>
    <cellStyle name="Comma 5 8 6" xfId="1671" xr:uid="{00000000-0005-0000-0000-00005F020000}"/>
    <cellStyle name="Comma 5 8 6 2" xfId="26586" xr:uid="{422903AC-287E-4EC3-BB8E-0A504F69CB1D}"/>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91BE7CEF-F0DA-484B-A558-961E477E88A1}"/>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3" xfId="22956" xr:uid="{1221D88C-6031-4EEF-9013-D90C6923BB63}"/>
    <cellStyle name="Comma 5 9 2 3 4" xfId="30037" xr:uid="{30B6F712-9217-41F1-BA25-CACFC1650552}"/>
    <cellStyle name="Comma 5 9 2 3 5" xfId="29661" xr:uid="{8E21B1AC-7A8B-44F2-9B40-4333A92CB903}"/>
    <cellStyle name="Comma 5 9 2 4" xfId="1681" xr:uid="{00000000-0005-0000-0000-000064020000}"/>
    <cellStyle name="Comma 5 9 2 4 2" xfId="26144" xr:uid="{11F3DDB7-F030-4752-8665-FF4829009ADA}"/>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C0884C7F-1C91-4F1C-9D3C-FE6FFC2AFF67}"/>
    <cellStyle name="Comma 5 9 4 5" xfId="29844" xr:uid="{4A3EB96E-CA86-486B-8702-A932B500E4F6}"/>
    <cellStyle name="Comma 5 9 4 6" xfId="29989" xr:uid="{808E43CE-1DA2-4C9D-9DEB-C81EDE791BA9}"/>
    <cellStyle name="Comma 5 9 5" xfId="1688" xr:uid="{00000000-0005-0000-0000-00006A020000}"/>
    <cellStyle name="Comma 5 9 5 2" xfId="24215" xr:uid="{4EF621CF-F50D-4230-AF83-2E870655BDA3}"/>
    <cellStyle name="Comma 5 9 5 2 2" xfId="29798" xr:uid="{88E78CF9-4A2F-4AAE-BBED-4D8B750DF4AC}"/>
    <cellStyle name="Comma 5 9 5 3" xfId="24967" xr:uid="{569BA925-3A3B-4717-B1B9-3D852F1BB19D}"/>
    <cellStyle name="Comma 5 9 5 4" xfId="30015" xr:uid="{687141BE-F401-4462-B95D-E44162A4EC01}"/>
    <cellStyle name="Comma 5 9 6" xfId="1680" xr:uid="{00000000-0005-0000-0000-00006B020000}"/>
    <cellStyle name="Comma 5 9 6 2" xfId="27178" xr:uid="{14EF25F5-D9BE-45D5-9005-4E60957A0203}"/>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A2F902AC-298A-45A5-BBE2-C9AEF4F12EDE}"/>
    <cellStyle name="Comma 6 3 2 3" xfId="24576" xr:uid="{A28E2AF0-11DC-454F-8523-E8CC9FF3477F}"/>
    <cellStyle name="Comma 6 3 3" xfId="1691" xr:uid="{00000000-0005-0000-0000-000070020000}"/>
    <cellStyle name="Comma 6 3 4" xfId="1689" xr:uid="{00000000-0005-0000-0000-000071020000}"/>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0D027E51-A29F-4656-8C59-486E92EBBF89}"/>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C0FF1D9D-D229-4033-912C-3F6D333C5ADC}"/>
    <cellStyle name="Comma 6 4 2 2 3 4" xfId="30017" xr:uid="{80BD75CF-F153-496A-975C-AB3189FD9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9CAB6E95-EC53-4D25-85BA-D4997D2E04C0}"/>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86353770-09CB-4493-9114-23DEBED2809E}"/>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34AB5A01-1A95-4B6A-BC67-7321265F56C2}"/>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7C2EFE2-EEFD-41C9-A710-5B2858C09962}"/>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C53EFBA5-C5B6-4E74-93EA-E90A8101EDA3}"/>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6DD2C579-C46B-4DB1-96BC-6B53805E58A9}"/>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36E379C-1E60-4085-BAF7-1A39A33FC8AE}"/>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770CFDF3-E8C7-4B9F-BCE4-1BE61EEAEBA0}"/>
    <cellStyle name="Comma 6 4 4 3 4" xfId="30016" xr:uid="{5AC62BDF-785C-40DB-A135-89FC57149701}"/>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3E9DFD6-673D-4D1F-9946-8B6F766121DB}"/>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89BEAEE4-1FD3-4474-B42C-D3BC021FAE4F}"/>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E88A065D-82C3-42C4-9CA9-D273965DD714}"/>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85517372-752D-40EC-83FA-E4A55B455B83}"/>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5D8A795A-92EE-45F2-B75A-2CC92E959627}"/>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7" xfId="22762" xr:uid="{37A7E8A0-43E7-41E2-BDB1-D7874A32CC13}"/>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3130033-D945-4F5D-A950-534A0905F82E}"/>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6F6CD68-71DC-4840-B655-154FB998A6E8}"/>
    <cellStyle name="Comma 7 10 3 5" xfId="29662" xr:uid="{46E169BB-300A-4685-9B11-ECC3D4E98CB9}"/>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2" xfId="1713" xr:uid="{00000000-0005-0000-0000-00008D020000}"/>
    <cellStyle name="Comma 7 11 2 2" xfId="25052" xr:uid="{23ABD4A7-3C9B-4DBA-8948-EF7696DC0549}"/>
    <cellStyle name="Comma 7 11 2 2 2" xfId="29812" xr:uid="{1C7EC018-9D22-4287-83A3-D45E296E614C}"/>
    <cellStyle name="Comma 7 11 2 3" xfId="25318" xr:uid="{7CB5C089-12DC-4C77-B45B-B4312F852EC0}"/>
    <cellStyle name="Comma 7 11 2 4" xfId="30038" xr:uid="{18A744D0-4917-490C-85DC-E1F41C8EB33A}"/>
    <cellStyle name="Comma 7 11 3" xfId="1714" xr:uid="{00000000-0005-0000-0000-00008E020000}"/>
    <cellStyle name="Comma 7 11 4" xfId="1712" xr:uid="{00000000-0005-0000-0000-00008F020000}"/>
    <cellStyle name="Comma 7 11 5" xfId="4893" xr:uid="{4D7EF800-D3FE-4415-997D-80EB71861FD5}"/>
    <cellStyle name="Comma 7 11 5 2" xfId="14185" xr:uid="{237C6960-02C1-47B1-93F9-D85783831FC0}"/>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3" xfId="10392" xr:uid="{1C9A0FA7-3839-49B7-B9C6-489E59242394}"/>
    <cellStyle name="Comma 7 12 2 3 2" xfId="20772" xr:uid="{E2D691C5-6C3C-43B7-8FBD-A5642F6BDFE7}"/>
    <cellStyle name="Comma 7 12 2 4" xfId="15106" xr:uid="{394B16FD-FC1A-4870-BC31-909DEE327F64}"/>
    <cellStyle name="Comma 7 12 3" xfId="3597" xr:uid="{00000000-0005-0000-0000-000090020000}"/>
    <cellStyle name="Comma 7 12 4" xfId="5602" xr:uid="{CC94EC69-AD3D-4EA5-A1E0-1BACCD539177}"/>
    <cellStyle name="Comma 7 12 4 2" xfId="29744" xr:uid="{60301C1C-23D0-4018-AC06-6A509B0F7BFE}"/>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FA471688-AE8A-44AB-A672-99ED35D209CC}"/>
    <cellStyle name="Comma 7 13 5" xfId="30000" xr:uid="{61C65CCE-41A6-4029-A34D-B2A57F8B1EAE}"/>
    <cellStyle name="Comma 7 14" xfId="1708" xr:uid="{00000000-0005-0000-0000-000092020000}"/>
    <cellStyle name="Comma 7 14 2" xfId="24640" xr:uid="{A6E59767-7C11-40A9-9CB4-E620D76DFBAF}"/>
    <cellStyle name="Comma 7 14 3" xfId="24749" xr:uid="{21C0A86C-9258-4F6E-BBD2-E1ADC08986B9}"/>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3F8DCACF-9310-4FD5-8863-8BEFBC9A1A5C}"/>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3AF683F0-5855-4417-BECC-F1E7A4778A5A}"/>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95A207C0-318E-4852-91CD-1EBC392E8315}"/>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8E893C38-3AB7-44BF-B00B-74340C76D5F6}"/>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3" xfId="3609" xr:uid="{00000000-0005-0000-0000-00009B020000}"/>
    <cellStyle name="Comma 7 2 2 3 3 4" xfId="5608" xr:uid="{BC4ED24D-C538-4B6F-951C-1BD6831C47CE}"/>
    <cellStyle name="Comma 7 2 2 3 3 4 2" xfId="29904" xr:uid="{4A088C6A-D3EB-497C-9C59-52286DC33D26}"/>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ED79462-C5C0-4B8E-8BB0-DC6FE158FAC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914525D4-A989-4351-8FDD-B723EB937A4C}"/>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3C10BD15-CFCC-4052-B8CF-7B3E617A6B6E}"/>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855115B7-7E90-4762-B058-8EF3481E5FA5}"/>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A5929BD6-D0C0-4EEF-8F5F-BACCC9E19161}"/>
    <cellStyle name="Comma 7 2 3 2 7" xfId="24740" xr:uid="{113CF7D5-3CC3-4C78-AA45-6BB36B301A7F}"/>
    <cellStyle name="Comma 7 2 3 2 8" xfId="13088" xr:uid="{84212721-431A-4A5B-A3B6-C12D2C24C27E}"/>
    <cellStyle name="Comma 7 2 3 2 9" xfId="29990" xr:uid="{0C01AB38-190C-4D49-AD2D-1CB5CBF63C24}"/>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E78667DA-7B8A-4C04-BB06-C99C45BF160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1D2800B4-CC49-4B91-9F7F-FABE913F5EEB}"/>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6F8963F2-5A45-4B8A-A1E1-D484C8D2D9E7}"/>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3" xfId="3690" xr:uid="{00000000-0005-0000-0000-0000A6020000}"/>
    <cellStyle name="Comma 7 2 4 3 4" xfId="5615" xr:uid="{9A822023-40EF-4024-BA32-71C8DA489B1B}"/>
    <cellStyle name="Comma 7 2 4 3 4 2" xfId="29754" xr:uid="{CB535E61-3DC0-4A90-8B59-F227CFD4E3FB}"/>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6F568ED6-F22E-4065-9397-2902E2162D8B}"/>
    <cellStyle name="Comma 7 2 5 2 3" xfId="25638" xr:uid="{B96FBEC1-5BE6-4663-9CFF-AEA34151F77D}"/>
    <cellStyle name="Comma 7 2 5 2 4" xfId="30056" xr:uid="{4A6C75C1-8B08-4AD5-8884-94EFE5CA9F45}"/>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65FC216E-52B0-48CF-A121-59BD7BB2BB26}"/>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A8F1AB6B-B3E7-4053-BD49-6AD33926ABDA}"/>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C4B1CF40-175E-4DF3-9841-3687C93A6D2D}"/>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483F96D0-C51A-4F77-87E9-61C9A15F42D5}"/>
    <cellStyle name="Comma 7 3 2 2 3 4" xfId="30019" xr:uid="{B0E115FD-D105-44A5-A1EB-8E3075FA78FA}"/>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B38050CD-5370-49AB-89B6-446EA9365F0D}"/>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F64576F-7CB3-4C4F-AC6B-11CE6AE6AD59}"/>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26E245A5-D211-4B73-A5C2-E5376B9BA2BE}"/>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B3FF91DD-FE0B-4A98-ABEF-A10AC50EFC4E}"/>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A297CE92-4B00-40B0-8DC8-E15100504FFE}"/>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CD568409-2BC6-47E5-B124-F94D09EE2F41}"/>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7AC8BDBB-3372-4C81-A532-08E04C3D0DB2}"/>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FBA1AC9E-23F6-476F-806C-1A96A024CB48}"/>
    <cellStyle name="Comma 7 3 4 3 4" xfId="30018" xr:uid="{666FC51B-4446-4AE3-B756-D01560C5CB07}"/>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6BC0A4E7-9E20-4E61-B03F-C93B6D660331}"/>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83661C2D-D277-459A-AE20-9D2804015B61}"/>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F3FAF3-2A77-4E24-9534-B19D4E7EDDC8}"/>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15598A33-AB9B-443D-8012-BCBCBC48710E}"/>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84398B3E-7E0F-4DA6-9381-11D50B4B0838}"/>
    <cellStyle name="Comma 7 4 2 2 3 4" xfId="30020" xr:uid="{4D26BA85-C1BE-4BCE-BEA0-CB8AD6BEB6BA}"/>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856F8B23-54B5-4C25-BD19-633FC7D08C1C}"/>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91657376-FE40-4E8C-A8CB-9F8CD1969B41}"/>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C7CFC9FB-1246-48F9-98A3-CC75F8FEF5FA}"/>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D72FF081-18A6-4094-9C1A-01CA85FFAD51}"/>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3" xfId="3617" xr:uid="{00000000-0005-0000-0000-0000CE020000}"/>
    <cellStyle name="Comma 7 4 3 3 4" xfId="5634" xr:uid="{C0C64253-4544-4979-A07F-7EEC2FA73C74}"/>
    <cellStyle name="Comma 7 4 3 3 4 2" xfId="29907" xr:uid="{E6164F9D-E3A7-410C-8FFE-D3D5223F7548}"/>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4F8C0145-AAFA-40C2-9C81-F4EFCB4C2ABC}"/>
    <cellStyle name="Comma 7 4 4 2 3" xfId="24977" xr:uid="{BAF6A2DD-6226-43D4-A684-8150AEF97C75}"/>
    <cellStyle name="Comma 7 4 4 2 4" xfId="30057" xr:uid="{C283471D-7EDF-4F13-9185-CC52917EF3B3}"/>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6DD82517-2D62-4A87-8F53-0DB5D8ED6EC2}"/>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6F004B82-B2A6-4A4D-8118-2716C0724B31}"/>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018C582B-B4FE-4D4F-9F36-449A2F6B60CF}"/>
    <cellStyle name="Comma 7 5 2 2 2 3" xfId="25615" xr:uid="{E11AB7C8-071A-4B09-83C8-46783A515B04}"/>
    <cellStyle name="Comma 7 5 2 2 2 4" xfId="30058" xr:uid="{528E390B-BD35-45BD-BEC5-3BA7208E174D}"/>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3" xfId="3604" xr:uid="{00000000-0005-0000-0000-0000DD020000}"/>
    <cellStyle name="Comma 7 5 2 3 4" xfId="5637" xr:uid="{22F7C8BC-3E9A-4B2A-806B-9A80343B7F05}"/>
    <cellStyle name="Comma 7 5 2 3 4 2" xfId="29755" xr:uid="{B5A2BE32-0B1F-4337-87B4-3517A7E38628}"/>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5294C86-88CE-47EB-9AFA-61946A29DDBE}"/>
    <cellStyle name="Comma 7 5 2 4 4" xfId="30021" xr:uid="{19211D15-ED26-4485-A939-C06AEAE84B65}"/>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9D21129E-70EE-4AA5-972C-5CF38D6992A3}"/>
    <cellStyle name="Comma 7 5 3 2 3" xfId="24071" xr:uid="{8A811A5F-863A-432D-8845-82D7A335A18F}"/>
    <cellStyle name="Comma 7 5 3 2 3 2" xfId="26964" xr:uid="{ACD1A0F0-669A-46F3-822C-B3E39EEFFB34}"/>
    <cellStyle name="Comma 7 5 3 2 4" xfId="30059" xr:uid="{FF9570C0-0A6A-4DC6-951C-D6404A37CC0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1AF1415C-7B89-4B0C-A046-DEB4FE5158EB}"/>
    <cellStyle name="Comma 7 5 4 2 3" xfId="25559" xr:uid="{57C8C355-B884-4ABB-8802-01C4ABA7B528}"/>
    <cellStyle name="Comma 7 5 4 2 4" xfId="30039" xr:uid="{844BB192-7FF1-40E5-8269-8111AAFD5758}"/>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3" xfId="3668" xr:uid="{00000000-0005-0000-0000-0000E8020000}"/>
    <cellStyle name="Comma 7 5 5 4" xfId="5638" xr:uid="{549DF708-A440-479B-B2F3-1DB44B4EF640}"/>
    <cellStyle name="Comma 7 5 5 4 2" xfId="29846" xr:uid="{5F75D741-4962-489C-B162-87981303BFA2}"/>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67D8B123-843E-48AE-A83A-A2ABD9291483}"/>
    <cellStyle name="Comma 7 5 6 5" xfId="30002" xr:uid="{1A27529C-9346-4076-A3DF-6DAA74B57777}"/>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FC8940C2-ADCF-460F-863C-8150854EC2BF}"/>
    <cellStyle name="Comma 7 6 2 2 2 3" xfId="23934" xr:uid="{E36F713B-902C-474C-93D2-2A68907E4954}"/>
    <cellStyle name="Comma 7 6 2 2 2 4" xfId="30060" xr:uid="{03F05E17-E664-4ED2-A452-A1CC7887C7D9}"/>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3" xfId="3618" xr:uid="{00000000-0005-0000-0000-0000F1020000}"/>
    <cellStyle name="Comma 7 6 2 3 4" xfId="5639" xr:uid="{A859882B-B923-4E27-B0EB-8C0E2A828252}"/>
    <cellStyle name="Comma 7 6 2 3 4 2" xfId="29756" xr:uid="{C7480CAF-F7D7-420B-B9EE-C97C60D4B8B7}"/>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B46588DE-E797-46A6-9946-C21A12212E4A}"/>
    <cellStyle name="Comma 7 6 2 4 4" xfId="30022" xr:uid="{11EFBB6E-9180-4030-A629-474B48E3DAA9}"/>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3E8EFA32-164C-433B-BC54-B8ECC4CD3C52}"/>
    <cellStyle name="Comma 7 6 3 2 3" xfId="25625" xr:uid="{EF760203-0895-4660-ABBE-998EE7974075}"/>
    <cellStyle name="Comma 7 6 3 2 3 2" xfId="26189" xr:uid="{817FEF4E-F9EF-4ACF-AE83-5398CABA09AF}"/>
    <cellStyle name="Comma 7 6 3 2 4" xfId="30061" xr:uid="{5FDF0EDD-CF85-4CDC-8A28-4825A0FD812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39AB4334-F0E8-4CB3-9E08-EE409649B8C9}"/>
    <cellStyle name="Comma 7 6 4 2 3" xfId="24294" xr:uid="{089D13FD-4729-4D15-80E1-E28074858099}"/>
    <cellStyle name="Comma 7 6 4 2 4" xfId="30040" xr:uid="{03844EF7-0301-4B24-AA33-446521AB35B3}"/>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3" xfId="2063" xr:uid="{00000000-0005-0000-0000-0000FC020000}"/>
    <cellStyle name="Comma 7 6 5 4" xfId="5640" xr:uid="{E6B8AE12-F1B5-499A-8F3E-004979DA9C30}"/>
    <cellStyle name="Comma 7 6 5 4 2" xfId="29847" xr:uid="{C5B270F1-D517-4BC5-8DC1-86E9058375F0}"/>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3DE7C43D-F1BF-4339-A7C6-80D1900D396A}"/>
    <cellStyle name="Comma 7 6 6 5" xfId="30006" xr:uid="{A79F3CB9-1386-4192-A798-EB0CDFDDB8B7}"/>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266D4E30-F097-44D3-9F85-B348E30BE97C}"/>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3" xfId="23910" xr:uid="{53A23F6E-80A4-406E-B3C9-3A9ED17968CC}"/>
    <cellStyle name="Comma 7 7 2 3 4" xfId="30041" xr:uid="{E807178A-601F-41EE-BE19-B5323DE6679F}"/>
    <cellStyle name="Comma 7 7 2 3 5" xfId="29663" xr:uid="{E6AC368E-04DE-4CC1-8BAA-F3EC20D2F11B}"/>
    <cellStyle name="Comma 7 7 2 4" xfId="1799" xr:uid="{00000000-0005-0000-0000-000003030000}"/>
    <cellStyle name="Comma 7 7 2 4 2" xfId="25969" xr:uid="{928C0968-72D2-40CF-B38F-C587FD022FFD}"/>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DB1E6F7C-4AD1-4A44-A347-4BCD86C47A01}"/>
    <cellStyle name="Comma 7 7 4 5" xfId="29848" xr:uid="{6FA4809C-3DAB-4A66-882D-671C6FD9EEE6}"/>
    <cellStyle name="Comma 7 7 4 6" xfId="29991" xr:uid="{D665E27A-42EC-4DBC-8BFA-D73F86E92BA8}"/>
    <cellStyle name="Comma 7 7 5" xfId="1806" xr:uid="{00000000-0005-0000-0000-000009030000}"/>
    <cellStyle name="Comma 7 7 5 2" xfId="25672" xr:uid="{6DCCAF9D-3C6C-4CF6-ADEB-8BDFB46B6777}"/>
    <cellStyle name="Comma 7 7 5 2 2" xfId="29828" xr:uid="{9EF7B0A5-1761-4ADD-87A9-1EB44AB22586}"/>
    <cellStyle name="Comma 7 7 5 3" xfId="24747" xr:uid="{3D5F4592-4DA7-47D0-9EA5-0B5125233E85}"/>
    <cellStyle name="Comma 7 7 5 4" xfId="30023" xr:uid="{0B6B0C10-3DB2-46DD-A155-6B1B47DBF887}"/>
    <cellStyle name="Comma 7 7 6" xfId="1798" xr:uid="{00000000-0005-0000-0000-00000A030000}"/>
    <cellStyle name="Comma 7 7 6 2" xfId="27388" xr:uid="{FD0E0FBD-37AE-490F-91F8-9CCBB4423EF3}"/>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7DFD74B7-FBEA-49FC-A287-A4B1CFBCF3B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3" xfId="23270" xr:uid="{E168AB56-CAC1-4EAC-9C84-294233F63871}"/>
    <cellStyle name="Comma 7 8 2 3 4" xfId="30042" xr:uid="{D7884178-53B1-41E3-A5E9-D470C6B17AFC}"/>
    <cellStyle name="Comma 7 8 2 3 5" xfId="29664" xr:uid="{559F0F23-552B-467B-91B0-F2DD004AF53F}"/>
    <cellStyle name="Comma 7 8 2 4" xfId="1808" xr:uid="{00000000-0005-0000-0000-00000F030000}"/>
    <cellStyle name="Comma 7 8 2 4 2" xfId="27624" xr:uid="{E4811423-FA33-410A-9876-3E8BEC2D306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DE5E92E8-1E68-4681-B4DD-C35FC5BC8C50}"/>
    <cellStyle name="Comma 7 8 4 5" xfId="29849" xr:uid="{B2DC5EE9-CC3B-46A8-AFF2-D91FF4EF58D9}"/>
    <cellStyle name="Comma 7 8 4 6" xfId="29992" xr:uid="{AFC7ADA3-D193-41D9-816A-FB138819F1D9}"/>
    <cellStyle name="Comma 7 8 5" xfId="1815" xr:uid="{00000000-0005-0000-0000-000015030000}"/>
    <cellStyle name="Comma 7 8 5 2" xfId="23786" xr:uid="{79A225CD-EE67-4FD6-AD4B-AA6D75F99659}"/>
    <cellStyle name="Comma 7 8 5 2 2" xfId="29829" xr:uid="{A37E239A-BEB3-4462-A584-C1745B29AFBB}"/>
    <cellStyle name="Comma 7 8 5 3" xfId="24113" xr:uid="{BE8CBB68-BEC0-4594-95E1-007E844A55A2}"/>
    <cellStyle name="Comma 7 8 5 4" xfId="30024" xr:uid="{713F1444-8EF3-4007-A622-5DA5DF941751}"/>
    <cellStyle name="Comma 7 8 6" xfId="1807" xr:uid="{00000000-0005-0000-0000-000016030000}"/>
    <cellStyle name="Comma 7 8 6 2" xfId="28223" xr:uid="{1CA307A6-ECBB-4DCD-88E9-ED86F26BE09F}"/>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AB44139B-FB72-4CFF-A55A-531BC9A1EB3B}"/>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10ACEB3C-CC5B-4001-ABD5-EF712AEBAB89}"/>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3" xfId="3679" xr:uid="{00000000-0005-0000-0000-000019030000}"/>
    <cellStyle name="Comma 7 9 3 4" xfId="5644" xr:uid="{E6BE7499-77E4-463B-BA19-0EA0E6022915}"/>
    <cellStyle name="Comma 7 9 3 4 2" xfId="29753" xr:uid="{F6514539-2167-4C82-96B6-697F4AA5956C}"/>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4 4 2" xfId="30156" xr:uid="{9A4CF2BD-4151-42B2-9894-B323D3806C05}"/>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6E4F3597-EF47-4C53-9FFE-935979A13F23}"/>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E4930FD7-1144-4D3A-A82B-D3484C997A8D}"/>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B95C7F71-AAC7-492E-9862-90EF07244B29}"/>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30CB3840-8EAB-4F6A-BC93-80746A18DCE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3" xfId="2079" xr:uid="{00000000-0005-0000-0000-000024030000}"/>
    <cellStyle name="Comma 9 2 3 3 4" xfId="5650" xr:uid="{CE82BC05-DECC-433A-A1AE-079FA93D71A1}"/>
    <cellStyle name="Comma 9 2 3 3 4 2" xfId="29911" xr:uid="{9841A7A8-2600-4101-B606-A172F75525BC}"/>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9051D3AD-C7EE-4008-8E86-26E033CB2CAA}"/>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7977382B-6611-49B2-A083-700D3A1F389F}"/>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D5673E83-2F31-4B08-ADF2-090E496AF341}"/>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D387139-BE0A-406E-9EAD-B3677FC09EB7}"/>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DA5DEEE1-16D3-4E4D-8483-7E9177DBDF6B}"/>
    <cellStyle name="Comma 9 3 2 7" xfId="25227" xr:uid="{32CD50D2-C9AE-4571-939C-C8C54DC3B34F}"/>
    <cellStyle name="Comma 9 3 2 8" xfId="13101" xr:uid="{B68D3080-BA5F-48EA-9188-311DC047BBAB}"/>
    <cellStyle name="Comma 9 3 2 9" xfId="29993" xr:uid="{2B70BB2E-8556-40F5-A324-92FCF900826C}"/>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CC37E23F-BE90-4F46-BB7D-BB3CFD40F085}"/>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8489165B-1050-4A3B-BB5B-2AB0B2DEB346}"/>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473C5661-3666-46A6-A48D-249B5A981278}"/>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3" xfId="2865" xr:uid="{00000000-0005-0000-0000-00002F030000}"/>
    <cellStyle name="Comma 9 4 3 4" xfId="5657" xr:uid="{5A2DC35C-DA84-47EE-9C97-6ECF34E3F1B9}"/>
    <cellStyle name="Comma 9 4 3 4 2" xfId="29757" xr:uid="{C8D23D45-1B42-47F4-B7F3-61177CC6B0F8}"/>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1590A056-5D0B-45CD-AB6D-8652B5A3EE6A}"/>
    <cellStyle name="Comma 9 5 2 3" xfId="25740" xr:uid="{BD4F76CC-DB4F-408A-9F04-DD94FC6E59F4}"/>
    <cellStyle name="Comma 9 5 2 4" xfId="30062" xr:uid="{25B6BCFA-42D1-46FD-A84E-B9ADD654FF58}"/>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2A1479FA-A0C2-4F37-A6C6-CD5168BD307A}"/>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35450B41-22D4-4148-A420-7AAFB499051A}"/>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A6C2B5AC-C8C2-4E8D-8F2D-459CB0CFC259}"/>
    <cellStyle name="Currency 2 2 2 3" xfId="25761" xr:uid="{8F717FAC-E6A7-4309-961E-F4148D0E234D}"/>
    <cellStyle name="Currency 2 2 3" xfId="1842" xr:uid="{00000000-0005-0000-0000-00003C030000}"/>
    <cellStyle name="Currency 2 2 4" xfId="1840" xr:uid="{00000000-0005-0000-0000-00003D030000}"/>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1B856920-E067-47B8-B3EC-6FD175845FE7}"/>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3" xfId="551" xr:uid="{00000000-0005-0000-0000-000048030000}"/>
    <cellStyle name="Currency 3 2" xfId="552" xr:uid="{00000000-0005-0000-0000-000049030000}"/>
    <cellStyle name="Currency 3 2 2" xfId="1851" xr:uid="{00000000-0005-0000-0000-00004A030000}"/>
    <cellStyle name="Currency 3 2 3" xfId="1852" xr:uid="{00000000-0005-0000-0000-00004B030000}"/>
    <cellStyle name="Currency 3 2 4" xfId="1850" xr:uid="{00000000-0005-0000-0000-00004C030000}"/>
    <cellStyle name="Currency 3 2 5" xfId="6683" xr:uid="{4FCFE811-3755-46F4-8803-2EFC844A90DA}"/>
    <cellStyle name="Currency 3 2 5 2" xfId="17063" xr:uid="{1F927C96-6E01-4C40-9B2D-7222789598FC}"/>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1400E2BB-E637-406B-B19E-086A81605A3F}"/>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6AC289E6-4D1B-4B21-9AC9-5F62303B132E}"/>
    <cellStyle name="Currency 4 10 3 5" xfId="29665" xr:uid="{C6F5B79B-5ACC-4F2E-A549-F4ACE15640C5}"/>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26C1C719-CF1C-4CB9-BBE1-D04E56084936}"/>
    <cellStyle name="Currency 4 11 2 3" xfId="22791" xr:uid="{5ABBA574-11C1-4A53-8D6F-81175CE6891C}"/>
    <cellStyle name="Currency 4 11 2 4" xfId="30043" xr:uid="{6C3AE63B-1C4B-414C-A930-6EA7DA56EC5C}"/>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3" xfId="10393" xr:uid="{74AA856C-1546-48A1-902B-0B9C48E13197}"/>
    <cellStyle name="Currency 4 12 2 3 2" xfId="20773" xr:uid="{DB56C7FD-1566-4A75-8FCC-9C848565BFF6}"/>
    <cellStyle name="Currency 4 12 2 4" xfId="15107" xr:uid="{29096738-BB6A-486C-9D3B-D9E98C7DF5A2}"/>
    <cellStyle name="Currency 4 12 3" xfId="3606" xr:uid="{00000000-0005-0000-0000-000056030000}"/>
    <cellStyle name="Currency 4 12 4" xfId="5661" xr:uid="{442882FD-A814-4225-99B5-C1E0B22554C2}"/>
    <cellStyle name="Currency 4 12 4 2" xfId="29745" xr:uid="{1AC15265-E404-4D7B-B8B1-9A7B1DE5046C}"/>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44FD5CF-B49F-497C-B4E7-7493822DB27B}"/>
    <cellStyle name="Currency 4 13 5" xfId="30001" xr:uid="{044905D6-71B6-4ACB-B236-D15F286EC6A7}"/>
    <cellStyle name="Currency 4 14" xfId="1853" xr:uid="{00000000-0005-0000-0000-000058030000}"/>
    <cellStyle name="Currency 4 14 2" xfId="25803" xr:uid="{FBE6B4CA-BCAB-44EE-A7E9-70F4C6699F61}"/>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1C347C04-F471-44FE-B84D-BDEAADD95D7E}"/>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4E35452-2BB4-4074-BD7D-660C52CC1447}"/>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64788669-7B8A-40EB-BF3C-22911674F9FA}"/>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9E8273DC-8151-488D-80E3-5987090AF52B}"/>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3" xfId="3657" xr:uid="{00000000-0005-0000-0000-000061030000}"/>
    <cellStyle name="Currency 4 2 2 3 3 4" xfId="5667" xr:uid="{54673D43-2BB9-4497-8CC5-C0E86AE657BC}"/>
    <cellStyle name="Currency 4 2 2 3 3 4 2" xfId="29912" xr:uid="{44121C76-FD66-456D-978B-0662B4261C40}"/>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AED354EC-359F-4F22-8DA4-3B6A3BDCB3B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06E2FA7D-4543-4A3E-8E18-5DFA9E92DCC5}"/>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7214BD99-675B-4C3B-92EF-A469161F61CC}"/>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0FB73C63-B999-4E3B-8820-5419A1BFDB88}"/>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C4B8FFE0-BA37-4FA0-BC8F-07EB1B36DB2A}"/>
    <cellStyle name="Currency 4 2 3 2 7" xfId="23523" xr:uid="{E6D4F43F-005B-44E0-A529-E07D81929683}"/>
    <cellStyle name="Currency 4 2 3 2 8" xfId="13107" xr:uid="{2F7DCC0A-CB6C-48C1-8D0F-8FB466F04FD1}"/>
    <cellStyle name="Currency 4 2 3 2 9" xfId="29994" xr:uid="{F4756D66-6612-4014-A9E9-180ABF21D9CB}"/>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5FC400CE-3E67-40BC-B31F-674884EA10F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6D533439-BBF1-4593-A30B-875A2C1470EF}"/>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320F2219-4E38-47FE-A5DA-4112E963E8EF}"/>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3" xfId="3544" xr:uid="{00000000-0005-0000-0000-00006C030000}"/>
    <cellStyle name="Currency 4 2 4 3 4" xfId="5674" xr:uid="{08E421AE-DDE3-4B6C-AA1C-46544E7401B9}"/>
    <cellStyle name="Currency 4 2 4 3 4 2" xfId="29759" xr:uid="{A4421B8D-E67D-4675-8C0F-C4440005AE3E}"/>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E3C4EB83-8840-4F23-883A-C6C2D239E32E}"/>
    <cellStyle name="Currency 4 2 5 2 3" xfId="23374" xr:uid="{043B26EB-F4A5-45D7-8163-B3F881D5C636}"/>
    <cellStyle name="Currency 4 2 5 2 4" xfId="30064" xr:uid="{C7FE2480-60F7-4B4A-98DA-D40739DC14D5}"/>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99A082DC-DB8C-4E0C-8BA5-04A39D9C2A71}"/>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B54176AC-338B-48C1-9174-437173B7C496}"/>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BD419818-4225-467A-8E05-3CE3DB429E37}"/>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F0EB4E23-FD9F-4FBD-B424-7F5A0E3BC162}"/>
    <cellStyle name="Currency 4 3 2 2 3 4" xfId="30026" xr:uid="{B3BE32C6-E881-4363-B2F2-04A704556698}"/>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A2104102-16E7-4E43-B824-A35A4FDFCA9B}"/>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43EDC61F-B64E-4A19-A32F-103AB92B7887}"/>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22E2C237-3864-41CD-8F9C-DA1CBEAD117C}"/>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69440A28-65BA-4989-8DC8-E9B55DC236A3}"/>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11891AFA-99B0-47F4-AD06-4D57EAF9E778}"/>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343A895A-FE05-46F0-9647-F9F3456F6177}"/>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622672ED-AC46-40F5-A8FE-F4BAB78A048B}"/>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44450D5-8572-4BB5-84B4-F5C7D150B6C7}"/>
    <cellStyle name="Currency 4 3 4 3 4" xfId="30025" xr:uid="{88B61708-BFEF-4F6F-9EB5-2A82B79A3234}"/>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3D342D89-951F-42FE-AFA7-02C06977166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6ED78B9-1790-43B8-8D07-782FD38F47DA}"/>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8D956BA4-F8F3-4AF7-A374-22028EA55A87}"/>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7E83D563-FEEC-4B74-91B9-76F36F4779E1}"/>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37C8CD08-8098-40BF-81A8-13371D353418}"/>
    <cellStyle name="Currency 4 4 2 2 3 4" xfId="30027" xr:uid="{20C2EE86-C8E6-4534-B3A0-BA965CFBAA69}"/>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5E2BFA40-27AB-48AB-B209-736815013773}"/>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45F40AC6-9935-46A4-BAE5-DE2D811384BD}"/>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00BBAC5C-6B4D-4BFB-88B3-319379ED1160}"/>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F947AC3B-3F24-4CC8-9A03-81CE1B400B39}"/>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3" xfId="3585" xr:uid="{00000000-0005-0000-0000-000094030000}"/>
    <cellStyle name="Currency 4 4 3 3 4" xfId="5693" xr:uid="{193A20EF-0047-4A6C-B664-DEFD302C7B8D}"/>
    <cellStyle name="Currency 4 4 3 3 4 2" xfId="29915" xr:uid="{1160FE07-78F6-4DBD-9363-F0E1809FD488}"/>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5A7A8C2C-4CFB-4B16-9B80-01B0461F5A7C}"/>
    <cellStyle name="Currency 4 4 4 2 3" xfId="23159" xr:uid="{84ACC6A3-99BA-4642-A269-125562AF4504}"/>
    <cellStyle name="Currency 4 4 4 2 4" xfId="30065" xr:uid="{575548A0-9AE0-4037-85B0-75C1736D0F6B}"/>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4E3BB59A-FE6B-4291-AA73-B80B511BC192}"/>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782D0240-1E13-4620-B617-03DCC01AD1C9}"/>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4E0C0F11-CCF5-4BDD-A420-574DB9B1BDBC}"/>
    <cellStyle name="Currency 4 5 2 2 2 3" xfId="25550" xr:uid="{28F1393C-3413-4434-818B-1BEA030FD1C4}"/>
    <cellStyle name="Currency 4 5 2 2 2 4" xfId="30066" xr:uid="{89662CFF-0BF6-404F-B877-A50B113DE248}"/>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3" xfId="3676" xr:uid="{00000000-0005-0000-0000-0000A3030000}"/>
    <cellStyle name="Currency 4 5 2 3 4" xfId="5696" xr:uid="{0CD193E0-BEC1-4BF2-9788-987F9986CB96}"/>
    <cellStyle name="Currency 4 5 2 3 4 2" xfId="29760" xr:uid="{84637B4B-928C-44A5-9E46-37EA09683DCD}"/>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2CEC77DD-C361-47E4-9C4A-52B592FB3AF9}"/>
    <cellStyle name="Currency 4 5 2 4 4" xfId="30028" xr:uid="{2556C8FF-CD1B-4B81-B2A3-CB2F51E7731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59F6E065-FEEC-4731-857A-4F11BF3B4444}"/>
    <cellStyle name="Currency 4 5 3 2 3" xfId="25620" xr:uid="{CE950C91-DA13-4A1B-A20A-059D6EE2D92A}"/>
    <cellStyle name="Currency 4 5 3 2 3 2" xfId="26037" xr:uid="{BE3BCC2F-6352-4B40-AC21-B009231F1344}"/>
    <cellStyle name="Currency 4 5 3 2 4" xfId="30067" xr:uid="{459810AD-60E4-4B79-9871-C481CDF3A3DD}"/>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6B7E80B-8AA3-4245-9BCC-E54CB35A972B}"/>
    <cellStyle name="Currency 4 5 4 2 3" xfId="24067" xr:uid="{0D856946-7117-49EA-AC01-0064A38C42CE}"/>
    <cellStyle name="Currency 4 5 4 2 4" xfId="30044" xr:uid="{500734E3-5E27-4751-8D29-B0BD0751FF5A}"/>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3" xfId="3687" xr:uid="{00000000-0005-0000-0000-0000AE030000}"/>
    <cellStyle name="Currency 4 5 5 4" xfId="5697" xr:uid="{87D1524C-BFE7-422B-B989-9D522BADBCA1}"/>
    <cellStyle name="Currency 4 5 5 4 2" xfId="29851" xr:uid="{8A8A617D-DD8F-4D1F-A685-AB50D19A2932}"/>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2B69EEAC-6524-4F45-A8CB-C42F9DDAEC44}"/>
    <cellStyle name="Currency 4 5 6 5" xfId="30003" xr:uid="{28EC94C3-75FB-444A-8426-D8261A4EBA95}"/>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3890A31E-603D-4C38-8E79-DFCFADF2DA8D}"/>
    <cellStyle name="Currency 4 6 2 2 2 3" xfId="25071" xr:uid="{E0EA9661-5210-4CF1-B311-A122A5430DBF}"/>
    <cellStyle name="Currency 4 6 2 2 2 4" xfId="30068" xr:uid="{01E93842-62A6-4502-B006-C29EF60DFCAD}"/>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3" xfId="3636" xr:uid="{00000000-0005-0000-0000-0000B7030000}"/>
    <cellStyle name="Currency 4 6 2 3 4" xfId="5698" xr:uid="{B38A81BB-9A36-40AA-950D-281B6FFF8927}"/>
    <cellStyle name="Currency 4 6 2 3 4 2" xfId="29761" xr:uid="{0C168B57-1E8D-4228-A3B1-FC81EBC0C77A}"/>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7484FDF2-72E9-4562-B3E1-2508B84DFA16}"/>
    <cellStyle name="Currency 4 6 2 4 4" xfId="30029" xr:uid="{D470B49B-30A3-46A2-ABDE-DD1BF67E0176}"/>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2E2955F2-5323-48D8-88F1-DFACDFF59EF0}"/>
    <cellStyle name="Currency 4 6 3 2 3" xfId="23227" xr:uid="{2C26A46C-6DAC-4B8D-A2CE-FB3895391873}"/>
    <cellStyle name="Currency 4 6 3 2 3 2" xfId="27864" xr:uid="{10E1699B-2241-47D5-9787-3D9730D666CE}"/>
    <cellStyle name="Currency 4 6 3 2 4" xfId="30069" xr:uid="{AB13BBB3-FC4B-4C44-B489-1E9DA0982B6D}"/>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33E8C7CB-DE2A-4B04-8838-3E76B19321CA}"/>
    <cellStyle name="Currency 4 6 4 2 3" xfId="22734" xr:uid="{49722CC7-D743-4F52-82C1-3F54B76E2373}"/>
    <cellStyle name="Currency 4 6 4 2 4" xfId="30045" xr:uid="{EBA579E4-839A-4FFC-AD55-EE2084B261BD}"/>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3" xfId="2085" xr:uid="{00000000-0005-0000-0000-0000C2030000}"/>
    <cellStyle name="Currency 4 6 5 4" xfId="5699" xr:uid="{7B617730-E9B4-416A-9358-07A6A410E9D6}"/>
    <cellStyle name="Currency 4 6 5 4 2" xfId="29852" xr:uid="{C0C812F6-52BB-4B47-92CD-D11B184F23E4}"/>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B3D03076-0804-4CE3-95A4-8664C2AA1876}"/>
    <cellStyle name="Currency 4 6 6 5" xfId="30007" xr:uid="{3A31B448-5405-4FAC-B9EB-E3527EE70E97}"/>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BBAAF834-FEB5-4D12-8D75-A8352994404E}"/>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3" xfId="24175" xr:uid="{26544DD9-D091-4B2C-811F-DB5F89FFB9E2}"/>
    <cellStyle name="Currency 4 7 2 3 4" xfId="30046" xr:uid="{409A85BC-4EB7-4338-AE4E-189C5AD3AABA}"/>
    <cellStyle name="Currency 4 7 2 3 5" xfId="29666" xr:uid="{599CC689-3191-42F8-8A60-F319590E1D49}"/>
    <cellStyle name="Currency 4 7 2 4" xfId="1944" xr:uid="{00000000-0005-0000-0000-0000C9030000}"/>
    <cellStyle name="Currency 4 7 2 4 2" xfId="27767" xr:uid="{35AA840F-E0D9-4801-A904-7666944D530D}"/>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948D21FD-680D-432B-9130-8B4F5C29EB88}"/>
    <cellStyle name="Currency 4 7 4 5" xfId="29853" xr:uid="{EC122753-63B4-490A-B855-F606E73D68C0}"/>
    <cellStyle name="Currency 4 7 4 6" xfId="29995" xr:uid="{CA764BD3-7382-4BB4-A66E-AEB745035C22}"/>
    <cellStyle name="Currency 4 7 5" xfId="1951" xr:uid="{00000000-0005-0000-0000-0000CF030000}"/>
    <cellStyle name="Currency 4 7 5 2" xfId="25268" xr:uid="{CDE00D5B-E828-41FA-A68A-9B3CE7066B15}"/>
    <cellStyle name="Currency 4 7 5 2 2" xfId="29733" xr:uid="{B721A588-E895-474E-A48F-14172B8F5202}"/>
    <cellStyle name="Currency 4 7 5 3" xfId="25600" xr:uid="{6CD831BA-6D09-4C68-9F08-905171E640CA}"/>
    <cellStyle name="Currency 4 7 5 4" xfId="30030" xr:uid="{50EA3F57-7F78-495A-B3C1-FD4DACBCD845}"/>
    <cellStyle name="Currency 4 7 6" xfId="1943" xr:uid="{00000000-0005-0000-0000-0000D0030000}"/>
    <cellStyle name="Currency 4 7 6 2" xfId="26143" xr:uid="{D0C1945C-72AA-4573-AA8D-1633DBEA2CAD}"/>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5D9555CB-8972-4A89-9CCE-000409988E35}"/>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3" xfId="23120" xr:uid="{1602DC18-E900-4AE9-A316-7D2565CB3207}"/>
    <cellStyle name="Currency 4 8 2 3 4" xfId="30047" xr:uid="{1035A736-91F7-4DD2-97C3-4DE5A274C55C}"/>
    <cellStyle name="Currency 4 8 2 3 5" xfId="29667" xr:uid="{4736A6D2-06AA-4378-8C63-998508482450}"/>
    <cellStyle name="Currency 4 8 2 4" xfId="1953" xr:uid="{00000000-0005-0000-0000-0000D5030000}"/>
    <cellStyle name="Currency 4 8 2 4 2" xfId="28681" xr:uid="{83965D3F-0DFF-4118-9460-A46F81EC8DEC}"/>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108A91B9-E7DA-4761-A4F4-4A63154C0617}"/>
    <cellStyle name="Currency 4 8 4 5" xfId="29854" xr:uid="{622058C5-6E7A-4BE3-842D-24986BC09EF1}"/>
    <cellStyle name="Currency 4 8 4 6" xfId="29996" xr:uid="{69FAD306-4504-4C44-BF5A-626B0549CFB2}"/>
    <cellStyle name="Currency 4 8 5" xfId="1960" xr:uid="{00000000-0005-0000-0000-0000DB030000}"/>
    <cellStyle name="Currency 4 8 5 2" xfId="25623" xr:uid="{FDE13DD4-4BFE-4241-AF39-D2C68C9AD7B0}"/>
    <cellStyle name="Currency 4 8 5 2 2" xfId="29814" xr:uid="{49E67160-AC80-4E3A-A95C-B4BE0C2E6B08}"/>
    <cellStyle name="Currency 4 8 5 3" xfId="23099" xr:uid="{7A60B91C-EC8E-45C0-8A86-C875998593D9}"/>
    <cellStyle name="Currency 4 8 5 4" xfId="30031" xr:uid="{A4EBCC9C-3768-4DEF-A69D-2F320324E732}"/>
    <cellStyle name="Currency 4 8 6" xfId="1952" xr:uid="{00000000-0005-0000-0000-0000DC030000}"/>
    <cellStyle name="Currency 4 8 6 2" xfId="25843" xr:uid="{F485F629-3DA4-44A2-B8A8-546D8AA4877F}"/>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BA48164D-6388-4C0B-B829-97B63A74B7D6}"/>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34976768-94C5-4AD0-AD4A-970D0939BDED}"/>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3" xfId="3656" xr:uid="{00000000-0005-0000-0000-0000DF030000}"/>
    <cellStyle name="Currency 4 9 3 4" xfId="5703" xr:uid="{572965EA-1F6C-4640-9DDC-DE1E721E4148}"/>
    <cellStyle name="Currency 4 9 3 4 2" xfId="29758" xr:uid="{871758C4-40FA-4213-9A70-8EABBFA2331E}"/>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4 4 2" xfId="30157" xr:uid="{BC8C1DC8-76AC-4E96-8FD7-8351FE0F5213}"/>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BF10A895-82B8-47CA-8479-56B7F739C045}"/>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86EA8A05-9B10-4239-8E52-0E020113B246}"/>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254B081E-C964-4B10-AA10-D83F435305AF}"/>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19814FAF-C0D2-4214-8CB0-1CCCE83950C4}"/>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3" xfId="3579" xr:uid="{00000000-0005-0000-0000-0000E9030000}"/>
    <cellStyle name="Currency 5 2 3 3 4" xfId="5709" xr:uid="{59616245-D824-46F1-81B0-F7CE84542057}"/>
    <cellStyle name="Currency 5 2 3 3 4 2" xfId="29919" xr:uid="{A8D1B068-9FB9-4A63-A554-0536EE4058C3}"/>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BB90EDB9-AEDD-4E01-83B4-0F97E2D508CF}"/>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AFC9EEB-7BF9-4550-8B8F-AD05E9E15F08}"/>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850E9F2A-962F-4C33-BF8C-E0BE8BC321CF}"/>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660E8643-0C63-4860-8E00-46D6424418AC}"/>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3777CA07-1B9C-4D12-95AD-0FF91C97B96D}"/>
    <cellStyle name="Currency 5 3 2 7" xfId="22910" xr:uid="{2A10CFEC-0929-4835-ABE0-3A392EEEC7A6}"/>
    <cellStyle name="Currency 5 3 2 8" xfId="13120" xr:uid="{47A9C792-CC8F-4DF3-B7EE-6BD5C7B06878}"/>
    <cellStyle name="Currency 5 3 2 9" xfId="29997" xr:uid="{D62485A7-5FF7-4632-BBA8-1FCA95FF7F3F}"/>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8EECC7A-3B87-4573-AB41-9E151AB0B1F4}"/>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8C61737E-2347-497C-80D4-5C96C78E6240}"/>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4F55EB6B-0E52-4A91-AA3C-C55941AF1F4A}"/>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3" xfId="2076" xr:uid="{00000000-0005-0000-0000-0000F4030000}"/>
    <cellStyle name="Currency 5 4 3 4" xfId="5716" xr:uid="{C626BE1A-2589-41B4-9BF0-6DAE18296A2F}"/>
    <cellStyle name="Currency 5 4 3 4 2" xfId="29762" xr:uid="{53070851-522D-425A-ACDC-AB2C8D2C38B6}"/>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5CE17547-D19F-400D-A10E-ED8C72FDF614}"/>
    <cellStyle name="Currency 5 5 2 3" xfId="23372" xr:uid="{B1715BAC-BC59-417D-8714-CAE2DF61EF57}"/>
    <cellStyle name="Currency 5 5 2 4" xfId="30070" xr:uid="{4FB0CB7F-CD6E-4ED5-A7A0-F32A6FBE23F0}"/>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AEC9B45F-E2F0-4420-B619-CD2CC4F57C82}"/>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AE852629-CE9F-4921-B031-49310EDC21C1}"/>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589D110F-AE02-49C7-966A-C23E5EA105C1}"/>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46AFF638-BD32-4F22-B177-95B65E1E85ED}"/>
    <cellStyle name="Currency 6 2 7" xfId="24758" xr:uid="{E9123834-46AB-4CF8-ABC6-146C5D9A9E59}"/>
    <cellStyle name="Currency 6 2 8" xfId="13121" xr:uid="{AF98AD0D-47DC-446A-B679-F04EDFEFA06F}"/>
    <cellStyle name="Currency 6 2 9" xfId="29998" xr:uid="{4F912132-8116-4753-BF27-26DC2EC11EB2}"/>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F5EF8D09-E61E-4FF9-BD21-AD16130A6B6B}"/>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6093FB9D-EFDE-4B79-BCEB-6900CDA07F93}"/>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D4E617B0-F827-4D06-B930-9307418CB92C}"/>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647AF3D0-84A0-46FE-8337-505AAB6FE8BE}"/>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00878772-B859-4333-88C8-F4BCD9FD5C8A}"/>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7B37BD32-5F8E-469B-81D3-0293631D8258}"/>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1F7C7613-557E-4BE1-94D0-B6A0BA0F1490}"/>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6" xfId="29639" xr:uid="{2615603F-F587-465C-9DB1-DFE5AAD13470}"/>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2 2" xfId="30098" xr:uid="{4C1E8AA5-D531-4348-9490-956C26356176}"/>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4" xfId="25759" xr:uid="{5EC9D443-D6FF-49B3-87CB-0CAAE76577FA}"/>
    <cellStyle name="Normal 3 2 3 3 2 3 2 4 2" xfId="30127" xr:uid="{1F3E8C18-37E1-478B-BC9E-EEAAE438248A}"/>
    <cellStyle name="Normal 3 2 3 3 2 3 3" xfId="858" xr:uid="{00000000-0005-0000-0000-000007050000}"/>
    <cellStyle name="Normal 3 2 3 3 2 3 4" xfId="2919" xr:uid="{00000000-0005-0000-0000-000014050000}"/>
    <cellStyle name="Normal 3 2 3 3 2 3 5" xfId="2094" xr:uid="{00000000-0005-0000-0000-000008020000}"/>
    <cellStyle name="Normal 3 2 3 3 2 3 5 2" xfId="4649" xr:uid="{F5C0EA0D-9822-4FF4-BD48-55FE3EF7782D}"/>
    <cellStyle name="Normal 3 2 3 3 2 3 6" xfId="3957" xr:uid="{0E1DF840-3114-4679-8527-B4509133BFD3}"/>
    <cellStyle name="Normal 3 2 3 3 2 3 6 2" xfId="4703" xr:uid="{EBED180B-3325-462A-919B-62911980F3E3}"/>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5" xfId="2093" xr:uid="{00000000-0005-0000-0000-000006020000}"/>
    <cellStyle name="Normal 3 2 3 3 2 5 2" xfId="4666" xr:uid="{1B4AA995-6D1E-409F-BFE5-CBE6CD7AB94F}"/>
    <cellStyle name="Normal 3 2 3 3 2 6" xfId="3956" xr:uid="{F8E8F1E1-BBD4-4256-B483-D824BDAE78F4}"/>
    <cellStyle name="Normal 3 2 3 3 2 6 2" xfId="4764" xr:uid="{9F42B403-8D69-4B35-A1B8-4F04141A4544}"/>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B3B812D9-811C-4FA7-B2F2-3784EE5B055E}"/>
    <cellStyle name="Normal 3 2 3 3 4 2 2 2 3" xfId="3713" xr:uid="{00000000-0005-0000-0000-00007A040000}"/>
    <cellStyle name="Normal 3 2 3 3 4 2 2 2 3 2" xfId="4775" xr:uid="{3EE6A992-6E14-412B-A546-1161B9E0D3AE}"/>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2 4 2" xfId="30128" xr:uid="{F9E64F87-ACDC-4FF7-ACB6-A37F07528E85}"/>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2 2" xfId="30121" xr:uid="{D0B3C1C5-6007-4381-980E-0FD972C970EC}"/>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5" xfId="25609" xr:uid="{AE0E7AAC-A35C-4739-83F7-24B2349D3A43}"/>
    <cellStyle name="Normal 3 2 3 3 4 2 4" xfId="23282" xr:uid="{607B55E2-785A-4475-A5AF-715CB366B607}"/>
    <cellStyle name="Normal 3 2 3 3 4 3" xfId="868" xr:uid="{00000000-0005-0000-0000-000013050000}"/>
    <cellStyle name="Normal 3 2 3 3 4 4" xfId="2920" xr:uid="{00000000-0005-0000-0000-00001D050000}"/>
    <cellStyle name="Normal 3 2 3 3 4 5" xfId="2095" xr:uid="{00000000-0005-0000-0000-00000B020000}"/>
    <cellStyle name="Normal 3 2 3 3 4 5 2" xfId="3808" xr:uid="{88D4B6F8-D038-4FA2-9B5E-8BA2B2639DFB}"/>
    <cellStyle name="Normal 3 2 3 3 4 6" xfId="3958" xr:uid="{5C36214B-B9A0-42AD-97C5-679BC9758736}"/>
    <cellStyle name="Normal 3 2 3 3 4 6 2" xfId="4776" xr:uid="{C6EA1D90-BF83-4CD0-B22B-769466A8D247}"/>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2 2" xfId="30099" xr:uid="{4108CAB2-036B-4660-93FF-80668760E7BA}"/>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4" xfId="25825" xr:uid="{1A6B0C1D-1919-427D-8E6B-3883E899BAEA}"/>
    <cellStyle name="Normal 3 2 3 4 3 2 4 2" xfId="30129" xr:uid="{F990CFA8-4DF7-41FF-81A3-ECCC6842BC4B}"/>
    <cellStyle name="Normal 3 2 3 4 3 3" xfId="877" xr:uid="{00000000-0005-0000-0000-00001D050000}"/>
    <cellStyle name="Normal 3 2 3 4 3 4" xfId="2921" xr:uid="{00000000-0005-0000-0000-000023050000}"/>
    <cellStyle name="Normal 3 2 3 4 3 5" xfId="2098" xr:uid="{00000000-0005-0000-0000-000012020000}"/>
    <cellStyle name="Normal 3 2 3 4 3 5 2" xfId="4671" xr:uid="{C7488697-347C-4027-9144-3C9AC3B4D98F}"/>
    <cellStyle name="Normal 3 2 3 4 3 6" xfId="3960" xr:uid="{D1FAA155-8172-43EB-ACF9-9A7AA25E3D6E}"/>
    <cellStyle name="Normal 3 2 3 4 3 6 2" xfId="4784" xr:uid="{8A9EA233-ABD3-42E4-B860-F2A4E0132FC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5" xfId="2097" xr:uid="{00000000-0005-0000-0000-000010020000}"/>
    <cellStyle name="Normal 3 2 3 4 5 2" xfId="3778" xr:uid="{8B0DC8D1-7DE9-4171-A63D-3B65DE7CC539}"/>
    <cellStyle name="Normal 3 2 3 4 6" xfId="3959" xr:uid="{C6836599-ECCD-4EBB-AA38-ABF0279C67FA}"/>
    <cellStyle name="Normal 3 2 3 4 6 2" xfId="4749" xr:uid="{E32033F8-C2D4-4D9A-8197-D59BB0805FFB}"/>
    <cellStyle name="Normal 3 2 3 5" xfId="2066" xr:uid="{00000000-0005-0000-0000-000003020000}"/>
    <cellStyle name="Normal 3 2 3 5 2" xfId="4738" xr:uid="{1DEEA62F-24B4-4396-B677-5B3167946642}"/>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2 2" xfId="30100" xr:uid="{F96B2E29-79D4-4B20-A1AD-63AD98849480}"/>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4" xfId="23427" xr:uid="{F5F16304-98F9-4382-9EBD-05DA6A2307A4}"/>
    <cellStyle name="Normal 3 2 4 3 2 4 2" xfId="30130" xr:uid="{319F03A0-A1E4-4102-9B87-3F4066A3DD4B}"/>
    <cellStyle name="Normal 3 2 4 3 3" xfId="885" xr:uid="{00000000-0005-0000-0000-000027050000}"/>
    <cellStyle name="Normal 3 2 4 3 4" xfId="2923" xr:uid="{00000000-0005-0000-0000-00002A050000}"/>
    <cellStyle name="Normal 3 2 4 3 5" xfId="2100" xr:uid="{00000000-0005-0000-0000-000016020000}"/>
    <cellStyle name="Normal 3 2 4 3 5 2" xfId="4686" xr:uid="{06BFEBE3-1397-400F-9E69-D60195609A34}"/>
    <cellStyle name="Normal 3 2 4 3 6" xfId="3963" xr:uid="{C9BE7447-0E91-41CB-9714-02F1C566D84A}"/>
    <cellStyle name="Normal 3 2 4 3 6 2" xfId="4788" xr:uid="{0C195683-FC3A-4228-8CFA-81C976438B43}"/>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3" xfId="24728" xr:uid="{154F7FD8-B3F3-4487-878D-5A0175DAC264}"/>
    <cellStyle name="Normal 3 2 4 5" xfId="2099" xr:uid="{00000000-0005-0000-0000-000014020000}"/>
    <cellStyle name="Normal 3 2 4 5 2" xfId="4645" xr:uid="{3EC2113D-E49B-4038-9F23-778F9B5DB2AD}"/>
    <cellStyle name="Normal 3 2 4 6" xfId="3962" xr:uid="{7B02E248-334A-4390-803D-03A9529B2562}"/>
    <cellStyle name="Normal 3 2 4 6 2" xfId="4817" xr:uid="{2DE6B781-6A0F-4C4A-A762-5BA32CF9F8AB}"/>
    <cellStyle name="Normal 3 2 5" xfId="29571" xr:uid="{750150B5-C7CA-4EA6-BA0D-6C0AEF29E2A9}"/>
    <cellStyle name="Normal 3 2 5 2" xfId="29630" xr:uid="{FC40ABBD-3EDE-4371-9FF9-A208F204AC39}"/>
    <cellStyle name="Normal 3 2 5 3" xfId="29600" xr:uid="{4BE0FB2A-CFA3-46C2-A6F3-5BD4CCDE876F}"/>
    <cellStyle name="Normal 3 2 5 3 2" xfId="29644" xr:uid="{012C5423-63EC-45C8-AB0D-9143CDABBBAF}"/>
    <cellStyle name="Normal 3 2 5 4" xfId="29634" xr:uid="{B70E0C93-0F24-4A65-9A4C-6AA94B1973D9}"/>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C5F35517-2591-4916-8C4D-45A93BD382DD}"/>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2 2" xfId="30101" xr:uid="{D69F8698-1391-4862-B51D-BF1CE283C0C0}"/>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4" xfId="25788" xr:uid="{1D08EFFC-DA7F-41BE-978E-EC07123E36B4}"/>
    <cellStyle name="Normal 5 2 2 3 3 2 3 2 4 2" xfId="30131" xr:uid="{88860FA3-1A06-4E6F-940C-1644DFFE2863}"/>
    <cellStyle name="Normal 5 2 2 3 3 2 3 3" xfId="1058" xr:uid="{00000000-0005-0000-0000-0000D5050000}"/>
    <cellStyle name="Normal 5 2 2 3 3 2 3 4" xfId="2949" xr:uid="{00000000-0005-0000-0000-0000D2060000}"/>
    <cellStyle name="Normal 5 2 2 3 3 2 3 5" xfId="2102" xr:uid="{00000000-0005-0000-0000-000062020000}"/>
    <cellStyle name="Normal 5 2 2 3 3 2 3 5 2" xfId="4646" xr:uid="{DCF2241D-14ED-485A-9D65-B2AB943923E7}"/>
    <cellStyle name="Normal 5 2 2 3 3 2 3 6" xfId="4001" xr:uid="{F1B4F0B9-FD33-4680-A501-B9D0765C51F9}"/>
    <cellStyle name="Normal 5 2 2 3 3 2 3 6 2" xfId="4696" xr:uid="{87C651C8-4B39-4467-81FB-F4E1577DF4A5}"/>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5" xfId="2101" xr:uid="{00000000-0005-0000-0000-000060020000}"/>
    <cellStyle name="Normal 5 2 2 3 3 2 5 2" xfId="4665" xr:uid="{456E6ACB-B92B-4E09-90D7-9887AC9A6356}"/>
    <cellStyle name="Normal 5 2 2 3 3 2 6" xfId="4000" xr:uid="{A738EDEF-3EA0-4135-885D-6506E619A596}"/>
    <cellStyle name="Normal 5 2 2 3 3 2 6 2" xfId="4815" xr:uid="{54779593-FE24-451B-9985-E9D706451F82}"/>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68167487-07C0-49F8-B1FA-224D1A6D5A17}"/>
    <cellStyle name="Normal 5 2 2 3 3 4 2 2 2 3" xfId="3719" xr:uid="{00000000-0005-0000-0000-000047050000}"/>
    <cellStyle name="Normal 5 2 2 3 3 4 2 2 2 3 2" xfId="4816" xr:uid="{A9DAC7E2-553D-4565-B80F-940B97A51BE8}"/>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2 4 2" xfId="30132" xr:uid="{A728FE8A-B3DE-4EE0-B814-01CFF48F63B6}"/>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2 2" xfId="30124" xr:uid="{546740C2-3681-47C3-8983-0AB4BF760A9D}"/>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5" xfId="25793" xr:uid="{BE81E2B3-54B5-44DA-A7B7-DF27FBF44B0E}"/>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5" xfId="2103" xr:uid="{00000000-0005-0000-0000-000065020000}"/>
    <cellStyle name="Normal 5 2 2 3 3 4 5 2" xfId="3791" xr:uid="{BC5A38D1-BFF3-476A-8A69-EA1EE0617EC6}"/>
    <cellStyle name="Normal 5 2 2 3 3 4 6" xfId="4002" xr:uid="{D8FD9E04-9092-4C4B-A910-C73C5CD42691}"/>
    <cellStyle name="Normal 5 2 2 3 3 4 6 2" xfId="4695" xr:uid="{E279391E-A262-4102-8448-E71B06C35C79}"/>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2 2" xfId="30102" xr:uid="{D5FB9303-C193-4A4C-B62E-5D6CBB8A5F3B}"/>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4" xfId="25686" xr:uid="{D36B2ED3-0F57-4BA2-8ECD-62BF05B0572F}"/>
    <cellStyle name="Normal 5 2 2 3 4 3 2 4 2" xfId="30133" xr:uid="{FDBB301D-A1ED-44B7-AB87-4AA12E467112}"/>
    <cellStyle name="Normal 5 2 2 3 4 3 3" xfId="1077" xr:uid="{00000000-0005-0000-0000-0000EB050000}"/>
    <cellStyle name="Normal 5 2 2 3 4 3 4" xfId="2951" xr:uid="{00000000-0005-0000-0000-0000E1060000}"/>
    <cellStyle name="Normal 5 2 2 3 4 3 5" xfId="2106" xr:uid="{00000000-0005-0000-0000-00006C020000}"/>
    <cellStyle name="Normal 5 2 2 3 4 3 5 2" xfId="4053" xr:uid="{49B8B7A8-4856-40A4-A58F-9BFE37881BD3}"/>
    <cellStyle name="Normal 5 2 2 3 4 3 6" xfId="4004" xr:uid="{2E9BA179-24FF-4822-9D6C-F2734EFD2CB0}"/>
    <cellStyle name="Normal 5 2 2 3 4 3 6 2" xfId="4805" xr:uid="{2387F2B7-3B47-4789-BF4E-B979001A8FAA}"/>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5" xfId="2105" xr:uid="{00000000-0005-0000-0000-00006A020000}"/>
    <cellStyle name="Normal 5 2 2 3 4 5 2" xfId="4659" xr:uid="{67E9FDA9-5A2B-445D-B40D-93E8A98A8238}"/>
    <cellStyle name="Normal 5 2 2 3 4 6" xfId="4003" xr:uid="{483D2F10-7048-47B5-8EC8-C27C7ED5C5D2}"/>
    <cellStyle name="Normal 5 2 2 3 4 6 2" xfId="4722" xr:uid="{9099B238-0B4B-4E4D-B266-C731E14F65F2}"/>
    <cellStyle name="Normal 5 2 2 3 5" xfId="2067" xr:uid="{00000000-0005-0000-0000-00005D020000}"/>
    <cellStyle name="Normal 5 2 2 3 5 2" xfId="4745" xr:uid="{D9BCE5B0-F41F-41F6-A6AC-41E5B78235A9}"/>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2 2" xfId="30103" xr:uid="{9F6D0B02-2B94-45C2-9546-B8E60E650BFF}"/>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4" xfId="24571" xr:uid="{CA10D6C3-1290-4ABF-AABF-26E17988ED1A}"/>
    <cellStyle name="Normal 5 2 2 4 3 2 4 2" xfId="30134" xr:uid="{4978D1EB-2354-4122-925E-22105EFB26BA}"/>
    <cellStyle name="Normal 5 2 2 4 3 3" xfId="1085" xr:uid="{00000000-0005-0000-0000-0000F5050000}"/>
    <cellStyle name="Normal 5 2 2 4 3 4" xfId="2952" xr:uid="{00000000-0005-0000-0000-0000E8060000}"/>
    <cellStyle name="Normal 5 2 2 4 3 5" xfId="2108" xr:uid="{00000000-0005-0000-0000-000070020000}"/>
    <cellStyle name="Normal 5 2 2 4 3 5 2" xfId="4630" xr:uid="{CB491582-F2CB-4E36-BE6E-EFC681D7156D}"/>
    <cellStyle name="Normal 5 2 2 4 3 6" xfId="4006" xr:uid="{D558FD0F-23C1-46DD-B9F0-9F8795729785}"/>
    <cellStyle name="Normal 5 2 2 4 3 6 2" xfId="4714" xr:uid="{B120F520-B966-4AD5-8EBE-409F270073F9}"/>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5" xfId="2107" xr:uid="{00000000-0005-0000-0000-00006E020000}"/>
    <cellStyle name="Normal 5 2 2 4 5 2" xfId="4679" xr:uid="{1C1F360D-C6E5-496D-8E0B-7C61EF688A4B}"/>
    <cellStyle name="Normal 5 2 2 4 6" xfId="4005" xr:uid="{487C8B09-2829-42FC-9B86-25DB3AB10663}"/>
    <cellStyle name="Normal 5 2 2 4 6 2" xfId="4778" xr:uid="{C7B64242-53F0-4D37-B483-14A3329CCC0F}"/>
    <cellStyle name="Normal 5 2 2 5" xfId="29602" xr:uid="{51A7D0CB-4AEF-4815-897D-E9DF6C04761B}"/>
    <cellStyle name="Normal 5 2 2 5 2" xfId="29633" xr:uid="{4D46F027-DFAF-43F3-8432-E8ADA4FEF75B}"/>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2 2" xfId="30104" xr:uid="{EBFC2968-3976-4D70-A0EC-5B3E2ED138A0}"/>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4" xfId="23146" xr:uid="{70717655-02F4-404C-95BB-4DB5536E3E99}"/>
    <cellStyle name="Normal 5 2 4 3 2 3 2 4 2" xfId="30135" xr:uid="{ECC2FD4F-7132-4158-A866-19353E61EFCE}"/>
    <cellStyle name="Normal 5 2 4 3 2 3 3" xfId="1101" xr:uid="{00000000-0005-0000-0000-000006060000}"/>
    <cellStyle name="Normal 5 2 4 3 2 3 4" xfId="2954" xr:uid="{00000000-0005-0000-0000-0000F4060000}"/>
    <cellStyle name="Normal 5 2 4 3 2 3 5" xfId="2110" xr:uid="{00000000-0005-0000-0000-000079020000}"/>
    <cellStyle name="Normal 5 2 4 3 2 3 5 2" xfId="4629" xr:uid="{D9BC3CB2-5DA1-450C-BCAA-C84E226AB1E6}"/>
    <cellStyle name="Normal 5 2 4 3 2 3 6" xfId="4008" xr:uid="{993A1062-C514-464B-A529-806C1AF30B6A}"/>
    <cellStyle name="Normal 5 2 4 3 2 3 6 2" xfId="4694" xr:uid="{C18C23D0-B407-4C1A-B972-7E83A621B743}"/>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5" xfId="2109" xr:uid="{00000000-0005-0000-0000-000077020000}"/>
    <cellStyle name="Normal 5 2 4 3 2 5 2" xfId="4634" xr:uid="{CE0C5B6A-2719-4A04-925F-57872C2DEC2B}"/>
    <cellStyle name="Normal 5 2 4 3 2 6" xfId="4007" xr:uid="{21BCC244-DE2D-4E05-B4CA-800C7ACB717D}"/>
    <cellStyle name="Normal 5 2 4 3 2 6 2" xfId="4809" xr:uid="{FE4BE598-DEBE-491E-8102-65FC12E0DC06}"/>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42E61604-BD7F-4B6F-A4B7-88C511FF2C70}"/>
    <cellStyle name="Normal 5 2 4 3 4 2 2 2 3" xfId="3726" xr:uid="{00000000-0005-0000-0000-000077050000}"/>
    <cellStyle name="Normal 5 2 4 3 4 2 2 2 3 2" xfId="4700" xr:uid="{D86AE0E5-80AB-45CC-BB51-27009840DF19}"/>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2 4 2" xfId="30136" xr:uid="{65A59C4C-F5C0-4F35-8EEB-31F77BABF9C5}"/>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2 2" xfId="30122" xr:uid="{7CDC6F15-C215-4954-B8D5-45AE80BF380F}"/>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5" xfId="25282" xr:uid="{C7B4FAF3-1BA0-45BB-BA6F-44260C736B84}"/>
    <cellStyle name="Normal 5 2 4 3 4 2 4" xfId="23058" xr:uid="{C7716834-6B7F-4C7C-AB0F-D110ACFBAC7A}"/>
    <cellStyle name="Normal 5 2 4 3 4 3" xfId="1111" xr:uid="{00000000-0005-0000-0000-000012060000}"/>
    <cellStyle name="Normal 5 2 4 3 4 4" xfId="2955" xr:uid="{00000000-0005-0000-0000-0000FD060000}"/>
    <cellStyle name="Normal 5 2 4 3 4 5" xfId="2111" xr:uid="{00000000-0005-0000-0000-00007C020000}"/>
    <cellStyle name="Normal 5 2 4 3 4 5 2" xfId="4640" xr:uid="{9499810A-4B41-448D-89FA-46D00AE72935}"/>
    <cellStyle name="Normal 5 2 4 3 4 6" xfId="4009" xr:uid="{F6561F36-B5FA-449D-8623-6523BDF6513B}"/>
    <cellStyle name="Normal 5 2 4 3 4 6 2" xfId="4822" xr:uid="{2C1739FD-A387-4815-9D44-5238B913A269}"/>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2 2" xfId="30105" xr:uid="{D5297971-DBB1-4EE1-A814-6772FACA57D7}"/>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4" xfId="24799" xr:uid="{868BB01E-4989-41C7-8624-51DC12DB0459}"/>
    <cellStyle name="Normal 5 2 4 4 3 2 4 2" xfId="30137" xr:uid="{EA05733C-27EE-4449-9EB0-08F434D864CA}"/>
    <cellStyle name="Normal 5 2 4 4 3 3" xfId="1120" xr:uid="{00000000-0005-0000-0000-00001C060000}"/>
    <cellStyle name="Normal 5 2 4 4 3 4" xfId="2956" xr:uid="{00000000-0005-0000-0000-000003070000}"/>
    <cellStyle name="Normal 5 2 4 4 3 5" xfId="2114" xr:uid="{00000000-0005-0000-0000-000083020000}"/>
    <cellStyle name="Normal 5 2 4 4 3 5 2" xfId="3783" xr:uid="{D037D556-2DF5-490C-8D04-4D0D0B902C7F}"/>
    <cellStyle name="Normal 5 2 4 4 3 6" xfId="4011" xr:uid="{48584F99-0955-4DD2-8F83-B7B1E99DDE13}"/>
    <cellStyle name="Normal 5 2 4 4 3 6 2" xfId="4710" xr:uid="{05F490C6-261E-4F3C-99BE-89B9730F2236}"/>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5" xfId="1123" xr:uid="{00000000-0005-0000-0000-00001F060000}"/>
    <cellStyle name="Normal 5 2 4 4 5 2" xfId="4685" xr:uid="{00564EB2-1CAC-4E4B-B4B3-F5A40DFD44F8}"/>
    <cellStyle name="Normal 5 2 4 4 5 2 2" xfId="4826" xr:uid="{83E1FB17-2E9A-4803-B6F4-091CC3A05E18}"/>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7" xfId="4010" xr:uid="{AD80C160-AEC5-4928-B410-574B477C1DBC}"/>
    <cellStyle name="Normal 5 2 4 4 7 2" xfId="4787" xr:uid="{F6E3D3A6-20C3-4DDD-A8D0-C82F8B32B771}"/>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6" xfId="2068" xr:uid="{00000000-0005-0000-0000-000074020000}"/>
    <cellStyle name="Normal 5 2 4 6 2" xfId="4761" xr:uid="{35A1BC4F-2451-4737-BD49-D3AC91FFB2BF}"/>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2 2" xfId="30106" xr:uid="{535A2524-792B-4F46-93CA-9E402284222A}"/>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4" xfId="23097" xr:uid="{84EBBAC2-5BAF-4007-9F20-78E3A440C6FD}"/>
    <cellStyle name="Normal 5 2 6 3 2 4 2" xfId="30138" xr:uid="{16E6879D-D8B6-4AA8-8AAD-0346D0E38599}"/>
    <cellStyle name="Normal 5 2 6 3 3" xfId="1133" xr:uid="{00000000-0005-0000-0000-00002A060000}"/>
    <cellStyle name="Normal 5 2 6 3 4" xfId="2958" xr:uid="{00000000-0005-0000-0000-00000B070000}"/>
    <cellStyle name="Normal 5 2 6 3 5" xfId="2116" xr:uid="{00000000-0005-0000-0000-000088020000}"/>
    <cellStyle name="Normal 5 2 6 3 5 2" xfId="4643" xr:uid="{55F936E5-2268-4048-890B-2E7F45921A47}"/>
    <cellStyle name="Normal 5 2 6 3 6" xfId="4013" xr:uid="{28ED6A24-2FD5-4CA1-A14B-0556FD75683B}"/>
    <cellStyle name="Normal 5 2 6 3 6 2" xfId="4702" xr:uid="{B1BE088F-0CAA-4678-941E-5E508D832414}"/>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3" xfId="25736" xr:uid="{4B868893-5D9C-42B3-BD3C-3EDE8A95AE5E}"/>
    <cellStyle name="Normal 5 2 6 5" xfId="2115" xr:uid="{00000000-0005-0000-0000-000086020000}"/>
    <cellStyle name="Normal 5 2 6 5 2" xfId="3961" xr:uid="{FFE7DF02-3E33-41D1-A9B4-B30866C5927C}"/>
    <cellStyle name="Normal 5 2 6 6" xfId="4012" xr:uid="{C0B50273-D7A8-4911-83A8-B33EA77B3B8D}"/>
    <cellStyle name="Normal 5 2 6 6 2" xfId="4768" xr:uid="{B2AFAC66-1BE6-4CD0-9FFF-950CE52A8934}"/>
    <cellStyle name="Normal 5 2 7" xfId="1134" xr:uid="{00000000-0005-0000-0000-00002B060000}"/>
    <cellStyle name="Normal 5 2 7 2" xfId="1135" xr:uid="{00000000-0005-0000-0000-00002C060000}"/>
    <cellStyle name="Normal 5 2 7 3" xfId="1136" xr:uid="{00000000-0005-0000-0000-00002D060000}"/>
    <cellStyle name="Normal 5 2 7 4" xfId="3732" xr:uid="{00000000-0005-0000-0000-000095050000}"/>
    <cellStyle name="Normal 5 2 7 4 2" xfId="4773" xr:uid="{5E06A59F-611A-44B3-A971-E98276EE6A1C}"/>
    <cellStyle name="Normal 5 2 7 5" xfId="29605" xr:uid="{0A6BA937-6FA9-46C5-B401-7A4E2A3B41BE}"/>
    <cellStyle name="Normal 5 2 7 5 2" xfId="29636" xr:uid="{35914BEE-4FA7-4AE4-8E19-11A63582B5DB}"/>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2 2" xfId="30107" xr:uid="{A94E57AA-5980-4E33-9B69-E126F2F6CC26}"/>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4" xfId="25763" xr:uid="{228DCD5C-5DC3-4868-97DD-445981D2F756}"/>
    <cellStyle name="Normal 5 3 3 2 3 2 4 2" xfId="30139" xr:uid="{7BC77100-0885-496B-99A0-B7BD90490AA4}"/>
    <cellStyle name="Normal 5 3 3 2 3 3" xfId="1146" xr:uid="{00000000-0005-0000-0000-000038060000}"/>
    <cellStyle name="Normal 5 3 3 2 3 4" xfId="2959" xr:uid="{00000000-0005-0000-0000-000015070000}"/>
    <cellStyle name="Normal 5 3 3 2 3 5" xfId="2118" xr:uid="{00000000-0005-0000-0000-00008F020000}"/>
    <cellStyle name="Normal 5 3 3 2 3 5 2" xfId="4667" xr:uid="{9506A050-893F-44B9-8047-501E583497C1}"/>
    <cellStyle name="Normal 5 3 3 2 3 6" xfId="4015" xr:uid="{31A0DB43-85D3-4869-AD70-E01D62E64B6B}"/>
    <cellStyle name="Normal 5 3 3 2 3 6 2" xfId="4746" xr:uid="{6436B6BC-B08C-4B15-8C97-B396796FEFE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5" xfId="2117" xr:uid="{00000000-0005-0000-0000-00008D020000}"/>
    <cellStyle name="Normal 5 3 3 2 5 2" xfId="4642" xr:uid="{6378A6EC-FE82-4A4D-B72E-F6F245354E18}"/>
    <cellStyle name="Normal 5 3 3 2 6" xfId="4014" xr:uid="{336F4594-40A6-452F-A442-AD096348AEFF}"/>
    <cellStyle name="Normal 5 3 3 2 6 2" xfId="4753" xr:uid="{9079EEE4-247F-4C6E-9514-EE91EF9D4BBA}"/>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B2B95D23-8642-4BDE-A2C6-1B7FEAECD931}"/>
    <cellStyle name="Normal 5 3 3 4 2 2 2 3" xfId="3736" xr:uid="{00000000-0005-0000-0000-0000A9050000}"/>
    <cellStyle name="Normal 5 3 3 4 2 2 2 3 2" xfId="4718" xr:uid="{445C2ED0-AA7A-4C15-99E2-A6CE07F7E750}"/>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2 4 2" xfId="30140" xr:uid="{3109DB0A-C3F8-44DC-8F6F-E6B9C1BD4222}"/>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2 2" xfId="30123" xr:uid="{40B90BCD-CEC8-4794-8C07-19175879C40D}"/>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5" xfId="24944" xr:uid="{9F045087-C642-46A8-91FD-AAF692F573EC}"/>
    <cellStyle name="Normal 5 3 3 4 2 4" xfId="24108" xr:uid="{948204CC-FE7E-44DB-B145-20BC57C9DDCF}"/>
    <cellStyle name="Normal 5 3 3 4 3" xfId="1159" xr:uid="{00000000-0005-0000-0000-000047060000}"/>
    <cellStyle name="Normal 5 3 3 4 4" xfId="2960" xr:uid="{00000000-0005-0000-0000-00001E070000}"/>
    <cellStyle name="Normal 5 3 3 4 5" xfId="2119" xr:uid="{00000000-0005-0000-0000-000092020000}"/>
    <cellStyle name="Normal 5 3 3 4 5 2" xfId="4670" xr:uid="{C1D65F0E-85F0-4012-A373-B75FD3E1BAA3}"/>
    <cellStyle name="Normal 5 3 3 4 6" xfId="4016" xr:uid="{D2756F3F-6B90-4F0D-A058-F63FBCF3FF7E}"/>
    <cellStyle name="Normal 5 3 3 4 6 2" xfId="4783" xr:uid="{6E3C98E3-D3AA-4BD6-A38C-7B56FF88A673}"/>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2 2" xfId="30108" xr:uid="{7BC5EFF1-07CE-4743-9260-DDCA9B0D3FFC}"/>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4" xfId="24655" xr:uid="{5F063B03-3FE5-47FE-9028-D7BB1C893E88}"/>
    <cellStyle name="Normal 5 3 4 3 2 4 2" xfId="30141" xr:uid="{847C380C-8E10-489A-8E01-B467B1F7C3F5}"/>
    <cellStyle name="Normal 5 3 4 3 3" xfId="1169" xr:uid="{00000000-0005-0000-0000-000053060000}"/>
    <cellStyle name="Normal 5 3 4 3 4" xfId="2961" xr:uid="{00000000-0005-0000-0000-000024070000}"/>
    <cellStyle name="Normal 5 3 4 3 5" xfId="2122" xr:uid="{00000000-0005-0000-0000-000099020000}"/>
    <cellStyle name="Normal 5 3 4 3 5 2" xfId="3818" xr:uid="{9369DBB9-DD67-4338-8EB8-DA10B04D3AFA}"/>
    <cellStyle name="Normal 5 3 4 3 6" xfId="4018" xr:uid="{1613ADCD-F7DC-4D24-BE2E-0512CCDB9F7E}"/>
    <cellStyle name="Normal 5 3 4 3 6 2" xfId="4698" xr:uid="{DE044A17-1F25-42F0-A6B5-42ABCA6D7CD9}"/>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5" xfId="2121" xr:uid="{00000000-0005-0000-0000-000097020000}"/>
    <cellStyle name="Normal 5 3 4 5 2" xfId="4652" xr:uid="{AE4239F0-8210-40A2-B60A-C02B564418C5}"/>
    <cellStyle name="Normal 5 3 4 6" xfId="4017" xr:uid="{CB599806-7C8A-45F6-9C5C-00B11E4887E0}"/>
    <cellStyle name="Normal 5 3 4 6 2" xfId="4689" xr:uid="{C33C1D9E-89E1-44FF-859F-F450C4814C70}"/>
    <cellStyle name="Normal 5 3 5" xfId="2069" xr:uid="{00000000-0005-0000-0000-00008A020000}"/>
    <cellStyle name="Normal 5 3 5 2" xfId="4724" xr:uid="{FB219402-4458-4731-8217-11E2AB428DAD}"/>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2 2" xfId="30109" xr:uid="{D3179284-D523-4EEC-89A4-B750F74C5521}"/>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4" xfId="25773" xr:uid="{C3D50B18-259C-4014-9BCC-0D850B8A97C8}"/>
    <cellStyle name="Normal 5 5 10 2 4 2" xfId="30142" xr:uid="{AD128F12-AF6A-4A9F-B0E0-EE7D86C3B3F9}"/>
    <cellStyle name="Normal 5 5 10 3" xfId="1180" xr:uid="{00000000-0005-0000-0000-000060060000}"/>
    <cellStyle name="Normal 5 5 10 4" xfId="2962" xr:uid="{00000000-0005-0000-0000-00002C070000}"/>
    <cellStyle name="Normal 5 5 10 5" xfId="2124" xr:uid="{00000000-0005-0000-0000-00009E020000}"/>
    <cellStyle name="Normal 5 5 10 5 2" xfId="3790" xr:uid="{3E02F4FD-1C4C-4539-A2B7-19465E26278C}"/>
    <cellStyle name="Normal 5 5 10 6" xfId="4020" xr:uid="{337F88F3-5843-4A8A-A4B2-DC8C7B59A64B}"/>
    <cellStyle name="Normal 5 5 10 6 2" xfId="4806" xr:uid="{9AEE980B-AC49-472C-ABA8-56F2FAA76E03}"/>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3" xfId="27500" xr:uid="{C60B8A07-C87E-417E-81F5-A75D4AE0518D}"/>
    <cellStyle name="Normal 5 5 12 2 4" xfId="27364" xr:uid="{FCABEA70-D790-4657-BF9A-CD1687570BD1}"/>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7" xfId="2134" xr:uid="{00000000-0005-0000-0000-0000A1020000}"/>
    <cellStyle name="Normal 5 5 12 7 2" xfId="4820" xr:uid="{933CD350-3DDB-4FFC-B65F-DBC9B5AC6FAA}"/>
    <cellStyle name="Normal 5 5 12 8" xfId="4040" xr:uid="{339DDFF4-B60C-4AB4-A281-8CA03C0100FF}"/>
    <cellStyle name="Normal 5 5 12 8 2" xfId="4818" xr:uid="{7550A7D3-C1EF-43A3-A121-A8E9FC3C1D0F}"/>
    <cellStyle name="Normal 5 5 12 9" xfId="25796" xr:uid="{E3CEE472-2575-4086-9B70-8587E190341C}"/>
    <cellStyle name="Normal 5 5 12 9 2" xfId="26401" xr:uid="{EE6D3784-0C10-40B4-B5A5-246641421871}"/>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8" xfId="4019" xr:uid="{F3938208-EDFC-4F17-ABB5-42A544677995}"/>
    <cellStyle name="Normal 5 5 18 2" xfId="4811" xr:uid="{F76BFFF7-F65C-4C10-94AE-340164E71EC1}"/>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8EE14580-77BD-4EB2-BD73-E6D67CBB0040}"/>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E874A808-A8F1-4585-AF84-7ECBD2FAE312}"/>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CC550137-5DC7-4172-8A27-41902898C6F2}"/>
    <cellStyle name="Normal 5 5 22" xfId="29980" xr:uid="{A57C9688-291C-49E4-A991-96FFB02F280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9F7374D7-C308-4B32-BFD5-6630EE606741}"/>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91162F22-D008-4646-B68E-2DB44289E9E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7A699C5C-D896-49F8-8D9D-CA03D4529910}"/>
    <cellStyle name="Normal 5 5 3 3 2 5 3" xfId="22724" xr:uid="{5EC33E70-0B4D-40F0-A6E8-EF4A4475260D}"/>
    <cellStyle name="Normal 5 5 3 3 2 5 3 2" xfId="30093" xr:uid="{C9676F11-D088-4185-BC8C-4D0FF208E2E8}"/>
    <cellStyle name="Normal 5 5 3 3 2 5 4" xfId="23447" xr:uid="{8571319B-7759-4A87-B13E-0C7FEACCE3F9}"/>
    <cellStyle name="Normal 5 5 3 3 2 6" xfId="23174" xr:uid="{585B73B8-12BC-44A6-82F7-7D9C4E64E545}"/>
    <cellStyle name="Normal 5 5 3 3 2 7" xfId="13277" xr:uid="{60854C4E-F5E6-4B50-AA94-02CF9A79D755}"/>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18BD7E96-2391-42DB-B797-B60D8E393D39}"/>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A3C9B673-3A31-46FF-BC35-AAEA3B9396FD}"/>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7B7FA69D-C988-4DD8-A0AE-41AF3BED2E3B}"/>
    <cellStyle name="Normal 5 5 3 3 3 6" xfId="23226" xr:uid="{07D2B74A-B30D-4BBA-A7E5-EB342AD9A434}"/>
    <cellStyle name="Normal 5 5 3 3 3 6 2" xfId="29673" xr:uid="{B58DC136-28BB-4471-AED7-BC89C4D87B1F}"/>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4" xfId="26362" xr:uid="{2BB7C9BC-9F92-46B9-A4E8-54E7EDCFB1FE}"/>
    <cellStyle name="Normal 5 5 3 3 8" xfId="29681" xr:uid="{8919536B-DA24-4549-BCBB-9254EC290334}"/>
    <cellStyle name="Normal 5 5 3 3 9" xfId="29669" xr:uid="{A820B24E-BE65-49E0-8F1C-236120D53BA7}"/>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3" xfId="1241" xr:uid="{00000000-0005-0000-0000-00009F060000}"/>
    <cellStyle name="Normal 6 2 4 4" xfId="29855" xr:uid="{A160C7C2-38D5-4AE8-BD7E-D6984476D5BD}"/>
    <cellStyle name="Normal 6 2 5" xfId="1242" xr:uid="{00000000-0005-0000-0000-0000A0060000}"/>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2 2" xfId="30110" xr:uid="{09FE9B86-4C23-4C04-83B0-F9F7BE0649D4}"/>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4" xfId="23723" xr:uid="{CF6E8B82-0990-4BE4-9413-7C6041332850}"/>
    <cellStyle name="Normal 6 3 3 3 2 3 2 4 2" xfId="30143" xr:uid="{D069D561-21DC-4C17-8064-9EE05645C1ED}"/>
    <cellStyle name="Normal 6 3 3 3 2 3 3" xfId="1254" xr:uid="{00000000-0005-0000-0000-0000AD060000}"/>
    <cellStyle name="Normal 6 3 3 3 2 3 4" xfId="2971" xr:uid="{00000000-0005-0000-0000-000096070000}"/>
    <cellStyle name="Normal 6 3 3 3 2 3 5" xfId="2127" xr:uid="{00000000-0005-0000-0000-0000BE020000}"/>
    <cellStyle name="Normal 6 3 3 3 2 3 5 2" xfId="4680" xr:uid="{D6398DC9-E5C9-496E-A2A7-CD5014D2DFA6}"/>
    <cellStyle name="Normal 6 3 3 3 2 3 6" xfId="4034" xr:uid="{C3B2AF05-98DC-463A-BA12-C74208D497DD}"/>
    <cellStyle name="Normal 6 3 3 3 2 3 6 2" xfId="4812" xr:uid="{F613BC84-EDE5-4885-8459-F27AF0BB6E85}"/>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5" xfId="2126" xr:uid="{00000000-0005-0000-0000-0000BC020000}"/>
    <cellStyle name="Normal 6 3 3 3 2 5 2" xfId="4637" xr:uid="{6DCD8049-BC85-477D-8DF4-71B624F9476D}"/>
    <cellStyle name="Normal 6 3 3 3 2 6" xfId="4033" xr:uid="{2F86E8C3-CFCF-4CC5-896B-92C102F9D7BD}"/>
    <cellStyle name="Normal 6 3 3 3 2 6 2" xfId="4725" xr:uid="{3DE8FA29-3805-45F1-AFC0-AABB851E3B0A}"/>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3F1579D2-36EE-4121-9D20-DF44A5090C4F}"/>
    <cellStyle name="Normal 6 3 3 3 4 2 2 2 3" xfId="3748" xr:uid="{00000000-0005-0000-0000-000016060000}"/>
    <cellStyle name="Normal 6 3 3 3 4 2 2 2 3 2" xfId="4777" xr:uid="{AAE7B9DD-D69F-4E10-BB8B-20D4AC9962F5}"/>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2 4 2" xfId="30144" xr:uid="{A8FA01A4-977A-42F4-A5C4-6BCCB0693289}"/>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2 2" xfId="30120" xr:uid="{C509B6E5-F3F5-4436-8EBC-EAFDA99EBD0E}"/>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5" xfId="25802" xr:uid="{593CE574-319A-4AC6-9B5C-702D762FB4CA}"/>
    <cellStyle name="Normal 6 3 3 3 4 2 4" xfId="25640" xr:uid="{EABC3D6A-712F-4FB3-BEB7-DF746EAFE1AE}"/>
    <cellStyle name="Normal 6 3 3 3 4 3" xfId="1264" xr:uid="{00000000-0005-0000-0000-0000B9060000}"/>
    <cellStyle name="Normal 6 3 3 3 4 4" xfId="2972" xr:uid="{00000000-0005-0000-0000-00009F070000}"/>
    <cellStyle name="Normal 6 3 3 3 4 5" xfId="2128" xr:uid="{00000000-0005-0000-0000-0000C1020000}"/>
    <cellStyle name="Normal 6 3 3 3 4 5 2" xfId="4672" xr:uid="{3CF7EC19-F0E2-4711-B08D-946163A456F8}"/>
    <cellStyle name="Normal 6 3 3 3 4 6" xfId="4035" xr:uid="{4F2918E3-7CCF-44F2-8B12-399DCD69E664}"/>
    <cellStyle name="Normal 6 3 3 3 4 6 2" xfId="4704" xr:uid="{66B78E9E-F4AB-4BA4-9562-EF211951A15F}"/>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2 2" xfId="30111" xr:uid="{0B5FD85B-DE9E-43C2-BBFF-3A0CD6BDAF97}"/>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4" xfId="25725" xr:uid="{458F7302-1896-4444-8A91-7EEE77D9B42E}"/>
    <cellStyle name="Normal 6 3 3 4 3 2 4 2" xfId="30145" xr:uid="{83B475BD-35B2-464F-8EDA-ABDBDE863138}"/>
    <cellStyle name="Normal 6 3 3 4 3 3" xfId="1273" xr:uid="{00000000-0005-0000-0000-0000C3060000}"/>
    <cellStyle name="Normal 6 3 3 4 3 4" xfId="2973" xr:uid="{00000000-0005-0000-0000-0000A5070000}"/>
    <cellStyle name="Normal 6 3 3 4 3 5" xfId="2131" xr:uid="{00000000-0005-0000-0000-0000C8020000}"/>
    <cellStyle name="Normal 6 3 3 4 3 5 2" xfId="3855" xr:uid="{14ADEC9D-23D5-4755-9DD0-8765D24571A4}"/>
    <cellStyle name="Normal 6 3 3 4 3 6" xfId="4037" xr:uid="{C66D090D-F948-4628-9A4B-3556EC8A8993}"/>
    <cellStyle name="Normal 6 3 3 4 3 6 2" xfId="4740" xr:uid="{6CDE8700-2BC6-4C40-AD11-A661C27D6699}"/>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5" xfId="2130" xr:uid="{00000000-0005-0000-0000-0000C6020000}"/>
    <cellStyle name="Normal 6 3 3 4 5 2" xfId="3776" xr:uid="{E7CE2CBA-ABE9-40BC-B051-DB9C5FB798E6}"/>
    <cellStyle name="Normal 6 3 3 4 6" xfId="4036" xr:uid="{45BFAD04-BCD7-4CAC-953D-0DBD444CB6D4}"/>
    <cellStyle name="Normal 6 3 3 4 6 2" xfId="4726" xr:uid="{E376E65A-2E16-478D-B2B0-FCA698161DA4}"/>
    <cellStyle name="Normal 6 3 3 5" xfId="2070" xr:uid="{00000000-0005-0000-0000-0000B9020000}"/>
    <cellStyle name="Normal 6 3 3 5 2" xfId="4799" xr:uid="{907E5E47-F6B2-4DC4-A325-33901AAEA066}"/>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2 2" xfId="30112" xr:uid="{464934B3-42FC-4362-9A6D-A403A9452339}"/>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4" xfId="24959" xr:uid="{0DA149DA-ADAC-4AFA-94DC-BF3AC20BD344}"/>
    <cellStyle name="Normal 6 3 4 3 2 4 2" xfId="30146" xr:uid="{9D71B0F1-370E-4589-BB97-4440E8F582C6}"/>
    <cellStyle name="Normal 6 3 4 3 3" xfId="1281" xr:uid="{00000000-0005-0000-0000-0000CD060000}"/>
    <cellStyle name="Normal 6 3 4 3 4" xfId="2975" xr:uid="{00000000-0005-0000-0000-0000AC070000}"/>
    <cellStyle name="Normal 6 3 4 3 5" xfId="2133" xr:uid="{00000000-0005-0000-0000-0000CC020000}"/>
    <cellStyle name="Normal 6 3 4 3 5 2" xfId="4641" xr:uid="{B14B5BE6-0AD9-4024-B6A3-83DB74FA6323}"/>
    <cellStyle name="Normal 6 3 4 3 6" xfId="4039" xr:uid="{85017E11-7866-4279-9063-BD1F44AA9952}"/>
    <cellStyle name="Normal 6 3 4 3 6 2" xfId="4785" xr:uid="{121F7278-5066-479E-804E-839EF523D6AF}"/>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3" xfId="24976" xr:uid="{B81CA4B1-D0EC-4903-82C2-3729418C66EC}"/>
    <cellStyle name="Normal 6 3 4 5" xfId="2132" xr:uid="{00000000-0005-0000-0000-0000CA020000}"/>
    <cellStyle name="Normal 6 3 4 5 2" xfId="4626" xr:uid="{385DF0D6-58F0-450D-88C9-C3CEB76D1408}"/>
    <cellStyle name="Normal 6 3 4 6" xfId="4038" xr:uid="{8D1101F3-0C22-4BE8-AF14-06E549D8B1C0}"/>
    <cellStyle name="Normal 6 3 4 6 2" xfId="4708" xr:uid="{309113B5-9206-44C4-9B50-F0859B4F4AC0}"/>
    <cellStyle name="Normal 6 3 5" xfId="29609" xr:uid="{631E655F-7844-43BA-9955-2AD29CB8158C}"/>
    <cellStyle name="Normal 6 3 5 2" xfId="29637" xr:uid="{B4AFCDD8-862C-4144-A948-C80FD9D9C627}"/>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2 2" xfId="30113" xr:uid="{88672CFD-D294-429A-ABB8-5BD85B06EABB}"/>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4" xfId="22682" xr:uid="{9FD8EF5C-1DF1-4ABC-86B0-BC0A24BC7DB0}"/>
    <cellStyle name="Normal 6 5 3 2 3 2 4 2" xfId="30147" xr:uid="{25E29020-2D52-4223-A455-33B9398A4275}"/>
    <cellStyle name="Normal 6 5 3 2 3 3" xfId="1292" xr:uid="{00000000-0005-0000-0000-0000D9060000}"/>
    <cellStyle name="Normal 6 5 3 2 3 4" xfId="2977" xr:uid="{00000000-0005-0000-0000-0000B7070000}"/>
    <cellStyle name="Normal 6 5 3 2 3 5" xfId="2136" xr:uid="{00000000-0005-0000-0000-0000D4020000}"/>
    <cellStyle name="Normal 6 5 3 2 3 5 2" xfId="4648" xr:uid="{6EE5CD5D-2630-46DB-98C1-E0A91C088B26}"/>
    <cellStyle name="Normal 6 5 3 2 3 6" xfId="4042" xr:uid="{8B315A9F-8391-474D-B4C0-405EE4404F8E}"/>
    <cellStyle name="Normal 6 5 3 2 3 6 2" xfId="4713" xr:uid="{B2D6BDD1-5721-402C-A1EB-DE58BA876C84}"/>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5" xfId="2135" xr:uid="{00000000-0005-0000-0000-0000D2020000}"/>
    <cellStyle name="Normal 6 5 3 2 5 2" xfId="4684" xr:uid="{985E2EB5-9E1E-43AC-B0AB-0DDE28EC2B5C}"/>
    <cellStyle name="Normal 6 5 3 2 6" xfId="4041" xr:uid="{8635F82C-04F7-4EC6-B923-CFC4350C7830}"/>
    <cellStyle name="Normal 6 5 3 2 6 2" xfId="4721" xr:uid="{5D5E7BFF-9D34-4E6B-9329-AD7DE75B6822}"/>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AACC5956-E6E5-4D84-BDCF-F67AC1B8BBE7}"/>
    <cellStyle name="Normal 6 5 3 4 2 2 2 3" xfId="3754" xr:uid="{00000000-0005-0000-0000-000041060000}"/>
    <cellStyle name="Normal 6 5 3 4 2 2 2 3 2" xfId="4751" xr:uid="{26BAC224-8031-4231-90D3-310CC68CB6C0}"/>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2 4 2" xfId="30148" xr:uid="{5E70F2C0-E95C-4633-840C-EFD6AF14C5F9}"/>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2 2" xfId="30125" xr:uid="{1FB6A90B-26D1-476A-8449-2538C30143DA}"/>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5" xfId="25819" xr:uid="{146A0A89-FA15-4673-83D1-1BD48BA23B4F}"/>
    <cellStyle name="Normal 6 5 3 4 2 4" xfId="24939" xr:uid="{FD27707B-D4A4-422F-BC64-0031AA3E4D05}"/>
    <cellStyle name="Normal 6 5 3 4 3" xfId="1302" xr:uid="{00000000-0005-0000-0000-0000E5060000}"/>
    <cellStyle name="Normal 6 5 3 4 4" xfId="2978" xr:uid="{00000000-0005-0000-0000-0000C0070000}"/>
    <cellStyle name="Normal 6 5 3 4 5" xfId="2137" xr:uid="{00000000-0005-0000-0000-0000D7020000}"/>
    <cellStyle name="Normal 6 5 3 4 5 2" xfId="4668" xr:uid="{D2333BB9-76BA-48B1-B619-1F9C6401FD25}"/>
    <cellStyle name="Normal 6 5 3 4 6" xfId="4043" xr:uid="{13FADCA8-36DC-469D-8F55-211BB24FA64B}"/>
    <cellStyle name="Normal 6 5 3 4 6 2" xfId="4755" xr:uid="{ABAADEE5-6BDD-4DDF-988F-045E065F16C3}"/>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2 2" xfId="30114" xr:uid="{66438193-7671-449D-9DF9-751CE4917898}"/>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4" xfId="24664" xr:uid="{C8FD317F-C620-40B3-9E84-C86134062E28}"/>
    <cellStyle name="Normal 6 5 4 3 2 4 2" xfId="30149" xr:uid="{36ED8F59-8333-4AA0-B88C-161010FBEAA3}"/>
    <cellStyle name="Normal 6 5 4 3 3" xfId="1311" xr:uid="{00000000-0005-0000-0000-0000EF060000}"/>
    <cellStyle name="Normal 6 5 4 3 4" xfId="2979" xr:uid="{00000000-0005-0000-0000-0000C6070000}"/>
    <cellStyle name="Normal 6 5 4 3 5" xfId="2140" xr:uid="{00000000-0005-0000-0000-0000DE020000}"/>
    <cellStyle name="Normal 6 5 4 3 5 2" xfId="3772" xr:uid="{0DAEABF9-E059-45BB-9EA3-DB8CCF44184B}"/>
    <cellStyle name="Normal 6 5 4 3 6" xfId="4045" xr:uid="{3B6C1D61-E8B0-4D32-BD74-479DABBA050E}"/>
    <cellStyle name="Normal 6 5 4 3 6 2" xfId="4743" xr:uid="{AB0FA666-59CA-452D-8185-BFDD339259A5}"/>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5" xfId="2139" xr:uid="{00000000-0005-0000-0000-0000DC020000}"/>
    <cellStyle name="Normal 6 5 4 5 2" xfId="4628" xr:uid="{F656D414-B9FB-4E57-A874-02EABF4164A9}"/>
    <cellStyle name="Normal 6 5 4 6" xfId="4044" xr:uid="{275714B7-5104-4FAB-9E0E-B1CADB04BD20}"/>
    <cellStyle name="Normal 6 5 4 6 2" xfId="4758" xr:uid="{66B4AC42-B19A-46C7-BB60-AA3BF5A56B35}"/>
    <cellStyle name="Normal 6 5 5" xfId="2071" xr:uid="{00000000-0005-0000-0000-0000CF020000}"/>
    <cellStyle name="Normal 6 5 5 2" xfId="4762" xr:uid="{58B42343-3889-4193-AB92-064DC779A64F}"/>
    <cellStyle name="Normal 6 6" xfId="1313" xr:uid="{00000000-0005-0000-0000-0000F2060000}"/>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2 2" xfId="30115" xr:uid="{4C2AB26F-569F-443E-89A2-105A48C2D060}"/>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4" xfId="24612" xr:uid="{0E019910-37DE-43E1-BDD5-941731A48A83}"/>
    <cellStyle name="Normal 6 6 4 2 4 2" xfId="30150" xr:uid="{0A1E50E5-73B2-4320-AE6E-55E94EB00D6B}"/>
    <cellStyle name="Normal 6 6 4 3" xfId="1326" xr:uid="{00000000-0005-0000-0000-000000070000}"/>
    <cellStyle name="Normal 6 6 4 4" xfId="2980" xr:uid="{00000000-0005-0000-0000-0000D1070000}"/>
    <cellStyle name="Normal 6 6 4 5" xfId="2143" xr:uid="{00000000-0005-0000-0000-0000E6020000}"/>
    <cellStyle name="Normal 6 6 4 5 2" xfId="4636" xr:uid="{BD1045AF-7E49-48EA-AF41-B1E7071CB221}"/>
    <cellStyle name="Normal 6 6 4 6" xfId="4047" xr:uid="{7E3C1600-D01B-4C17-A3C8-5A48EC2345CF}"/>
    <cellStyle name="Normal 6 6 4 6 2" xfId="4715" xr:uid="{68449821-113B-44E2-90F0-E71E4937E5CF}"/>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3" xfId="25364" xr:uid="{25F2D5BA-2D6F-4E91-8FBB-4B9D252657D9}"/>
    <cellStyle name="Normal 6 6 6 4" xfId="2153" xr:uid="{00000000-0005-0000-0000-0000E9020000}"/>
    <cellStyle name="Normal 6 6 6 4 2" xfId="4691" xr:uid="{114F1330-7415-461B-B792-61BE07D55AC7}"/>
    <cellStyle name="Normal 6 6 6 5" xfId="4096" xr:uid="{E42903F7-CF43-4BB8-AC03-F1EB46C1FC19}"/>
    <cellStyle name="Normal 6 6 6 5 2" xfId="4767" xr:uid="{2CC1BF88-5B5D-4701-8916-7B15CC9D2D01}"/>
    <cellStyle name="Normal 6 6 6 6" xfId="25714" xr:uid="{CE44424C-FDE2-4274-9AAC-2B2782EEB566}"/>
    <cellStyle name="Normal 6 6 6 6 2" xfId="26403" xr:uid="{DEBDC983-AB32-4C69-A2AF-B29A4C97979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8" xfId="2141" xr:uid="{00000000-0005-0000-0000-0000E0020000}"/>
    <cellStyle name="Normal 6 6 8 2" xfId="4774" xr:uid="{C961BEA7-4CED-4BA6-BDFD-A714A0F418E5}"/>
    <cellStyle name="Normal 6 6 9" xfId="4046" xr:uid="{A50BAD3F-B140-4A20-83B4-791B93C5BDD0}"/>
    <cellStyle name="Normal 6 6 9 2" xfId="4823" xr:uid="{7CDE7D59-F383-4AF9-8CAA-D8B18AFC360A}"/>
    <cellStyle name="Normal 6 7" xfId="29575" xr:uid="{949E648E-1627-4304-B1D4-9DF911CA9729}"/>
    <cellStyle name="Normal 6 7 2" xfId="29632" xr:uid="{0E90CD01-BDD5-4813-BF65-92255AD7581D}"/>
    <cellStyle name="Normal 6 7 3" xfId="29611" xr:uid="{7AF28517-C91E-49FA-99C2-5F623D4C0532}"/>
    <cellStyle name="Normal 6 7 3 2" xfId="29651" xr:uid="{53DFD4C6-C645-4A38-ACB5-6A77D465B439}"/>
    <cellStyle name="Normal 6 7 4" xfId="29640" xr:uid="{BF5B92AD-058E-4424-9669-B083BD07B8A2}"/>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3" xfId="12176" xr:uid="{14EEB91B-D8F9-4F06-B344-22845EF1E6AA}"/>
    <cellStyle name="Normal 7 14 2 3 2" xfId="22556" xr:uid="{3B072E4D-49A0-409B-9BD9-9B2AAEACA31C}"/>
    <cellStyle name="Normal 7 14 2 4" xfId="24584" xr:uid="{5942702B-591C-4132-A5C1-66F61F49F937}"/>
    <cellStyle name="Normal 7 14 2 5" xfId="16890" xr:uid="{683ACCB9-7C62-4B63-B4F1-090AB6DAC786}"/>
    <cellStyle name="Normal 7 14 3" xfId="5400" xr:uid="{FAC9975F-8F2F-4E63-A9C3-9F3C1010A589}"/>
    <cellStyle name="Normal 7 14 3 2" xfId="25774" xr:uid="{8D397C2B-E913-4504-B12F-1B0EE6347D16}"/>
    <cellStyle name="Normal 7 14 3 3" xfId="27633" xr:uid="{07857877-B5B2-4CEB-A569-43A78CB1FF4C}"/>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7" xfId="29635" xr:uid="{34C97F94-45C7-4B15-9ED5-2C3B425DF668}"/>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5" xfId="9983" xr:uid="{8235CE7C-372C-4318-A599-8E62C285DA7B}"/>
    <cellStyle name="Normal 7 14 5 2" xfId="29451" xr:uid="{AEDE9949-7169-4514-AE0E-4A891C24561E}"/>
    <cellStyle name="Normal 7 14 5 3" xfId="20363" xr:uid="{9449C78C-D33B-459C-BBF9-694343407FAB}"/>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3" xfId="7557" xr:uid="{F1E98D2C-5E23-44D7-A17A-E7E508629C08}"/>
    <cellStyle name="Normal 7 15 3 2" xfId="17937" xr:uid="{AE558860-C380-4D33-B8F4-BAFABF7E14FC}"/>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8C50F9F6-4210-4CC0-B517-47FA5178AA86}"/>
    <cellStyle name="Normal 7 21" xfId="29979" xr:uid="{A70F84BC-42DF-4102-9946-4B0114D0475D}"/>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2 2" xfId="30116" xr:uid="{1F23BE99-C1C3-4396-B2BC-E0B03E0580F1}"/>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4" xfId="24308" xr:uid="{4F4781A6-ECE1-4C9E-AC58-6E5C10C0A2BA}"/>
    <cellStyle name="Normal 7 3 3 2 3 2 4 2" xfId="30151" xr:uid="{BD86DBF2-DF44-4EAE-BC58-50F177446605}"/>
    <cellStyle name="Normal 7 3 3 2 3 3" xfId="1362" xr:uid="{00000000-0005-0000-0000-000025070000}"/>
    <cellStyle name="Normal 7 3 3 2 3 4" xfId="2983" xr:uid="{00000000-0005-0000-0000-0000FA070000}"/>
    <cellStyle name="Normal 7 3 3 2 3 5" xfId="2145" xr:uid="{00000000-0005-0000-0000-0000F7020000}"/>
    <cellStyle name="Normal 7 3 3 2 3 5 2" xfId="4635" xr:uid="{4276D1A2-DC93-4587-8A35-0E2B48A1053D}"/>
    <cellStyle name="Normal 7 3 3 2 3 6" xfId="4055" xr:uid="{B827FBD5-2E2E-4EC7-8D41-DDFF87CC148D}"/>
    <cellStyle name="Normal 7 3 3 2 3 6 2" xfId="4800" xr:uid="{41E9EAB1-F610-481E-9DBF-172EE15DBDDE}"/>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5" xfId="2144" xr:uid="{00000000-0005-0000-0000-0000F5020000}"/>
    <cellStyle name="Normal 7 3 3 2 5 2" xfId="4663" xr:uid="{8519FF03-5F6D-4EB4-B933-25C9AA886D70}"/>
    <cellStyle name="Normal 7 3 3 2 6" xfId="4054" xr:uid="{0F69AA1D-AABD-4773-8E71-6D7F88104E7D}"/>
    <cellStyle name="Normal 7 3 3 2 6 2" xfId="4706" xr:uid="{FBE10302-99A6-4D2B-BB8D-B20AC5081845}"/>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F2C239DE-CA29-4E01-8442-469B80EF8A6F}"/>
    <cellStyle name="Normal 7 3 3 4 2 2 2 3" xfId="3762" xr:uid="{00000000-0005-0000-0000-00008B060000}"/>
    <cellStyle name="Normal 7 3 3 4 2 2 2 3 2" xfId="4690" xr:uid="{FFDAA0C2-4A8B-4197-B6CC-922603129983}"/>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2 4 2" xfId="30152" xr:uid="{FAA08C95-4591-4788-BE60-1A3704983777}"/>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2 2" xfId="30119" xr:uid="{2F8CEDD6-4C90-477A-9AF6-7CD3080548AD}"/>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5" xfId="24402" xr:uid="{AE0E1D6A-38CA-406E-AE73-788945631526}"/>
    <cellStyle name="Normal 7 3 3 4 2 4" xfId="23708" xr:uid="{E6762BC0-4988-4223-B09E-CC35F0BD73AE}"/>
    <cellStyle name="Normal 7 3 3 4 3" xfId="1372" xr:uid="{00000000-0005-0000-0000-000031070000}"/>
    <cellStyle name="Normal 7 3 3 4 4" xfId="2984" xr:uid="{00000000-0005-0000-0000-000003080000}"/>
    <cellStyle name="Normal 7 3 3 4 5" xfId="2146" xr:uid="{00000000-0005-0000-0000-0000FA020000}"/>
    <cellStyle name="Normal 7 3 3 4 5 2" xfId="4023" xr:uid="{6D2F6D47-4728-4B49-AE2E-D503982C4500}"/>
    <cellStyle name="Normal 7 3 3 4 6" xfId="4056" xr:uid="{3D663429-9E72-4EFF-8B04-88C376DF2815}"/>
    <cellStyle name="Normal 7 3 3 4 6 2" xfId="4796" xr:uid="{AEA4314F-DE64-4934-8CDE-F04585260C3B}"/>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2 2" xfId="30117" xr:uid="{25524C4A-593F-4EEE-A7B3-DE08071AEB61}"/>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4" xfId="25414" xr:uid="{F055F10B-64A1-40D8-B460-1A174561E6AE}"/>
    <cellStyle name="Normal 7 3 4 3 2 4 2" xfId="30153" xr:uid="{E1EA8D14-A8B0-44AC-8EE2-38927253185B}"/>
    <cellStyle name="Normal 7 3 4 3 3" xfId="1381" xr:uid="{00000000-0005-0000-0000-00003B070000}"/>
    <cellStyle name="Normal 7 3 4 3 4" xfId="2985" xr:uid="{00000000-0005-0000-0000-000009080000}"/>
    <cellStyle name="Normal 7 3 4 3 5" xfId="2149" xr:uid="{00000000-0005-0000-0000-000001030000}"/>
    <cellStyle name="Normal 7 3 4 3 5 2" xfId="4669" xr:uid="{E82F8251-A2EF-493C-99EC-798453FDB072}"/>
    <cellStyle name="Normal 7 3 4 3 6" xfId="4058" xr:uid="{19AF6C94-1102-41EB-A615-06CFDA2F78F6}"/>
    <cellStyle name="Normal 7 3 4 3 6 2" xfId="4819" xr:uid="{0CC34133-4C51-4581-8706-421D8E52AF25}"/>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5" xfId="2148" xr:uid="{00000000-0005-0000-0000-0000FF020000}"/>
    <cellStyle name="Normal 7 3 4 5 2" xfId="4676" xr:uid="{62B191F5-1F42-4E10-9F64-94BCDEA70967}"/>
    <cellStyle name="Normal 7 3 4 6" xfId="4057" xr:uid="{FA0FC87F-FC4E-4E3F-98FE-B3C6B8313692}"/>
    <cellStyle name="Normal 7 3 4 6 2" xfId="4766" xr:uid="{56DF81AD-9939-4BBA-9856-A8B717C867ED}"/>
    <cellStyle name="Normal 7 3 5" xfId="2072" xr:uid="{00000000-0005-0000-0000-0000F2020000}"/>
    <cellStyle name="Normal 7 3 5 2" xfId="4780" xr:uid="{2BC8EFBC-06F5-4C7E-B0DC-F1B8E24A78E5}"/>
    <cellStyle name="Normal 7 3 6" xfId="29580" xr:uid="{F508C06F-0760-4DB3-8A82-A860AE1FCD26}"/>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2 2" xfId="30118" xr:uid="{530B2A67-B0EE-4EBC-9B1C-CFE86CFAC39C}"/>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4" xfId="25604" xr:uid="{1F88F4F4-8E7E-4A10-9831-AB18C3F05F2C}"/>
    <cellStyle name="Normal 7 6 10 2 4 2" xfId="30154" xr:uid="{7ABC3260-2CC8-4E6B-9258-735923BB6212}"/>
    <cellStyle name="Normal 7 6 10 3" xfId="1466" xr:uid="{00000000-0005-0000-0000-000092070000}"/>
    <cellStyle name="Normal 7 6 10 4" xfId="2998" xr:uid="{00000000-0005-0000-0000-0000DB080000}"/>
    <cellStyle name="Normal 7 6 10 5" xfId="2151" xr:uid="{00000000-0005-0000-0000-000024030000}"/>
    <cellStyle name="Normal 7 6 10 5 2" xfId="4681" xr:uid="{64225ED7-B81F-4829-937E-4C8F86992647}"/>
    <cellStyle name="Normal 7 6 10 6" xfId="4079" xr:uid="{5A04D94C-6FA8-4354-90B5-CFB60835C8E6}"/>
    <cellStyle name="Normal 7 6 10 6 2" xfId="4824" xr:uid="{0FEEC669-8F27-4B5E-8A98-CFDB8125CE32}"/>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6" xfId="4107" xr:uid="{30A2C7AC-688D-49BA-80A4-9263C9BFA06B}"/>
    <cellStyle name="Normal 7 6 12 6 2" xfId="4760" xr:uid="{A9321574-1AD7-4B70-B5D3-A6DF307B9A1E}"/>
    <cellStyle name="Normal 7 6 12 7" xfId="25333" xr:uid="{F7D8B81A-047F-48C6-A186-A40F67FBBC1A}"/>
    <cellStyle name="Normal 7 6 12 7 2" xfId="26410" xr:uid="{92E5298E-5151-4BC5-8530-0F8A55FB4F6C}"/>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8" xfId="4078" xr:uid="{0FEC4EED-31A4-4E9D-A539-4F81C2FE41D8}"/>
    <cellStyle name="Normal 7 6 18 2" xfId="4693" xr:uid="{BF19DB26-08D9-499A-A4F6-1D49D2A37102}"/>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FD091F7F-D5AD-4D6F-B640-355CBF4DFA24}"/>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B79E965B-B3B5-46C5-879A-D1B9505C2B02}"/>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E13AA057-0B4F-464D-81FD-BE72F2F56994}"/>
    <cellStyle name="Normal 7 6 2 2 2 8" xfId="29671" xr:uid="{60752A7F-B642-43DB-BF79-A6762FF80F7C}"/>
    <cellStyle name="Normal 7 6 2 2 2 9" xfId="29837" xr:uid="{647DF105-C919-48C1-815D-FE2955FAE7FD}"/>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DE6DFDD7-3335-4A06-8CE6-8DCA5EB9B94C}"/>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D14885C-E242-4A49-8B8C-8C59D15A97A3}"/>
    <cellStyle name="Normal 7 6 22" xfId="29981" xr:uid="{B626C47A-D5DF-49F6-8E49-77DC3832AD1E}"/>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F21C5CD8-81CB-4345-A9A8-31327C73D134}"/>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00517632-C79D-457F-8447-8592C8019580}"/>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8D737811-94FB-4C82-B5BE-327D35E56C83}"/>
    <cellStyle name="Normal 7 6 3 3 2 5 3" xfId="23112" xr:uid="{8B9C337C-9F1F-4B71-B33C-4BBF8768F2B4}"/>
    <cellStyle name="Normal 7 6 3 3 2 5 3 2" xfId="30094" xr:uid="{68D5C6B6-8AAE-4D76-A6AA-F7B0046CEE97}"/>
    <cellStyle name="Normal 7 6 3 3 2 5 4" xfId="25624" xr:uid="{08F19465-FA20-4EFC-BDBA-F333EA0FE99C}"/>
    <cellStyle name="Normal 7 6 3 3 2 6" xfId="23049" xr:uid="{6A1329E9-4F61-4AE7-A038-DC47D92FCBA5}"/>
    <cellStyle name="Normal 7 6 3 3 2 7" xfId="13327" xr:uid="{F64208F4-0E3F-4CEE-8256-88031B63933C}"/>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EF30CD1-1AF9-4700-A662-C4B02CE2232D}"/>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8AC76328-89D2-4F9E-AE65-46E260CA0B83}"/>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50786F89-ABCE-4A60-B9A0-D54674806309}"/>
    <cellStyle name="Normal 7 6 3 3 3 6" xfId="22964" xr:uid="{A39247FC-957C-4179-8B1D-E102D3CFAC6C}"/>
    <cellStyle name="Normal 7 6 3 3 3 6 2" xfId="29674" xr:uid="{0DE86AEA-0E4F-46E3-810D-3F00506C2794}"/>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4" xfId="27627" xr:uid="{D690042B-48A8-4B37-88B6-2BF49BC9445A}"/>
    <cellStyle name="Normal 7 6 3 3 8" xfId="29682" xr:uid="{E3587F1D-E8D8-462D-BFC9-D378988BA6CD}"/>
    <cellStyle name="Normal 7 6 3 3 9" xfId="29670" xr:uid="{6C2F00E0-7A34-49F1-B628-7B0063BBA807}"/>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FDCF4AB8-F771-4E92-A9E6-AF12949A25DD}"/>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4" xfId="3769" xr:uid="{00000000-0005-0000-0000-0000E60E0000}"/>
    <cellStyle name="Note 4 2 4 2" xfId="4802" xr:uid="{E4762291-6E3E-40C0-B2A3-FBA7791D5340}"/>
    <cellStyle name="Note 4 3" xfId="1545" xr:uid="{00000000-0005-0000-0000-0000E2070000}"/>
    <cellStyle name="Note 4 3 2" xfId="30097" xr:uid="{06CD9E26-7B3A-46D7-BC10-E13899502CF2}"/>
    <cellStyle name="Note 4 4" xfId="2073" xr:uid="{00000000-0005-0000-0000-000049030000}"/>
    <cellStyle name="Note 4 4 2" xfId="4791" xr:uid="{EAC7EE03-6B36-4A5D-889D-B815EC9F9048}"/>
    <cellStyle name="Note 4 5" xfId="29583" xr:uid="{24FEBD0B-5ABA-49D8-AC25-4DA966B23BF8}"/>
    <cellStyle name="Note 5" xfId="12255" xr:uid="{E1364BB4-A0A2-46F5-BB38-05901CCE3206}"/>
    <cellStyle name="Note 5 2" xfId="22634" xr:uid="{E297CF68-B359-40C9-8CC6-73BC50F6502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3" xfId="29585" xr:uid="{8FB87725-886D-4A62-BBA8-4FA9FB880D61}"/>
    <cellStyle name="Percent 3" xfId="1550" xr:uid="{00000000-0005-0000-0000-0000E7070000}"/>
    <cellStyle name="Percent 3 2" xfId="2034" xr:uid="{00000000-0005-0000-0000-0000E8070000}"/>
    <cellStyle name="Percent 3 2 2" xfId="24401" xr:uid="{D0B85497-BCB7-44B3-90B9-F34C3207B46F}"/>
    <cellStyle name="Percent 3 2 2 2" xfId="29826" xr:uid="{3FC28143-DC9B-4299-B426-29D8E3A6C8BE}"/>
    <cellStyle name="Percent 3 2 3" xfId="24242" xr:uid="{2ACE85BF-3B3C-4EA3-8A82-C46C5C94E5DC}"/>
    <cellStyle name="Percent 3 3" xfId="2035" xr:uid="{00000000-0005-0000-0000-0000E9070000}"/>
    <cellStyle name="Percent 3 4" xfId="2033" xr:uid="{00000000-0005-0000-0000-0000EA070000}"/>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6B2041C6-2A16-4B73-9E29-9BDFE8F4CE54}"/>
    <cellStyle name="Percent 4 2 5" xfId="29655" xr:uid="{FB5862FE-66BE-43CF-BB7E-665696ED35E4}"/>
    <cellStyle name="Percent 4 3" xfId="2038" xr:uid="{00000000-0005-0000-0000-0000ED070000}"/>
    <cellStyle name="Percent 4 3 2" xfId="29736" xr:uid="{D40A3EDE-0B85-4268-8C2B-405BC9EA5397}"/>
    <cellStyle name="Percent 4 3 3" xfId="29668" xr:uid="{2769DC27-7A5B-4476-9E38-347F7F3A199E}"/>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6B1A88E6-AC1D-4B60-A27B-D07AE9D29296}"/>
    <cellStyle name="Style 1 2 2 3" xfId="25778" xr:uid="{C9F19B91-F5E5-4CD7-BE8E-78C05D2BCD6F}"/>
    <cellStyle name="Style 1 2 3" xfId="2041" xr:uid="{00000000-0005-0000-0000-0000F3070000}"/>
    <cellStyle name="Style 1 2 4" xfId="2039" xr:uid="{00000000-0005-0000-0000-0000F4070000}"/>
    <cellStyle name="Style 1 3" xfId="1555" xr:uid="{00000000-0005-0000-0000-0000F5070000}"/>
    <cellStyle name="Style 1 4" xfId="2042" xr:uid="{00000000-0005-0000-0000-0000F6070000}"/>
    <cellStyle name="Style 1 4 2" xfId="24410" xr:uid="{ED030EBF-D663-412E-B3DF-AF45BED2AFE5}"/>
    <cellStyle name="Style 1 4 2 2" xfId="29831" xr:uid="{299FBCC0-3401-4F63-965A-9B045E5A46C6}"/>
    <cellStyle name="Style 1 4 3" xfId="25651" xr:uid="{8568525C-B3AA-4170-9749-B4F90608AC98}"/>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7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numFmt numFmtId="182"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76"/>
      <tableStyleElement type="headerRow" dxfId="75"/>
      <tableStyleElement type="firstRowStripe" dxfId="74"/>
    </tableStyle>
  </tableStyles>
  <colors>
    <mruColors>
      <color rgb="FFFF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6</xdr:row>
      <xdr:rowOff>0</xdr:rowOff>
    </xdr:from>
    <xdr:ext cx="8190476" cy="5695238"/>
    <xdr:pic>
      <xdr:nvPicPr>
        <xdr:cNvPr id="2" name="Picture 1">
          <a:extLst>
            <a:ext uri="{FF2B5EF4-FFF2-40B4-BE49-F238E27FC236}">
              <a16:creationId xmlns:a16="http://schemas.microsoft.com/office/drawing/2014/main" id="{60869FE1-185C-4BF9-BA36-584B17238A97}"/>
            </a:ext>
          </a:extLst>
        </xdr:cNvPr>
        <xdr:cNvPicPr>
          <a:picLocks noChangeAspect="1"/>
        </xdr:cNvPicPr>
      </xdr:nvPicPr>
      <xdr:blipFill>
        <a:blip xmlns:r="http://schemas.openxmlformats.org/officeDocument/2006/relationships" r:embed="rId1"/>
        <a:stretch>
          <a:fillRect/>
        </a:stretch>
      </xdr:blipFill>
      <xdr:spPr>
        <a:xfrm>
          <a:off x="3429000" y="2981325"/>
          <a:ext cx="8190476" cy="569523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files.nc.gov/nctreasurer/documents/files/SLGFD/Memos/2020-09.pdf"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file:///\\dst-flsp4A\Share\LGC\publish\AFIRProduction\CCH_Upload" TargetMode="External"/><Relationship Id="rId1" Type="http://schemas.openxmlformats.org/officeDocument/2006/relationships/hyperlink" Target="file:///\\dst-flsp4A\Share\lgc\publish\AFIRTest\CCH_UploadTe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09A9E-B08E-48BC-92B1-C240A2B4D965}">
  <dimension ref="A1:D43"/>
  <sheetViews>
    <sheetView tabSelected="1" zoomScaleNormal="100" workbookViewId="0">
      <selection activeCell="B2" sqref="B2"/>
    </sheetView>
  </sheetViews>
  <sheetFormatPr defaultRowHeight="15" x14ac:dyDescent="0.25"/>
  <cols>
    <col min="1" max="1" width="1.7109375" style="701" customWidth="1"/>
    <col min="2" max="2" width="159.7109375" style="701" customWidth="1"/>
    <col min="3" max="4" width="9.140625" style="701" hidden="1" customWidth="1"/>
    <col min="5" max="5" width="2.28515625" style="701" customWidth="1"/>
    <col min="6" max="7" width="8.140625" style="701" customWidth="1"/>
    <col min="8" max="16384" width="9.140625" style="701"/>
  </cols>
  <sheetData>
    <row r="1" spans="2:2" ht="15.75" customHeight="1" thickBot="1" x14ac:dyDescent="0.3">
      <c r="B1" s="877"/>
    </row>
    <row r="2" spans="2:2" ht="53.25" customHeight="1" thickBot="1" x14ac:dyDescent="0.3">
      <c r="B2" s="878" t="s">
        <v>1227</v>
      </c>
    </row>
    <row r="3" spans="2:2" ht="91.5" customHeight="1" x14ac:dyDescent="0.25">
      <c r="B3" s="916" t="s">
        <v>1228</v>
      </c>
    </row>
    <row r="4" spans="2:2" ht="48" customHeight="1" x14ac:dyDescent="0.25">
      <c r="B4" s="879" t="s">
        <v>1229</v>
      </c>
    </row>
    <row r="5" spans="2:2" ht="31.5" customHeight="1" x14ac:dyDescent="0.25">
      <c r="B5" s="880" t="s">
        <v>1230</v>
      </c>
    </row>
    <row r="6" spans="2:2" ht="15.75" customHeight="1" x14ac:dyDescent="0.25">
      <c r="B6" s="877"/>
    </row>
    <row r="7" spans="2:2" ht="31.5" x14ac:dyDescent="0.25">
      <c r="B7" s="881" t="s">
        <v>1231</v>
      </c>
    </row>
    <row r="8" spans="2:2" ht="15.75" customHeight="1" x14ac:dyDescent="0.25">
      <c r="B8" s="877"/>
    </row>
    <row r="9" spans="2:2" ht="31.5" x14ac:dyDescent="0.25">
      <c r="B9" s="881" t="s">
        <v>1232</v>
      </c>
    </row>
    <row r="10" spans="2:2" x14ac:dyDescent="0.25">
      <c r="B10" s="877"/>
    </row>
    <row r="11" spans="2:2" ht="33" customHeight="1" x14ac:dyDescent="0.25">
      <c r="B11" s="880" t="s">
        <v>1233</v>
      </c>
    </row>
    <row r="12" spans="2:2" x14ac:dyDescent="0.25">
      <c r="B12" s="877"/>
    </row>
    <row r="13" spans="2:2" ht="15.75" x14ac:dyDescent="0.25">
      <c r="B13" s="882" t="s">
        <v>1234</v>
      </c>
    </row>
    <row r="14" spans="2:2" x14ac:dyDescent="0.25">
      <c r="B14" s="877"/>
    </row>
    <row r="15" spans="2:2" ht="39" customHeight="1" x14ac:dyDescent="0.25">
      <c r="B15" s="883" t="s">
        <v>1248</v>
      </c>
    </row>
    <row r="16" spans="2:2" ht="11.25" customHeight="1" x14ac:dyDescent="0.25">
      <c r="B16" s="883"/>
    </row>
    <row r="17" spans="1:4" ht="53.25" customHeight="1" x14ac:dyDescent="0.25">
      <c r="B17" s="883" t="s">
        <v>1252</v>
      </c>
    </row>
    <row r="18" spans="1:4" ht="15" customHeight="1" x14ac:dyDescent="0.25">
      <c r="B18" s="917" t="s">
        <v>1253</v>
      </c>
    </row>
    <row r="19" spans="1:4" x14ac:dyDescent="0.25">
      <c r="B19" s="877"/>
    </row>
    <row r="20" spans="1:4" ht="47.25" x14ac:dyDescent="0.25">
      <c r="B20" s="881" t="s">
        <v>1235</v>
      </c>
    </row>
    <row r="21" spans="1:4" x14ac:dyDescent="0.25">
      <c r="B21" s="877"/>
    </row>
    <row r="22" spans="1:4" ht="31.5" x14ac:dyDescent="0.25">
      <c r="B22" s="881" t="s">
        <v>1236</v>
      </c>
    </row>
    <row r="23" spans="1:4" x14ac:dyDescent="0.25">
      <c r="B23" s="877"/>
    </row>
    <row r="24" spans="1:4" ht="32.450000000000003" customHeight="1" x14ac:dyDescent="0.25">
      <c r="B24" s="884" t="s">
        <v>1237</v>
      </c>
    </row>
    <row r="25" spans="1:4" ht="15.75" customHeight="1" x14ac:dyDescent="0.25">
      <c r="A25" s="877"/>
      <c r="B25" s="877"/>
      <c r="C25" s="877"/>
      <c r="D25" s="877"/>
    </row>
    <row r="26" spans="1:4" x14ac:dyDescent="0.25">
      <c r="B26" s="885" t="s">
        <v>38</v>
      </c>
    </row>
    <row r="27" spans="1:4" x14ac:dyDescent="0.25">
      <c r="B27" s="886" t="s">
        <v>690</v>
      </c>
    </row>
    <row r="28" spans="1:4" ht="15.75" customHeight="1" x14ac:dyDescent="0.25">
      <c r="B28" s="877"/>
    </row>
    <row r="29" spans="1:4" x14ac:dyDescent="0.25">
      <c r="B29" s="885" t="s">
        <v>39</v>
      </c>
    </row>
    <row r="30" spans="1:4" x14ac:dyDescent="0.25">
      <c r="B30" s="887" t="s">
        <v>680</v>
      </c>
    </row>
    <row r="31" spans="1:4" ht="15.75" customHeight="1" x14ac:dyDescent="0.25">
      <c r="B31" s="877"/>
    </row>
    <row r="32" spans="1:4" ht="32.450000000000003" customHeight="1" x14ac:dyDescent="0.25">
      <c r="B32" s="888" t="s">
        <v>1238</v>
      </c>
    </row>
    <row r="33" spans="2:2" ht="63" x14ac:dyDescent="0.25">
      <c r="B33" s="881" t="s">
        <v>1239</v>
      </c>
    </row>
    <row r="34" spans="2:2" ht="24" customHeight="1" x14ac:dyDescent="0.25">
      <c r="B34" s="877"/>
    </row>
    <row r="35" spans="2:2" ht="87" customHeight="1" x14ac:dyDescent="0.25">
      <c r="B35" s="881" t="s">
        <v>1240</v>
      </c>
    </row>
    <row r="36" spans="2:2" ht="15.75" customHeight="1" x14ac:dyDescent="0.25">
      <c r="B36" s="877"/>
    </row>
    <row r="37" spans="2:2" ht="78" customHeight="1" x14ac:dyDescent="0.25">
      <c r="B37" s="881" t="s">
        <v>1241</v>
      </c>
    </row>
    <row r="38" spans="2:2" ht="15.75" customHeight="1" x14ac:dyDescent="0.25">
      <c r="B38" s="881"/>
    </row>
    <row r="39" spans="2:2" ht="21.75" customHeight="1" x14ac:dyDescent="0.25">
      <c r="B39" s="889" t="s">
        <v>1242</v>
      </c>
    </row>
    <row r="41" spans="2:2" ht="15.75" x14ac:dyDescent="0.25">
      <c r="B41" s="890"/>
    </row>
    <row r="42" spans="2:2" ht="15.75" x14ac:dyDescent="0.25">
      <c r="B42" s="890"/>
    </row>
    <row r="43" spans="2:2" ht="15.75" x14ac:dyDescent="0.25">
      <c r="B43" s="890"/>
    </row>
  </sheetData>
  <sheetProtection algorithmName="SHA-512" hashValue="1Y/Kd1L/y9GwjASca+zegiJ7m7s4vpg4vV6eWtYjlL5sk7zBPXX0SrwytbhKyKmA/N3Y8mKqtOgqHJM+KU1Xsw==" saltValue="pIOcRiDKkj3sM9wFhibl6Q==" spinCount="100000" sheet="1" formatCells="0" formatColumns="0" formatRows="0"/>
  <hyperlinks>
    <hyperlink ref="B27" r:id="rId1" xr:uid="{34EF732A-BD10-4995-9398-33F86BF413FB}"/>
    <hyperlink ref="B30" r:id="rId2" xr:uid="{67ABFF79-8158-45E4-845C-D279C6B8B78A}"/>
    <hyperlink ref="B18" r:id="rId3" xr:uid="{F40EE1E1-072D-41EA-BAC4-9FEE54C18FC4}"/>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9"/>
  <sheetViews>
    <sheetView workbookViewId="0">
      <selection sqref="A1:A79"/>
    </sheetView>
  </sheetViews>
  <sheetFormatPr defaultRowHeight="15" x14ac:dyDescent="0.25"/>
  <cols>
    <col min="1" max="1" width="28.5703125" style="1" customWidth="1"/>
    <col min="2" max="16384" width="9.140625" style="1"/>
  </cols>
  <sheetData>
    <row r="1" spans="1:9" ht="15.75" thickBot="1" x14ac:dyDescent="0.3">
      <c r="A1" s="703" t="s">
        <v>985</v>
      </c>
      <c r="B1" s="702">
        <v>50254</v>
      </c>
      <c r="C1" s="169"/>
      <c r="D1" s="171"/>
      <c r="E1" s="171"/>
      <c r="G1" s="1">
        <v>100</v>
      </c>
      <c r="I1" s="1" t="s">
        <v>618</v>
      </c>
    </row>
    <row r="2" spans="1:9" ht="15" customHeight="1" thickBot="1" x14ac:dyDescent="0.3">
      <c r="A2" s="703" t="s">
        <v>986</v>
      </c>
      <c r="B2" s="702">
        <v>50255</v>
      </c>
      <c r="C2" s="169"/>
      <c r="D2" s="170"/>
      <c r="E2" s="171"/>
      <c r="G2" s="1">
        <v>200</v>
      </c>
      <c r="I2" s="1" t="s">
        <v>619</v>
      </c>
    </row>
    <row r="3" spans="1:9" ht="15" customHeight="1" thickBot="1" x14ac:dyDescent="0.3">
      <c r="A3" s="703" t="s">
        <v>987</v>
      </c>
      <c r="B3" s="702">
        <v>50256</v>
      </c>
      <c r="C3" s="169"/>
      <c r="D3" s="170"/>
      <c r="E3" s="171"/>
      <c r="G3" s="1">
        <v>300</v>
      </c>
      <c r="I3" s="1" t="s">
        <v>620</v>
      </c>
    </row>
    <row r="4" spans="1:9" ht="15.75" thickBot="1" x14ac:dyDescent="0.3">
      <c r="A4" s="703" t="s">
        <v>988</v>
      </c>
      <c r="B4" s="702">
        <v>50558</v>
      </c>
      <c r="C4" s="169"/>
      <c r="D4" s="170"/>
      <c r="E4" s="171"/>
      <c r="G4" s="154">
        <v>400</v>
      </c>
    </row>
    <row r="5" spans="1:9" ht="15.75" thickBot="1" x14ac:dyDescent="0.3">
      <c r="A5" s="703" t="s">
        <v>989</v>
      </c>
      <c r="B5" s="702">
        <v>50566</v>
      </c>
      <c r="C5" s="169"/>
      <c r="D5" s="170"/>
      <c r="E5" s="171"/>
      <c r="G5" s="154">
        <v>500</v>
      </c>
    </row>
    <row r="6" spans="1:9" ht="15.75" thickBot="1" x14ac:dyDescent="0.3">
      <c r="A6" s="703" t="s">
        <v>990</v>
      </c>
      <c r="B6" s="702">
        <v>50562</v>
      </c>
      <c r="C6" s="169"/>
      <c r="D6" s="170"/>
      <c r="E6" s="171"/>
    </row>
    <row r="7" spans="1:9" ht="15.75" thickBot="1" x14ac:dyDescent="0.3">
      <c r="A7" s="703" t="s">
        <v>991</v>
      </c>
      <c r="B7" s="702">
        <v>50257</v>
      </c>
      <c r="C7" s="169"/>
      <c r="D7" s="170"/>
      <c r="E7" s="171"/>
    </row>
    <row r="8" spans="1:9" ht="15.75" thickBot="1" x14ac:dyDescent="0.3">
      <c r="A8" s="703" t="s">
        <v>992</v>
      </c>
      <c r="B8" s="702">
        <v>50555</v>
      </c>
      <c r="C8" s="169"/>
      <c r="D8" s="170"/>
      <c r="E8" s="171"/>
    </row>
    <row r="9" spans="1:9" ht="15.75" thickBot="1" x14ac:dyDescent="0.3">
      <c r="A9" s="703" t="s">
        <v>993</v>
      </c>
      <c r="B9" s="702">
        <v>50445</v>
      </c>
      <c r="C9" s="169"/>
      <c r="D9" s="170"/>
      <c r="E9" s="171"/>
    </row>
    <row r="10" spans="1:9" ht="15.75" thickBot="1" x14ac:dyDescent="0.3">
      <c r="A10" s="703" t="s">
        <v>994</v>
      </c>
      <c r="B10" s="702">
        <v>50452</v>
      </c>
      <c r="C10" s="169"/>
      <c r="D10" s="170"/>
      <c r="E10" s="171"/>
    </row>
    <row r="11" spans="1:9" ht="15.75" thickBot="1" x14ac:dyDescent="0.3">
      <c r="A11" s="703" t="s">
        <v>995</v>
      </c>
      <c r="B11" s="702">
        <v>50563</v>
      </c>
      <c r="C11" s="169"/>
      <c r="D11" s="170"/>
      <c r="E11" s="171"/>
    </row>
    <row r="12" spans="1:9" ht="15.75" thickBot="1" x14ac:dyDescent="0.3">
      <c r="A12" s="703" t="s">
        <v>996</v>
      </c>
      <c r="B12" s="702">
        <v>50258</v>
      </c>
      <c r="C12" s="169"/>
      <c r="D12" s="170"/>
      <c r="E12" s="171"/>
    </row>
    <row r="13" spans="1:9" ht="15.75" thickBot="1" x14ac:dyDescent="0.3">
      <c r="A13" s="703" t="s">
        <v>997</v>
      </c>
      <c r="B13" s="702">
        <v>50523</v>
      </c>
      <c r="C13" s="169"/>
      <c r="D13" s="170"/>
      <c r="E13" s="171"/>
    </row>
    <row r="14" spans="1:9" ht="15.75" thickBot="1" x14ac:dyDescent="0.3">
      <c r="A14" s="703" t="s">
        <v>998</v>
      </c>
      <c r="B14" s="702">
        <v>50259</v>
      </c>
      <c r="C14" s="169"/>
      <c r="D14" s="170"/>
      <c r="E14" s="171"/>
    </row>
    <row r="15" spans="1:9" ht="15.75" thickBot="1" x14ac:dyDescent="0.3">
      <c r="A15" s="703" t="s">
        <v>999</v>
      </c>
      <c r="B15" s="702">
        <v>50260</v>
      </c>
      <c r="C15" s="169"/>
      <c r="D15" s="170"/>
      <c r="E15" s="171"/>
    </row>
    <row r="16" spans="1:9" ht="15.75" thickBot="1" x14ac:dyDescent="0.3">
      <c r="A16" s="703" t="s">
        <v>1000</v>
      </c>
      <c r="B16" s="702">
        <v>50487</v>
      </c>
      <c r="C16" s="169"/>
      <c r="D16" s="170"/>
      <c r="E16" s="171"/>
    </row>
    <row r="17" spans="1:5" ht="15.75" thickBot="1" x14ac:dyDescent="0.3">
      <c r="A17" s="703" t="s">
        <v>1001</v>
      </c>
      <c r="B17" s="702">
        <v>50261</v>
      </c>
      <c r="C17" s="169"/>
      <c r="D17" s="170"/>
      <c r="E17" s="171"/>
    </row>
    <row r="18" spans="1:5" ht="15.75" thickBot="1" x14ac:dyDescent="0.3">
      <c r="A18" s="703" t="s">
        <v>1002</v>
      </c>
      <c r="B18" s="702">
        <v>50262</v>
      </c>
      <c r="C18" s="169"/>
      <c r="D18" s="170"/>
      <c r="E18" s="171"/>
    </row>
    <row r="19" spans="1:5" ht="15.75" thickBot="1" x14ac:dyDescent="0.3">
      <c r="A19" s="703" t="s">
        <v>1003</v>
      </c>
      <c r="B19" s="702">
        <v>50263</v>
      </c>
      <c r="C19" s="169"/>
      <c r="D19" s="170"/>
      <c r="E19" s="171"/>
    </row>
    <row r="20" spans="1:5" ht="15.75" thickBot="1" x14ac:dyDescent="0.3">
      <c r="A20" s="703" t="s">
        <v>1004</v>
      </c>
      <c r="B20" s="702">
        <v>50264</v>
      </c>
      <c r="C20" s="169"/>
      <c r="D20" s="170"/>
      <c r="E20" s="171"/>
    </row>
    <row r="21" spans="1:5" ht="15.75" thickBot="1" x14ac:dyDescent="0.3">
      <c r="A21" s="703" t="s">
        <v>1005</v>
      </c>
      <c r="B21" s="702">
        <v>50265</v>
      </c>
      <c r="C21" s="169"/>
      <c r="D21" s="170"/>
      <c r="E21" s="171"/>
    </row>
    <row r="22" spans="1:5" ht="15.75" thickBot="1" x14ac:dyDescent="0.3">
      <c r="A22" s="703" t="s">
        <v>1006</v>
      </c>
      <c r="B22" s="702">
        <v>50266</v>
      </c>
      <c r="C22" s="169"/>
      <c r="D22" s="170"/>
      <c r="E22" s="171"/>
    </row>
    <row r="23" spans="1:5" ht="15.75" thickBot="1" x14ac:dyDescent="0.3">
      <c r="A23" s="703" t="s">
        <v>1007</v>
      </c>
      <c r="B23" s="702">
        <v>50267</v>
      </c>
      <c r="C23" s="169"/>
      <c r="D23" s="170"/>
      <c r="E23" s="171"/>
    </row>
    <row r="24" spans="1:5" ht="15.75" thickBot="1" x14ac:dyDescent="0.3">
      <c r="A24" s="703" t="s">
        <v>1008</v>
      </c>
      <c r="B24" s="702">
        <v>50268</v>
      </c>
      <c r="C24" s="169"/>
      <c r="D24" s="170"/>
      <c r="E24" s="171"/>
    </row>
    <row r="25" spans="1:5" ht="15.75" thickBot="1" x14ac:dyDescent="0.3">
      <c r="A25" s="703" t="s">
        <v>1009</v>
      </c>
      <c r="B25" s="702">
        <v>50269</v>
      </c>
      <c r="C25" s="169"/>
      <c r="D25" s="170"/>
      <c r="E25" s="171"/>
    </row>
    <row r="26" spans="1:5" ht="15.75" thickBot="1" x14ac:dyDescent="0.3">
      <c r="A26" s="703" t="s">
        <v>1010</v>
      </c>
      <c r="B26" s="702">
        <v>50270</v>
      </c>
      <c r="C26" s="169"/>
      <c r="D26" s="170"/>
      <c r="E26" s="171"/>
    </row>
    <row r="27" spans="1:5" ht="15.75" thickBot="1" x14ac:dyDescent="0.3">
      <c r="A27" s="703" t="s">
        <v>1011</v>
      </c>
      <c r="B27" s="702">
        <v>50271</v>
      </c>
      <c r="C27" s="169"/>
      <c r="D27" s="170"/>
      <c r="E27" s="171"/>
    </row>
    <row r="28" spans="1:5" ht="15.75" thickBot="1" x14ac:dyDescent="0.3">
      <c r="A28" s="703" t="s">
        <v>1012</v>
      </c>
      <c r="B28" s="702">
        <v>50272</v>
      </c>
      <c r="C28" s="169"/>
      <c r="D28" s="170"/>
      <c r="E28" s="171"/>
    </row>
    <row r="29" spans="1:5" ht="15.75" thickBot="1" x14ac:dyDescent="0.3">
      <c r="A29" s="703" t="s">
        <v>1013</v>
      </c>
      <c r="B29" s="702">
        <v>50273</v>
      </c>
      <c r="C29" s="169"/>
      <c r="D29" s="170"/>
      <c r="E29" s="171"/>
    </row>
    <row r="30" spans="1:5" ht="15.75" thickBot="1" x14ac:dyDescent="0.3">
      <c r="A30" s="703" t="s">
        <v>1014</v>
      </c>
      <c r="B30" s="702">
        <v>50274</v>
      </c>
      <c r="C30" s="169"/>
      <c r="D30" s="170"/>
      <c r="E30" s="171"/>
    </row>
    <row r="31" spans="1:5" ht="15.75" thickBot="1" x14ac:dyDescent="0.3">
      <c r="A31" s="703" t="s">
        <v>1015</v>
      </c>
      <c r="B31" s="702">
        <v>50480</v>
      </c>
      <c r="C31" s="169"/>
      <c r="D31" s="170"/>
      <c r="E31" s="171"/>
    </row>
    <row r="32" spans="1:5" ht="15.75" thickBot="1" x14ac:dyDescent="0.3">
      <c r="A32" s="703" t="s">
        <v>1016</v>
      </c>
      <c r="B32" s="702">
        <v>50275</v>
      </c>
      <c r="C32" s="169"/>
      <c r="D32" s="170"/>
      <c r="E32" s="171"/>
    </row>
    <row r="33" spans="1:5" ht="15.75" thickBot="1" x14ac:dyDescent="0.3">
      <c r="A33" s="703" t="s">
        <v>1017</v>
      </c>
      <c r="B33" s="702">
        <v>50277</v>
      </c>
      <c r="C33" s="169"/>
      <c r="D33" s="170"/>
      <c r="E33" s="171"/>
    </row>
    <row r="34" spans="1:5" ht="15.75" thickBot="1" x14ac:dyDescent="0.3">
      <c r="A34" s="703" t="s">
        <v>1018</v>
      </c>
      <c r="B34" s="702">
        <v>50276</v>
      </c>
      <c r="C34" s="169"/>
      <c r="D34" s="170"/>
      <c r="E34" s="171"/>
    </row>
    <row r="35" spans="1:5" ht="15.75" thickBot="1" x14ac:dyDescent="0.3">
      <c r="A35" s="703" t="s">
        <v>1019</v>
      </c>
      <c r="B35" s="702">
        <v>50278</v>
      </c>
      <c r="C35" s="169"/>
      <c r="D35" s="170"/>
      <c r="E35" s="171"/>
    </row>
    <row r="36" spans="1:5" ht="15.75" thickBot="1" x14ac:dyDescent="0.3">
      <c r="A36" s="703" t="s">
        <v>1020</v>
      </c>
      <c r="B36" s="702">
        <v>50279</v>
      </c>
      <c r="C36" s="169"/>
      <c r="D36" s="170"/>
      <c r="E36" s="171"/>
    </row>
    <row r="37" spans="1:5" ht="15.75" thickBot="1" x14ac:dyDescent="0.3">
      <c r="A37" s="703" t="s">
        <v>1021</v>
      </c>
      <c r="B37" s="702">
        <v>50280</v>
      </c>
      <c r="C37" s="169"/>
      <c r="D37" s="170"/>
      <c r="E37" s="171"/>
    </row>
    <row r="38" spans="1:5" ht="15.75" thickBot="1" x14ac:dyDescent="0.3">
      <c r="A38" s="703" t="s">
        <v>1022</v>
      </c>
      <c r="B38" s="702">
        <v>50281</v>
      </c>
      <c r="C38" s="169"/>
      <c r="D38" s="170"/>
      <c r="E38" s="171"/>
    </row>
    <row r="39" spans="1:5" ht="15.75" thickBot="1" x14ac:dyDescent="0.3">
      <c r="A39" s="703" t="s">
        <v>1023</v>
      </c>
      <c r="B39" s="702">
        <v>50478</v>
      </c>
      <c r="C39" s="169"/>
      <c r="D39" s="170"/>
      <c r="E39" s="171"/>
    </row>
    <row r="40" spans="1:5" ht="15.75" thickBot="1" x14ac:dyDescent="0.3">
      <c r="A40" s="703" t="s">
        <v>1024</v>
      </c>
      <c r="B40" s="702">
        <v>50524</v>
      </c>
      <c r="C40" s="169"/>
      <c r="D40" s="170"/>
      <c r="E40" s="171"/>
    </row>
    <row r="41" spans="1:5" ht="15.75" thickBot="1" x14ac:dyDescent="0.3">
      <c r="A41" s="703" t="s">
        <v>1025</v>
      </c>
      <c r="B41" s="702">
        <v>50282</v>
      </c>
      <c r="C41" s="169"/>
      <c r="D41" s="170"/>
      <c r="E41" s="171"/>
    </row>
    <row r="42" spans="1:5" ht="15.75" thickBot="1" x14ac:dyDescent="0.3">
      <c r="A42" s="703" t="s">
        <v>1026</v>
      </c>
      <c r="B42" s="702">
        <v>50525</v>
      </c>
      <c r="C42" s="169"/>
      <c r="D42" s="170"/>
      <c r="E42" s="171"/>
    </row>
    <row r="43" spans="1:5" ht="15.75" thickBot="1" x14ac:dyDescent="0.3">
      <c r="A43" s="703" t="s">
        <v>1027</v>
      </c>
      <c r="B43" s="702">
        <v>50283</v>
      </c>
      <c r="C43" s="169"/>
      <c r="D43" s="170"/>
      <c r="E43" s="171"/>
    </row>
    <row r="44" spans="1:5" ht="15.75" thickBot="1" x14ac:dyDescent="0.3">
      <c r="A44" s="703" t="s">
        <v>1028</v>
      </c>
      <c r="B44" s="702">
        <v>50285</v>
      </c>
      <c r="C44" s="169"/>
      <c r="D44" s="170"/>
      <c r="E44" s="171"/>
    </row>
    <row r="45" spans="1:5" ht="15.75" thickBot="1" x14ac:dyDescent="0.3">
      <c r="A45" s="703" t="s">
        <v>1029</v>
      </c>
      <c r="B45" s="702">
        <v>50553</v>
      </c>
      <c r="C45" s="169"/>
      <c r="D45" s="170"/>
      <c r="E45" s="171"/>
    </row>
    <row r="46" spans="1:5" ht="15.75" thickBot="1" x14ac:dyDescent="0.3">
      <c r="A46" s="703" t="s">
        <v>1030</v>
      </c>
      <c r="B46" s="702">
        <v>50548</v>
      </c>
      <c r="C46" s="169"/>
      <c r="D46" s="170"/>
      <c r="E46" s="171"/>
    </row>
    <row r="47" spans="1:5" ht="15.75" thickBot="1" x14ac:dyDescent="0.3">
      <c r="A47" s="703" t="s">
        <v>1031</v>
      </c>
      <c r="B47" s="702">
        <v>50284</v>
      </c>
      <c r="C47" s="169"/>
      <c r="D47" s="170"/>
      <c r="E47" s="171"/>
    </row>
    <row r="48" spans="1:5" ht="15.75" thickBot="1" x14ac:dyDescent="0.3">
      <c r="A48" s="703" t="s">
        <v>1032</v>
      </c>
      <c r="B48" s="702">
        <v>50286</v>
      </c>
      <c r="C48" s="169"/>
      <c r="D48" s="170"/>
      <c r="E48" s="171"/>
    </row>
    <row r="49" spans="1:5" ht="15.75" thickBot="1" x14ac:dyDescent="0.3">
      <c r="A49" s="703" t="s">
        <v>1033</v>
      </c>
      <c r="B49" s="702">
        <v>50287</v>
      </c>
      <c r="C49" s="169"/>
      <c r="D49" s="170"/>
      <c r="E49" s="171"/>
    </row>
    <row r="50" spans="1:5" ht="15.75" thickBot="1" x14ac:dyDescent="0.3">
      <c r="A50" s="703" t="s">
        <v>1034</v>
      </c>
      <c r="B50" s="702">
        <v>50288</v>
      </c>
      <c r="C50" s="169"/>
      <c r="D50" s="170"/>
      <c r="E50" s="171"/>
    </row>
    <row r="51" spans="1:5" ht="15.75" thickBot="1" x14ac:dyDescent="0.3">
      <c r="A51" s="703" t="s">
        <v>1035</v>
      </c>
      <c r="B51" s="702">
        <v>50290</v>
      </c>
      <c r="C51" s="169"/>
      <c r="D51" s="170"/>
      <c r="E51" s="171"/>
    </row>
    <row r="52" spans="1:5" ht="15.75" thickBot="1" x14ac:dyDescent="0.3">
      <c r="A52" s="703" t="s">
        <v>1036</v>
      </c>
      <c r="B52" s="702">
        <v>50564</v>
      </c>
      <c r="C52" s="169"/>
      <c r="D52" s="170"/>
      <c r="E52" s="171"/>
    </row>
    <row r="53" spans="1:5" ht="15.75" thickBot="1" x14ac:dyDescent="0.3">
      <c r="A53" s="703" t="s">
        <v>1037</v>
      </c>
      <c r="B53" s="702">
        <v>50289</v>
      </c>
      <c r="C53" s="169"/>
      <c r="D53" s="170"/>
      <c r="E53" s="171"/>
    </row>
    <row r="54" spans="1:5" ht="15.75" thickBot="1" x14ac:dyDescent="0.3">
      <c r="A54" s="703" t="s">
        <v>1038</v>
      </c>
      <c r="B54" s="702">
        <v>50291</v>
      </c>
      <c r="C54" s="169"/>
      <c r="D54" s="170"/>
      <c r="E54" s="171"/>
    </row>
    <row r="55" spans="1:5" ht="15.75" thickBot="1" x14ac:dyDescent="0.3">
      <c r="A55" s="703" t="s">
        <v>1039</v>
      </c>
      <c r="B55" s="702">
        <v>50292</v>
      </c>
      <c r="C55" s="169"/>
      <c r="D55" s="170"/>
      <c r="E55" s="171"/>
    </row>
    <row r="56" spans="1:5" ht="15.75" thickBot="1" x14ac:dyDescent="0.3">
      <c r="A56" s="703" t="s">
        <v>1040</v>
      </c>
      <c r="B56" s="702">
        <v>50293</v>
      </c>
      <c r="C56" s="169"/>
      <c r="D56" s="170"/>
      <c r="E56" s="171"/>
    </row>
    <row r="57" spans="1:5" ht="15.75" thickBot="1" x14ac:dyDescent="0.3">
      <c r="A57" s="703" t="s">
        <v>1041</v>
      </c>
      <c r="B57" s="702">
        <v>50463</v>
      </c>
      <c r="C57" s="169"/>
      <c r="D57" s="170"/>
      <c r="E57" s="171"/>
    </row>
    <row r="58" spans="1:5" ht="15.75" thickBot="1" x14ac:dyDescent="0.3">
      <c r="A58" s="703" t="s">
        <v>1042</v>
      </c>
      <c r="B58" s="702">
        <v>50294</v>
      </c>
      <c r="C58" s="169"/>
      <c r="D58" s="170"/>
      <c r="E58" s="171"/>
    </row>
    <row r="59" spans="1:5" ht="15.75" thickBot="1" x14ac:dyDescent="0.3">
      <c r="A59" s="703" t="s">
        <v>1043</v>
      </c>
      <c r="B59" s="702">
        <v>50538</v>
      </c>
      <c r="C59" s="169"/>
      <c r="D59" s="170"/>
      <c r="E59" s="171"/>
    </row>
    <row r="60" spans="1:5" ht="15.75" thickBot="1" x14ac:dyDescent="0.3">
      <c r="A60" s="703" t="s">
        <v>1044</v>
      </c>
      <c r="B60" s="702">
        <v>50295</v>
      </c>
      <c r="C60" s="169"/>
      <c r="D60" s="170"/>
      <c r="E60" s="171"/>
    </row>
    <row r="61" spans="1:5" ht="15.75" thickBot="1" x14ac:dyDescent="0.3">
      <c r="A61" s="703" t="s">
        <v>1045</v>
      </c>
      <c r="B61" s="702">
        <v>50296</v>
      </c>
      <c r="C61" s="169"/>
      <c r="D61" s="170"/>
      <c r="E61" s="171"/>
    </row>
    <row r="62" spans="1:5" ht="15.75" thickBot="1" x14ac:dyDescent="0.3">
      <c r="A62" s="703" t="s">
        <v>1046</v>
      </c>
      <c r="B62" s="702">
        <v>50297</v>
      </c>
      <c r="C62" s="169"/>
      <c r="D62" s="170"/>
      <c r="E62" s="171"/>
    </row>
    <row r="63" spans="1:5" ht="15.75" thickBot="1" x14ac:dyDescent="0.3">
      <c r="A63" s="703" t="s">
        <v>1047</v>
      </c>
      <c r="B63" s="702">
        <v>50449</v>
      </c>
      <c r="C63" s="169"/>
      <c r="D63" s="170"/>
      <c r="E63" s="171"/>
    </row>
    <row r="64" spans="1:5" ht="15.75" thickBot="1" x14ac:dyDescent="0.3">
      <c r="A64" s="703" t="s">
        <v>1048</v>
      </c>
      <c r="B64" s="702">
        <v>50300</v>
      </c>
      <c r="C64" s="169"/>
      <c r="D64" s="170"/>
      <c r="E64" s="171"/>
    </row>
    <row r="65" spans="1:5" ht="15.75" thickBot="1" x14ac:dyDescent="0.3">
      <c r="A65" s="703" t="s">
        <v>1049</v>
      </c>
      <c r="B65" s="702">
        <v>50298</v>
      </c>
      <c r="C65" s="169"/>
      <c r="D65" s="170"/>
      <c r="E65" s="171"/>
    </row>
    <row r="66" spans="1:5" ht="15.75" thickBot="1" x14ac:dyDescent="0.3">
      <c r="A66" s="703" t="s">
        <v>1050</v>
      </c>
      <c r="B66" s="702">
        <v>50299</v>
      </c>
      <c r="C66" s="169"/>
      <c r="D66" s="170"/>
      <c r="E66" s="171"/>
    </row>
    <row r="67" spans="1:5" ht="15.75" thickBot="1" x14ac:dyDescent="0.3">
      <c r="A67" s="703" t="s">
        <v>1051</v>
      </c>
      <c r="B67" s="702">
        <v>50301</v>
      </c>
      <c r="C67" s="169"/>
      <c r="D67" s="170"/>
      <c r="E67" s="171"/>
    </row>
    <row r="68" spans="1:5" ht="15.75" thickBot="1" x14ac:dyDescent="0.3">
      <c r="A68" s="703" t="s">
        <v>1052</v>
      </c>
      <c r="B68" s="702">
        <v>50302</v>
      </c>
    </row>
    <row r="69" spans="1:5" ht="15.75" thickBot="1" x14ac:dyDescent="0.3">
      <c r="A69" s="703" t="s">
        <v>1053</v>
      </c>
      <c r="B69" s="702">
        <v>50303</v>
      </c>
    </row>
    <row r="70" spans="1:5" ht="15.75" thickBot="1" x14ac:dyDescent="0.3">
      <c r="A70" s="703" t="s">
        <v>1054</v>
      </c>
      <c r="B70" s="702">
        <v>50304</v>
      </c>
    </row>
    <row r="71" spans="1:5" ht="15.75" thickBot="1" x14ac:dyDescent="0.3">
      <c r="A71" s="703" t="s">
        <v>1055</v>
      </c>
      <c r="B71" s="702">
        <v>50540</v>
      </c>
    </row>
    <row r="72" spans="1:5" ht="15.75" thickBot="1" x14ac:dyDescent="0.3">
      <c r="A72" s="703" t="s">
        <v>1056</v>
      </c>
      <c r="B72" s="702">
        <v>50305</v>
      </c>
    </row>
    <row r="73" spans="1:5" ht="15.75" thickBot="1" x14ac:dyDescent="0.3">
      <c r="A73" s="703" t="s">
        <v>1057</v>
      </c>
      <c r="B73" s="702">
        <v>50306</v>
      </c>
    </row>
    <row r="74" spans="1:5" ht="15.75" thickBot="1" x14ac:dyDescent="0.3">
      <c r="A74" s="703" t="s">
        <v>1058</v>
      </c>
      <c r="B74" s="702">
        <v>50479</v>
      </c>
    </row>
    <row r="75" spans="1:5" ht="15.75" thickBot="1" x14ac:dyDescent="0.3">
      <c r="A75" s="703" t="s">
        <v>1059</v>
      </c>
      <c r="B75" s="702">
        <v>50307</v>
      </c>
    </row>
    <row r="76" spans="1:5" ht="15.75" thickBot="1" x14ac:dyDescent="0.3">
      <c r="A76" s="703" t="s">
        <v>1060</v>
      </c>
      <c r="B76" s="702">
        <v>50308</v>
      </c>
    </row>
    <row r="77" spans="1:5" ht="15.75" thickBot="1" x14ac:dyDescent="0.3">
      <c r="A77" s="703" t="s">
        <v>1061</v>
      </c>
      <c r="B77" s="702">
        <v>50309</v>
      </c>
    </row>
    <row r="78" spans="1:5" ht="15.75" thickBot="1" x14ac:dyDescent="0.3">
      <c r="A78" s="703" t="s">
        <v>1062</v>
      </c>
      <c r="B78" s="702">
        <v>50310</v>
      </c>
    </row>
    <row r="79" spans="1:5" ht="15.75" thickBot="1" x14ac:dyDescent="0.3">
      <c r="A79" s="703" t="s">
        <v>1063</v>
      </c>
      <c r="B79" s="702">
        <v>50311</v>
      </c>
    </row>
  </sheetData>
  <sheetProtection algorithmName="SHA-512" hashValue="8/bFNBpiilzGq5A8ZVv0ERbLPe1WQrYwaMVCAf0PFAktiOgtH3hrQRWdDrKSI8MVu1t5mGYEFT/WcWlAaupCIA==" saltValue="TPwbn/3GRQUtI+SrRr85uQ==" spinCount="100000" sheet="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7550-04E5-49D9-B446-DDF9728A8EC8}">
  <dimension ref="A1:CE298"/>
  <sheetViews>
    <sheetView workbookViewId="0">
      <pane xSplit="4" ySplit="2" topLeftCell="E3" activePane="bottomRight" state="frozen"/>
      <selection pane="topRight" activeCell="E1" sqref="E1"/>
      <selection pane="bottomLeft" activeCell="A3" sqref="A3"/>
      <selection pane="bottomRight" activeCell="E2" sqref="E2"/>
    </sheetView>
  </sheetViews>
  <sheetFormatPr defaultRowHeight="15" x14ac:dyDescent="0.25"/>
  <cols>
    <col min="2" max="2" width="10.28515625" customWidth="1"/>
    <col min="3" max="3" width="32.5703125" customWidth="1"/>
    <col min="4" max="4" width="24" customWidth="1"/>
    <col min="5" max="6" width="16.85546875" bestFit="1" customWidth="1"/>
    <col min="7" max="7" width="15.7109375" bestFit="1" customWidth="1"/>
    <col min="8" max="8" width="16.85546875" bestFit="1" customWidth="1"/>
    <col min="9" max="9" width="14.5703125" bestFit="1" customWidth="1"/>
    <col min="10" max="10" width="15.7109375" bestFit="1" customWidth="1"/>
    <col min="11" max="11" width="16.85546875" bestFit="1" customWidth="1"/>
    <col min="12" max="12" width="15.7109375" bestFit="1" customWidth="1"/>
    <col min="13" max="13" width="18.7109375" bestFit="1" customWidth="1"/>
    <col min="14" max="14" width="15.85546875" customWidth="1"/>
    <col min="15" max="15" width="16.85546875" bestFit="1" customWidth="1"/>
    <col min="16" max="16" width="15.7109375" bestFit="1" customWidth="1"/>
    <col min="17" max="17" width="16.85546875" bestFit="1" customWidth="1"/>
    <col min="18" max="18" width="18.7109375" bestFit="1" customWidth="1"/>
    <col min="19" max="19" width="16.42578125" customWidth="1"/>
    <col min="20" max="20" width="15.7109375" bestFit="1" customWidth="1"/>
    <col min="21" max="21" width="16.85546875" bestFit="1" customWidth="1"/>
    <col min="22" max="22" width="15.7109375" bestFit="1" customWidth="1"/>
    <col min="23" max="23" width="16.42578125" customWidth="1"/>
    <col min="24" max="24" width="19.42578125" customWidth="1"/>
    <col min="25" max="25" width="16.85546875" bestFit="1" customWidth="1"/>
    <col min="26" max="28" width="15.7109375" bestFit="1" customWidth="1"/>
    <col min="29" max="29" width="16.85546875" bestFit="1" customWidth="1"/>
    <col min="30" max="31" width="15.7109375" bestFit="1" customWidth="1"/>
    <col min="32" max="33" width="14.5703125" bestFit="1" customWidth="1"/>
    <col min="34" max="34" width="16.85546875" bestFit="1" customWidth="1"/>
    <col min="35" max="35" width="17.140625" customWidth="1"/>
    <col min="36" max="36" width="20.85546875" customWidth="1"/>
    <col min="37" max="37" width="16.85546875" bestFit="1" customWidth="1"/>
    <col min="38" max="38" width="17.140625" customWidth="1"/>
    <col min="39" max="39" width="14.5703125" bestFit="1" customWidth="1"/>
    <col min="40" max="40" width="16.85546875" bestFit="1" customWidth="1"/>
    <col min="41" max="41" width="15.7109375" bestFit="1" customWidth="1"/>
    <col min="42" max="42" width="16.85546875" bestFit="1" customWidth="1"/>
    <col min="43" max="43" width="14.5703125" bestFit="1" customWidth="1"/>
    <col min="44" max="47" width="15.7109375" bestFit="1" customWidth="1"/>
    <col min="48" max="48" width="13.42578125" customWidth="1"/>
    <col min="49" max="49" width="16.85546875" bestFit="1" customWidth="1"/>
    <col min="50" max="50" width="15.7109375" bestFit="1" customWidth="1"/>
    <col min="51" max="51" width="16.85546875" bestFit="1" customWidth="1"/>
    <col min="52" max="53" width="14.5703125" bestFit="1" customWidth="1"/>
    <col min="54" max="55" width="15.7109375" bestFit="1" customWidth="1"/>
    <col min="56" max="56" width="14.5703125" bestFit="1" customWidth="1"/>
    <col min="57" max="57" width="15.7109375" bestFit="1" customWidth="1"/>
    <col min="58" max="58" width="16.85546875" bestFit="1" customWidth="1"/>
    <col min="59" max="60" width="15.7109375" bestFit="1" customWidth="1"/>
    <col min="61" max="61" width="16.85546875" bestFit="1" customWidth="1"/>
    <col min="62" max="63" width="15.7109375" bestFit="1" customWidth="1"/>
    <col min="64" max="64" width="14.5703125" bestFit="1" customWidth="1"/>
    <col min="65" max="67" width="15.7109375" bestFit="1" customWidth="1"/>
    <col min="68" max="68" width="16.85546875" bestFit="1" customWidth="1"/>
    <col min="69" max="69" width="18.7109375" bestFit="1" customWidth="1"/>
    <col min="70" max="71" width="16.85546875" bestFit="1" customWidth="1"/>
    <col min="72" max="83" width="17.42578125" customWidth="1"/>
  </cols>
  <sheetData>
    <row r="1" spans="1:83" x14ac:dyDescent="0.25">
      <c r="A1" t="s">
        <v>1064</v>
      </c>
      <c r="B1" t="s">
        <v>571</v>
      </c>
      <c r="D1" t="s">
        <v>571</v>
      </c>
      <c r="E1" t="s">
        <v>985</v>
      </c>
      <c r="F1" t="s">
        <v>986</v>
      </c>
      <c r="G1" t="s">
        <v>987</v>
      </c>
      <c r="H1" t="s">
        <v>988</v>
      </c>
      <c r="I1" t="s">
        <v>989</v>
      </c>
      <c r="J1" t="s">
        <v>990</v>
      </c>
      <c r="K1" t="s">
        <v>991</v>
      </c>
      <c r="L1" t="s">
        <v>992</v>
      </c>
      <c r="M1" t="s">
        <v>993</v>
      </c>
      <c r="N1" t="s">
        <v>994</v>
      </c>
      <c r="O1" t="s">
        <v>995</v>
      </c>
      <c r="P1" t="s">
        <v>996</v>
      </c>
      <c r="Q1" t="s">
        <v>997</v>
      </c>
      <c r="R1" t="s">
        <v>998</v>
      </c>
      <c r="S1" t="s">
        <v>999</v>
      </c>
      <c r="T1" t="s">
        <v>1000</v>
      </c>
      <c r="U1" t="s">
        <v>1001</v>
      </c>
      <c r="V1" t="s">
        <v>1002</v>
      </c>
      <c r="W1" t="s">
        <v>1003</v>
      </c>
      <c r="X1" t="s">
        <v>1004</v>
      </c>
      <c r="Y1" t="s">
        <v>1005</v>
      </c>
      <c r="Z1" t="s">
        <v>1006</v>
      </c>
      <c r="AA1" t="s">
        <v>1007</v>
      </c>
      <c r="AB1" t="s">
        <v>1008</v>
      </c>
      <c r="AC1" t="s">
        <v>1009</v>
      </c>
      <c r="AD1" t="s">
        <v>1010</v>
      </c>
      <c r="AE1" t="s">
        <v>1011</v>
      </c>
      <c r="AF1" t="s">
        <v>1012</v>
      </c>
      <c r="AG1" t="s">
        <v>1013</v>
      </c>
      <c r="AH1" t="s">
        <v>1014</v>
      </c>
      <c r="AI1" t="s">
        <v>1015</v>
      </c>
      <c r="AJ1" t="s">
        <v>1016</v>
      </c>
      <c r="AK1" t="s">
        <v>1017</v>
      </c>
      <c r="AL1" t="s">
        <v>1018</v>
      </c>
      <c r="AM1" t="s">
        <v>1019</v>
      </c>
      <c r="AN1" t="s">
        <v>1020</v>
      </c>
      <c r="AO1" t="s">
        <v>1021</v>
      </c>
      <c r="AP1" t="s">
        <v>1022</v>
      </c>
      <c r="AQ1" t="s">
        <v>1023</v>
      </c>
      <c r="AR1" t="s">
        <v>1024</v>
      </c>
      <c r="AS1" t="s">
        <v>1025</v>
      </c>
      <c r="AT1" t="s">
        <v>1026</v>
      </c>
      <c r="AU1" t="s">
        <v>1027</v>
      </c>
      <c r="AV1" t="s">
        <v>1028</v>
      </c>
      <c r="AW1" t="s">
        <v>1029</v>
      </c>
      <c r="AX1" t="s">
        <v>1030</v>
      </c>
      <c r="AY1" t="s">
        <v>1031</v>
      </c>
      <c r="AZ1" t="s">
        <v>1032</v>
      </c>
      <c r="BA1" t="s">
        <v>1033</v>
      </c>
      <c r="BB1" t="s">
        <v>1034</v>
      </c>
      <c r="BC1" t="s">
        <v>1035</v>
      </c>
      <c r="BD1" t="s">
        <v>1036</v>
      </c>
      <c r="BE1" t="s">
        <v>1037</v>
      </c>
      <c r="BF1" t="s">
        <v>1038</v>
      </c>
      <c r="BG1" t="s">
        <v>1039</v>
      </c>
      <c r="BH1" t="s">
        <v>1040</v>
      </c>
      <c r="BI1" t="s">
        <v>1041</v>
      </c>
      <c r="BJ1" t="s">
        <v>1042</v>
      </c>
      <c r="BK1" t="s">
        <v>1043</v>
      </c>
      <c r="BL1" t="s">
        <v>1044</v>
      </c>
      <c r="BM1" t="s">
        <v>1045</v>
      </c>
      <c r="BN1" t="s">
        <v>1046</v>
      </c>
      <c r="BO1" t="s">
        <v>1047</v>
      </c>
      <c r="BP1" t="s">
        <v>1048</v>
      </c>
      <c r="BQ1" t="s">
        <v>1049</v>
      </c>
      <c r="BR1" t="s">
        <v>1050</v>
      </c>
      <c r="BS1" t="s">
        <v>1051</v>
      </c>
      <c r="BT1" t="s">
        <v>1052</v>
      </c>
      <c r="BU1" t="s">
        <v>1053</v>
      </c>
      <c r="BV1" t="s">
        <v>1054</v>
      </c>
      <c r="BW1" t="s">
        <v>1055</v>
      </c>
      <c r="BX1" t="s">
        <v>1056</v>
      </c>
      <c r="BY1" t="s">
        <v>1057</v>
      </c>
      <c r="BZ1" t="s">
        <v>1058</v>
      </c>
      <c r="CA1" t="s">
        <v>1059</v>
      </c>
      <c r="CB1" t="s">
        <v>1060</v>
      </c>
      <c r="CC1" t="s">
        <v>1061</v>
      </c>
      <c r="CD1" t="s">
        <v>1062</v>
      </c>
      <c r="CE1" t="s">
        <v>1063</v>
      </c>
    </row>
    <row r="2" spans="1:83" x14ac:dyDescent="0.25">
      <c r="D2" t="s">
        <v>300</v>
      </c>
      <c r="E2">
        <v>50254</v>
      </c>
      <c r="F2">
        <v>50255</v>
      </c>
      <c r="G2">
        <v>50256</v>
      </c>
      <c r="H2">
        <v>50558</v>
      </c>
      <c r="I2">
        <v>50566</v>
      </c>
      <c r="J2">
        <v>50562</v>
      </c>
      <c r="K2">
        <v>50257</v>
      </c>
      <c r="L2">
        <v>50555</v>
      </c>
      <c r="M2">
        <v>50445</v>
      </c>
      <c r="N2">
        <v>50452</v>
      </c>
      <c r="O2">
        <v>50563</v>
      </c>
      <c r="P2">
        <v>50258</v>
      </c>
      <c r="Q2">
        <v>50523</v>
      </c>
      <c r="R2">
        <v>50259</v>
      </c>
      <c r="S2">
        <v>50260</v>
      </c>
      <c r="T2">
        <v>50487</v>
      </c>
      <c r="U2">
        <v>50261</v>
      </c>
      <c r="V2">
        <v>50262</v>
      </c>
      <c r="W2">
        <v>50263</v>
      </c>
      <c r="X2">
        <v>50264</v>
      </c>
      <c r="Y2">
        <v>50265</v>
      </c>
      <c r="Z2">
        <v>50266</v>
      </c>
      <c r="AA2">
        <v>50267</v>
      </c>
      <c r="AB2">
        <v>50268</v>
      </c>
      <c r="AC2">
        <v>50269</v>
      </c>
      <c r="AD2">
        <v>50270</v>
      </c>
      <c r="AE2">
        <v>50271</v>
      </c>
      <c r="AF2">
        <v>50272</v>
      </c>
      <c r="AG2">
        <v>50273</v>
      </c>
      <c r="AH2">
        <v>50274</v>
      </c>
      <c r="AI2">
        <v>50480</v>
      </c>
      <c r="AJ2">
        <v>50275</v>
      </c>
      <c r="AK2">
        <v>50277</v>
      </c>
      <c r="AL2">
        <v>50276</v>
      </c>
      <c r="AM2">
        <v>50278</v>
      </c>
      <c r="AN2">
        <v>50279</v>
      </c>
      <c r="AO2">
        <v>50280</v>
      </c>
      <c r="AP2">
        <v>50281</v>
      </c>
      <c r="AQ2">
        <v>50478</v>
      </c>
      <c r="AR2">
        <v>50524</v>
      </c>
      <c r="AS2">
        <v>50282</v>
      </c>
      <c r="AT2">
        <v>50525</v>
      </c>
      <c r="AU2">
        <v>50283</v>
      </c>
      <c r="AV2">
        <v>50285</v>
      </c>
      <c r="AW2">
        <v>50553</v>
      </c>
      <c r="AX2">
        <v>50548</v>
      </c>
      <c r="AY2">
        <v>50284</v>
      </c>
      <c r="AZ2">
        <v>50286</v>
      </c>
      <c r="BA2">
        <v>50287</v>
      </c>
      <c r="BB2">
        <v>50288</v>
      </c>
      <c r="BC2">
        <v>50290</v>
      </c>
      <c r="BD2">
        <v>50564</v>
      </c>
      <c r="BE2">
        <v>50289</v>
      </c>
      <c r="BF2">
        <v>50291</v>
      </c>
      <c r="BG2">
        <v>50292</v>
      </c>
      <c r="BH2">
        <v>50293</v>
      </c>
      <c r="BI2">
        <v>50463</v>
      </c>
      <c r="BJ2">
        <v>50294</v>
      </c>
      <c r="BK2">
        <v>50538</v>
      </c>
      <c r="BL2">
        <v>50295</v>
      </c>
      <c r="BM2">
        <v>50296</v>
      </c>
      <c r="BN2">
        <v>50297</v>
      </c>
      <c r="BO2">
        <v>50449</v>
      </c>
      <c r="BP2">
        <v>50300</v>
      </c>
      <c r="BQ2">
        <v>50298</v>
      </c>
      <c r="BR2">
        <v>50299</v>
      </c>
      <c r="BS2">
        <v>50301</v>
      </c>
      <c r="BT2">
        <v>50302</v>
      </c>
      <c r="BU2">
        <v>50303</v>
      </c>
      <c r="BV2">
        <v>50304</v>
      </c>
      <c r="BW2">
        <v>50540</v>
      </c>
      <c r="BX2">
        <v>50305</v>
      </c>
      <c r="BY2">
        <v>50306</v>
      </c>
      <c r="BZ2">
        <v>50479</v>
      </c>
      <c r="CA2">
        <v>50307</v>
      </c>
      <c r="CB2">
        <v>50308</v>
      </c>
      <c r="CC2">
        <v>50309</v>
      </c>
      <c r="CD2">
        <v>50310</v>
      </c>
      <c r="CE2">
        <v>50311</v>
      </c>
    </row>
    <row r="3" spans="1:83" x14ac:dyDescent="0.25">
      <c r="A3">
        <v>4</v>
      </c>
      <c r="B3">
        <v>4</v>
      </c>
      <c r="C3" t="s">
        <v>622</v>
      </c>
      <c r="D3" t="s">
        <v>301</v>
      </c>
      <c r="E3">
        <v>0</v>
      </c>
      <c r="F3">
        <v>466</v>
      </c>
      <c r="G3">
        <v>25847</v>
      </c>
      <c r="H3">
        <v>100762</v>
      </c>
      <c r="I3">
        <v>126469</v>
      </c>
      <c r="J3">
        <v>72007</v>
      </c>
      <c r="K3">
        <v>674</v>
      </c>
      <c r="L3">
        <v>24989</v>
      </c>
      <c r="M3">
        <v>5048</v>
      </c>
      <c r="N3">
        <v>702251</v>
      </c>
      <c r="O3">
        <v>5385</v>
      </c>
      <c r="P3">
        <v>198173</v>
      </c>
      <c r="Q3">
        <v>876</v>
      </c>
      <c r="R3">
        <v>3000348</v>
      </c>
      <c r="S3">
        <v>47275</v>
      </c>
      <c r="T3">
        <v>3777</v>
      </c>
      <c r="U3">
        <v>3321661</v>
      </c>
      <c r="V3">
        <v>756802</v>
      </c>
      <c r="W3">
        <v>1001326</v>
      </c>
      <c r="X3">
        <v>1999933</v>
      </c>
      <c r="Y3">
        <v>23158</v>
      </c>
      <c r="Z3">
        <v>1192618</v>
      </c>
      <c r="AA3">
        <v>69202</v>
      </c>
      <c r="AB3">
        <v>492050</v>
      </c>
      <c r="AC3">
        <v>194771</v>
      </c>
      <c r="AD3">
        <v>46086</v>
      </c>
      <c r="AE3" s="708">
        <v>77739</v>
      </c>
      <c r="AF3">
        <v>13209</v>
      </c>
      <c r="AG3">
        <v>449480</v>
      </c>
      <c r="AH3">
        <v>295406</v>
      </c>
      <c r="AI3">
        <v>16385</v>
      </c>
      <c r="AJ3">
        <v>1146902</v>
      </c>
      <c r="AK3">
        <v>9535</v>
      </c>
      <c r="AL3">
        <v>93281</v>
      </c>
      <c r="AM3">
        <v>0</v>
      </c>
      <c r="AN3">
        <v>433672</v>
      </c>
      <c r="AO3">
        <v>0</v>
      </c>
      <c r="AP3">
        <v>0</v>
      </c>
      <c r="AQ3">
        <v>601</v>
      </c>
      <c r="AR3">
        <v>94377</v>
      </c>
      <c r="AS3">
        <v>94818</v>
      </c>
      <c r="AT3">
        <v>38990</v>
      </c>
      <c r="AU3">
        <v>124545</v>
      </c>
      <c r="AV3">
        <v>0</v>
      </c>
      <c r="AW3">
        <v>754973</v>
      </c>
      <c r="AX3">
        <v>195551</v>
      </c>
      <c r="AY3">
        <v>78548</v>
      </c>
      <c r="AZ3">
        <v>318404</v>
      </c>
      <c r="BA3">
        <v>28708</v>
      </c>
      <c r="BB3">
        <v>59554</v>
      </c>
      <c r="BC3">
        <v>0</v>
      </c>
      <c r="BD3">
        <v>0</v>
      </c>
      <c r="BE3">
        <v>347965</v>
      </c>
      <c r="BF3">
        <v>11934</v>
      </c>
      <c r="BG3">
        <v>4903</v>
      </c>
      <c r="BH3">
        <v>15934</v>
      </c>
      <c r="BI3">
        <v>848</v>
      </c>
      <c r="BJ3">
        <v>2418</v>
      </c>
      <c r="BK3">
        <v>2134</v>
      </c>
      <c r="BL3">
        <v>41094</v>
      </c>
      <c r="BM3">
        <v>0</v>
      </c>
      <c r="BN3">
        <v>257716</v>
      </c>
      <c r="BO3">
        <v>199933</v>
      </c>
      <c r="BP3">
        <v>27436</v>
      </c>
      <c r="BQ3">
        <v>0</v>
      </c>
      <c r="BR3">
        <v>898251</v>
      </c>
      <c r="BS3">
        <v>57703</v>
      </c>
      <c r="BT3">
        <v>494938</v>
      </c>
      <c r="BU3">
        <v>12647</v>
      </c>
      <c r="BV3">
        <v>187941</v>
      </c>
      <c r="BW3">
        <v>48489</v>
      </c>
      <c r="BX3">
        <v>96694</v>
      </c>
      <c r="BY3">
        <v>60362</v>
      </c>
      <c r="BZ3">
        <v>2310</v>
      </c>
      <c r="CA3" s="708">
        <v>10411</v>
      </c>
      <c r="CB3">
        <v>4527</v>
      </c>
      <c r="CC3">
        <v>0</v>
      </c>
      <c r="CD3">
        <v>0</v>
      </c>
      <c r="CE3">
        <v>1017</v>
      </c>
    </row>
    <row r="4" spans="1:83" x14ac:dyDescent="0.25">
      <c r="A4">
        <v>5</v>
      </c>
      <c r="B4">
        <v>5</v>
      </c>
      <c r="C4" t="s">
        <v>122</v>
      </c>
      <c r="D4" t="s">
        <v>302</v>
      </c>
      <c r="E4">
        <v>0</v>
      </c>
      <c r="F4">
        <v>0</v>
      </c>
      <c r="G4">
        <v>0</v>
      </c>
      <c r="H4">
        <v>0</v>
      </c>
      <c r="I4">
        <v>0</v>
      </c>
      <c r="J4">
        <v>4623</v>
      </c>
      <c r="K4">
        <v>0</v>
      </c>
      <c r="L4">
        <v>0</v>
      </c>
      <c r="M4">
        <v>0</v>
      </c>
      <c r="N4">
        <v>0</v>
      </c>
      <c r="O4">
        <v>0</v>
      </c>
      <c r="P4">
        <v>0</v>
      </c>
      <c r="Q4">
        <v>0</v>
      </c>
      <c r="R4">
        <v>11922</v>
      </c>
      <c r="S4">
        <v>0</v>
      </c>
      <c r="T4">
        <v>0</v>
      </c>
      <c r="U4">
        <v>66787</v>
      </c>
      <c r="V4">
        <v>59098</v>
      </c>
      <c r="W4">
        <v>4326</v>
      </c>
      <c r="X4">
        <v>11841</v>
      </c>
      <c r="Y4">
        <v>0</v>
      </c>
      <c r="Z4">
        <v>16630</v>
      </c>
      <c r="AA4">
        <v>0</v>
      </c>
      <c r="AB4">
        <v>0</v>
      </c>
      <c r="AC4">
        <v>0</v>
      </c>
      <c r="AD4">
        <v>0</v>
      </c>
      <c r="AE4">
        <v>0</v>
      </c>
      <c r="AF4">
        <v>15541</v>
      </c>
      <c r="AG4">
        <v>4713</v>
      </c>
      <c r="AH4">
        <v>2</v>
      </c>
      <c r="AI4">
        <v>0</v>
      </c>
      <c r="AJ4">
        <v>0</v>
      </c>
      <c r="AK4">
        <v>0</v>
      </c>
      <c r="AL4">
        <v>0</v>
      </c>
      <c r="AM4">
        <v>0</v>
      </c>
      <c r="AN4">
        <v>2353</v>
      </c>
      <c r="AO4">
        <v>0</v>
      </c>
      <c r="AP4">
        <v>0</v>
      </c>
      <c r="AQ4">
        <v>0</v>
      </c>
      <c r="AR4">
        <v>0</v>
      </c>
      <c r="AS4">
        <v>14000000</v>
      </c>
      <c r="AT4">
        <v>0</v>
      </c>
      <c r="AU4">
        <v>0</v>
      </c>
      <c r="AV4">
        <v>0</v>
      </c>
      <c r="AW4">
        <v>25734</v>
      </c>
      <c r="AX4">
        <v>0</v>
      </c>
      <c r="AY4">
        <v>0</v>
      </c>
      <c r="AZ4">
        <v>0</v>
      </c>
      <c r="BA4">
        <v>0</v>
      </c>
      <c r="BB4">
        <v>0</v>
      </c>
      <c r="BC4">
        <v>0</v>
      </c>
      <c r="BD4">
        <v>0</v>
      </c>
      <c r="BE4">
        <v>0</v>
      </c>
      <c r="BF4">
        <v>0</v>
      </c>
      <c r="BG4">
        <v>0</v>
      </c>
      <c r="BH4">
        <v>0</v>
      </c>
      <c r="BI4">
        <v>0</v>
      </c>
      <c r="BJ4">
        <v>0</v>
      </c>
      <c r="BK4">
        <v>0</v>
      </c>
      <c r="BL4">
        <v>0</v>
      </c>
      <c r="BM4">
        <v>0</v>
      </c>
      <c r="BN4">
        <v>0</v>
      </c>
      <c r="BO4">
        <v>92340</v>
      </c>
      <c r="BP4">
        <v>0</v>
      </c>
      <c r="BQ4">
        <v>0</v>
      </c>
      <c r="BR4">
        <v>16016</v>
      </c>
      <c r="BS4">
        <v>0</v>
      </c>
      <c r="BT4">
        <v>0</v>
      </c>
      <c r="BU4">
        <v>14</v>
      </c>
      <c r="BV4">
        <v>466009</v>
      </c>
      <c r="BW4">
        <v>0</v>
      </c>
      <c r="BX4">
        <v>2592</v>
      </c>
      <c r="BY4">
        <v>0</v>
      </c>
      <c r="BZ4">
        <v>0</v>
      </c>
      <c r="CA4" s="708">
        <v>429786</v>
      </c>
      <c r="CB4">
        <v>356</v>
      </c>
      <c r="CC4">
        <v>0</v>
      </c>
      <c r="CD4">
        <v>0</v>
      </c>
      <c r="CE4">
        <v>0</v>
      </c>
    </row>
    <row r="5" spans="1:83" x14ac:dyDescent="0.25">
      <c r="A5">
        <v>6</v>
      </c>
      <c r="B5">
        <v>6</v>
      </c>
      <c r="C5" t="s">
        <v>268</v>
      </c>
      <c r="D5" t="s">
        <v>303</v>
      </c>
      <c r="E5">
        <v>0</v>
      </c>
      <c r="F5">
        <v>0</v>
      </c>
      <c r="G5">
        <v>0</v>
      </c>
      <c r="H5">
        <v>0</v>
      </c>
      <c r="I5">
        <v>0</v>
      </c>
      <c r="J5">
        <v>0</v>
      </c>
      <c r="K5">
        <v>0</v>
      </c>
      <c r="L5">
        <v>0</v>
      </c>
      <c r="M5">
        <v>0</v>
      </c>
      <c r="N5">
        <v>21750</v>
      </c>
      <c r="O5">
        <v>0</v>
      </c>
      <c r="P5">
        <v>0</v>
      </c>
      <c r="Q5">
        <v>0</v>
      </c>
      <c r="R5">
        <v>2505709</v>
      </c>
      <c r="S5">
        <v>0</v>
      </c>
      <c r="T5">
        <v>0</v>
      </c>
      <c r="U5">
        <v>935783</v>
      </c>
      <c r="V5">
        <v>0</v>
      </c>
      <c r="W5">
        <v>1268912</v>
      </c>
      <c r="X5">
        <v>3962119</v>
      </c>
      <c r="Y5">
        <v>0</v>
      </c>
      <c r="Z5">
        <v>1964282</v>
      </c>
      <c r="AA5">
        <v>0</v>
      </c>
      <c r="AB5">
        <v>0</v>
      </c>
      <c r="AC5">
        <v>0</v>
      </c>
      <c r="AD5">
        <v>0</v>
      </c>
      <c r="AE5">
        <v>0</v>
      </c>
      <c r="AF5">
        <v>0</v>
      </c>
      <c r="AG5">
        <v>1918909</v>
      </c>
      <c r="AH5">
        <v>0</v>
      </c>
      <c r="AI5">
        <v>0</v>
      </c>
      <c r="AJ5">
        <v>2112516</v>
      </c>
      <c r="AK5">
        <v>6650</v>
      </c>
      <c r="AL5">
        <v>0</v>
      </c>
      <c r="AM5">
        <v>0</v>
      </c>
      <c r="AN5">
        <v>536111</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100416</v>
      </c>
      <c r="BS5">
        <v>0</v>
      </c>
      <c r="BT5">
        <v>0</v>
      </c>
      <c r="BU5">
        <v>0</v>
      </c>
      <c r="BV5">
        <v>0</v>
      </c>
      <c r="BW5">
        <v>0</v>
      </c>
      <c r="BX5">
        <v>0</v>
      </c>
      <c r="BY5">
        <v>0</v>
      </c>
      <c r="BZ5">
        <v>0</v>
      </c>
      <c r="CA5">
        <v>0</v>
      </c>
      <c r="CB5">
        <v>0</v>
      </c>
      <c r="CC5">
        <v>0</v>
      </c>
      <c r="CD5">
        <v>0</v>
      </c>
      <c r="CE5">
        <v>0</v>
      </c>
    </row>
    <row r="6" spans="1:83" x14ac:dyDescent="0.25">
      <c r="A6">
        <v>7</v>
      </c>
      <c r="B6">
        <v>7</v>
      </c>
      <c r="C6" t="s">
        <v>205</v>
      </c>
      <c r="D6" t="s">
        <v>304</v>
      </c>
      <c r="E6">
        <v>0</v>
      </c>
      <c r="F6">
        <v>0</v>
      </c>
      <c r="G6">
        <v>0</v>
      </c>
      <c r="H6">
        <v>0</v>
      </c>
      <c r="I6">
        <v>0</v>
      </c>
      <c r="J6">
        <v>0</v>
      </c>
      <c r="K6">
        <v>0</v>
      </c>
      <c r="L6">
        <v>0</v>
      </c>
      <c r="M6">
        <v>0</v>
      </c>
      <c r="N6">
        <v>0</v>
      </c>
      <c r="O6">
        <v>0</v>
      </c>
      <c r="P6">
        <v>0</v>
      </c>
      <c r="Q6">
        <v>0</v>
      </c>
      <c r="R6">
        <v>856113</v>
      </c>
      <c r="S6">
        <v>7098</v>
      </c>
      <c r="T6">
        <v>0</v>
      </c>
      <c r="U6">
        <v>244028</v>
      </c>
      <c r="V6">
        <v>236131</v>
      </c>
      <c r="W6">
        <v>195628</v>
      </c>
      <c r="X6">
        <v>9742</v>
      </c>
      <c r="Y6">
        <v>0</v>
      </c>
      <c r="Z6">
        <v>114895</v>
      </c>
      <c r="AA6">
        <v>5632</v>
      </c>
      <c r="AB6">
        <v>54421</v>
      </c>
      <c r="AC6">
        <v>0</v>
      </c>
      <c r="AD6">
        <v>0</v>
      </c>
      <c r="AE6" s="708">
        <v>23733</v>
      </c>
      <c r="AF6">
        <v>0</v>
      </c>
      <c r="AG6">
        <v>73868</v>
      </c>
      <c r="AH6">
        <v>4650</v>
      </c>
      <c r="AI6">
        <v>0</v>
      </c>
      <c r="AJ6">
        <v>103144</v>
      </c>
      <c r="AK6">
        <v>0</v>
      </c>
      <c r="AL6">
        <v>7093</v>
      </c>
      <c r="AM6">
        <v>0</v>
      </c>
      <c r="AN6">
        <v>40019</v>
      </c>
      <c r="AO6">
        <v>0</v>
      </c>
      <c r="AP6">
        <v>0</v>
      </c>
      <c r="AQ6">
        <v>0</v>
      </c>
      <c r="AR6">
        <v>24453</v>
      </c>
      <c r="AS6">
        <v>335212</v>
      </c>
      <c r="AT6">
        <v>0</v>
      </c>
      <c r="AU6">
        <v>0</v>
      </c>
      <c r="AV6">
        <v>0</v>
      </c>
      <c r="AW6">
        <v>106511</v>
      </c>
      <c r="AX6">
        <v>0</v>
      </c>
      <c r="AY6">
        <v>0</v>
      </c>
      <c r="AZ6">
        <v>0</v>
      </c>
      <c r="BA6">
        <v>0</v>
      </c>
      <c r="BB6">
        <v>0</v>
      </c>
      <c r="BC6">
        <v>0</v>
      </c>
      <c r="BD6">
        <v>0</v>
      </c>
      <c r="BE6">
        <v>5912</v>
      </c>
      <c r="BF6">
        <v>4815</v>
      </c>
      <c r="BG6">
        <v>0</v>
      </c>
      <c r="BH6">
        <v>0</v>
      </c>
      <c r="BI6">
        <v>0</v>
      </c>
      <c r="BJ6">
        <v>0</v>
      </c>
      <c r="BK6">
        <v>0</v>
      </c>
      <c r="BL6">
        <v>0</v>
      </c>
      <c r="BM6">
        <v>0</v>
      </c>
      <c r="BN6">
        <v>0</v>
      </c>
      <c r="BO6">
        <v>45897</v>
      </c>
      <c r="BP6">
        <v>6098</v>
      </c>
      <c r="BQ6">
        <v>0</v>
      </c>
      <c r="BR6">
        <v>68562</v>
      </c>
      <c r="BS6">
        <v>0</v>
      </c>
      <c r="BT6">
        <v>6428</v>
      </c>
      <c r="BU6">
        <v>0</v>
      </c>
      <c r="BV6">
        <v>0</v>
      </c>
      <c r="BW6">
        <v>350</v>
      </c>
      <c r="BX6">
        <v>0</v>
      </c>
      <c r="BY6">
        <v>0</v>
      </c>
      <c r="BZ6">
        <v>12876</v>
      </c>
      <c r="CA6">
        <v>0</v>
      </c>
      <c r="CB6">
        <v>0</v>
      </c>
      <c r="CC6">
        <v>0</v>
      </c>
      <c r="CD6">
        <v>0</v>
      </c>
      <c r="CE6">
        <v>0</v>
      </c>
    </row>
    <row r="7" spans="1:83" x14ac:dyDescent="0.25">
      <c r="A7">
        <v>9</v>
      </c>
      <c r="B7">
        <v>9</v>
      </c>
      <c r="C7" t="s">
        <v>207</v>
      </c>
      <c r="D7" t="s">
        <v>305</v>
      </c>
      <c r="E7">
        <v>0</v>
      </c>
      <c r="F7">
        <v>141355</v>
      </c>
      <c r="G7">
        <v>930867</v>
      </c>
      <c r="H7">
        <v>4130773</v>
      </c>
      <c r="I7">
        <v>5208368</v>
      </c>
      <c r="J7">
        <v>5083096</v>
      </c>
      <c r="K7">
        <v>111269</v>
      </c>
      <c r="L7">
        <v>885290</v>
      </c>
      <c r="M7">
        <v>974108</v>
      </c>
      <c r="N7">
        <v>7970530</v>
      </c>
      <c r="O7">
        <v>672619</v>
      </c>
      <c r="P7">
        <v>6903740</v>
      </c>
      <c r="Q7">
        <v>288930</v>
      </c>
      <c r="R7">
        <v>33447223</v>
      </c>
      <c r="S7">
        <v>1752315</v>
      </c>
      <c r="T7">
        <v>212106</v>
      </c>
      <c r="U7">
        <v>39888262</v>
      </c>
      <c r="V7">
        <v>9324636</v>
      </c>
      <c r="W7">
        <v>19773670</v>
      </c>
      <c r="X7">
        <v>34620352</v>
      </c>
      <c r="Y7">
        <v>290094</v>
      </c>
      <c r="Z7">
        <v>12836876</v>
      </c>
      <c r="AA7">
        <v>1542634</v>
      </c>
      <c r="AB7">
        <v>13359288</v>
      </c>
      <c r="AC7">
        <v>1237175</v>
      </c>
      <c r="AD7">
        <v>1816013</v>
      </c>
      <c r="AE7" s="708">
        <v>1416038</v>
      </c>
      <c r="AF7">
        <v>3303273</v>
      </c>
      <c r="AG7">
        <v>28416589</v>
      </c>
      <c r="AH7">
        <v>5380745</v>
      </c>
      <c r="AI7">
        <v>871603</v>
      </c>
      <c r="AJ7">
        <v>22829395</v>
      </c>
      <c r="AK7">
        <v>3258859</v>
      </c>
      <c r="AL7">
        <v>740967</v>
      </c>
      <c r="AM7">
        <v>0</v>
      </c>
      <c r="AN7">
        <v>9110062</v>
      </c>
      <c r="AO7">
        <v>0</v>
      </c>
      <c r="AP7">
        <v>0</v>
      </c>
      <c r="AQ7">
        <v>97581</v>
      </c>
      <c r="AR7">
        <v>3353238</v>
      </c>
      <c r="AS7">
        <v>4491202</v>
      </c>
      <c r="AT7">
        <v>705712</v>
      </c>
      <c r="AU7">
        <v>1715754</v>
      </c>
      <c r="AV7">
        <v>0</v>
      </c>
      <c r="AW7">
        <v>13834543</v>
      </c>
      <c r="AX7">
        <v>3684392</v>
      </c>
      <c r="AY7">
        <v>1677174</v>
      </c>
      <c r="AZ7">
        <v>17868832</v>
      </c>
      <c r="BA7">
        <v>1943341</v>
      </c>
      <c r="BB7">
        <v>966886</v>
      </c>
      <c r="BC7">
        <v>101867</v>
      </c>
      <c r="BD7">
        <v>0</v>
      </c>
      <c r="BE7">
        <v>6477626</v>
      </c>
      <c r="BF7">
        <v>531678</v>
      </c>
      <c r="BG7">
        <v>765484</v>
      </c>
      <c r="BH7">
        <v>148547</v>
      </c>
      <c r="BI7">
        <v>298634</v>
      </c>
      <c r="BJ7">
        <v>543868</v>
      </c>
      <c r="BK7">
        <v>275748</v>
      </c>
      <c r="BL7">
        <v>1908186</v>
      </c>
      <c r="BM7">
        <v>0</v>
      </c>
      <c r="BN7">
        <v>729868</v>
      </c>
      <c r="BO7">
        <v>3257573</v>
      </c>
      <c r="BP7">
        <v>940629</v>
      </c>
      <c r="BQ7">
        <v>1895655</v>
      </c>
      <c r="BR7">
        <v>7871973</v>
      </c>
      <c r="BS7">
        <v>472862</v>
      </c>
      <c r="BT7">
        <v>19712566</v>
      </c>
      <c r="BU7">
        <v>770426</v>
      </c>
      <c r="BV7">
        <v>3453743</v>
      </c>
      <c r="BW7">
        <v>1039747</v>
      </c>
      <c r="BX7">
        <v>1345260</v>
      </c>
      <c r="BY7">
        <v>2152277</v>
      </c>
      <c r="BZ7">
        <v>383183</v>
      </c>
      <c r="CA7" s="708">
        <v>564451</v>
      </c>
      <c r="CB7">
        <v>177157</v>
      </c>
      <c r="CC7">
        <v>0</v>
      </c>
      <c r="CD7">
        <v>0</v>
      </c>
      <c r="CE7">
        <v>368031</v>
      </c>
    </row>
    <row r="8" spans="1:83" x14ac:dyDescent="0.25">
      <c r="A8">
        <v>11</v>
      </c>
      <c r="B8">
        <v>11</v>
      </c>
      <c r="C8" t="s">
        <v>206</v>
      </c>
      <c r="D8" t="s">
        <v>306</v>
      </c>
      <c r="E8">
        <v>0</v>
      </c>
      <c r="F8">
        <v>34379</v>
      </c>
      <c r="G8">
        <v>108825</v>
      </c>
      <c r="H8">
        <v>211409</v>
      </c>
      <c r="I8">
        <v>0</v>
      </c>
      <c r="J8">
        <v>0</v>
      </c>
      <c r="K8">
        <v>0</v>
      </c>
      <c r="L8">
        <v>0</v>
      </c>
      <c r="M8">
        <v>0</v>
      </c>
      <c r="N8">
        <v>341903</v>
      </c>
      <c r="O8">
        <v>84991</v>
      </c>
      <c r="P8">
        <v>189</v>
      </c>
      <c r="Q8">
        <v>0</v>
      </c>
      <c r="R8">
        <v>1641615</v>
      </c>
      <c r="S8">
        <v>281397</v>
      </c>
      <c r="T8">
        <v>0</v>
      </c>
      <c r="U8">
        <v>799573</v>
      </c>
      <c r="V8">
        <v>474202</v>
      </c>
      <c r="W8">
        <v>758914</v>
      </c>
      <c r="X8">
        <v>3042283</v>
      </c>
      <c r="Y8">
        <v>130821</v>
      </c>
      <c r="Z8">
        <v>613130</v>
      </c>
      <c r="AA8">
        <v>120108</v>
      </c>
      <c r="AB8">
        <v>1358142</v>
      </c>
      <c r="AC8">
        <v>227898</v>
      </c>
      <c r="AD8">
        <v>33303</v>
      </c>
      <c r="AE8">
        <v>0</v>
      </c>
      <c r="AF8">
        <v>103981</v>
      </c>
      <c r="AG8">
        <v>109954</v>
      </c>
      <c r="AH8">
        <v>128919</v>
      </c>
      <c r="AI8">
        <v>54432</v>
      </c>
      <c r="AJ8">
        <v>0</v>
      </c>
      <c r="AK8">
        <v>154775</v>
      </c>
      <c r="AL8">
        <v>22290</v>
      </c>
      <c r="AM8">
        <v>0</v>
      </c>
      <c r="AN8">
        <v>321318</v>
      </c>
      <c r="AO8">
        <v>0</v>
      </c>
      <c r="AP8">
        <v>0</v>
      </c>
      <c r="AQ8">
        <v>0</v>
      </c>
      <c r="AR8">
        <v>24539</v>
      </c>
      <c r="AS8">
        <v>89890</v>
      </c>
      <c r="AT8">
        <v>87246</v>
      </c>
      <c r="AU8">
        <v>409381</v>
      </c>
      <c r="AV8">
        <v>0</v>
      </c>
      <c r="AW8">
        <v>970079</v>
      </c>
      <c r="AX8">
        <v>0</v>
      </c>
      <c r="AY8">
        <v>178142</v>
      </c>
      <c r="AZ8">
        <v>47411</v>
      </c>
      <c r="BA8">
        <v>33549</v>
      </c>
      <c r="BB8">
        <v>165808</v>
      </c>
      <c r="BC8">
        <v>0</v>
      </c>
      <c r="BD8">
        <v>0</v>
      </c>
      <c r="BE8">
        <v>786476</v>
      </c>
      <c r="BF8">
        <v>35395</v>
      </c>
      <c r="BG8">
        <v>7266</v>
      </c>
      <c r="BH8">
        <v>20190</v>
      </c>
      <c r="BI8">
        <v>0</v>
      </c>
      <c r="BJ8">
        <v>65147</v>
      </c>
      <c r="BK8">
        <v>54354</v>
      </c>
      <c r="BL8">
        <v>630</v>
      </c>
      <c r="BM8">
        <v>0</v>
      </c>
      <c r="BN8">
        <v>701</v>
      </c>
      <c r="BO8">
        <v>108876</v>
      </c>
      <c r="BP8">
        <v>57455</v>
      </c>
      <c r="BQ8">
        <v>72801</v>
      </c>
      <c r="BR8">
        <v>0</v>
      </c>
      <c r="BS8">
        <v>149467</v>
      </c>
      <c r="BT8">
        <v>377685</v>
      </c>
      <c r="BU8">
        <v>33382</v>
      </c>
      <c r="BV8">
        <v>140497</v>
      </c>
      <c r="BW8">
        <v>0</v>
      </c>
      <c r="BX8">
        <v>93896</v>
      </c>
      <c r="BY8">
        <v>408426</v>
      </c>
      <c r="BZ8">
        <v>172036</v>
      </c>
      <c r="CA8" s="708">
        <v>35587</v>
      </c>
      <c r="CB8">
        <v>14363</v>
      </c>
      <c r="CC8">
        <v>0</v>
      </c>
      <c r="CD8">
        <v>0</v>
      </c>
      <c r="CE8">
        <v>19647</v>
      </c>
    </row>
    <row r="9" spans="1:83" x14ac:dyDescent="0.25">
      <c r="B9">
        <v>12</v>
      </c>
      <c r="C9" t="s">
        <v>623</v>
      </c>
      <c r="D9" t="s">
        <v>307</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row>
    <row r="10" spans="1:83" x14ac:dyDescent="0.25">
      <c r="B10">
        <v>13</v>
      </c>
      <c r="C10" t="s">
        <v>624</v>
      </c>
      <c r="D10" t="s">
        <v>308</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row>
    <row r="11" spans="1:83" x14ac:dyDescent="0.25">
      <c r="B11">
        <v>14</v>
      </c>
      <c r="C11" t="s">
        <v>309</v>
      </c>
      <c r="D11" t="s">
        <v>310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row>
    <row r="12" spans="1:83" x14ac:dyDescent="0.25">
      <c r="A12">
        <v>16</v>
      </c>
      <c r="B12">
        <v>16</v>
      </c>
      <c r="C12" t="s">
        <v>209</v>
      </c>
      <c r="D12" t="s">
        <v>311</v>
      </c>
      <c r="E12">
        <v>0</v>
      </c>
      <c r="F12">
        <v>69832</v>
      </c>
      <c r="G12">
        <v>890119</v>
      </c>
      <c r="H12">
        <v>1852135</v>
      </c>
      <c r="I12">
        <v>1643850</v>
      </c>
      <c r="J12">
        <v>3595795</v>
      </c>
      <c r="K12">
        <v>77735</v>
      </c>
      <c r="L12">
        <v>362959</v>
      </c>
      <c r="M12">
        <v>231254</v>
      </c>
      <c r="N12">
        <v>13914625</v>
      </c>
      <c r="O12">
        <v>534022</v>
      </c>
      <c r="P12">
        <v>5530854</v>
      </c>
      <c r="Q12">
        <v>85689</v>
      </c>
      <c r="R12">
        <v>42220026</v>
      </c>
      <c r="S12">
        <v>1800842</v>
      </c>
      <c r="T12">
        <v>35172</v>
      </c>
      <c r="U12">
        <v>73940308</v>
      </c>
      <c r="V12">
        <v>13311775</v>
      </c>
      <c r="W12">
        <v>21255820</v>
      </c>
      <c r="X12">
        <v>33034388</v>
      </c>
      <c r="Y12">
        <v>293722</v>
      </c>
      <c r="Z12">
        <v>13887491</v>
      </c>
      <c r="AA12">
        <v>1125048</v>
      </c>
      <c r="AB12">
        <v>14117578</v>
      </c>
      <c r="AC12">
        <v>3945481</v>
      </c>
      <c r="AD12">
        <v>1840961</v>
      </c>
      <c r="AE12" s="708">
        <v>2248383</v>
      </c>
      <c r="AF12">
        <v>2281756</v>
      </c>
      <c r="AG12">
        <v>26801916</v>
      </c>
      <c r="AH12">
        <v>5696151</v>
      </c>
      <c r="AI12">
        <v>1052895</v>
      </c>
      <c r="AJ12">
        <v>29607939</v>
      </c>
      <c r="AK12">
        <v>639735</v>
      </c>
      <c r="AL12">
        <v>916430</v>
      </c>
      <c r="AM12">
        <v>0</v>
      </c>
      <c r="AN12">
        <v>14156661</v>
      </c>
      <c r="AO12">
        <v>0</v>
      </c>
      <c r="AP12">
        <v>0</v>
      </c>
      <c r="AQ12">
        <v>45354</v>
      </c>
      <c r="AR12">
        <v>5012328</v>
      </c>
      <c r="AS12">
        <v>7089809</v>
      </c>
      <c r="AT12">
        <v>520549</v>
      </c>
      <c r="AU12">
        <v>2267545</v>
      </c>
      <c r="AV12">
        <v>0</v>
      </c>
      <c r="AW12">
        <v>14300967</v>
      </c>
      <c r="AX12">
        <v>1792095</v>
      </c>
      <c r="AY12">
        <v>1590784</v>
      </c>
      <c r="AZ12">
        <v>9311159</v>
      </c>
      <c r="BA12">
        <v>885368</v>
      </c>
      <c r="BB12">
        <v>1107679</v>
      </c>
      <c r="BC12">
        <v>30007</v>
      </c>
      <c r="BD12">
        <v>0</v>
      </c>
      <c r="BE12">
        <v>9447403</v>
      </c>
      <c r="BF12">
        <v>136199</v>
      </c>
      <c r="BG12">
        <v>426207</v>
      </c>
      <c r="BH12">
        <v>159912</v>
      </c>
      <c r="BI12">
        <v>95290</v>
      </c>
      <c r="BJ12">
        <v>229147</v>
      </c>
      <c r="BK12">
        <v>136790</v>
      </c>
      <c r="BL12">
        <v>3699741</v>
      </c>
      <c r="BM12">
        <v>0</v>
      </c>
      <c r="BN12">
        <v>1779809</v>
      </c>
      <c r="BO12">
        <v>5652427</v>
      </c>
      <c r="BP12">
        <v>1181789</v>
      </c>
      <c r="BQ12">
        <v>1617249</v>
      </c>
      <c r="BR12">
        <v>19275712</v>
      </c>
      <c r="BS12">
        <v>885781</v>
      </c>
      <c r="BT12">
        <v>13821715</v>
      </c>
      <c r="BU12">
        <v>675206</v>
      </c>
      <c r="BV12">
        <v>5126412</v>
      </c>
      <c r="BW12">
        <v>632287</v>
      </c>
      <c r="BX12">
        <v>2138254</v>
      </c>
      <c r="BY12">
        <v>998397</v>
      </c>
      <c r="BZ12">
        <v>127953</v>
      </c>
      <c r="CA12" s="708">
        <v>222891</v>
      </c>
      <c r="CB12">
        <v>180295</v>
      </c>
      <c r="CC12">
        <v>0</v>
      </c>
      <c r="CD12">
        <v>0</v>
      </c>
      <c r="CE12">
        <v>57885</v>
      </c>
    </row>
    <row r="13" spans="1:83" x14ac:dyDescent="0.25">
      <c r="A13">
        <v>17</v>
      </c>
      <c r="B13">
        <v>17</v>
      </c>
      <c r="C13" t="s">
        <v>212</v>
      </c>
      <c r="D13" t="s">
        <v>312</v>
      </c>
      <c r="E13">
        <v>0</v>
      </c>
      <c r="F13">
        <v>0</v>
      </c>
      <c r="G13">
        <v>0</v>
      </c>
      <c r="H13">
        <v>0</v>
      </c>
      <c r="I13">
        <v>0</v>
      </c>
      <c r="J13">
        <v>0</v>
      </c>
      <c r="K13">
        <v>0</v>
      </c>
      <c r="L13">
        <v>0</v>
      </c>
      <c r="M13">
        <v>0</v>
      </c>
      <c r="N13">
        <v>0</v>
      </c>
      <c r="O13">
        <v>0</v>
      </c>
      <c r="P13">
        <v>0</v>
      </c>
      <c r="Q13">
        <v>0</v>
      </c>
      <c r="R13">
        <v>936296</v>
      </c>
      <c r="S13">
        <v>0</v>
      </c>
      <c r="T13">
        <v>0</v>
      </c>
      <c r="U13">
        <v>0</v>
      </c>
      <c r="V13">
        <v>567000</v>
      </c>
      <c r="W13">
        <v>175340</v>
      </c>
      <c r="X13">
        <v>570000</v>
      </c>
      <c r="Y13">
        <v>0</v>
      </c>
      <c r="Z13">
        <v>10000</v>
      </c>
      <c r="AA13">
        <v>0</v>
      </c>
      <c r="AB13">
        <v>0</v>
      </c>
      <c r="AC13">
        <v>52466</v>
      </c>
      <c r="AD13">
        <v>0</v>
      </c>
      <c r="AE13">
        <v>0</v>
      </c>
      <c r="AF13">
        <v>99598</v>
      </c>
      <c r="AG13">
        <v>0</v>
      </c>
      <c r="AH13">
        <v>85307</v>
      </c>
      <c r="AI13">
        <v>0</v>
      </c>
      <c r="AJ13">
        <v>1968600</v>
      </c>
      <c r="AK13">
        <v>0</v>
      </c>
      <c r="AL13">
        <v>0</v>
      </c>
      <c r="AM13">
        <v>0</v>
      </c>
      <c r="AN13">
        <v>0</v>
      </c>
      <c r="AO13">
        <v>0</v>
      </c>
      <c r="AP13">
        <v>0</v>
      </c>
      <c r="AQ13">
        <v>0</v>
      </c>
      <c r="AR13">
        <v>946918</v>
      </c>
      <c r="AS13">
        <v>0</v>
      </c>
      <c r="AT13">
        <v>0</v>
      </c>
      <c r="AU13">
        <v>7796</v>
      </c>
      <c r="AV13">
        <v>0</v>
      </c>
      <c r="AW13">
        <v>373864</v>
      </c>
      <c r="AX13">
        <v>0</v>
      </c>
      <c r="AY13">
        <v>0</v>
      </c>
      <c r="AZ13">
        <v>0</v>
      </c>
      <c r="BA13">
        <v>0</v>
      </c>
      <c r="BB13">
        <v>0</v>
      </c>
      <c r="BC13">
        <v>0</v>
      </c>
      <c r="BD13">
        <v>0</v>
      </c>
      <c r="BE13">
        <v>225950</v>
      </c>
      <c r="BF13">
        <v>0</v>
      </c>
      <c r="BG13">
        <v>0</v>
      </c>
      <c r="BH13">
        <v>0</v>
      </c>
      <c r="BI13">
        <v>20911</v>
      </c>
      <c r="BJ13">
        <v>0</v>
      </c>
      <c r="BK13">
        <v>0</v>
      </c>
      <c r="BL13">
        <v>0</v>
      </c>
      <c r="BM13">
        <v>0</v>
      </c>
      <c r="BN13">
        <v>0</v>
      </c>
      <c r="BO13">
        <v>0</v>
      </c>
      <c r="BP13">
        <v>0</v>
      </c>
      <c r="BQ13">
        <v>4054</v>
      </c>
      <c r="BR13">
        <v>0</v>
      </c>
      <c r="BS13">
        <v>246038</v>
      </c>
      <c r="BT13">
        <v>42497</v>
      </c>
      <c r="BU13">
        <v>0</v>
      </c>
      <c r="BV13">
        <v>0</v>
      </c>
      <c r="BW13">
        <v>0</v>
      </c>
      <c r="BX13">
        <v>0</v>
      </c>
      <c r="BY13">
        <v>0</v>
      </c>
      <c r="BZ13">
        <v>0</v>
      </c>
      <c r="CA13">
        <v>0</v>
      </c>
      <c r="CB13">
        <v>0</v>
      </c>
      <c r="CC13">
        <v>0</v>
      </c>
      <c r="CD13">
        <v>0</v>
      </c>
      <c r="CE13">
        <v>0</v>
      </c>
    </row>
    <row r="14" spans="1:83" x14ac:dyDescent="0.25">
      <c r="B14">
        <v>19</v>
      </c>
      <c r="C14" t="s">
        <v>625</v>
      </c>
      <c r="D14" t="s">
        <v>313</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row>
    <row r="15" spans="1:83" x14ac:dyDescent="0.25">
      <c r="A15">
        <v>20</v>
      </c>
      <c r="B15">
        <v>20</v>
      </c>
      <c r="C15" t="s">
        <v>213</v>
      </c>
      <c r="D15" t="s">
        <v>314</v>
      </c>
      <c r="E15">
        <v>0</v>
      </c>
      <c r="F15">
        <v>0</v>
      </c>
      <c r="G15">
        <v>0</v>
      </c>
      <c r="H15">
        <v>24806</v>
      </c>
      <c r="I15">
        <v>0</v>
      </c>
      <c r="J15">
        <v>0</v>
      </c>
      <c r="K15">
        <v>112809</v>
      </c>
      <c r="L15">
        <v>0</v>
      </c>
      <c r="M15">
        <v>0</v>
      </c>
      <c r="N15">
        <v>16251</v>
      </c>
      <c r="O15">
        <v>0</v>
      </c>
      <c r="P15">
        <v>0</v>
      </c>
      <c r="Q15">
        <v>0</v>
      </c>
      <c r="R15">
        <v>4436788</v>
      </c>
      <c r="S15">
        <v>138038</v>
      </c>
      <c r="T15">
        <v>0</v>
      </c>
      <c r="U15">
        <v>2084933</v>
      </c>
      <c r="V15">
        <v>3768652</v>
      </c>
      <c r="W15">
        <v>0</v>
      </c>
      <c r="X15">
        <v>1757800</v>
      </c>
      <c r="Y15">
        <v>0</v>
      </c>
      <c r="Z15">
        <v>553442</v>
      </c>
      <c r="AA15">
        <v>0</v>
      </c>
      <c r="AB15">
        <v>788368</v>
      </c>
      <c r="AC15">
        <v>0</v>
      </c>
      <c r="AD15">
        <v>166459</v>
      </c>
      <c r="AE15">
        <v>0</v>
      </c>
      <c r="AF15">
        <v>0</v>
      </c>
      <c r="AG15">
        <v>1750000</v>
      </c>
      <c r="AH15">
        <v>283497</v>
      </c>
      <c r="AI15">
        <v>0</v>
      </c>
      <c r="AJ15">
        <v>13923</v>
      </c>
      <c r="AK15">
        <v>35833</v>
      </c>
      <c r="AL15">
        <v>0</v>
      </c>
      <c r="AM15">
        <v>0</v>
      </c>
      <c r="AN15">
        <v>1021850</v>
      </c>
      <c r="AO15">
        <v>0</v>
      </c>
      <c r="AP15">
        <v>0</v>
      </c>
      <c r="AQ15">
        <v>0</v>
      </c>
      <c r="AR15">
        <v>0</v>
      </c>
      <c r="AS15">
        <v>70000</v>
      </c>
      <c r="AT15">
        <v>0</v>
      </c>
      <c r="AU15">
        <v>0</v>
      </c>
      <c r="AV15">
        <v>0</v>
      </c>
      <c r="AW15">
        <v>549228</v>
      </c>
      <c r="AX15">
        <v>0</v>
      </c>
      <c r="AY15">
        <v>0</v>
      </c>
      <c r="AZ15">
        <v>0</v>
      </c>
      <c r="BA15">
        <v>0</v>
      </c>
      <c r="BB15">
        <v>0</v>
      </c>
      <c r="BC15">
        <v>0</v>
      </c>
      <c r="BD15">
        <v>0</v>
      </c>
      <c r="BE15">
        <v>19625</v>
      </c>
      <c r="BF15">
        <v>0</v>
      </c>
      <c r="BG15">
        <v>0</v>
      </c>
      <c r="BH15">
        <v>0</v>
      </c>
      <c r="BI15">
        <v>0</v>
      </c>
      <c r="BJ15">
        <v>0</v>
      </c>
      <c r="BK15">
        <v>0</v>
      </c>
      <c r="BL15">
        <v>0</v>
      </c>
      <c r="BM15">
        <v>0</v>
      </c>
      <c r="BN15">
        <v>150500</v>
      </c>
      <c r="BO15">
        <v>43000</v>
      </c>
      <c r="BP15">
        <v>0</v>
      </c>
      <c r="BQ15">
        <v>4054</v>
      </c>
      <c r="BR15">
        <v>4569165</v>
      </c>
      <c r="BS15">
        <v>0</v>
      </c>
      <c r="BT15">
        <v>50000</v>
      </c>
      <c r="BU15">
        <v>0</v>
      </c>
      <c r="BV15">
        <v>2067698</v>
      </c>
      <c r="BW15">
        <v>26532</v>
      </c>
      <c r="BX15">
        <v>39227</v>
      </c>
      <c r="BY15">
        <v>172250</v>
      </c>
      <c r="BZ15">
        <v>0</v>
      </c>
      <c r="CA15" s="708">
        <v>83469</v>
      </c>
      <c r="CB15">
        <v>0</v>
      </c>
      <c r="CC15">
        <v>0</v>
      </c>
      <c r="CD15">
        <v>0</v>
      </c>
      <c r="CE15">
        <v>0</v>
      </c>
    </row>
    <row r="16" spans="1:83" x14ac:dyDescent="0.25">
      <c r="B16">
        <v>21</v>
      </c>
      <c r="C16" t="s">
        <v>626</v>
      </c>
      <c r="D16" t="s">
        <v>315</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row>
    <row r="17" spans="1:83" x14ac:dyDescent="0.25">
      <c r="A17">
        <v>22</v>
      </c>
      <c r="B17">
        <v>22</v>
      </c>
      <c r="C17" t="s">
        <v>215</v>
      </c>
      <c r="D17" t="s">
        <v>316</v>
      </c>
      <c r="E17">
        <v>0</v>
      </c>
      <c r="F17">
        <v>0</v>
      </c>
      <c r="G17">
        <v>4000</v>
      </c>
      <c r="H17">
        <v>0</v>
      </c>
      <c r="I17">
        <v>0</v>
      </c>
      <c r="J17">
        <v>0</v>
      </c>
      <c r="K17">
        <v>0</v>
      </c>
      <c r="L17">
        <v>0</v>
      </c>
      <c r="M17">
        <v>0</v>
      </c>
      <c r="N17">
        <v>0</v>
      </c>
      <c r="O17">
        <v>0</v>
      </c>
      <c r="P17">
        <v>0</v>
      </c>
      <c r="Q17">
        <v>0</v>
      </c>
      <c r="R17">
        <v>0</v>
      </c>
      <c r="S17">
        <v>0</v>
      </c>
      <c r="T17">
        <v>0</v>
      </c>
      <c r="U17">
        <v>181480</v>
      </c>
      <c r="V17">
        <v>6015</v>
      </c>
      <c r="W17">
        <v>0</v>
      </c>
      <c r="X17">
        <v>0</v>
      </c>
      <c r="Y17">
        <v>0</v>
      </c>
      <c r="Z17">
        <v>48097</v>
      </c>
      <c r="AA17">
        <v>0</v>
      </c>
      <c r="AB17">
        <v>608741</v>
      </c>
      <c r="AC17">
        <v>928643</v>
      </c>
      <c r="AD17">
        <v>5897</v>
      </c>
      <c r="AE17">
        <v>0</v>
      </c>
      <c r="AF17">
        <v>11001</v>
      </c>
      <c r="AG17">
        <v>20345</v>
      </c>
      <c r="AH17">
        <v>86074</v>
      </c>
      <c r="AI17">
        <v>0</v>
      </c>
      <c r="AJ17">
        <v>31970</v>
      </c>
      <c r="AK17">
        <v>0</v>
      </c>
      <c r="AL17">
        <v>0</v>
      </c>
      <c r="AM17">
        <v>0</v>
      </c>
      <c r="AN17">
        <v>0</v>
      </c>
      <c r="AO17">
        <v>0</v>
      </c>
      <c r="AP17">
        <v>0</v>
      </c>
      <c r="AQ17">
        <v>0</v>
      </c>
      <c r="AR17">
        <v>5000</v>
      </c>
      <c r="AS17">
        <v>-94214</v>
      </c>
      <c r="AT17">
        <v>0</v>
      </c>
      <c r="AU17">
        <v>11905</v>
      </c>
      <c r="AV17">
        <v>0</v>
      </c>
      <c r="AW17">
        <v>3117</v>
      </c>
      <c r="AX17">
        <v>0</v>
      </c>
      <c r="AY17">
        <v>0</v>
      </c>
      <c r="AZ17">
        <v>0</v>
      </c>
      <c r="BA17">
        <v>37500</v>
      </c>
      <c r="BB17">
        <v>44755</v>
      </c>
      <c r="BC17">
        <v>0</v>
      </c>
      <c r="BD17">
        <v>0</v>
      </c>
      <c r="BE17">
        <v>12975</v>
      </c>
      <c r="BF17">
        <v>0</v>
      </c>
      <c r="BG17">
        <v>0</v>
      </c>
      <c r="BH17">
        <v>0</v>
      </c>
      <c r="BI17">
        <v>0</v>
      </c>
      <c r="BJ17">
        <v>8711</v>
      </c>
      <c r="BK17">
        <v>0</v>
      </c>
      <c r="BL17">
        <v>0</v>
      </c>
      <c r="BM17">
        <v>0</v>
      </c>
      <c r="BN17">
        <v>3694</v>
      </c>
      <c r="BO17">
        <v>0</v>
      </c>
      <c r="BP17">
        <v>0</v>
      </c>
      <c r="BQ17">
        <v>5675</v>
      </c>
      <c r="BR17">
        <v>50481</v>
      </c>
      <c r="BS17">
        <v>0</v>
      </c>
      <c r="BT17">
        <v>0</v>
      </c>
      <c r="BU17">
        <v>0</v>
      </c>
      <c r="BV17">
        <v>0</v>
      </c>
      <c r="BW17">
        <v>0</v>
      </c>
      <c r="BX17">
        <v>0</v>
      </c>
      <c r="BY17">
        <v>0</v>
      </c>
      <c r="BZ17">
        <v>0</v>
      </c>
      <c r="CA17" s="708">
        <v>405838</v>
      </c>
      <c r="CB17">
        <v>0</v>
      </c>
      <c r="CC17">
        <v>0</v>
      </c>
      <c r="CD17">
        <v>0</v>
      </c>
      <c r="CE17">
        <v>0</v>
      </c>
    </row>
    <row r="18" spans="1:83" x14ac:dyDescent="0.25">
      <c r="A18">
        <v>23</v>
      </c>
      <c r="B18">
        <v>23</v>
      </c>
      <c r="C18" t="s">
        <v>218</v>
      </c>
      <c r="D18" t="s">
        <v>317</v>
      </c>
      <c r="E18">
        <v>0</v>
      </c>
      <c r="F18">
        <v>20465</v>
      </c>
      <c r="G18">
        <v>79186</v>
      </c>
      <c r="H18">
        <v>141435</v>
      </c>
      <c r="I18">
        <v>731772</v>
      </c>
      <c r="J18">
        <v>576381</v>
      </c>
      <c r="K18">
        <v>-98501</v>
      </c>
      <c r="L18">
        <v>76537</v>
      </c>
      <c r="M18">
        <v>90311</v>
      </c>
      <c r="N18">
        <v>-528407</v>
      </c>
      <c r="O18">
        <v>72398</v>
      </c>
      <c r="P18">
        <v>-1060940</v>
      </c>
      <c r="Q18">
        <v>28389</v>
      </c>
      <c r="R18">
        <v>4884207</v>
      </c>
      <c r="S18">
        <v>-10545</v>
      </c>
      <c r="T18">
        <v>273</v>
      </c>
      <c r="U18">
        <v>7677629</v>
      </c>
      <c r="V18">
        <v>-441941</v>
      </c>
      <c r="W18">
        <v>1440465</v>
      </c>
      <c r="X18">
        <v>4540503</v>
      </c>
      <c r="Y18">
        <v>43373</v>
      </c>
      <c r="Z18">
        <v>143328</v>
      </c>
      <c r="AA18">
        <v>-22361</v>
      </c>
      <c r="AB18">
        <v>1360760</v>
      </c>
      <c r="AC18">
        <v>122188</v>
      </c>
      <c r="AD18">
        <v>185371</v>
      </c>
      <c r="AE18" s="708">
        <v>324404</v>
      </c>
      <c r="AF18">
        <v>327692</v>
      </c>
      <c r="AG18">
        <v>11237772</v>
      </c>
      <c r="AH18">
        <v>582151</v>
      </c>
      <c r="AI18">
        <v>-268836</v>
      </c>
      <c r="AJ18">
        <v>3558686</v>
      </c>
      <c r="AK18">
        <v>301183</v>
      </c>
      <c r="AL18">
        <v>64930</v>
      </c>
      <c r="AM18">
        <v>0</v>
      </c>
      <c r="AN18">
        <v>-248952</v>
      </c>
      <c r="AO18">
        <v>0</v>
      </c>
      <c r="AP18">
        <v>0</v>
      </c>
      <c r="AQ18">
        <v>10585</v>
      </c>
      <c r="AR18">
        <v>1506810</v>
      </c>
      <c r="AS18">
        <v>999401</v>
      </c>
      <c r="AT18">
        <v>60606</v>
      </c>
      <c r="AU18">
        <v>-22942</v>
      </c>
      <c r="AV18">
        <v>0</v>
      </c>
      <c r="AW18">
        <v>-878657</v>
      </c>
      <c r="AX18">
        <v>-629</v>
      </c>
      <c r="AY18">
        <v>-43193</v>
      </c>
      <c r="AZ18">
        <v>3751904</v>
      </c>
      <c r="BA18">
        <v>40175</v>
      </c>
      <c r="BB18">
        <v>-172018</v>
      </c>
      <c r="BC18">
        <v>13437</v>
      </c>
      <c r="BD18">
        <v>0</v>
      </c>
      <c r="BE18">
        <v>868954</v>
      </c>
      <c r="BF18">
        <v>36391</v>
      </c>
      <c r="BG18">
        <v>-100819</v>
      </c>
      <c r="BH18">
        <v>23659</v>
      </c>
      <c r="BI18">
        <v>29341</v>
      </c>
      <c r="BJ18">
        <v>7725</v>
      </c>
      <c r="BK18">
        <v>-7968</v>
      </c>
      <c r="BL18">
        <v>373830</v>
      </c>
      <c r="BM18">
        <v>0</v>
      </c>
      <c r="BN18">
        <v>-117247</v>
      </c>
      <c r="BO18">
        <v>442452</v>
      </c>
      <c r="BP18">
        <v>-27301</v>
      </c>
      <c r="BQ18">
        <v>-158145</v>
      </c>
      <c r="BR18">
        <v>-2769865</v>
      </c>
      <c r="BS18">
        <v>-193643</v>
      </c>
      <c r="BT18">
        <v>1469258</v>
      </c>
      <c r="BU18">
        <v>27717</v>
      </c>
      <c r="BV18">
        <v>-1338786</v>
      </c>
      <c r="BW18">
        <v>-65372</v>
      </c>
      <c r="BX18">
        <v>743</v>
      </c>
      <c r="BY18">
        <v>122218</v>
      </c>
      <c r="BZ18">
        <v>47906</v>
      </c>
      <c r="CA18" s="708">
        <v>317063</v>
      </c>
      <c r="CB18">
        <v>58130</v>
      </c>
      <c r="CC18">
        <v>0</v>
      </c>
      <c r="CD18">
        <v>0</v>
      </c>
      <c r="CE18">
        <v>-2414</v>
      </c>
    </row>
    <row r="19" spans="1:83" x14ac:dyDescent="0.25">
      <c r="B19">
        <v>31</v>
      </c>
      <c r="C19" t="s">
        <v>627</v>
      </c>
      <c r="D19" t="s">
        <v>318</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row>
    <row r="20" spans="1:83" x14ac:dyDescent="0.25">
      <c r="B20">
        <v>32</v>
      </c>
      <c r="C20" t="s">
        <v>319</v>
      </c>
      <c r="D20" t="s">
        <v>320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row>
    <row r="21" spans="1:83" x14ac:dyDescent="0.25">
      <c r="B21">
        <v>33</v>
      </c>
      <c r="C21" t="s">
        <v>321</v>
      </c>
      <c r="D21" t="s">
        <v>322</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row>
    <row r="22" spans="1:83" x14ac:dyDescent="0.25">
      <c r="B22">
        <v>34</v>
      </c>
      <c r="C22" t="s">
        <v>323</v>
      </c>
      <c r="D22" t="s">
        <v>324</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row>
    <row r="23" spans="1:83" x14ac:dyDescent="0.25">
      <c r="B23">
        <v>35</v>
      </c>
      <c r="C23" t="s">
        <v>628</v>
      </c>
      <c r="D23" t="s">
        <v>325</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row>
    <row r="24" spans="1:83" x14ac:dyDescent="0.25">
      <c r="B24">
        <v>36</v>
      </c>
      <c r="C24" t="s">
        <v>629</v>
      </c>
      <c r="D24" t="s">
        <v>326</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row>
    <row r="25" spans="1:83" x14ac:dyDescent="0.25">
      <c r="B25">
        <v>37</v>
      </c>
      <c r="C25" t="s">
        <v>327</v>
      </c>
      <c r="D25" t="s">
        <v>328</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row>
    <row r="26" spans="1:83" x14ac:dyDescent="0.25">
      <c r="B26">
        <v>38</v>
      </c>
      <c r="C26" t="s">
        <v>630</v>
      </c>
      <c r="D26" t="s">
        <v>329</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row>
    <row r="27" spans="1:83" x14ac:dyDescent="0.25">
      <c r="B27">
        <v>39</v>
      </c>
      <c r="C27" t="s">
        <v>330</v>
      </c>
      <c r="D27" t="s">
        <v>331</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row>
    <row r="28" spans="1:83" x14ac:dyDescent="0.25">
      <c r="B28">
        <v>40</v>
      </c>
      <c r="C28" t="s">
        <v>332</v>
      </c>
      <c r="D28" t="s">
        <v>333</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row>
    <row r="29" spans="1:83" x14ac:dyDescent="0.25">
      <c r="B29">
        <v>41</v>
      </c>
      <c r="C29" t="s">
        <v>334</v>
      </c>
      <c r="D29" t="s">
        <v>335</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row>
    <row r="30" spans="1:83" x14ac:dyDescent="0.25">
      <c r="B30">
        <v>43</v>
      </c>
      <c r="C30" t="s">
        <v>336</v>
      </c>
      <c r="D30" t="s">
        <v>337</v>
      </c>
    </row>
    <row r="31" spans="1:83" x14ac:dyDescent="0.25">
      <c r="A31">
        <v>44</v>
      </c>
      <c r="B31">
        <v>44</v>
      </c>
      <c r="C31" t="s">
        <v>631</v>
      </c>
      <c r="D31" t="s">
        <v>338</v>
      </c>
      <c r="E31">
        <v>0</v>
      </c>
      <c r="F31">
        <v>0</v>
      </c>
      <c r="G31">
        <v>637632</v>
      </c>
      <c r="H31">
        <v>0</v>
      </c>
      <c r="I31">
        <v>0</v>
      </c>
      <c r="J31">
        <v>0</v>
      </c>
      <c r="K31">
        <v>54999</v>
      </c>
      <c r="L31">
        <v>0</v>
      </c>
      <c r="M31">
        <v>0</v>
      </c>
      <c r="N31">
        <v>0</v>
      </c>
      <c r="O31">
        <v>0</v>
      </c>
      <c r="P31">
        <v>1141809</v>
      </c>
      <c r="Q31">
        <v>0</v>
      </c>
      <c r="R31">
        <v>42230574</v>
      </c>
      <c r="S31">
        <v>888219</v>
      </c>
      <c r="T31">
        <v>0</v>
      </c>
      <c r="U31">
        <v>41279804</v>
      </c>
      <c r="V31">
        <v>13910285</v>
      </c>
      <c r="W31">
        <v>15991183</v>
      </c>
      <c r="X31">
        <v>0</v>
      </c>
      <c r="Y31">
        <v>361090</v>
      </c>
      <c r="Z31">
        <v>6082821</v>
      </c>
      <c r="AA31">
        <v>1421516</v>
      </c>
      <c r="AB31">
        <v>13315961</v>
      </c>
      <c r="AC31">
        <v>509752</v>
      </c>
      <c r="AD31">
        <v>866783</v>
      </c>
      <c r="AE31" s="708">
        <v>867464</v>
      </c>
      <c r="AF31">
        <v>2465500</v>
      </c>
      <c r="AG31">
        <v>3679001</v>
      </c>
      <c r="AH31">
        <v>2297888</v>
      </c>
      <c r="AI31">
        <v>200140</v>
      </c>
      <c r="AJ31">
        <v>16907809</v>
      </c>
      <c r="AK31">
        <v>804662</v>
      </c>
      <c r="AL31">
        <v>413112</v>
      </c>
      <c r="AM31">
        <v>0</v>
      </c>
      <c r="AN31">
        <v>3779364</v>
      </c>
      <c r="AO31">
        <v>0</v>
      </c>
      <c r="AP31">
        <v>0</v>
      </c>
      <c r="AQ31">
        <v>0</v>
      </c>
      <c r="AR31">
        <v>0</v>
      </c>
      <c r="AS31">
        <v>4091372</v>
      </c>
      <c r="AT31">
        <v>221820</v>
      </c>
      <c r="AU31">
        <v>950657</v>
      </c>
      <c r="AV31">
        <v>0</v>
      </c>
      <c r="AW31">
        <v>32520188</v>
      </c>
      <c r="AX31">
        <v>0</v>
      </c>
      <c r="AY31">
        <v>2114830</v>
      </c>
      <c r="AZ31">
        <v>6139443</v>
      </c>
      <c r="BA31">
        <v>984489</v>
      </c>
      <c r="BB31">
        <v>171889</v>
      </c>
      <c r="BC31">
        <v>0</v>
      </c>
      <c r="BD31">
        <v>0</v>
      </c>
      <c r="BE31">
        <v>9053796</v>
      </c>
      <c r="BF31">
        <v>0</v>
      </c>
      <c r="BG31">
        <v>218657</v>
      </c>
      <c r="BH31">
        <v>124403</v>
      </c>
      <c r="BI31">
        <v>0</v>
      </c>
      <c r="BJ31">
        <v>227536</v>
      </c>
      <c r="BK31">
        <v>0</v>
      </c>
      <c r="BL31">
        <v>2814895</v>
      </c>
      <c r="BM31">
        <v>0</v>
      </c>
      <c r="BN31">
        <v>387621</v>
      </c>
      <c r="BO31">
        <v>1030801</v>
      </c>
      <c r="BP31">
        <v>579798</v>
      </c>
      <c r="BQ31">
        <v>903072</v>
      </c>
      <c r="BR31">
        <v>0</v>
      </c>
      <c r="BS31">
        <v>257030</v>
      </c>
      <c r="BT31">
        <v>0</v>
      </c>
      <c r="BU31">
        <v>677548</v>
      </c>
      <c r="BV31">
        <v>3837122</v>
      </c>
      <c r="BW31">
        <v>0</v>
      </c>
      <c r="BX31">
        <v>1695729</v>
      </c>
      <c r="BY31">
        <v>1122567</v>
      </c>
      <c r="BZ31">
        <v>16333</v>
      </c>
      <c r="CA31" s="708">
        <v>296176</v>
      </c>
      <c r="CB31">
        <v>14120</v>
      </c>
      <c r="CC31">
        <v>0</v>
      </c>
      <c r="CD31">
        <v>0</v>
      </c>
      <c r="CE31">
        <v>7036</v>
      </c>
    </row>
    <row r="32" spans="1:83" x14ac:dyDescent="0.25">
      <c r="A32">
        <v>45</v>
      </c>
      <c r="B32">
        <v>45</v>
      </c>
      <c r="C32" t="s">
        <v>632</v>
      </c>
      <c r="D32" t="s">
        <v>339</v>
      </c>
      <c r="E32">
        <v>0</v>
      </c>
      <c r="F32">
        <v>0</v>
      </c>
      <c r="G32">
        <v>75334</v>
      </c>
      <c r="H32">
        <v>0</v>
      </c>
      <c r="I32">
        <v>0</v>
      </c>
      <c r="J32">
        <v>0</v>
      </c>
      <c r="K32">
        <v>12857</v>
      </c>
      <c r="L32">
        <v>0</v>
      </c>
      <c r="M32">
        <v>0</v>
      </c>
      <c r="N32">
        <v>0</v>
      </c>
      <c r="O32">
        <v>0</v>
      </c>
      <c r="P32">
        <v>148177</v>
      </c>
      <c r="Q32">
        <v>0</v>
      </c>
      <c r="R32">
        <v>2526804</v>
      </c>
      <c r="S32">
        <v>72550</v>
      </c>
      <c r="T32">
        <v>0</v>
      </c>
      <c r="U32">
        <v>7816503</v>
      </c>
      <c r="V32">
        <v>2277992</v>
      </c>
      <c r="W32">
        <v>3075013</v>
      </c>
      <c r="X32">
        <v>0</v>
      </c>
      <c r="Y32">
        <v>26498</v>
      </c>
      <c r="Z32">
        <v>1669567</v>
      </c>
      <c r="AA32">
        <v>86013</v>
      </c>
      <c r="AB32">
        <v>383333</v>
      </c>
      <c r="AC32">
        <v>802505</v>
      </c>
      <c r="AD32">
        <v>155390</v>
      </c>
      <c r="AE32" s="708">
        <v>461876</v>
      </c>
      <c r="AF32">
        <v>451515</v>
      </c>
      <c r="AG32">
        <v>177415</v>
      </c>
      <c r="AH32">
        <v>47060</v>
      </c>
      <c r="AI32">
        <v>245294</v>
      </c>
      <c r="AJ32">
        <v>4931715</v>
      </c>
      <c r="AK32">
        <v>13055</v>
      </c>
      <c r="AL32">
        <v>16300</v>
      </c>
      <c r="AM32">
        <v>0</v>
      </c>
      <c r="AN32">
        <v>1523398</v>
      </c>
      <c r="AO32">
        <v>0</v>
      </c>
      <c r="AP32">
        <v>0</v>
      </c>
      <c r="AQ32">
        <v>0</v>
      </c>
      <c r="AR32">
        <v>0</v>
      </c>
      <c r="AS32">
        <v>947528</v>
      </c>
      <c r="AT32">
        <v>173061</v>
      </c>
      <c r="AU32">
        <v>356768</v>
      </c>
      <c r="AV32">
        <v>0</v>
      </c>
      <c r="AW32">
        <v>4418090</v>
      </c>
      <c r="AX32">
        <v>0</v>
      </c>
      <c r="AY32">
        <v>156068</v>
      </c>
      <c r="AZ32">
        <v>122929</v>
      </c>
      <c r="BA32">
        <v>80223</v>
      </c>
      <c r="BB32">
        <v>10027</v>
      </c>
      <c r="BC32">
        <v>0</v>
      </c>
      <c r="BD32">
        <v>0</v>
      </c>
      <c r="BE32">
        <v>2333551</v>
      </c>
      <c r="BF32">
        <v>0</v>
      </c>
      <c r="BG32">
        <v>125040</v>
      </c>
      <c r="BH32">
        <v>12212</v>
      </c>
      <c r="BI32">
        <v>0</v>
      </c>
      <c r="BJ32">
        <v>9632</v>
      </c>
      <c r="BK32">
        <v>0</v>
      </c>
      <c r="BL32">
        <v>327292</v>
      </c>
      <c r="BM32">
        <v>0</v>
      </c>
      <c r="BN32">
        <v>649730</v>
      </c>
      <c r="BO32">
        <v>109647</v>
      </c>
      <c r="BP32">
        <v>58495</v>
      </c>
      <c r="BQ32">
        <v>10822</v>
      </c>
      <c r="BR32">
        <v>0</v>
      </c>
      <c r="BS32">
        <v>3969</v>
      </c>
      <c r="BT32">
        <v>0</v>
      </c>
      <c r="BU32">
        <v>53292</v>
      </c>
      <c r="BV32">
        <v>316466</v>
      </c>
      <c r="BW32">
        <v>0</v>
      </c>
      <c r="BX32">
        <v>1201899</v>
      </c>
      <c r="BY32">
        <v>37651</v>
      </c>
      <c r="BZ32">
        <v>9017</v>
      </c>
      <c r="CA32" s="708">
        <v>169154</v>
      </c>
      <c r="CB32">
        <v>7775</v>
      </c>
      <c r="CC32">
        <v>0</v>
      </c>
      <c r="CD32">
        <v>0</v>
      </c>
      <c r="CE32">
        <v>237</v>
      </c>
    </row>
    <row r="33" spans="1:83" x14ac:dyDescent="0.25">
      <c r="B33">
        <v>46</v>
      </c>
      <c r="C33" t="s">
        <v>633</v>
      </c>
      <c r="D33" t="s">
        <v>340</v>
      </c>
    </row>
    <row r="34" spans="1:83" x14ac:dyDescent="0.25">
      <c r="A34">
        <v>47</v>
      </c>
      <c r="B34">
        <v>47</v>
      </c>
      <c r="C34" t="s">
        <v>634</v>
      </c>
      <c r="D34" t="s">
        <v>341</v>
      </c>
      <c r="E34">
        <v>0</v>
      </c>
      <c r="F34">
        <v>0</v>
      </c>
      <c r="G34">
        <v>0</v>
      </c>
      <c r="H34">
        <v>0</v>
      </c>
      <c r="I34">
        <v>0</v>
      </c>
      <c r="J34">
        <v>0</v>
      </c>
      <c r="K34">
        <v>0</v>
      </c>
      <c r="L34">
        <v>0</v>
      </c>
      <c r="M34">
        <v>0</v>
      </c>
      <c r="N34">
        <v>0</v>
      </c>
      <c r="O34">
        <v>0</v>
      </c>
      <c r="P34">
        <v>0</v>
      </c>
      <c r="Q34">
        <v>0</v>
      </c>
      <c r="R34">
        <v>64133640</v>
      </c>
      <c r="S34">
        <v>0</v>
      </c>
      <c r="T34">
        <v>0</v>
      </c>
      <c r="U34">
        <v>0</v>
      </c>
      <c r="V34">
        <v>0</v>
      </c>
      <c r="W34">
        <v>13628652</v>
      </c>
      <c r="X34">
        <v>0</v>
      </c>
      <c r="Y34">
        <v>0</v>
      </c>
      <c r="Z34">
        <v>0</v>
      </c>
      <c r="AA34">
        <v>0</v>
      </c>
      <c r="AB34">
        <v>0</v>
      </c>
      <c r="AC34">
        <v>0</v>
      </c>
      <c r="AD34">
        <v>0</v>
      </c>
      <c r="AE34">
        <v>0</v>
      </c>
      <c r="AF34">
        <v>0</v>
      </c>
      <c r="AG34">
        <v>0</v>
      </c>
      <c r="AH34">
        <v>0</v>
      </c>
      <c r="AI34">
        <v>0</v>
      </c>
      <c r="AJ34">
        <v>27769217</v>
      </c>
      <c r="AK34">
        <v>0</v>
      </c>
      <c r="AL34">
        <v>0</v>
      </c>
      <c r="AM34">
        <v>0</v>
      </c>
      <c r="AN34">
        <v>8415418</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858529</v>
      </c>
      <c r="BT34">
        <v>4260402</v>
      </c>
      <c r="BU34">
        <v>0</v>
      </c>
      <c r="BV34">
        <v>0</v>
      </c>
      <c r="BW34">
        <v>0</v>
      </c>
      <c r="BX34">
        <v>0</v>
      </c>
      <c r="BY34">
        <v>0</v>
      </c>
      <c r="BZ34">
        <v>0</v>
      </c>
      <c r="CA34">
        <v>0</v>
      </c>
      <c r="CB34">
        <v>0</v>
      </c>
      <c r="CC34">
        <v>0</v>
      </c>
      <c r="CD34">
        <v>0</v>
      </c>
      <c r="CE34">
        <v>0</v>
      </c>
    </row>
    <row r="35" spans="1:83" x14ac:dyDescent="0.25">
      <c r="A35">
        <v>48</v>
      </c>
      <c r="B35">
        <v>48</v>
      </c>
      <c r="C35" t="s">
        <v>125</v>
      </c>
      <c r="D35" t="s">
        <v>342</v>
      </c>
      <c r="E35">
        <v>0</v>
      </c>
      <c r="F35">
        <v>0</v>
      </c>
      <c r="G35">
        <v>0</v>
      </c>
      <c r="H35">
        <v>0</v>
      </c>
      <c r="I35">
        <v>0</v>
      </c>
      <c r="J35">
        <v>0</v>
      </c>
      <c r="K35">
        <v>0</v>
      </c>
      <c r="L35">
        <v>0</v>
      </c>
      <c r="M35">
        <v>0</v>
      </c>
      <c r="N35">
        <v>0</v>
      </c>
      <c r="O35">
        <v>0</v>
      </c>
      <c r="P35">
        <v>0</v>
      </c>
      <c r="Q35">
        <v>0</v>
      </c>
      <c r="R35">
        <v>5887523</v>
      </c>
      <c r="S35">
        <v>0</v>
      </c>
      <c r="T35">
        <v>0</v>
      </c>
      <c r="U35">
        <v>0</v>
      </c>
      <c r="V35">
        <v>0</v>
      </c>
      <c r="W35">
        <v>2688448</v>
      </c>
      <c r="X35">
        <v>0</v>
      </c>
      <c r="Y35">
        <v>0</v>
      </c>
      <c r="Z35">
        <v>0</v>
      </c>
      <c r="AA35">
        <v>0</v>
      </c>
      <c r="AB35">
        <v>0</v>
      </c>
      <c r="AC35">
        <v>0</v>
      </c>
      <c r="AD35">
        <v>0</v>
      </c>
      <c r="AE35">
        <v>0</v>
      </c>
      <c r="AF35">
        <v>0</v>
      </c>
      <c r="AG35">
        <v>0</v>
      </c>
      <c r="AH35">
        <v>0</v>
      </c>
      <c r="AI35">
        <v>0</v>
      </c>
      <c r="AJ35">
        <v>5460352</v>
      </c>
      <c r="AK35">
        <v>0</v>
      </c>
      <c r="AL35">
        <v>0</v>
      </c>
      <c r="AM35">
        <v>0</v>
      </c>
      <c r="AN35">
        <v>1880285</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42111</v>
      </c>
      <c r="BT35">
        <v>989845</v>
      </c>
      <c r="BU35">
        <v>0</v>
      </c>
      <c r="BV35">
        <v>0</v>
      </c>
      <c r="BW35">
        <v>0</v>
      </c>
      <c r="BX35">
        <v>0</v>
      </c>
      <c r="BY35">
        <v>0</v>
      </c>
      <c r="BZ35">
        <v>0</v>
      </c>
      <c r="CA35">
        <v>0</v>
      </c>
      <c r="CB35">
        <v>0</v>
      </c>
      <c r="CC35">
        <v>0</v>
      </c>
      <c r="CD35">
        <v>0</v>
      </c>
      <c r="CE35">
        <v>0</v>
      </c>
    </row>
    <row r="36" spans="1:83" x14ac:dyDescent="0.25">
      <c r="A36">
        <v>49</v>
      </c>
      <c r="B36">
        <v>49</v>
      </c>
      <c r="C36" t="s">
        <v>231</v>
      </c>
      <c r="D36" t="s">
        <v>343</v>
      </c>
      <c r="E36">
        <v>0</v>
      </c>
      <c r="F36">
        <v>0</v>
      </c>
      <c r="G36">
        <v>173350</v>
      </c>
      <c r="H36">
        <v>0</v>
      </c>
      <c r="I36">
        <v>0</v>
      </c>
      <c r="J36">
        <v>0</v>
      </c>
      <c r="K36">
        <v>65344</v>
      </c>
      <c r="L36">
        <v>0</v>
      </c>
      <c r="M36">
        <v>0</v>
      </c>
      <c r="N36">
        <v>0</v>
      </c>
      <c r="O36">
        <v>0</v>
      </c>
      <c r="P36">
        <v>751203</v>
      </c>
      <c r="Q36">
        <v>0</v>
      </c>
      <c r="R36">
        <v>3105088</v>
      </c>
      <c r="S36">
        <v>77356</v>
      </c>
      <c r="T36">
        <v>0</v>
      </c>
      <c r="U36">
        <v>4708534</v>
      </c>
      <c r="V36">
        <v>1661430</v>
      </c>
      <c r="W36">
        <v>2580860</v>
      </c>
      <c r="X36">
        <v>0</v>
      </c>
      <c r="Y36">
        <v>89591</v>
      </c>
      <c r="Z36">
        <v>1872211</v>
      </c>
      <c r="AA36">
        <v>412764</v>
      </c>
      <c r="AB36">
        <v>1130136</v>
      </c>
      <c r="AC36">
        <v>583237</v>
      </c>
      <c r="AD36">
        <v>127742</v>
      </c>
      <c r="AE36" s="708">
        <v>221972</v>
      </c>
      <c r="AF36">
        <v>702826</v>
      </c>
      <c r="AG36">
        <v>353073</v>
      </c>
      <c r="AH36">
        <v>311407</v>
      </c>
      <c r="AI36">
        <v>146339</v>
      </c>
      <c r="AJ36">
        <v>3785637</v>
      </c>
      <c r="AK36">
        <v>67226</v>
      </c>
      <c r="AL36">
        <v>224848</v>
      </c>
      <c r="AM36">
        <v>0</v>
      </c>
      <c r="AN36">
        <v>1991362</v>
      </c>
      <c r="AO36">
        <v>0</v>
      </c>
      <c r="AP36">
        <v>0</v>
      </c>
      <c r="AQ36">
        <v>0</v>
      </c>
      <c r="AR36">
        <v>0</v>
      </c>
      <c r="AS36">
        <v>791856</v>
      </c>
      <c r="AT36">
        <v>175158</v>
      </c>
      <c r="AU36">
        <v>377061</v>
      </c>
      <c r="AV36">
        <v>0</v>
      </c>
      <c r="AW36">
        <v>4778796</v>
      </c>
      <c r="AX36">
        <v>0</v>
      </c>
      <c r="AY36">
        <v>259605</v>
      </c>
      <c r="AZ36">
        <v>122256</v>
      </c>
      <c r="BA36">
        <v>205460</v>
      </c>
      <c r="BB36">
        <v>45679</v>
      </c>
      <c r="BC36">
        <v>0</v>
      </c>
      <c r="BD36">
        <v>0</v>
      </c>
      <c r="BE36">
        <v>1123184</v>
      </c>
      <c r="BF36">
        <v>0</v>
      </c>
      <c r="BG36">
        <v>66384</v>
      </c>
      <c r="BH36">
        <v>74120</v>
      </c>
      <c r="BI36">
        <v>0</v>
      </c>
      <c r="BJ36">
        <v>92496</v>
      </c>
      <c r="BK36">
        <v>0</v>
      </c>
      <c r="BL36">
        <v>483379</v>
      </c>
      <c r="BM36">
        <v>0</v>
      </c>
      <c r="BN36">
        <v>384041</v>
      </c>
      <c r="BO36">
        <v>163828</v>
      </c>
      <c r="BP36">
        <v>100402</v>
      </c>
      <c r="BQ36">
        <v>43680</v>
      </c>
      <c r="BR36">
        <v>0</v>
      </c>
      <c r="BS36">
        <v>200445</v>
      </c>
      <c r="BT36">
        <v>0</v>
      </c>
      <c r="BU36">
        <v>265097</v>
      </c>
      <c r="BV36">
        <v>605431</v>
      </c>
      <c r="BW36">
        <v>0</v>
      </c>
      <c r="BX36">
        <v>387563</v>
      </c>
      <c r="BY36">
        <v>67550</v>
      </c>
      <c r="BZ36">
        <v>18215</v>
      </c>
      <c r="CA36" s="708">
        <v>168792</v>
      </c>
      <c r="CB36">
        <v>112109</v>
      </c>
      <c r="CC36">
        <v>0</v>
      </c>
      <c r="CD36">
        <v>0</v>
      </c>
      <c r="CE36">
        <v>30020</v>
      </c>
    </row>
    <row r="37" spans="1:83" x14ac:dyDescent="0.25">
      <c r="A37">
        <v>50</v>
      </c>
      <c r="B37">
        <v>50</v>
      </c>
      <c r="C37" t="s">
        <v>102</v>
      </c>
      <c r="D37" t="s">
        <v>344</v>
      </c>
      <c r="E37">
        <v>0</v>
      </c>
      <c r="F37">
        <v>0</v>
      </c>
      <c r="G37">
        <v>-24308</v>
      </c>
      <c r="H37">
        <v>0</v>
      </c>
      <c r="I37">
        <v>0</v>
      </c>
      <c r="J37">
        <v>0</v>
      </c>
      <c r="K37">
        <v>52976</v>
      </c>
      <c r="L37">
        <v>0</v>
      </c>
      <c r="M37">
        <v>0</v>
      </c>
      <c r="N37">
        <v>0</v>
      </c>
      <c r="O37">
        <v>0</v>
      </c>
      <c r="P37">
        <v>146241</v>
      </c>
      <c r="Q37">
        <v>0</v>
      </c>
      <c r="R37">
        <v>11474081</v>
      </c>
      <c r="S37">
        <v>33908</v>
      </c>
      <c r="T37">
        <v>0</v>
      </c>
      <c r="U37">
        <v>9777472</v>
      </c>
      <c r="V37">
        <v>903937</v>
      </c>
      <c r="W37">
        <v>2567846</v>
      </c>
      <c r="X37">
        <v>0</v>
      </c>
      <c r="Y37">
        <v>33475</v>
      </c>
      <c r="Z37">
        <v>286408</v>
      </c>
      <c r="AA37">
        <v>-225043</v>
      </c>
      <c r="AB37">
        <v>1536754</v>
      </c>
      <c r="AC37">
        <v>166335</v>
      </c>
      <c r="AD37">
        <v>202393</v>
      </c>
      <c r="AE37" s="708">
        <v>16386</v>
      </c>
      <c r="AF37">
        <v>735608</v>
      </c>
      <c r="AG37">
        <v>-152308</v>
      </c>
      <c r="AH37">
        <v>-88047</v>
      </c>
      <c r="AI37">
        <v>142171</v>
      </c>
      <c r="AJ37">
        <v>5545116</v>
      </c>
      <c r="AK37">
        <v>-33718</v>
      </c>
      <c r="AL37">
        <v>-166544</v>
      </c>
      <c r="AM37">
        <v>0</v>
      </c>
      <c r="AN37">
        <v>305287</v>
      </c>
      <c r="AO37">
        <v>0</v>
      </c>
      <c r="AP37">
        <v>0</v>
      </c>
      <c r="AQ37">
        <v>0</v>
      </c>
      <c r="AR37">
        <v>0</v>
      </c>
      <c r="AS37">
        <v>-956233</v>
      </c>
      <c r="AT37">
        <v>-110316</v>
      </c>
      <c r="AU37">
        <v>-119062</v>
      </c>
      <c r="AV37">
        <v>0</v>
      </c>
      <c r="AW37">
        <v>5306516</v>
      </c>
      <c r="AX37">
        <v>0</v>
      </c>
      <c r="AY37">
        <v>39773</v>
      </c>
      <c r="AZ37">
        <v>466353</v>
      </c>
      <c r="BA37">
        <v>-74804</v>
      </c>
      <c r="BB37">
        <v>-60398</v>
      </c>
      <c r="BC37">
        <v>0</v>
      </c>
      <c r="BD37">
        <v>0</v>
      </c>
      <c r="BE37">
        <v>2158616</v>
      </c>
      <c r="BF37">
        <v>0</v>
      </c>
      <c r="BG37">
        <v>88408</v>
      </c>
      <c r="BH37">
        <v>-60087</v>
      </c>
      <c r="BI37">
        <v>0</v>
      </c>
      <c r="BJ37">
        <v>-31726</v>
      </c>
      <c r="BK37">
        <v>0</v>
      </c>
      <c r="BL37">
        <v>1002476</v>
      </c>
      <c r="BM37">
        <v>0</v>
      </c>
      <c r="BN37">
        <v>-59006</v>
      </c>
      <c r="BO37">
        <v>163717</v>
      </c>
      <c r="BP37">
        <v>-62196</v>
      </c>
      <c r="BQ37">
        <v>123162</v>
      </c>
      <c r="BR37">
        <v>0</v>
      </c>
      <c r="BS37">
        <v>-251275</v>
      </c>
      <c r="BT37">
        <v>0</v>
      </c>
      <c r="BU37">
        <v>-127648</v>
      </c>
      <c r="BV37">
        <v>-261943</v>
      </c>
      <c r="BW37">
        <v>0</v>
      </c>
      <c r="BX37">
        <v>194022</v>
      </c>
      <c r="BY37">
        <v>46418</v>
      </c>
      <c r="BZ37">
        <v>-22452</v>
      </c>
      <c r="CA37" s="708">
        <v>-66121</v>
      </c>
      <c r="CB37">
        <v>-134499</v>
      </c>
      <c r="CC37">
        <v>0</v>
      </c>
      <c r="CD37">
        <v>0</v>
      </c>
      <c r="CE37">
        <v>-27421</v>
      </c>
    </row>
    <row r="38" spans="1:83" x14ac:dyDescent="0.25">
      <c r="A38">
        <v>51</v>
      </c>
      <c r="B38">
        <v>51</v>
      </c>
      <c r="C38" t="s">
        <v>249</v>
      </c>
      <c r="D38" t="s">
        <v>345</v>
      </c>
      <c r="E38">
        <v>0</v>
      </c>
      <c r="F38">
        <v>0</v>
      </c>
      <c r="G38">
        <v>95881</v>
      </c>
      <c r="H38">
        <v>0</v>
      </c>
      <c r="I38">
        <v>0</v>
      </c>
      <c r="J38">
        <v>0</v>
      </c>
      <c r="K38">
        <v>16260</v>
      </c>
      <c r="L38">
        <v>0</v>
      </c>
      <c r="M38">
        <v>0</v>
      </c>
      <c r="N38">
        <v>0</v>
      </c>
      <c r="O38">
        <v>0</v>
      </c>
      <c r="P38">
        <v>427054</v>
      </c>
      <c r="Q38">
        <v>0</v>
      </c>
      <c r="R38">
        <v>12180176</v>
      </c>
      <c r="S38">
        <v>106469</v>
      </c>
      <c r="T38">
        <v>0</v>
      </c>
      <c r="U38">
        <v>12074493</v>
      </c>
      <c r="V38">
        <v>3344908</v>
      </c>
      <c r="W38">
        <v>5369063</v>
      </c>
      <c r="X38">
        <v>0</v>
      </c>
      <c r="Y38">
        <v>-116413</v>
      </c>
      <c r="Z38">
        <v>2233793</v>
      </c>
      <c r="AA38">
        <v>232720</v>
      </c>
      <c r="AB38">
        <v>2296554</v>
      </c>
      <c r="AC38">
        <v>670578</v>
      </c>
      <c r="AD38">
        <v>311179</v>
      </c>
      <c r="AE38" s="708">
        <v>344960</v>
      </c>
      <c r="AF38">
        <v>134672</v>
      </c>
      <c r="AG38">
        <v>1996</v>
      </c>
      <c r="AH38">
        <v>130968</v>
      </c>
      <c r="AI38">
        <v>343761</v>
      </c>
      <c r="AJ38">
        <v>7193777</v>
      </c>
      <c r="AK38">
        <v>39414</v>
      </c>
      <c r="AL38">
        <v>111546</v>
      </c>
      <c r="AM38">
        <v>0</v>
      </c>
      <c r="AN38">
        <v>1936401</v>
      </c>
      <c r="AO38">
        <v>0</v>
      </c>
      <c r="AP38">
        <v>0</v>
      </c>
      <c r="AQ38">
        <v>0</v>
      </c>
      <c r="AR38">
        <v>0</v>
      </c>
      <c r="AS38">
        <v>1011915</v>
      </c>
      <c r="AT38">
        <v>78320</v>
      </c>
      <c r="AU38">
        <v>349099</v>
      </c>
      <c r="AV38">
        <v>0</v>
      </c>
      <c r="AW38">
        <v>8489354</v>
      </c>
      <c r="AX38">
        <v>0</v>
      </c>
      <c r="AY38">
        <v>304262</v>
      </c>
      <c r="AZ38">
        <v>379127</v>
      </c>
      <c r="BA38">
        <v>-108063</v>
      </c>
      <c r="BB38">
        <v>-35481</v>
      </c>
      <c r="BC38">
        <v>0</v>
      </c>
      <c r="BD38">
        <v>0</v>
      </c>
      <c r="BE38">
        <v>2153259</v>
      </c>
      <c r="BF38">
        <v>0</v>
      </c>
      <c r="BG38">
        <v>44333</v>
      </c>
      <c r="BH38">
        <v>35756</v>
      </c>
      <c r="BI38">
        <v>0</v>
      </c>
      <c r="BJ38">
        <v>60827</v>
      </c>
      <c r="BK38">
        <v>0</v>
      </c>
      <c r="BL38">
        <v>1040906</v>
      </c>
      <c r="BM38">
        <v>0</v>
      </c>
      <c r="BN38">
        <v>31778</v>
      </c>
      <c r="BO38">
        <v>333999</v>
      </c>
      <c r="BP38">
        <v>73463</v>
      </c>
      <c r="BQ38">
        <v>169290</v>
      </c>
      <c r="BR38">
        <v>0</v>
      </c>
      <c r="BS38">
        <v>-206492</v>
      </c>
      <c r="BT38">
        <v>0</v>
      </c>
      <c r="BU38">
        <v>53728</v>
      </c>
      <c r="BV38">
        <v>341223</v>
      </c>
      <c r="BW38">
        <v>0</v>
      </c>
      <c r="BX38">
        <v>272009</v>
      </c>
      <c r="BY38">
        <v>-39343</v>
      </c>
      <c r="BZ38">
        <v>0</v>
      </c>
      <c r="CA38" s="708">
        <v>-200434</v>
      </c>
      <c r="CB38">
        <v>19244</v>
      </c>
      <c r="CC38">
        <v>0</v>
      </c>
      <c r="CD38">
        <v>0</v>
      </c>
      <c r="CE38">
        <v>2599</v>
      </c>
    </row>
    <row r="39" spans="1:83" x14ac:dyDescent="0.25">
      <c r="A39">
        <v>52</v>
      </c>
      <c r="B39">
        <v>52</v>
      </c>
      <c r="C39" t="s">
        <v>242</v>
      </c>
      <c r="D39" t="s">
        <v>346</v>
      </c>
      <c r="E39">
        <v>0</v>
      </c>
      <c r="F39">
        <v>0</v>
      </c>
      <c r="G39">
        <v>0</v>
      </c>
      <c r="H39">
        <v>0</v>
      </c>
      <c r="I39">
        <v>0</v>
      </c>
      <c r="J39">
        <v>0</v>
      </c>
      <c r="K39">
        <v>0</v>
      </c>
      <c r="L39">
        <v>0</v>
      </c>
      <c r="M39">
        <v>0</v>
      </c>
      <c r="N39">
        <v>0</v>
      </c>
      <c r="O39">
        <v>0</v>
      </c>
      <c r="P39">
        <v>0</v>
      </c>
      <c r="Q39">
        <v>0</v>
      </c>
      <c r="R39">
        <v>2699443</v>
      </c>
      <c r="S39">
        <v>0</v>
      </c>
      <c r="T39">
        <v>0</v>
      </c>
      <c r="U39">
        <v>0</v>
      </c>
      <c r="V39">
        <v>0</v>
      </c>
      <c r="W39">
        <v>882857</v>
      </c>
      <c r="X39">
        <v>0</v>
      </c>
      <c r="Y39">
        <v>0</v>
      </c>
      <c r="Z39">
        <v>0</v>
      </c>
      <c r="AA39">
        <v>0</v>
      </c>
      <c r="AB39">
        <v>0</v>
      </c>
      <c r="AC39">
        <v>0</v>
      </c>
      <c r="AD39">
        <v>0</v>
      </c>
      <c r="AE39">
        <v>0</v>
      </c>
      <c r="AF39">
        <v>0</v>
      </c>
      <c r="AG39">
        <v>0</v>
      </c>
      <c r="AH39">
        <v>0</v>
      </c>
      <c r="AI39">
        <v>0</v>
      </c>
      <c r="AJ39">
        <v>2324812</v>
      </c>
      <c r="AK39">
        <v>0</v>
      </c>
      <c r="AL39">
        <v>0</v>
      </c>
      <c r="AM39">
        <v>0</v>
      </c>
      <c r="AN39">
        <v>1150268</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86983</v>
      </c>
      <c r="BT39">
        <v>503964</v>
      </c>
      <c r="BU39">
        <v>0</v>
      </c>
      <c r="BV39">
        <v>0</v>
      </c>
      <c r="BW39">
        <v>0</v>
      </c>
      <c r="BX39">
        <v>0</v>
      </c>
      <c r="BY39">
        <v>0</v>
      </c>
      <c r="BZ39">
        <v>0</v>
      </c>
      <c r="CA39">
        <v>0</v>
      </c>
      <c r="CB39">
        <v>0</v>
      </c>
      <c r="CC39">
        <v>0</v>
      </c>
      <c r="CD39">
        <v>0</v>
      </c>
      <c r="CE39">
        <v>0</v>
      </c>
    </row>
    <row r="40" spans="1:83" x14ac:dyDescent="0.25">
      <c r="A40">
        <v>53</v>
      </c>
      <c r="B40">
        <v>53</v>
      </c>
      <c r="C40" t="s">
        <v>103</v>
      </c>
      <c r="D40" t="s">
        <v>347</v>
      </c>
      <c r="E40">
        <v>0</v>
      </c>
      <c r="F40">
        <v>0</v>
      </c>
      <c r="G40">
        <v>0</v>
      </c>
      <c r="H40">
        <v>0</v>
      </c>
      <c r="I40">
        <v>0</v>
      </c>
      <c r="J40">
        <v>0</v>
      </c>
      <c r="K40">
        <v>0</v>
      </c>
      <c r="L40">
        <v>0</v>
      </c>
      <c r="M40">
        <v>0</v>
      </c>
      <c r="N40">
        <v>0</v>
      </c>
      <c r="O40">
        <v>0</v>
      </c>
      <c r="P40">
        <v>0</v>
      </c>
      <c r="Q40">
        <v>0</v>
      </c>
      <c r="R40">
        <v>8714122</v>
      </c>
      <c r="S40">
        <v>0</v>
      </c>
      <c r="T40">
        <v>0</v>
      </c>
      <c r="U40">
        <v>0</v>
      </c>
      <c r="V40">
        <v>0</v>
      </c>
      <c r="W40">
        <v>2554402</v>
      </c>
      <c r="X40">
        <v>0</v>
      </c>
      <c r="Y40">
        <v>0</v>
      </c>
      <c r="Z40">
        <v>0</v>
      </c>
      <c r="AA40">
        <v>0</v>
      </c>
      <c r="AB40">
        <v>0</v>
      </c>
      <c r="AC40">
        <v>0</v>
      </c>
      <c r="AD40">
        <v>0</v>
      </c>
      <c r="AE40">
        <v>0</v>
      </c>
      <c r="AF40">
        <v>0</v>
      </c>
      <c r="AG40">
        <v>0</v>
      </c>
      <c r="AH40">
        <v>0</v>
      </c>
      <c r="AI40">
        <v>0</v>
      </c>
      <c r="AJ40">
        <v>1032366</v>
      </c>
      <c r="AK40">
        <v>0</v>
      </c>
      <c r="AL40">
        <v>0</v>
      </c>
      <c r="AM40">
        <v>0</v>
      </c>
      <c r="AN40">
        <v>1313075</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500818</v>
      </c>
      <c r="BT40">
        <v>1059495</v>
      </c>
      <c r="BU40">
        <v>0</v>
      </c>
      <c r="BV40">
        <v>0</v>
      </c>
      <c r="BW40">
        <v>0</v>
      </c>
      <c r="BX40">
        <v>0</v>
      </c>
      <c r="BY40">
        <v>0</v>
      </c>
      <c r="BZ40">
        <v>0</v>
      </c>
      <c r="CA40">
        <v>0</v>
      </c>
      <c r="CB40">
        <v>0</v>
      </c>
      <c r="CC40">
        <v>0</v>
      </c>
      <c r="CD40">
        <v>0</v>
      </c>
      <c r="CE40">
        <v>0</v>
      </c>
    </row>
    <row r="41" spans="1:83" x14ac:dyDescent="0.25">
      <c r="A41">
        <v>55</v>
      </c>
      <c r="B41">
        <v>54</v>
      </c>
      <c r="C41" t="s">
        <v>635</v>
      </c>
      <c r="D41" t="s">
        <v>348</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row>
    <row r="42" spans="1:83" x14ac:dyDescent="0.25">
      <c r="B42">
        <v>55</v>
      </c>
      <c r="C42" t="s">
        <v>252</v>
      </c>
      <c r="D42" t="s">
        <v>349</v>
      </c>
      <c r="E42">
        <v>0</v>
      </c>
      <c r="F42">
        <v>0</v>
      </c>
      <c r="G42">
        <v>0</v>
      </c>
      <c r="H42">
        <v>0</v>
      </c>
      <c r="I42">
        <v>0</v>
      </c>
      <c r="J42">
        <v>0</v>
      </c>
      <c r="K42">
        <v>0</v>
      </c>
      <c r="L42">
        <v>0</v>
      </c>
      <c r="M42">
        <v>0</v>
      </c>
      <c r="N42">
        <v>0</v>
      </c>
      <c r="O42">
        <v>0</v>
      </c>
      <c r="P42">
        <v>0</v>
      </c>
      <c r="Q42">
        <v>0</v>
      </c>
      <c r="R42">
        <v>9009342</v>
      </c>
      <c r="S42">
        <v>0</v>
      </c>
      <c r="T42">
        <v>0</v>
      </c>
      <c r="U42">
        <v>0</v>
      </c>
      <c r="V42">
        <v>0</v>
      </c>
      <c r="W42">
        <v>3407032</v>
      </c>
      <c r="X42">
        <v>0</v>
      </c>
      <c r="Y42">
        <v>0</v>
      </c>
      <c r="Z42">
        <v>0</v>
      </c>
      <c r="AA42">
        <v>0</v>
      </c>
      <c r="AB42">
        <v>0</v>
      </c>
      <c r="AC42">
        <v>0</v>
      </c>
      <c r="AD42">
        <v>0</v>
      </c>
      <c r="AE42">
        <v>0</v>
      </c>
      <c r="AF42">
        <v>0</v>
      </c>
      <c r="AG42">
        <v>0</v>
      </c>
      <c r="AH42">
        <v>0</v>
      </c>
      <c r="AI42">
        <v>0</v>
      </c>
      <c r="AJ42">
        <v>4820092</v>
      </c>
      <c r="AK42">
        <v>0</v>
      </c>
      <c r="AL42">
        <v>0</v>
      </c>
      <c r="AM42">
        <v>0</v>
      </c>
      <c r="AN42">
        <v>1559170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594808</v>
      </c>
      <c r="BT42">
        <v>1602241</v>
      </c>
      <c r="BU42">
        <v>0</v>
      </c>
      <c r="BV42">
        <v>0</v>
      </c>
      <c r="BW42">
        <v>0</v>
      </c>
      <c r="BX42">
        <v>0</v>
      </c>
      <c r="BY42">
        <v>0</v>
      </c>
      <c r="BZ42">
        <v>0</v>
      </c>
      <c r="CA42">
        <v>0</v>
      </c>
      <c r="CB42">
        <v>0</v>
      </c>
      <c r="CC42">
        <v>0</v>
      </c>
      <c r="CD42">
        <v>0</v>
      </c>
      <c r="CE42">
        <v>0</v>
      </c>
    </row>
    <row r="43" spans="1:83" x14ac:dyDescent="0.25">
      <c r="A43">
        <v>61</v>
      </c>
      <c r="B43">
        <v>61</v>
      </c>
      <c r="C43" t="s">
        <v>271</v>
      </c>
      <c r="D43" t="s">
        <v>350</v>
      </c>
      <c r="E43">
        <v>0</v>
      </c>
      <c r="F43">
        <v>99.12</v>
      </c>
      <c r="G43">
        <v>98.04</v>
      </c>
      <c r="H43">
        <v>98.29</v>
      </c>
      <c r="I43">
        <v>97.29</v>
      </c>
      <c r="J43">
        <v>99.15</v>
      </c>
      <c r="K43">
        <v>96.39</v>
      </c>
      <c r="L43">
        <v>99.58</v>
      </c>
      <c r="M43">
        <v>98.52</v>
      </c>
      <c r="N43">
        <v>99.6</v>
      </c>
      <c r="O43">
        <v>96.21</v>
      </c>
      <c r="P43">
        <v>98.91</v>
      </c>
      <c r="Q43">
        <v>99.28</v>
      </c>
      <c r="R43">
        <v>99.2</v>
      </c>
      <c r="S43">
        <v>99.99</v>
      </c>
      <c r="T43">
        <v>0</v>
      </c>
      <c r="U43">
        <v>99.22</v>
      </c>
      <c r="V43">
        <v>99.32</v>
      </c>
      <c r="W43">
        <v>98.46</v>
      </c>
      <c r="X43">
        <v>99.92</v>
      </c>
      <c r="Y43">
        <v>82.06</v>
      </c>
      <c r="Z43">
        <v>98.47</v>
      </c>
      <c r="AA43">
        <v>95.19</v>
      </c>
      <c r="AB43">
        <v>99.41</v>
      </c>
      <c r="AC43">
        <v>97.33</v>
      </c>
      <c r="AD43">
        <v>98.45</v>
      </c>
      <c r="AE43">
        <v>97.4</v>
      </c>
      <c r="AF43">
        <v>92.74</v>
      </c>
      <c r="AG43">
        <v>99.98</v>
      </c>
      <c r="AH43">
        <v>98.13</v>
      </c>
      <c r="AI43">
        <v>93.23</v>
      </c>
      <c r="AJ43">
        <v>99.34</v>
      </c>
      <c r="AK43">
        <v>99.72</v>
      </c>
      <c r="AL43">
        <v>94.18</v>
      </c>
      <c r="AM43">
        <v>0</v>
      </c>
      <c r="AN43">
        <v>98.48</v>
      </c>
      <c r="AO43">
        <v>0</v>
      </c>
      <c r="AP43">
        <v>0</v>
      </c>
      <c r="AQ43">
        <v>0</v>
      </c>
      <c r="AR43">
        <v>99.36</v>
      </c>
      <c r="AS43">
        <v>96.61</v>
      </c>
      <c r="AT43">
        <v>94.22</v>
      </c>
      <c r="AU43">
        <v>97.94</v>
      </c>
      <c r="AV43">
        <v>0</v>
      </c>
      <c r="AW43">
        <v>99.17</v>
      </c>
      <c r="AX43">
        <v>99.49</v>
      </c>
      <c r="AY43">
        <v>98.29</v>
      </c>
      <c r="AZ43">
        <v>97.06</v>
      </c>
      <c r="BA43">
        <v>98.53</v>
      </c>
      <c r="BB43">
        <v>94.57</v>
      </c>
      <c r="BC43">
        <v>0</v>
      </c>
      <c r="BD43">
        <v>0</v>
      </c>
      <c r="BE43">
        <v>98.47</v>
      </c>
      <c r="BF43">
        <v>98.27</v>
      </c>
      <c r="BG43">
        <v>93.88</v>
      </c>
      <c r="BH43">
        <v>80.11</v>
      </c>
      <c r="BI43">
        <v>97.41</v>
      </c>
      <c r="BJ43">
        <v>95.65</v>
      </c>
      <c r="BK43">
        <v>96.35</v>
      </c>
      <c r="BL43">
        <v>95.4</v>
      </c>
      <c r="BM43">
        <v>0</v>
      </c>
      <c r="BN43">
        <v>99.12</v>
      </c>
      <c r="BO43">
        <v>99.9</v>
      </c>
      <c r="BP43">
        <v>99.86</v>
      </c>
      <c r="BQ43">
        <v>99.28</v>
      </c>
      <c r="BR43">
        <v>99.89</v>
      </c>
      <c r="BS43">
        <v>88.12</v>
      </c>
      <c r="BT43">
        <v>99.64</v>
      </c>
      <c r="BU43">
        <v>96.59</v>
      </c>
      <c r="BV43">
        <v>98.24</v>
      </c>
      <c r="BW43">
        <v>98.61</v>
      </c>
      <c r="BX43">
        <v>92.26</v>
      </c>
      <c r="BY43">
        <v>92.32</v>
      </c>
      <c r="BZ43">
        <v>99.62</v>
      </c>
      <c r="CA43">
        <v>78.58</v>
      </c>
      <c r="CB43">
        <v>97.33</v>
      </c>
      <c r="CC43">
        <v>0</v>
      </c>
      <c r="CD43">
        <v>0</v>
      </c>
      <c r="CE43">
        <v>91.45</v>
      </c>
    </row>
    <row r="44" spans="1:83" x14ac:dyDescent="0.25">
      <c r="A44">
        <v>80</v>
      </c>
      <c r="B44">
        <v>80</v>
      </c>
      <c r="C44" t="s">
        <v>221</v>
      </c>
      <c r="D44" t="s">
        <v>351</v>
      </c>
      <c r="E44">
        <v>0</v>
      </c>
      <c r="F44">
        <v>0</v>
      </c>
      <c r="G44">
        <v>591592</v>
      </c>
      <c r="H44">
        <v>0</v>
      </c>
      <c r="I44">
        <v>0</v>
      </c>
      <c r="J44">
        <v>0</v>
      </c>
      <c r="K44">
        <v>0</v>
      </c>
      <c r="L44">
        <v>0</v>
      </c>
      <c r="M44">
        <v>0</v>
      </c>
      <c r="N44">
        <v>0</v>
      </c>
      <c r="O44">
        <v>0</v>
      </c>
      <c r="P44">
        <v>702127</v>
      </c>
      <c r="Q44">
        <v>0</v>
      </c>
      <c r="R44">
        <v>39064951</v>
      </c>
      <c r="S44">
        <v>822124</v>
      </c>
      <c r="T44">
        <v>0</v>
      </c>
      <c r="U44">
        <v>36446756</v>
      </c>
      <c r="V44">
        <v>11987746</v>
      </c>
      <c r="W44">
        <v>14587826</v>
      </c>
      <c r="X44">
        <v>0</v>
      </c>
      <c r="Y44">
        <v>280586</v>
      </c>
      <c r="Z44">
        <v>4961795</v>
      </c>
      <c r="AA44">
        <v>1206170</v>
      </c>
      <c r="AB44">
        <v>12081965</v>
      </c>
      <c r="AC44">
        <v>4323</v>
      </c>
      <c r="AD44">
        <v>724499</v>
      </c>
      <c r="AE44" s="708">
        <v>735372</v>
      </c>
      <c r="AF44">
        <v>1897725</v>
      </c>
      <c r="AG44">
        <v>2948672</v>
      </c>
      <c r="AH44">
        <v>1916485</v>
      </c>
      <c r="AI44">
        <v>125076</v>
      </c>
      <c r="AJ44">
        <v>14364611</v>
      </c>
      <c r="AK44">
        <v>771698</v>
      </c>
      <c r="AL44">
        <v>336351</v>
      </c>
      <c r="AM44">
        <v>0</v>
      </c>
      <c r="AN44">
        <v>2450213</v>
      </c>
      <c r="AO44">
        <v>0</v>
      </c>
      <c r="AP44">
        <v>0</v>
      </c>
      <c r="AQ44">
        <v>0</v>
      </c>
      <c r="AR44">
        <v>0</v>
      </c>
      <c r="AS44">
        <v>3398666</v>
      </c>
      <c r="AT44">
        <v>163723</v>
      </c>
      <c r="AU44">
        <v>615062</v>
      </c>
      <c r="AV44">
        <v>0</v>
      </c>
      <c r="AW44">
        <v>29416549</v>
      </c>
      <c r="AX44">
        <v>0</v>
      </c>
      <c r="AY44">
        <v>1765596</v>
      </c>
      <c r="AZ44">
        <v>5456373</v>
      </c>
      <c r="BA44">
        <v>845844</v>
      </c>
      <c r="BB44">
        <v>126808</v>
      </c>
      <c r="BC44">
        <v>0</v>
      </c>
      <c r="BD44">
        <v>0</v>
      </c>
      <c r="BE44">
        <v>6489455</v>
      </c>
      <c r="BF44">
        <v>0</v>
      </c>
      <c r="BG44">
        <v>161716</v>
      </c>
      <c r="BH44">
        <v>101889</v>
      </c>
      <c r="BI44">
        <v>0</v>
      </c>
      <c r="BJ44">
        <v>207211</v>
      </c>
      <c r="BK44">
        <v>0</v>
      </c>
      <c r="BL44">
        <v>2486039</v>
      </c>
      <c r="BM44">
        <v>0</v>
      </c>
      <c r="BN44">
        <v>20976</v>
      </c>
      <c r="BO44">
        <v>812808</v>
      </c>
      <c r="BP44">
        <v>464780</v>
      </c>
      <c r="BQ44">
        <v>888622</v>
      </c>
      <c r="BR44">
        <v>0</v>
      </c>
      <c r="BS44">
        <v>75655</v>
      </c>
      <c r="BT44">
        <v>0</v>
      </c>
      <c r="BU44">
        <v>582110</v>
      </c>
      <c r="BV44">
        <v>3438081</v>
      </c>
      <c r="BW44">
        <v>0</v>
      </c>
      <c r="BX44">
        <v>0</v>
      </c>
      <c r="BY44">
        <v>1060063</v>
      </c>
      <c r="BZ44">
        <v>3129</v>
      </c>
      <c r="CA44" s="708">
        <v>138117</v>
      </c>
      <c r="CB44">
        <v>956</v>
      </c>
      <c r="CC44">
        <v>0</v>
      </c>
      <c r="CD44">
        <v>0</v>
      </c>
      <c r="CE44">
        <v>7036</v>
      </c>
    </row>
    <row r="45" spans="1:83" x14ac:dyDescent="0.25">
      <c r="A45">
        <v>81</v>
      </c>
      <c r="B45">
        <v>81</v>
      </c>
      <c r="C45" t="s">
        <v>222</v>
      </c>
      <c r="D45" t="s">
        <v>352</v>
      </c>
      <c r="E45">
        <v>0</v>
      </c>
      <c r="F45">
        <v>0</v>
      </c>
      <c r="G45">
        <v>46040</v>
      </c>
      <c r="H45">
        <v>0</v>
      </c>
      <c r="I45">
        <v>0</v>
      </c>
      <c r="J45">
        <v>0</v>
      </c>
      <c r="K45">
        <v>24569</v>
      </c>
      <c r="L45">
        <v>0</v>
      </c>
      <c r="M45">
        <v>0</v>
      </c>
      <c r="N45">
        <v>0</v>
      </c>
      <c r="O45">
        <v>0</v>
      </c>
      <c r="P45">
        <v>276089</v>
      </c>
      <c r="Q45">
        <v>0</v>
      </c>
      <c r="R45">
        <v>2869845</v>
      </c>
      <c r="S45">
        <v>49250</v>
      </c>
      <c r="T45">
        <v>0</v>
      </c>
      <c r="U45">
        <v>3988479</v>
      </c>
      <c r="V45">
        <v>1326936</v>
      </c>
      <c r="W45">
        <v>1195465</v>
      </c>
      <c r="X45">
        <v>0</v>
      </c>
      <c r="Y45">
        <v>22406</v>
      </c>
      <c r="Z45">
        <v>782769</v>
      </c>
      <c r="AA45">
        <v>143186</v>
      </c>
      <c r="AB45">
        <v>1156590</v>
      </c>
      <c r="AC45">
        <v>352381</v>
      </c>
      <c r="AD45">
        <v>138376</v>
      </c>
      <c r="AE45" s="708">
        <v>101674</v>
      </c>
      <c r="AF45">
        <v>157060</v>
      </c>
      <c r="AG45">
        <v>603914</v>
      </c>
      <c r="AH45">
        <v>305840</v>
      </c>
      <c r="AI45">
        <v>75064</v>
      </c>
      <c r="AJ45">
        <v>2543198</v>
      </c>
      <c r="AK45">
        <v>19839</v>
      </c>
      <c r="AL45">
        <v>61543</v>
      </c>
      <c r="AM45">
        <v>0</v>
      </c>
      <c r="AN45">
        <v>1050128</v>
      </c>
      <c r="AO45">
        <v>0</v>
      </c>
      <c r="AP45">
        <v>0</v>
      </c>
      <c r="AQ45">
        <v>0</v>
      </c>
      <c r="AR45">
        <v>0</v>
      </c>
      <c r="AS45">
        <v>493447</v>
      </c>
      <c r="AT45">
        <v>58097</v>
      </c>
      <c r="AU45">
        <v>153766</v>
      </c>
      <c r="AV45">
        <v>0</v>
      </c>
      <c r="AW45">
        <v>2594377</v>
      </c>
      <c r="AX45">
        <v>0</v>
      </c>
      <c r="AY45">
        <v>137523</v>
      </c>
      <c r="AZ45">
        <v>612293</v>
      </c>
      <c r="BA45">
        <v>30450</v>
      </c>
      <c r="BB45">
        <v>28150</v>
      </c>
      <c r="BC45">
        <v>0</v>
      </c>
      <c r="BD45">
        <v>0</v>
      </c>
      <c r="BE45">
        <v>1568500</v>
      </c>
      <c r="BF45">
        <v>0</v>
      </c>
      <c r="BG45">
        <v>29291</v>
      </c>
      <c r="BH45">
        <v>3297</v>
      </c>
      <c r="BI45">
        <v>0</v>
      </c>
      <c r="BJ45">
        <v>19592</v>
      </c>
      <c r="BK45">
        <v>0</v>
      </c>
      <c r="BL45">
        <v>123403</v>
      </c>
      <c r="BM45">
        <v>0</v>
      </c>
      <c r="BN45">
        <v>154035</v>
      </c>
      <c r="BO45">
        <v>217993</v>
      </c>
      <c r="BP45">
        <v>105097</v>
      </c>
      <c r="BQ45">
        <v>14450</v>
      </c>
      <c r="BR45">
        <v>0</v>
      </c>
      <c r="BS45">
        <v>143102</v>
      </c>
      <c r="BT45">
        <v>0</v>
      </c>
      <c r="BU45">
        <v>80544</v>
      </c>
      <c r="BV45">
        <v>342733</v>
      </c>
      <c r="BW45">
        <v>0</v>
      </c>
      <c r="BX45">
        <v>435152</v>
      </c>
      <c r="BY45">
        <v>32691</v>
      </c>
      <c r="BZ45">
        <v>851</v>
      </c>
      <c r="CA45" s="708">
        <v>21679</v>
      </c>
      <c r="CB45">
        <v>13164</v>
      </c>
      <c r="CC45">
        <v>0</v>
      </c>
      <c r="CD45">
        <v>0</v>
      </c>
      <c r="CE45">
        <v>0</v>
      </c>
    </row>
    <row r="46" spans="1:83" x14ac:dyDescent="0.25">
      <c r="A46">
        <v>82</v>
      </c>
      <c r="B46">
        <v>82</v>
      </c>
      <c r="C46" t="s">
        <v>557</v>
      </c>
      <c r="D46" t="s">
        <v>353</v>
      </c>
      <c r="E46">
        <v>0</v>
      </c>
      <c r="F46">
        <v>0</v>
      </c>
      <c r="G46">
        <v>76800</v>
      </c>
      <c r="H46">
        <v>0</v>
      </c>
      <c r="I46">
        <v>0</v>
      </c>
      <c r="J46">
        <v>0</v>
      </c>
      <c r="K46">
        <v>432500</v>
      </c>
      <c r="L46">
        <v>0</v>
      </c>
      <c r="M46">
        <v>0</v>
      </c>
      <c r="N46">
        <v>0</v>
      </c>
      <c r="O46">
        <v>0</v>
      </c>
      <c r="P46">
        <v>0</v>
      </c>
      <c r="Q46">
        <v>0</v>
      </c>
      <c r="R46">
        <v>23856918</v>
      </c>
      <c r="S46">
        <v>484447</v>
      </c>
      <c r="T46">
        <v>0</v>
      </c>
      <c r="U46">
        <v>57887563</v>
      </c>
      <c r="V46">
        <v>16708250</v>
      </c>
      <c r="W46">
        <v>18124494</v>
      </c>
      <c r="X46">
        <v>0</v>
      </c>
      <c r="Y46">
        <v>0</v>
      </c>
      <c r="Z46">
        <v>7674705</v>
      </c>
      <c r="AA46">
        <v>1157000</v>
      </c>
      <c r="AB46">
        <v>3682279</v>
      </c>
      <c r="AC46">
        <v>7159864</v>
      </c>
      <c r="AD46">
        <v>753616</v>
      </c>
      <c r="AE46" s="708">
        <v>2019434</v>
      </c>
      <c r="AF46">
        <v>362120</v>
      </c>
      <c r="AG46">
        <v>34371</v>
      </c>
      <c r="AH46">
        <v>213633</v>
      </c>
      <c r="AI46">
        <v>470088</v>
      </c>
      <c r="AJ46">
        <v>31611986</v>
      </c>
      <c r="AK46">
        <v>0</v>
      </c>
      <c r="AL46">
        <v>839900</v>
      </c>
      <c r="AM46">
        <v>0</v>
      </c>
      <c r="AN46">
        <v>8946261</v>
      </c>
      <c r="AO46">
        <v>0</v>
      </c>
      <c r="AP46">
        <v>0</v>
      </c>
      <c r="AQ46">
        <v>0</v>
      </c>
      <c r="AR46">
        <v>0</v>
      </c>
      <c r="AS46">
        <v>1462998</v>
      </c>
      <c r="AT46">
        <v>1045569</v>
      </c>
      <c r="AU46">
        <v>1942202</v>
      </c>
      <c r="AV46">
        <v>0</v>
      </c>
      <c r="AW46">
        <v>86795777</v>
      </c>
      <c r="AX46">
        <v>0</v>
      </c>
      <c r="AY46">
        <v>985181</v>
      </c>
      <c r="AZ46">
        <v>0</v>
      </c>
      <c r="BA46">
        <v>745000</v>
      </c>
      <c r="BB46">
        <v>0</v>
      </c>
      <c r="BC46">
        <v>0</v>
      </c>
      <c r="BD46">
        <v>0</v>
      </c>
      <c r="BE46">
        <v>9972272</v>
      </c>
      <c r="BF46">
        <v>0</v>
      </c>
      <c r="BG46">
        <v>496827</v>
      </c>
      <c r="BH46">
        <v>0</v>
      </c>
      <c r="BI46">
        <v>0</v>
      </c>
      <c r="BJ46">
        <v>83362</v>
      </c>
      <c r="BK46">
        <v>0</v>
      </c>
      <c r="BL46">
        <v>926498</v>
      </c>
      <c r="BM46">
        <v>0</v>
      </c>
      <c r="BN46">
        <v>582304</v>
      </c>
      <c r="BO46">
        <v>2705000</v>
      </c>
      <c r="BP46">
        <v>927161</v>
      </c>
      <c r="BQ46">
        <v>0</v>
      </c>
      <c r="BR46">
        <v>0</v>
      </c>
      <c r="BS46">
        <v>0</v>
      </c>
      <c r="BT46">
        <v>0</v>
      </c>
      <c r="BU46">
        <v>1011520</v>
      </c>
      <c r="BV46">
        <v>1477589</v>
      </c>
      <c r="BW46">
        <v>0</v>
      </c>
      <c r="BX46">
        <v>676319</v>
      </c>
      <c r="BY46">
        <v>0</v>
      </c>
      <c r="BZ46">
        <v>0</v>
      </c>
      <c r="CA46" s="708">
        <v>622909</v>
      </c>
      <c r="CB46">
        <v>401000</v>
      </c>
      <c r="CC46">
        <v>0</v>
      </c>
      <c r="CD46">
        <v>0</v>
      </c>
      <c r="CE46">
        <v>0</v>
      </c>
    </row>
    <row r="47" spans="1:83" x14ac:dyDescent="0.25">
      <c r="A47">
        <v>83</v>
      </c>
      <c r="B47">
        <v>83</v>
      </c>
      <c r="C47" t="s">
        <v>104</v>
      </c>
      <c r="D47" t="s">
        <v>354</v>
      </c>
      <c r="E47">
        <v>0</v>
      </c>
      <c r="F47">
        <v>0</v>
      </c>
      <c r="G47">
        <v>4094091</v>
      </c>
      <c r="H47">
        <v>0</v>
      </c>
      <c r="I47">
        <v>0</v>
      </c>
      <c r="J47">
        <v>0</v>
      </c>
      <c r="K47">
        <v>2072818</v>
      </c>
      <c r="L47">
        <v>0</v>
      </c>
      <c r="M47">
        <v>0</v>
      </c>
      <c r="N47">
        <v>0</v>
      </c>
      <c r="O47">
        <v>0</v>
      </c>
      <c r="P47">
        <v>13894666</v>
      </c>
      <c r="Q47">
        <v>0</v>
      </c>
      <c r="R47">
        <v>106783239</v>
      </c>
      <c r="S47">
        <v>1954458</v>
      </c>
      <c r="T47">
        <v>0</v>
      </c>
      <c r="U47">
        <v>124322211</v>
      </c>
      <c r="V47">
        <v>47137866</v>
      </c>
      <c r="W47">
        <v>58659205</v>
      </c>
      <c r="X47">
        <v>0</v>
      </c>
      <c r="Y47">
        <v>3503998</v>
      </c>
      <c r="Z47">
        <v>37653329</v>
      </c>
      <c r="AA47">
        <v>9974824</v>
      </c>
      <c r="AB47">
        <v>31026933</v>
      </c>
      <c r="AC47">
        <v>17111592</v>
      </c>
      <c r="AD47">
        <v>3537402</v>
      </c>
      <c r="AE47" s="708">
        <v>5032473</v>
      </c>
      <c r="AF47">
        <v>13397773</v>
      </c>
      <c r="AG47">
        <v>9009448</v>
      </c>
      <c r="AH47">
        <v>10087426</v>
      </c>
      <c r="AI47">
        <v>3551885</v>
      </c>
      <c r="AJ47">
        <v>101543246</v>
      </c>
      <c r="AK47">
        <v>2354181</v>
      </c>
      <c r="AL47">
        <v>3909003</v>
      </c>
      <c r="AM47">
        <v>0</v>
      </c>
      <c r="AN47">
        <v>23273934</v>
      </c>
      <c r="AO47">
        <v>0</v>
      </c>
      <c r="AP47">
        <v>0</v>
      </c>
      <c r="AQ47">
        <v>0</v>
      </c>
      <c r="AR47">
        <v>0</v>
      </c>
      <c r="AS47">
        <v>18737237</v>
      </c>
      <c r="AT47">
        <v>6027338</v>
      </c>
      <c r="AU47">
        <v>9852420</v>
      </c>
      <c r="AV47">
        <v>0</v>
      </c>
      <c r="AW47">
        <v>53355977</v>
      </c>
      <c r="AX47">
        <v>0</v>
      </c>
      <c r="AY47">
        <v>7032414</v>
      </c>
      <c r="AZ47">
        <v>10615778</v>
      </c>
      <c r="BA47">
        <v>6043356</v>
      </c>
      <c r="BB47">
        <v>1282245</v>
      </c>
      <c r="BC47">
        <v>0</v>
      </c>
      <c r="BD47">
        <v>0</v>
      </c>
      <c r="BE47">
        <v>27290247</v>
      </c>
      <c r="BF47">
        <v>0</v>
      </c>
      <c r="BG47">
        <v>2632146</v>
      </c>
      <c r="BH47">
        <v>2442072</v>
      </c>
      <c r="BI47">
        <v>0</v>
      </c>
      <c r="BJ47">
        <v>3166836</v>
      </c>
      <c r="BK47">
        <v>0</v>
      </c>
      <c r="BL47">
        <v>14803609</v>
      </c>
      <c r="BM47">
        <v>0</v>
      </c>
      <c r="BN47">
        <v>5597876</v>
      </c>
      <c r="BO47">
        <v>1536619</v>
      </c>
      <c r="BP47">
        <v>1813195</v>
      </c>
      <c r="BQ47">
        <v>1414674</v>
      </c>
      <c r="BR47">
        <v>0</v>
      </c>
      <c r="BS47">
        <v>4954315</v>
      </c>
      <c r="BT47">
        <v>0</v>
      </c>
      <c r="BU47">
        <v>6355001</v>
      </c>
      <c r="BV47">
        <v>14197473</v>
      </c>
      <c r="BW47">
        <v>0</v>
      </c>
      <c r="BX47">
        <v>10544969</v>
      </c>
      <c r="BY47">
        <v>3156368</v>
      </c>
      <c r="BZ47">
        <v>656834</v>
      </c>
      <c r="CA47" s="708">
        <v>3834108</v>
      </c>
      <c r="CB47">
        <v>4451734</v>
      </c>
      <c r="CC47">
        <v>0</v>
      </c>
      <c r="CD47">
        <v>0</v>
      </c>
      <c r="CE47">
        <v>829164</v>
      </c>
    </row>
    <row r="48" spans="1:83" x14ac:dyDescent="0.25">
      <c r="A48">
        <v>84</v>
      </c>
      <c r="B48">
        <v>84</v>
      </c>
      <c r="C48" t="s">
        <v>230</v>
      </c>
      <c r="D48" t="s">
        <v>355</v>
      </c>
      <c r="E48">
        <v>0</v>
      </c>
      <c r="F48">
        <v>0</v>
      </c>
      <c r="G48">
        <v>547358</v>
      </c>
      <c r="H48">
        <v>0</v>
      </c>
      <c r="I48">
        <v>0</v>
      </c>
      <c r="J48">
        <v>0</v>
      </c>
      <c r="K48">
        <v>112309</v>
      </c>
      <c r="L48">
        <v>0</v>
      </c>
      <c r="M48">
        <v>0</v>
      </c>
      <c r="N48">
        <v>0</v>
      </c>
      <c r="O48">
        <v>0</v>
      </c>
      <c r="P48">
        <v>2909363</v>
      </c>
      <c r="Q48">
        <v>0</v>
      </c>
      <c r="R48">
        <v>18682595</v>
      </c>
      <c r="S48">
        <v>346654</v>
      </c>
      <c r="T48">
        <v>0</v>
      </c>
      <c r="U48">
        <v>24279085</v>
      </c>
      <c r="V48">
        <v>7604095</v>
      </c>
      <c r="W48">
        <v>12061175</v>
      </c>
      <c r="X48">
        <v>0</v>
      </c>
      <c r="Y48">
        <v>178424</v>
      </c>
      <c r="Z48">
        <v>6109810</v>
      </c>
      <c r="AA48">
        <v>1134415</v>
      </c>
      <c r="AB48">
        <v>7889644</v>
      </c>
      <c r="AC48">
        <v>2987379</v>
      </c>
      <c r="AD48">
        <v>1141247</v>
      </c>
      <c r="AE48" s="708">
        <v>1336823</v>
      </c>
      <c r="AF48">
        <v>1640112</v>
      </c>
      <c r="AG48">
        <v>3090414</v>
      </c>
      <c r="AH48">
        <v>4112704</v>
      </c>
      <c r="AI48">
        <v>381557</v>
      </c>
      <c r="AJ48">
        <v>21969143</v>
      </c>
      <c r="AK48">
        <v>257164</v>
      </c>
      <c r="AL48">
        <v>501048</v>
      </c>
      <c r="AM48">
        <v>0</v>
      </c>
      <c r="AN48">
        <v>7547889</v>
      </c>
      <c r="AO48">
        <v>0</v>
      </c>
      <c r="AP48">
        <v>0</v>
      </c>
      <c r="AQ48">
        <v>0</v>
      </c>
      <c r="AR48">
        <v>0</v>
      </c>
      <c r="AS48">
        <v>3000919</v>
      </c>
      <c r="AT48">
        <v>299291</v>
      </c>
      <c r="AU48">
        <v>1405157</v>
      </c>
      <c r="AV48">
        <v>0</v>
      </c>
      <c r="AW48">
        <v>16417840</v>
      </c>
      <c r="AX48">
        <v>0</v>
      </c>
      <c r="AY48">
        <v>1061364</v>
      </c>
      <c r="AZ48">
        <v>2856626</v>
      </c>
      <c r="BA48">
        <v>549466</v>
      </c>
      <c r="BB48">
        <v>302447</v>
      </c>
      <c r="BC48">
        <v>0</v>
      </c>
      <c r="BD48">
        <v>0</v>
      </c>
      <c r="BE48">
        <v>7001881</v>
      </c>
      <c r="BF48">
        <v>0</v>
      </c>
      <c r="BG48">
        <v>230045</v>
      </c>
      <c r="BH48">
        <v>109019</v>
      </c>
      <c r="BI48">
        <v>0</v>
      </c>
      <c r="BJ48">
        <v>164295</v>
      </c>
      <c r="BK48">
        <v>0</v>
      </c>
      <c r="BL48">
        <v>3022075</v>
      </c>
      <c r="BM48">
        <v>0</v>
      </c>
      <c r="BN48">
        <v>907038</v>
      </c>
      <c r="BO48">
        <v>766884</v>
      </c>
      <c r="BP48">
        <v>875674</v>
      </c>
      <c r="BQ48">
        <v>474696</v>
      </c>
      <c r="BR48">
        <v>0</v>
      </c>
      <c r="BS48">
        <v>657025</v>
      </c>
      <c r="BT48">
        <v>0</v>
      </c>
      <c r="BU48">
        <v>584973</v>
      </c>
      <c r="BV48">
        <v>2930155</v>
      </c>
      <c r="BW48">
        <v>0</v>
      </c>
      <c r="BX48">
        <v>1907067</v>
      </c>
      <c r="BY48">
        <v>292770</v>
      </c>
      <c r="BZ48">
        <v>10486</v>
      </c>
      <c r="CA48" s="708">
        <v>244229</v>
      </c>
      <c r="CB48">
        <v>179583</v>
      </c>
      <c r="CC48">
        <v>0</v>
      </c>
      <c r="CD48">
        <v>0</v>
      </c>
      <c r="CE48">
        <v>22373</v>
      </c>
    </row>
    <row r="49" spans="1:83" x14ac:dyDescent="0.25">
      <c r="A49">
        <v>85</v>
      </c>
      <c r="B49">
        <v>85</v>
      </c>
      <c r="C49" t="s">
        <v>232</v>
      </c>
      <c r="D49" t="s">
        <v>356</v>
      </c>
      <c r="E49">
        <v>0</v>
      </c>
      <c r="F49">
        <v>0</v>
      </c>
      <c r="G49">
        <v>628335</v>
      </c>
      <c r="H49">
        <v>0</v>
      </c>
      <c r="I49">
        <v>0</v>
      </c>
      <c r="J49">
        <v>0</v>
      </c>
      <c r="K49">
        <v>163964</v>
      </c>
      <c r="L49">
        <v>0</v>
      </c>
      <c r="M49">
        <v>0</v>
      </c>
      <c r="N49">
        <v>0</v>
      </c>
      <c r="O49">
        <v>0</v>
      </c>
      <c r="P49">
        <v>3173242</v>
      </c>
      <c r="Q49">
        <v>0</v>
      </c>
      <c r="R49">
        <v>9057827</v>
      </c>
      <c r="S49">
        <v>302227</v>
      </c>
      <c r="T49">
        <v>0</v>
      </c>
      <c r="U49">
        <v>18182804</v>
      </c>
      <c r="V49">
        <v>5550511</v>
      </c>
      <c r="W49">
        <v>9583276</v>
      </c>
      <c r="X49">
        <v>0</v>
      </c>
      <c r="Y49">
        <v>325755</v>
      </c>
      <c r="Z49">
        <v>5625880</v>
      </c>
      <c r="AA49">
        <v>1293861</v>
      </c>
      <c r="AB49">
        <v>6739496</v>
      </c>
      <c r="AC49">
        <v>2899522</v>
      </c>
      <c r="AD49">
        <v>927157</v>
      </c>
      <c r="AE49" s="708">
        <v>1273122</v>
      </c>
      <c r="AF49">
        <v>2231278</v>
      </c>
      <c r="AG49">
        <v>3379372</v>
      </c>
      <c r="AH49">
        <v>4121796</v>
      </c>
      <c r="AI49">
        <v>643773</v>
      </c>
      <c r="AJ49">
        <v>18145311</v>
      </c>
      <c r="AK49">
        <v>294106</v>
      </c>
      <c r="AL49">
        <v>630413</v>
      </c>
      <c r="AM49">
        <v>0</v>
      </c>
      <c r="AN49">
        <v>7529542</v>
      </c>
      <c r="AO49">
        <v>0</v>
      </c>
      <c r="AP49">
        <v>0</v>
      </c>
      <c r="AQ49">
        <v>0</v>
      </c>
      <c r="AR49">
        <v>0</v>
      </c>
      <c r="AS49">
        <v>2760166</v>
      </c>
      <c r="AT49">
        <v>384336</v>
      </c>
      <c r="AU49">
        <v>1520879</v>
      </c>
      <c r="AV49">
        <v>0</v>
      </c>
      <c r="AW49">
        <v>13067631</v>
      </c>
      <c r="AX49">
        <v>0</v>
      </c>
      <c r="AY49">
        <v>1026424</v>
      </c>
      <c r="AZ49">
        <v>2515064</v>
      </c>
      <c r="BA49">
        <v>814362</v>
      </c>
      <c r="BB49">
        <v>363966</v>
      </c>
      <c r="BC49">
        <v>0</v>
      </c>
      <c r="BD49">
        <v>0</v>
      </c>
      <c r="BE49">
        <v>4811919</v>
      </c>
      <c r="BF49">
        <v>0</v>
      </c>
      <c r="BG49">
        <v>260616</v>
      </c>
      <c r="BH49">
        <v>169151</v>
      </c>
      <c r="BI49">
        <v>0</v>
      </c>
      <c r="BJ49">
        <v>196304</v>
      </c>
      <c r="BK49">
        <v>0</v>
      </c>
      <c r="BL49">
        <v>2923641</v>
      </c>
      <c r="BM49">
        <v>0</v>
      </c>
      <c r="BN49">
        <v>1156437</v>
      </c>
      <c r="BO49">
        <v>580657</v>
      </c>
      <c r="BP49">
        <v>906104</v>
      </c>
      <c r="BQ49">
        <v>352627</v>
      </c>
      <c r="BR49">
        <v>0</v>
      </c>
      <c r="BS49">
        <v>981259</v>
      </c>
      <c r="BT49">
        <v>0</v>
      </c>
      <c r="BU49">
        <v>825902</v>
      </c>
      <c r="BV49">
        <v>3257982</v>
      </c>
      <c r="BW49">
        <v>0</v>
      </c>
      <c r="BX49">
        <v>2027406</v>
      </c>
      <c r="BY49">
        <v>422812</v>
      </c>
      <c r="BZ49">
        <v>32938</v>
      </c>
      <c r="CA49" s="708">
        <v>622496</v>
      </c>
      <c r="CB49">
        <v>321317</v>
      </c>
      <c r="CC49">
        <v>0</v>
      </c>
      <c r="CD49">
        <v>0</v>
      </c>
      <c r="CE49">
        <v>49794</v>
      </c>
    </row>
    <row r="50" spans="1:83" x14ac:dyDescent="0.25">
      <c r="A50">
        <v>88</v>
      </c>
      <c r="B50">
        <v>88</v>
      </c>
      <c r="C50" t="s">
        <v>229</v>
      </c>
      <c r="D50" t="s">
        <v>357</v>
      </c>
      <c r="E50">
        <v>0</v>
      </c>
      <c r="F50">
        <v>0</v>
      </c>
      <c r="G50">
        <v>504977</v>
      </c>
      <c r="H50">
        <v>0</v>
      </c>
      <c r="I50">
        <v>0</v>
      </c>
      <c r="J50">
        <v>0</v>
      </c>
      <c r="K50">
        <v>110959</v>
      </c>
      <c r="L50">
        <v>0</v>
      </c>
      <c r="M50">
        <v>0</v>
      </c>
      <c r="N50">
        <v>0</v>
      </c>
      <c r="O50">
        <v>0</v>
      </c>
      <c r="P50">
        <v>2676211</v>
      </c>
      <c r="Q50">
        <v>0</v>
      </c>
      <c r="R50">
        <v>17961501</v>
      </c>
      <c r="S50">
        <v>293315</v>
      </c>
      <c r="T50">
        <v>0</v>
      </c>
      <c r="U50">
        <v>23547737</v>
      </c>
      <c r="V50">
        <v>7284789</v>
      </c>
      <c r="W50">
        <v>12061175</v>
      </c>
      <c r="X50">
        <v>0</v>
      </c>
      <c r="Y50">
        <v>178424</v>
      </c>
      <c r="Z50">
        <v>6062842</v>
      </c>
      <c r="AA50">
        <v>1107770</v>
      </c>
      <c r="AB50">
        <v>5804414</v>
      </c>
      <c r="AC50">
        <v>2983679</v>
      </c>
      <c r="AD50">
        <v>1085598</v>
      </c>
      <c r="AE50" s="708">
        <v>1300866</v>
      </c>
      <c r="AF50">
        <v>1587686</v>
      </c>
      <c r="AG50">
        <v>3028910</v>
      </c>
      <c r="AH50">
        <v>3999485</v>
      </c>
      <c r="AI50">
        <v>343212</v>
      </c>
      <c r="AJ50">
        <v>20882048</v>
      </c>
      <c r="AK50">
        <v>255514</v>
      </c>
      <c r="AL50">
        <v>501048</v>
      </c>
      <c r="AM50">
        <v>0</v>
      </c>
      <c r="AN50">
        <v>6862966</v>
      </c>
      <c r="AO50">
        <v>0</v>
      </c>
      <c r="AP50">
        <v>0</v>
      </c>
      <c r="AQ50">
        <v>0</v>
      </c>
      <c r="AR50">
        <v>0</v>
      </c>
      <c r="AS50">
        <v>2953309</v>
      </c>
      <c r="AT50">
        <v>299291</v>
      </c>
      <c r="AU50">
        <v>1279046</v>
      </c>
      <c r="AV50">
        <v>0</v>
      </c>
      <c r="AW50">
        <v>16093126</v>
      </c>
      <c r="AX50">
        <v>0</v>
      </c>
      <c r="AY50">
        <v>992842</v>
      </c>
      <c r="AZ50">
        <v>2567199</v>
      </c>
      <c r="BA50">
        <v>429825</v>
      </c>
      <c r="BB50">
        <v>289995</v>
      </c>
      <c r="BC50">
        <v>0</v>
      </c>
      <c r="BD50">
        <v>0</v>
      </c>
      <c r="BE50">
        <v>5947911</v>
      </c>
      <c r="BF50">
        <v>0</v>
      </c>
      <c r="BG50">
        <v>225360</v>
      </c>
      <c r="BH50">
        <v>109019</v>
      </c>
      <c r="BI50">
        <v>0</v>
      </c>
      <c r="BJ50">
        <v>164295</v>
      </c>
      <c r="BK50">
        <v>0</v>
      </c>
      <c r="BL50">
        <v>3022075</v>
      </c>
      <c r="BM50">
        <v>0</v>
      </c>
      <c r="BN50">
        <v>818117</v>
      </c>
      <c r="BO50">
        <v>757281</v>
      </c>
      <c r="BP50">
        <v>795246</v>
      </c>
      <c r="BQ50">
        <v>474696</v>
      </c>
      <c r="BR50">
        <v>0</v>
      </c>
      <c r="BS50">
        <v>655522</v>
      </c>
      <c r="BT50">
        <v>0</v>
      </c>
      <c r="BU50">
        <v>580098</v>
      </c>
      <c r="BV50">
        <v>2827757</v>
      </c>
      <c r="BW50">
        <v>0</v>
      </c>
      <c r="BX50">
        <v>1907067</v>
      </c>
      <c r="BY50">
        <v>285797</v>
      </c>
      <c r="BZ50">
        <v>10486</v>
      </c>
      <c r="CA50" s="708">
        <v>242976</v>
      </c>
      <c r="CB50">
        <v>179443</v>
      </c>
      <c r="CC50">
        <v>0</v>
      </c>
      <c r="CD50">
        <v>0</v>
      </c>
      <c r="CE50">
        <v>22373</v>
      </c>
    </row>
    <row r="51" spans="1:83" x14ac:dyDescent="0.25">
      <c r="A51">
        <v>89</v>
      </c>
      <c r="B51">
        <v>89</v>
      </c>
      <c r="C51" t="s">
        <v>233</v>
      </c>
      <c r="D51" t="s">
        <v>358</v>
      </c>
      <c r="E51">
        <v>0</v>
      </c>
      <c r="F51">
        <v>0</v>
      </c>
      <c r="G51">
        <v>2269</v>
      </c>
      <c r="H51">
        <v>0</v>
      </c>
      <c r="I51">
        <v>0</v>
      </c>
      <c r="J51">
        <v>0</v>
      </c>
      <c r="K51">
        <v>8178</v>
      </c>
      <c r="L51">
        <v>0</v>
      </c>
      <c r="M51">
        <v>0</v>
      </c>
      <c r="N51">
        <v>0</v>
      </c>
      <c r="O51">
        <v>0</v>
      </c>
      <c r="P51">
        <v>0</v>
      </c>
      <c r="Q51">
        <v>0</v>
      </c>
      <c r="R51">
        <v>860757</v>
      </c>
      <c r="S51">
        <v>10840</v>
      </c>
      <c r="T51">
        <v>0</v>
      </c>
      <c r="U51">
        <v>2651509</v>
      </c>
      <c r="V51">
        <v>408145</v>
      </c>
      <c r="W51">
        <v>405801</v>
      </c>
      <c r="X51">
        <v>0</v>
      </c>
      <c r="Y51">
        <v>0</v>
      </c>
      <c r="Z51">
        <v>277039</v>
      </c>
      <c r="AA51">
        <v>39741</v>
      </c>
      <c r="AB51">
        <v>113786</v>
      </c>
      <c r="AC51">
        <v>276100</v>
      </c>
      <c r="AD51">
        <v>23663</v>
      </c>
      <c r="AE51" s="708">
        <v>51815</v>
      </c>
      <c r="AF51">
        <v>0</v>
      </c>
      <c r="AG51">
        <v>2662</v>
      </c>
      <c r="AH51">
        <v>3734</v>
      </c>
      <c r="AI51">
        <v>13111</v>
      </c>
      <c r="AJ51">
        <v>771475</v>
      </c>
      <c r="AK51">
        <v>0</v>
      </c>
      <c r="AL51">
        <v>38695</v>
      </c>
      <c r="AM51">
        <v>0</v>
      </c>
      <c r="AN51">
        <v>248896</v>
      </c>
      <c r="AO51">
        <v>0</v>
      </c>
      <c r="AP51">
        <v>0</v>
      </c>
      <c r="AQ51">
        <v>0</v>
      </c>
      <c r="AR51">
        <v>0</v>
      </c>
      <c r="AS51">
        <v>27038</v>
      </c>
      <c r="AT51">
        <v>25793</v>
      </c>
      <c r="AU51">
        <v>38793</v>
      </c>
      <c r="AV51">
        <v>0</v>
      </c>
      <c r="AW51">
        <v>3386629</v>
      </c>
      <c r="AX51">
        <v>0</v>
      </c>
      <c r="AY51">
        <v>0</v>
      </c>
      <c r="AZ51">
        <v>0</v>
      </c>
      <c r="BA51">
        <v>34764</v>
      </c>
      <c r="BB51">
        <v>0</v>
      </c>
      <c r="BC51">
        <v>0</v>
      </c>
      <c r="BD51">
        <v>0</v>
      </c>
      <c r="BE51">
        <v>86162</v>
      </c>
      <c r="BF51">
        <v>0</v>
      </c>
      <c r="BG51">
        <v>139</v>
      </c>
      <c r="BH51">
        <v>0</v>
      </c>
      <c r="BI51">
        <v>0</v>
      </c>
      <c r="BJ51">
        <v>0</v>
      </c>
      <c r="BK51">
        <v>0</v>
      </c>
      <c r="BL51">
        <v>49856</v>
      </c>
      <c r="BM51">
        <v>0</v>
      </c>
      <c r="BN51">
        <v>17888</v>
      </c>
      <c r="BO51">
        <v>114378</v>
      </c>
      <c r="BP51">
        <v>32197</v>
      </c>
      <c r="BQ51">
        <v>330</v>
      </c>
      <c r="BR51">
        <v>0</v>
      </c>
      <c r="BS51">
        <v>0</v>
      </c>
      <c r="BT51">
        <v>0</v>
      </c>
      <c r="BU51">
        <v>27673</v>
      </c>
      <c r="BV51">
        <v>18325</v>
      </c>
      <c r="BW51">
        <v>0</v>
      </c>
      <c r="BX51">
        <v>20325</v>
      </c>
      <c r="BY51">
        <v>0</v>
      </c>
      <c r="BZ51">
        <v>0</v>
      </c>
      <c r="CA51" s="708">
        <v>31718</v>
      </c>
      <c r="CB51">
        <v>9690</v>
      </c>
      <c r="CC51">
        <v>0</v>
      </c>
      <c r="CD51">
        <v>0</v>
      </c>
      <c r="CE51">
        <v>0</v>
      </c>
    </row>
    <row r="52" spans="1:83" x14ac:dyDescent="0.25">
      <c r="A52">
        <v>90</v>
      </c>
      <c r="B52">
        <v>90</v>
      </c>
      <c r="C52" t="s">
        <v>226</v>
      </c>
      <c r="D52" t="s">
        <v>359</v>
      </c>
      <c r="E52">
        <v>0</v>
      </c>
      <c r="F52">
        <v>0</v>
      </c>
      <c r="G52">
        <v>0</v>
      </c>
      <c r="H52">
        <v>0</v>
      </c>
      <c r="I52">
        <v>0</v>
      </c>
      <c r="J52">
        <v>0</v>
      </c>
      <c r="K52">
        <v>0</v>
      </c>
      <c r="L52">
        <v>0</v>
      </c>
      <c r="M52">
        <v>0</v>
      </c>
      <c r="N52">
        <v>0</v>
      </c>
      <c r="O52">
        <v>0</v>
      </c>
      <c r="P52">
        <v>0</v>
      </c>
      <c r="Q52">
        <v>0</v>
      </c>
      <c r="R52">
        <v>51534815</v>
      </c>
      <c r="S52">
        <v>0</v>
      </c>
      <c r="T52">
        <v>0</v>
      </c>
      <c r="U52">
        <v>0</v>
      </c>
      <c r="V52">
        <v>0</v>
      </c>
      <c r="W52">
        <v>9402255</v>
      </c>
      <c r="X52">
        <v>0</v>
      </c>
      <c r="Y52">
        <v>0</v>
      </c>
      <c r="Z52">
        <v>0</v>
      </c>
      <c r="AA52">
        <v>0</v>
      </c>
      <c r="AB52">
        <v>0</v>
      </c>
      <c r="AC52">
        <v>0</v>
      </c>
      <c r="AD52">
        <v>0</v>
      </c>
      <c r="AE52">
        <v>0</v>
      </c>
      <c r="AF52">
        <v>0</v>
      </c>
      <c r="AG52">
        <v>0</v>
      </c>
      <c r="AH52">
        <v>0</v>
      </c>
      <c r="AI52">
        <v>0</v>
      </c>
      <c r="AJ52">
        <v>18793028</v>
      </c>
      <c r="AK52">
        <v>0</v>
      </c>
      <c r="AL52">
        <v>0</v>
      </c>
      <c r="AM52">
        <v>0</v>
      </c>
      <c r="AN52">
        <v>6147009</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626582</v>
      </c>
      <c r="BT52">
        <v>1964171</v>
      </c>
      <c r="BU52">
        <v>0</v>
      </c>
      <c r="BV52">
        <v>0</v>
      </c>
      <c r="BW52">
        <v>0</v>
      </c>
      <c r="BX52">
        <v>0</v>
      </c>
      <c r="BY52">
        <v>0</v>
      </c>
      <c r="BZ52">
        <v>0</v>
      </c>
      <c r="CA52">
        <v>0</v>
      </c>
      <c r="CB52">
        <v>0</v>
      </c>
      <c r="CC52">
        <v>0</v>
      </c>
      <c r="CD52">
        <v>0</v>
      </c>
      <c r="CE52">
        <v>0</v>
      </c>
    </row>
    <row r="53" spans="1:83" x14ac:dyDescent="0.25">
      <c r="A53">
        <v>91</v>
      </c>
      <c r="B53">
        <v>91</v>
      </c>
      <c r="C53" t="s">
        <v>227</v>
      </c>
      <c r="D53" t="s">
        <v>360</v>
      </c>
      <c r="E53">
        <v>0</v>
      </c>
      <c r="F53">
        <v>0</v>
      </c>
      <c r="G53">
        <v>0</v>
      </c>
      <c r="H53">
        <v>0</v>
      </c>
      <c r="I53">
        <v>0</v>
      </c>
      <c r="J53">
        <v>0</v>
      </c>
      <c r="K53">
        <v>0</v>
      </c>
      <c r="L53">
        <v>0</v>
      </c>
      <c r="M53">
        <v>0</v>
      </c>
      <c r="N53">
        <v>0</v>
      </c>
      <c r="O53">
        <v>0</v>
      </c>
      <c r="P53">
        <v>0</v>
      </c>
      <c r="Q53">
        <v>0</v>
      </c>
      <c r="R53">
        <v>9141282</v>
      </c>
      <c r="S53">
        <v>0</v>
      </c>
      <c r="T53">
        <v>0</v>
      </c>
      <c r="U53">
        <v>0</v>
      </c>
      <c r="V53">
        <v>0</v>
      </c>
      <c r="W53">
        <v>4130264</v>
      </c>
      <c r="X53">
        <v>0</v>
      </c>
      <c r="Y53">
        <v>0</v>
      </c>
      <c r="Z53">
        <v>0</v>
      </c>
      <c r="AA53">
        <v>0</v>
      </c>
      <c r="AB53">
        <v>0</v>
      </c>
      <c r="AC53">
        <v>0</v>
      </c>
      <c r="AD53">
        <v>0</v>
      </c>
      <c r="AE53">
        <v>0</v>
      </c>
      <c r="AF53">
        <v>0</v>
      </c>
      <c r="AG53">
        <v>0</v>
      </c>
      <c r="AH53">
        <v>0</v>
      </c>
      <c r="AI53">
        <v>0</v>
      </c>
      <c r="AJ53">
        <v>6934735</v>
      </c>
      <c r="AK53">
        <v>0</v>
      </c>
      <c r="AL53">
        <v>0</v>
      </c>
      <c r="AM53">
        <v>0</v>
      </c>
      <c r="AN53">
        <v>1526482</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162639</v>
      </c>
      <c r="BT53">
        <v>1846946</v>
      </c>
      <c r="BU53">
        <v>0</v>
      </c>
      <c r="BV53">
        <v>0</v>
      </c>
      <c r="BW53">
        <v>0</v>
      </c>
      <c r="BX53">
        <v>0</v>
      </c>
      <c r="BY53">
        <v>0</v>
      </c>
      <c r="BZ53">
        <v>0</v>
      </c>
      <c r="CA53">
        <v>0</v>
      </c>
      <c r="CB53">
        <v>0</v>
      </c>
      <c r="CC53">
        <v>0</v>
      </c>
      <c r="CD53">
        <v>0</v>
      </c>
      <c r="CE53">
        <v>0</v>
      </c>
    </row>
    <row r="54" spans="1:83" x14ac:dyDescent="0.25">
      <c r="B54">
        <v>92</v>
      </c>
      <c r="C54" t="s">
        <v>636</v>
      </c>
      <c r="D54" t="s">
        <v>361</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row>
    <row r="55" spans="1:83" x14ac:dyDescent="0.25">
      <c r="A55">
        <v>93</v>
      </c>
      <c r="B55">
        <v>93</v>
      </c>
      <c r="C55" t="s">
        <v>240</v>
      </c>
      <c r="D55" t="s">
        <v>362</v>
      </c>
      <c r="E55">
        <v>0</v>
      </c>
      <c r="F55">
        <v>0</v>
      </c>
      <c r="G55">
        <v>0</v>
      </c>
      <c r="H55">
        <v>0</v>
      </c>
      <c r="I55">
        <v>0</v>
      </c>
      <c r="J55">
        <v>0</v>
      </c>
      <c r="K55">
        <v>0</v>
      </c>
      <c r="L55">
        <v>0</v>
      </c>
      <c r="M55">
        <v>0</v>
      </c>
      <c r="N55">
        <v>0</v>
      </c>
      <c r="O55">
        <v>0</v>
      </c>
      <c r="P55">
        <v>0</v>
      </c>
      <c r="Q55">
        <v>0</v>
      </c>
      <c r="R55">
        <v>63762708</v>
      </c>
      <c r="S55">
        <v>0</v>
      </c>
      <c r="T55">
        <v>0</v>
      </c>
      <c r="U55">
        <v>0</v>
      </c>
      <c r="V55">
        <v>0</v>
      </c>
      <c r="W55">
        <v>31910830</v>
      </c>
      <c r="X55">
        <v>0</v>
      </c>
      <c r="Y55">
        <v>0</v>
      </c>
      <c r="Z55">
        <v>0</v>
      </c>
      <c r="AA55">
        <v>0</v>
      </c>
      <c r="AB55">
        <v>0</v>
      </c>
      <c r="AC55">
        <v>0</v>
      </c>
      <c r="AD55">
        <v>0</v>
      </c>
      <c r="AE55">
        <v>0</v>
      </c>
      <c r="AF55">
        <v>0</v>
      </c>
      <c r="AG55">
        <v>0</v>
      </c>
      <c r="AH55">
        <v>0</v>
      </c>
      <c r="AI55">
        <v>0</v>
      </c>
      <c r="AJ55">
        <v>52023283</v>
      </c>
      <c r="AK55">
        <v>0</v>
      </c>
      <c r="AL55">
        <v>0</v>
      </c>
      <c r="AM55">
        <v>0</v>
      </c>
      <c r="AN55">
        <v>16052920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2781725</v>
      </c>
      <c r="BT55">
        <v>12324642</v>
      </c>
      <c r="BU55">
        <v>0</v>
      </c>
      <c r="BV55">
        <v>0</v>
      </c>
      <c r="BW55">
        <v>0</v>
      </c>
      <c r="BX55">
        <v>0</v>
      </c>
      <c r="BY55">
        <v>0</v>
      </c>
      <c r="BZ55">
        <v>0</v>
      </c>
      <c r="CA55">
        <v>0</v>
      </c>
      <c r="CB55">
        <v>0</v>
      </c>
      <c r="CC55">
        <v>0</v>
      </c>
      <c r="CD55">
        <v>0</v>
      </c>
      <c r="CE55">
        <v>0</v>
      </c>
    </row>
    <row r="56" spans="1:83" x14ac:dyDescent="0.25">
      <c r="A56">
        <v>94</v>
      </c>
      <c r="B56">
        <v>94</v>
      </c>
      <c r="C56" t="s">
        <v>243</v>
      </c>
      <c r="D56" t="s">
        <v>363</v>
      </c>
      <c r="E56">
        <v>0</v>
      </c>
      <c r="F56">
        <v>0</v>
      </c>
      <c r="G56">
        <v>0</v>
      </c>
      <c r="H56">
        <v>0</v>
      </c>
      <c r="I56">
        <v>0</v>
      </c>
      <c r="J56">
        <v>0</v>
      </c>
      <c r="K56">
        <v>0</v>
      </c>
      <c r="L56">
        <v>0</v>
      </c>
      <c r="M56">
        <v>0</v>
      </c>
      <c r="N56">
        <v>0</v>
      </c>
      <c r="O56">
        <v>0</v>
      </c>
      <c r="P56">
        <v>0</v>
      </c>
      <c r="Q56">
        <v>0</v>
      </c>
      <c r="R56">
        <v>57399167</v>
      </c>
      <c r="S56">
        <v>0</v>
      </c>
      <c r="T56">
        <v>0</v>
      </c>
      <c r="U56">
        <v>0</v>
      </c>
      <c r="V56">
        <v>0</v>
      </c>
      <c r="W56">
        <v>28877512</v>
      </c>
      <c r="X56">
        <v>0</v>
      </c>
      <c r="Y56">
        <v>0</v>
      </c>
      <c r="Z56">
        <v>0</v>
      </c>
      <c r="AA56">
        <v>0</v>
      </c>
      <c r="AB56">
        <v>0</v>
      </c>
      <c r="AC56">
        <v>0</v>
      </c>
      <c r="AD56">
        <v>0</v>
      </c>
      <c r="AE56">
        <v>0</v>
      </c>
      <c r="AF56">
        <v>0</v>
      </c>
      <c r="AG56">
        <v>0</v>
      </c>
      <c r="AH56">
        <v>0</v>
      </c>
      <c r="AI56">
        <v>0</v>
      </c>
      <c r="AJ56">
        <v>49182764</v>
      </c>
      <c r="AK56">
        <v>0</v>
      </c>
      <c r="AL56">
        <v>0</v>
      </c>
      <c r="AM56">
        <v>0</v>
      </c>
      <c r="AN56">
        <v>15628859</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2247019</v>
      </c>
      <c r="BT56">
        <v>11271522</v>
      </c>
      <c r="BU56">
        <v>0</v>
      </c>
      <c r="BV56">
        <v>0</v>
      </c>
      <c r="BW56">
        <v>0</v>
      </c>
      <c r="BX56">
        <v>0</v>
      </c>
      <c r="BY56">
        <v>0</v>
      </c>
      <c r="BZ56">
        <v>0</v>
      </c>
      <c r="CA56">
        <v>0</v>
      </c>
      <c r="CB56">
        <v>0</v>
      </c>
      <c r="CC56">
        <v>0</v>
      </c>
      <c r="CD56">
        <v>0</v>
      </c>
      <c r="CE56">
        <v>0</v>
      </c>
    </row>
    <row r="57" spans="1:83" x14ac:dyDescent="0.25">
      <c r="A57">
        <v>97</v>
      </c>
      <c r="B57">
        <v>97</v>
      </c>
      <c r="C57" t="s">
        <v>239</v>
      </c>
      <c r="D57" t="s">
        <v>364</v>
      </c>
      <c r="E57">
        <v>0</v>
      </c>
      <c r="F57">
        <v>0</v>
      </c>
      <c r="G57">
        <v>0</v>
      </c>
      <c r="H57">
        <v>0</v>
      </c>
      <c r="I57">
        <v>0</v>
      </c>
      <c r="J57">
        <v>0</v>
      </c>
      <c r="K57">
        <v>0</v>
      </c>
      <c r="L57">
        <v>0</v>
      </c>
      <c r="M57">
        <v>0</v>
      </c>
      <c r="N57">
        <v>0</v>
      </c>
      <c r="O57">
        <v>0</v>
      </c>
      <c r="P57">
        <v>0</v>
      </c>
      <c r="Q57">
        <v>0</v>
      </c>
      <c r="R57">
        <v>63358356</v>
      </c>
      <c r="S57">
        <v>0</v>
      </c>
      <c r="T57">
        <v>0</v>
      </c>
      <c r="U57">
        <v>0</v>
      </c>
      <c r="V57">
        <v>0</v>
      </c>
      <c r="W57">
        <v>31910830</v>
      </c>
      <c r="X57">
        <v>0</v>
      </c>
      <c r="Y57">
        <v>0</v>
      </c>
      <c r="Z57">
        <v>0</v>
      </c>
      <c r="AA57">
        <v>0</v>
      </c>
      <c r="AB57">
        <v>0</v>
      </c>
      <c r="AC57">
        <v>0</v>
      </c>
      <c r="AD57">
        <v>0</v>
      </c>
      <c r="AE57">
        <v>0</v>
      </c>
      <c r="AF57">
        <v>0</v>
      </c>
      <c r="AG57">
        <v>0</v>
      </c>
      <c r="AH57">
        <v>0</v>
      </c>
      <c r="AI57">
        <v>0</v>
      </c>
      <c r="AJ57">
        <v>51974494</v>
      </c>
      <c r="AK57">
        <v>0</v>
      </c>
      <c r="AL57">
        <v>0</v>
      </c>
      <c r="AM57">
        <v>0</v>
      </c>
      <c r="AN57">
        <v>15147919</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2676927</v>
      </c>
      <c r="BT57">
        <v>12065727</v>
      </c>
      <c r="BU57">
        <v>0</v>
      </c>
      <c r="BV57">
        <v>0</v>
      </c>
      <c r="BW57">
        <v>0</v>
      </c>
      <c r="BX57">
        <v>0</v>
      </c>
      <c r="BY57">
        <v>0</v>
      </c>
      <c r="BZ57">
        <v>0</v>
      </c>
      <c r="CA57">
        <v>0</v>
      </c>
      <c r="CB57">
        <v>0</v>
      </c>
      <c r="CC57">
        <v>0</v>
      </c>
      <c r="CD57">
        <v>0</v>
      </c>
      <c r="CE57">
        <v>0</v>
      </c>
    </row>
    <row r="58" spans="1:83" x14ac:dyDescent="0.25">
      <c r="A58">
        <v>98</v>
      </c>
      <c r="B58">
        <v>98</v>
      </c>
      <c r="C58" t="s">
        <v>244</v>
      </c>
      <c r="D58" t="s">
        <v>365</v>
      </c>
      <c r="E58">
        <v>0</v>
      </c>
      <c r="F58">
        <v>0</v>
      </c>
      <c r="G58">
        <v>0</v>
      </c>
      <c r="H58">
        <v>0</v>
      </c>
      <c r="I58">
        <v>0</v>
      </c>
      <c r="J58">
        <v>0</v>
      </c>
      <c r="K58">
        <v>0</v>
      </c>
      <c r="L58">
        <v>0</v>
      </c>
      <c r="M58">
        <v>0</v>
      </c>
      <c r="N58">
        <v>0</v>
      </c>
      <c r="O58">
        <v>0</v>
      </c>
      <c r="P58">
        <v>0</v>
      </c>
      <c r="Q58">
        <v>0</v>
      </c>
      <c r="R58">
        <v>670043</v>
      </c>
      <c r="S58">
        <v>0</v>
      </c>
      <c r="T58">
        <v>0</v>
      </c>
      <c r="U58">
        <v>0</v>
      </c>
      <c r="V58">
        <v>0</v>
      </c>
      <c r="W58">
        <v>9353</v>
      </c>
      <c r="X58">
        <v>0</v>
      </c>
      <c r="Y58">
        <v>0</v>
      </c>
      <c r="Z58">
        <v>0</v>
      </c>
      <c r="AA58">
        <v>0</v>
      </c>
      <c r="AB58">
        <v>0</v>
      </c>
      <c r="AC58">
        <v>0</v>
      </c>
      <c r="AD58">
        <v>0</v>
      </c>
      <c r="AE58">
        <v>0</v>
      </c>
      <c r="AF58">
        <v>0</v>
      </c>
      <c r="AG58">
        <v>0</v>
      </c>
      <c r="AH58">
        <v>0</v>
      </c>
      <c r="AI58">
        <v>0</v>
      </c>
      <c r="AJ58">
        <v>188594</v>
      </c>
      <c r="AK58">
        <v>0</v>
      </c>
      <c r="AL58">
        <v>0</v>
      </c>
      <c r="AM58">
        <v>0</v>
      </c>
      <c r="AN58">
        <v>145204</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1498</v>
      </c>
      <c r="BT58">
        <v>0</v>
      </c>
      <c r="BU58">
        <v>0</v>
      </c>
      <c r="BV58">
        <v>0</v>
      </c>
      <c r="BW58">
        <v>0</v>
      </c>
      <c r="BX58">
        <v>0</v>
      </c>
      <c r="BY58">
        <v>0</v>
      </c>
      <c r="BZ58">
        <v>0</v>
      </c>
      <c r="CA58">
        <v>0</v>
      </c>
      <c r="CB58">
        <v>0</v>
      </c>
      <c r="CC58">
        <v>0</v>
      </c>
      <c r="CD58">
        <v>0</v>
      </c>
      <c r="CE58">
        <v>0</v>
      </c>
    </row>
    <row r="59" spans="1:83" x14ac:dyDescent="0.25">
      <c r="A59">
        <v>99</v>
      </c>
      <c r="B59">
        <v>99</v>
      </c>
      <c r="C59" t="s">
        <v>241</v>
      </c>
      <c r="D59" t="s">
        <v>366</v>
      </c>
      <c r="E59">
        <v>0</v>
      </c>
      <c r="F59">
        <v>0</v>
      </c>
      <c r="G59">
        <v>0</v>
      </c>
      <c r="H59">
        <v>0</v>
      </c>
      <c r="I59">
        <v>0</v>
      </c>
      <c r="J59">
        <v>0</v>
      </c>
      <c r="K59">
        <v>0</v>
      </c>
      <c r="L59">
        <v>0</v>
      </c>
      <c r="M59">
        <v>0</v>
      </c>
      <c r="N59">
        <v>0</v>
      </c>
      <c r="O59">
        <v>0</v>
      </c>
      <c r="P59">
        <v>0</v>
      </c>
      <c r="Q59">
        <v>0</v>
      </c>
      <c r="R59">
        <v>48855719</v>
      </c>
      <c r="S59">
        <v>0</v>
      </c>
      <c r="T59">
        <v>0</v>
      </c>
      <c r="U59">
        <v>0</v>
      </c>
      <c r="V59">
        <v>0</v>
      </c>
      <c r="W59">
        <v>24587343</v>
      </c>
      <c r="X59">
        <v>0</v>
      </c>
      <c r="Y59">
        <v>0</v>
      </c>
      <c r="Z59">
        <v>0</v>
      </c>
      <c r="AA59">
        <v>0</v>
      </c>
      <c r="AB59">
        <v>0</v>
      </c>
      <c r="AC59">
        <v>0</v>
      </c>
      <c r="AD59">
        <v>0</v>
      </c>
      <c r="AE59">
        <v>0</v>
      </c>
      <c r="AF59">
        <v>0</v>
      </c>
      <c r="AG59">
        <v>0</v>
      </c>
      <c r="AH59">
        <v>0</v>
      </c>
      <c r="AI59">
        <v>0</v>
      </c>
      <c r="AJ59">
        <v>38460381</v>
      </c>
      <c r="AK59">
        <v>0</v>
      </c>
      <c r="AL59">
        <v>0</v>
      </c>
      <c r="AM59">
        <v>0</v>
      </c>
      <c r="AN59">
        <v>10891901</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1347928</v>
      </c>
      <c r="BT59">
        <v>9141594</v>
      </c>
      <c r="BU59">
        <v>0</v>
      </c>
      <c r="BV59">
        <v>0</v>
      </c>
      <c r="BW59">
        <v>0</v>
      </c>
      <c r="BX59">
        <v>0</v>
      </c>
      <c r="BY59">
        <v>0</v>
      </c>
      <c r="BZ59">
        <v>0</v>
      </c>
      <c r="CA59">
        <v>0</v>
      </c>
      <c r="CB59">
        <v>0</v>
      </c>
      <c r="CC59">
        <v>0</v>
      </c>
      <c r="CD59">
        <v>0</v>
      </c>
      <c r="CE59">
        <v>0</v>
      </c>
    </row>
    <row r="60" spans="1:83" x14ac:dyDescent="0.25">
      <c r="A60">
        <v>100</v>
      </c>
      <c r="B60">
        <v>100</v>
      </c>
      <c r="C60" t="s">
        <v>254</v>
      </c>
      <c r="D60" t="s">
        <v>367</v>
      </c>
      <c r="E60">
        <v>0</v>
      </c>
      <c r="F60">
        <v>0</v>
      </c>
      <c r="G60">
        <v>0</v>
      </c>
      <c r="H60">
        <v>0</v>
      </c>
      <c r="I60">
        <v>0</v>
      </c>
      <c r="J60">
        <v>0</v>
      </c>
      <c r="K60">
        <v>0</v>
      </c>
      <c r="L60">
        <v>0</v>
      </c>
      <c r="M60">
        <v>0</v>
      </c>
      <c r="N60">
        <v>0</v>
      </c>
      <c r="O60">
        <v>0</v>
      </c>
      <c r="P60">
        <v>0</v>
      </c>
      <c r="Q60">
        <v>0</v>
      </c>
      <c r="R60">
        <v>1008400</v>
      </c>
      <c r="S60">
        <v>0</v>
      </c>
      <c r="T60">
        <v>0</v>
      </c>
      <c r="U60">
        <v>0</v>
      </c>
      <c r="V60">
        <v>0</v>
      </c>
      <c r="W60">
        <v>166011</v>
      </c>
      <c r="X60">
        <v>0</v>
      </c>
      <c r="Y60">
        <v>0</v>
      </c>
      <c r="Z60">
        <v>0</v>
      </c>
      <c r="AA60">
        <v>0</v>
      </c>
      <c r="AB60">
        <v>0</v>
      </c>
      <c r="AC60">
        <v>0</v>
      </c>
      <c r="AD60">
        <v>0</v>
      </c>
      <c r="AE60">
        <v>0</v>
      </c>
      <c r="AF60">
        <v>0</v>
      </c>
      <c r="AG60">
        <v>0</v>
      </c>
      <c r="AH60">
        <v>0</v>
      </c>
      <c r="AI60">
        <v>0</v>
      </c>
      <c r="AJ60">
        <v>1808796</v>
      </c>
      <c r="AK60">
        <v>0</v>
      </c>
      <c r="AL60">
        <v>0</v>
      </c>
      <c r="AM60">
        <v>0</v>
      </c>
      <c r="AN60">
        <v>820126</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row>
    <row r="61" spans="1:83" x14ac:dyDescent="0.25">
      <c r="A61">
        <v>101</v>
      </c>
      <c r="B61">
        <v>101</v>
      </c>
      <c r="C61" t="s">
        <v>253</v>
      </c>
      <c r="D61" t="s">
        <v>368</v>
      </c>
      <c r="E61">
        <v>0</v>
      </c>
      <c r="F61">
        <v>0</v>
      </c>
      <c r="G61">
        <v>0</v>
      </c>
      <c r="H61">
        <v>0</v>
      </c>
      <c r="I61">
        <v>0</v>
      </c>
      <c r="J61">
        <v>0</v>
      </c>
      <c r="K61">
        <v>0</v>
      </c>
      <c r="L61">
        <v>0</v>
      </c>
      <c r="M61">
        <v>0</v>
      </c>
      <c r="N61">
        <v>0</v>
      </c>
      <c r="O61">
        <v>0</v>
      </c>
      <c r="P61">
        <v>0</v>
      </c>
      <c r="Q61">
        <v>0</v>
      </c>
      <c r="R61">
        <v>2698552</v>
      </c>
      <c r="S61">
        <v>0</v>
      </c>
      <c r="T61">
        <v>0</v>
      </c>
      <c r="U61">
        <v>0</v>
      </c>
      <c r="V61">
        <v>0</v>
      </c>
      <c r="W61">
        <v>747783</v>
      </c>
      <c r="X61">
        <v>0</v>
      </c>
      <c r="Y61">
        <v>0</v>
      </c>
      <c r="Z61">
        <v>0</v>
      </c>
      <c r="AA61">
        <v>0</v>
      </c>
      <c r="AB61">
        <v>0</v>
      </c>
      <c r="AC61">
        <v>0</v>
      </c>
      <c r="AD61">
        <v>0</v>
      </c>
      <c r="AE61">
        <v>0</v>
      </c>
      <c r="AF61">
        <v>0</v>
      </c>
      <c r="AG61">
        <v>0</v>
      </c>
      <c r="AH61">
        <v>0</v>
      </c>
      <c r="AI61">
        <v>0</v>
      </c>
      <c r="AJ61">
        <v>2232641</v>
      </c>
      <c r="AK61">
        <v>0</v>
      </c>
      <c r="AL61">
        <v>0</v>
      </c>
      <c r="AM61">
        <v>0</v>
      </c>
      <c r="AN61">
        <v>1106613</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1255264</v>
      </c>
      <c r="BU61">
        <v>0</v>
      </c>
      <c r="BV61">
        <v>0</v>
      </c>
      <c r="BW61">
        <v>0</v>
      </c>
      <c r="BX61">
        <v>0</v>
      </c>
      <c r="BY61">
        <v>0</v>
      </c>
      <c r="BZ61">
        <v>0</v>
      </c>
      <c r="CA61">
        <v>0</v>
      </c>
      <c r="CB61">
        <v>0</v>
      </c>
      <c r="CC61">
        <v>0</v>
      </c>
      <c r="CD61">
        <v>0</v>
      </c>
      <c r="CE61">
        <v>0</v>
      </c>
    </row>
    <row r="62" spans="1:83" x14ac:dyDescent="0.25">
      <c r="A62">
        <v>102</v>
      </c>
      <c r="B62">
        <v>102</v>
      </c>
      <c r="C62" t="s">
        <v>272</v>
      </c>
      <c r="D62" t="s">
        <v>369</v>
      </c>
      <c r="E62">
        <v>0</v>
      </c>
      <c r="F62">
        <v>99</v>
      </c>
      <c r="G62">
        <v>97.78</v>
      </c>
      <c r="H62">
        <v>98.08</v>
      </c>
      <c r="I62">
        <v>96.93</v>
      </c>
      <c r="J62">
        <v>99.08</v>
      </c>
      <c r="K62">
        <v>96.05</v>
      </c>
      <c r="L62">
        <v>99.53</v>
      </c>
      <c r="M62">
        <v>98.41</v>
      </c>
      <c r="N62">
        <v>99.56</v>
      </c>
      <c r="O62">
        <v>95.52</v>
      </c>
      <c r="P62">
        <v>98.85</v>
      </c>
      <c r="Q62">
        <v>99.15</v>
      </c>
      <c r="R62">
        <v>99.14</v>
      </c>
      <c r="S62">
        <v>99.99</v>
      </c>
      <c r="T62">
        <v>0</v>
      </c>
      <c r="U62">
        <v>99.2</v>
      </c>
      <c r="V62">
        <v>99.29</v>
      </c>
      <c r="W62">
        <v>98.35</v>
      </c>
      <c r="X62">
        <v>99.92</v>
      </c>
      <c r="Y62">
        <v>79.37</v>
      </c>
      <c r="Z62">
        <v>98.37</v>
      </c>
      <c r="AA62">
        <v>94.75</v>
      </c>
      <c r="AB62">
        <v>99.34</v>
      </c>
      <c r="AC62">
        <v>97.15</v>
      </c>
      <c r="AD62">
        <v>98.29</v>
      </c>
      <c r="AE62">
        <v>96.99</v>
      </c>
      <c r="AF62">
        <v>92.37</v>
      </c>
      <c r="AG62">
        <v>99.98</v>
      </c>
      <c r="AH62">
        <v>97.88</v>
      </c>
      <c r="AI62">
        <v>92.65</v>
      </c>
      <c r="AJ62">
        <v>99.28</v>
      </c>
      <c r="AK62">
        <v>99.71</v>
      </c>
      <c r="AL62">
        <v>94.41</v>
      </c>
      <c r="AM62">
        <v>0</v>
      </c>
      <c r="AN62">
        <v>98.35</v>
      </c>
      <c r="AO62">
        <v>0</v>
      </c>
      <c r="AP62">
        <v>0</v>
      </c>
      <c r="AQ62">
        <v>0</v>
      </c>
      <c r="AR62">
        <v>99.35</v>
      </c>
      <c r="AS62">
        <v>96.35</v>
      </c>
      <c r="AT62">
        <v>93.64</v>
      </c>
      <c r="AU62">
        <v>97.81</v>
      </c>
      <c r="AV62">
        <v>0</v>
      </c>
      <c r="AW62">
        <v>99.13</v>
      </c>
      <c r="AX62">
        <v>99.44</v>
      </c>
      <c r="AY62">
        <v>98.09</v>
      </c>
      <c r="AZ62">
        <v>97.02</v>
      </c>
      <c r="BA62">
        <v>98.46</v>
      </c>
      <c r="BB62">
        <v>94.28</v>
      </c>
      <c r="BC62">
        <v>0</v>
      </c>
      <c r="BD62">
        <v>0</v>
      </c>
      <c r="BE62">
        <v>98.31</v>
      </c>
      <c r="BF62">
        <v>98.11</v>
      </c>
      <c r="BG62">
        <v>93.28</v>
      </c>
      <c r="BH62">
        <v>76.3</v>
      </c>
      <c r="BI62">
        <v>97.27</v>
      </c>
      <c r="BJ62">
        <v>94.91</v>
      </c>
      <c r="BK62">
        <v>96.1</v>
      </c>
      <c r="BL62">
        <v>95.27</v>
      </c>
      <c r="BM62">
        <v>0</v>
      </c>
      <c r="BN62">
        <v>99.05</v>
      </c>
      <c r="BO62">
        <v>99.91</v>
      </c>
      <c r="BP62">
        <v>99.84</v>
      </c>
      <c r="BQ62">
        <v>99.17</v>
      </c>
      <c r="BR62">
        <v>99.89</v>
      </c>
      <c r="BS62">
        <v>85.81</v>
      </c>
      <c r="BT62">
        <v>99.62</v>
      </c>
      <c r="BU62">
        <v>96.25</v>
      </c>
      <c r="BV62">
        <v>98.07</v>
      </c>
      <c r="BW62">
        <v>98.45</v>
      </c>
      <c r="BX62">
        <v>91.59</v>
      </c>
      <c r="BY62">
        <v>91.2</v>
      </c>
      <c r="BZ62">
        <v>99.57</v>
      </c>
      <c r="CA62">
        <v>75.64</v>
      </c>
      <c r="CB62">
        <v>96.83</v>
      </c>
      <c r="CC62">
        <v>0</v>
      </c>
      <c r="CD62">
        <v>0</v>
      </c>
      <c r="CE62">
        <v>87.01</v>
      </c>
    </row>
    <row r="63" spans="1:83" x14ac:dyDescent="0.25">
      <c r="A63">
        <v>103</v>
      </c>
      <c r="B63">
        <v>103</v>
      </c>
      <c r="C63" t="s">
        <v>273</v>
      </c>
      <c r="D63" t="s">
        <v>370</v>
      </c>
      <c r="E63">
        <v>0</v>
      </c>
      <c r="F63">
        <v>100</v>
      </c>
      <c r="G63">
        <v>100</v>
      </c>
      <c r="H63">
        <v>100</v>
      </c>
      <c r="I63">
        <v>100</v>
      </c>
      <c r="J63">
        <v>100</v>
      </c>
      <c r="K63">
        <v>100</v>
      </c>
      <c r="L63">
        <v>100</v>
      </c>
      <c r="M63">
        <v>100</v>
      </c>
      <c r="N63">
        <v>100</v>
      </c>
      <c r="O63">
        <v>100</v>
      </c>
      <c r="P63">
        <v>100</v>
      </c>
      <c r="Q63">
        <v>100</v>
      </c>
      <c r="R63">
        <v>100</v>
      </c>
      <c r="S63">
        <v>100</v>
      </c>
      <c r="T63">
        <v>0</v>
      </c>
      <c r="U63">
        <v>99.5</v>
      </c>
      <c r="V63">
        <v>100</v>
      </c>
      <c r="W63">
        <v>100</v>
      </c>
      <c r="X63">
        <v>99.83</v>
      </c>
      <c r="Y63">
        <v>100</v>
      </c>
      <c r="Z63">
        <v>99.69</v>
      </c>
      <c r="AA63">
        <v>100</v>
      </c>
      <c r="AB63">
        <v>100</v>
      </c>
      <c r="AC63">
        <v>99.02</v>
      </c>
      <c r="AD63">
        <v>100</v>
      </c>
      <c r="AE63">
        <v>100</v>
      </c>
      <c r="AF63">
        <v>100</v>
      </c>
      <c r="AG63">
        <v>100</v>
      </c>
      <c r="AH63">
        <v>100</v>
      </c>
      <c r="AI63">
        <v>100</v>
      </c>
      <c r="AJ63">
        <v>100</v>
      </c>
      <c r="AK63">
        <v>100</v>
      </c>
      <c r="AL63">
        <v>91.2</v>
      </c>
      <c r="AM63">
        <v>0</v>
      </c>
      <c r="AN63">
        <v>99.98</v>
      </c>
      <c r="AO63">
        <v>0</v>
      </c>
      <c r="AP63">
        <v>0</v>
      </c>
      <c r="AQ63">
        <v>0</v>
      </c>
      <c r="AR63">
        <v>100</v>
      </c>
      <c r="AS63">
        <v>100</v>
      </c>
      <c r="AT63">
        <v>100</v>
      </c>
      <c r="AU63">
        <v>99.8</v>
      </c>
      <c r="AV63">
        <v>0</v>
      </c>
      <c r="AW63">
        <v>100</v>
      </c>
      <c r="AX63">
        <v>100</v>
      </c>
      <c r="AY63">
        <v>100</v>
      </c>
      <c r="AZ63">
        <v>100</v>
      </c>
      <c r="BA63">
        <v>100</v>
      </c>
      <c r="BB63">
        <v>100</v>
      </c>
      <c r="BC63">
        <v>0</v>
      </c>
      <c r="BD63">
        <v>0</v>
      </c>
      <c r="BE63">
        <v>99.91</v>
      </c>
      <c r="BF63">
        <v>100</v>
      </c>
      <c r="BG63">
        <v>100</v>
      </c>
      <c r="BH63">
        <v>100</v>
      </c>
      <c r="BI63">
        <v>100</v>
      </c>
      <c r="BJ63">
        <v>100</v>
      </c>
      <c r="BK63">
        <v>100</v>
      </c>
      <c r="BL63">
        <v>97.24</v>
      </c>
      <c r="BM63">
        <v>0</v>
      </c>
      <c r="BN63">
        <v>100</v>
      </c>
      <c r="BO63">
        <v>99.33</v>
      </c>
      <c r="BP63">
        <v>100</v>
      </c>
      <c r="BQ63">
        <v>100</v>
      </c>
      <c r="BR63">
        <v>100</v>
      </c>
      <c r="BS63">
        <v>100</v>
      </c>
      <c r="BT63">
        <v>100</v>
      </c>
      <c r="BU63">
        <v>100</v>
      </c>
      <c r="BV63">
        <v>100</v>
      </c>
      <c r="BW63">
        <v>100</v>
      </c>
      <c r="BX63">
        <v>100</v>
      </c>
      <c r="BY63">
        <v>100</v>
      </c>
      <c r="BZ63">
        <v>100</v>
      </c>
      <c r="CA63">
        <v>100</v>
      </c>
      <c r="CB63">
        <v>100</v>
      </c>
      <c r="CC63">
        <v>0</v>
      </c>
      <c r="CD63">
        <v>0</v>
      </c>
      <c r="CE63">
        <v>100</v>
      </c>
    </row>
    <row r="64" spans="1:83" x14ac:dyDescent="0.25">
      <c r="B64">
        <v>104</v>
      </c>
      <c r="C64" t="s">
        <v>371</v>
      </c>
      <c r="D64" t="s">
        <v>372</v>
      </c>
      <c r="E64">
        <v>0</v>
      </c>
      <c r="F64">
        <v>0</v>
      </c>
      <c r="G64">
        <v>0</v>
      </c>
      <c r="H64">
        <v>0</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row>
    <row r="65" spans="1:83" x14ac:dyDescent="0.25">
      <c r="B65">
        <v>107</v>
      </c>
      <c r="C65" t="s">
        <v>637</v>
      </c>
      <c r="D65" t="s">
        <v>373</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row>
    <row r="66" spans="1:83" x14ac:dyDescent="0.25">
      <c r="B66">
        <v>108</v>
      </c>
      <c r="C66" t="s">
        <v>638</v>
      </c>
      <c r="D66" t="s">
        <v>374</v>
      </c>
      <c r="E66">
        <v>0</v>
      </c>
      <c r="F66">
        <v>0</v>
      </c>
      <c r="G66">
        <v>0</v>
      </c>
      <c r="H66">
        <v>0</v>
      </c>
      <c r="I66">
        <v>0</v>
      </c>
      <c r="J66">
        <v>0</v>
      </c>
      <c r="K66">
        <v>0</v>
      </c>
      <c r="L66">
        <v>0</v>
      </c>
      <c r="M66">
        <v>0</v>
      </c>
      <c r="N66">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row>
    <row r="67" spans="1:83" x14ac:dyDescent="0.25">
      <c r="B67">
        <v>147</v>
      </c>
      <c r="C67" t="s">
        <v>375</v>
      </c>
      <c r="D67" t="s">
        <v>376</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row>
    <row r="68" spans="1:83" x14ac:dyDescent="0.25">
      <c r="B68">
        <v>148</v>
      </c>
      <c r="C68" t="s">
        <v>377</v>
      </c>
      <c r="D68" t="s">
        <v>378</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row>
    <row r="69" spans="1:83" x14ac:dyDescent="0.25">
      <c r="B69">
        <v>149</v>
      </c>
      <c r="C69" t="s">
        <v>379</v>
      </c>
      <c r="D69" t="s">
        <v>380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row>
    <row r="70" spans="1:83" x14ac:dyDescent="0.25">
      <c r="B70">
        <v>150</v>
      </c>
      <c r="C70" t="s">
        <v>381</v>
      </c>
      <c r="D70" t="s">
        <v>382</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row>
    <row r="71" spans="1:83" x14ac:dyDescent="0.25">
      <c r="A71">
        <v>171</v>
      </c>
      <c r="B71">
        <v>171</v>
      </c>
      <c r="C71" t="s">
        <v>220</v>
      </c>
      <c r="D71" t="s">
        <v>383</v>
      </c>
      <c r="E71">
        <v>0</v>
      </c>
      <c r="F71">
        <v>3600</v>
      </c>
      <c r="G71">
        <v>3599</v>
      </c>
      <c r="H71">
        <v>52958</v>
      </c>
      <c r="I71">
        <v>0</v>
      </c>
      <c r="J71">
        <v>87015</v>
      </c>
      <c r="K71">
        <v>0</v>
      </c>
      <c r="L71">
        <v>0</v>
      </c>
      <c r="M71">
        <v>0</v>
      </c>
      <c r="N71">
        <v>704269</v>
      </c>
      <c r="O71">
        <v>24282</v>
      </c>
      <c r="P71">
        <v>230747</v>
      </c>
      <c r="Q71">
        <v>0</v>
      </c>
      <c r="R71">
        <v>1654750</v>
      </c>
      <c r="S71">
        <v>23578</v>
      </c>
      <c r="T71">
        <v>0</v>
      </c>
      <c r="U71">
        <v>12790185</v>
      </c>
      <c r="V71">
        <v>1484410</v>
      </c>
      <c r="W71">
        <v>1413821</v>
      </c>
      <c r="X71">
        <v>2130414</v>
      </c>
      <c r="Y71">
        <v>0</v>
      </c>
      <c r="Z71">
        <v>36000</v>
      </c>
      <c r="AA71">
        <v>27545</v>
      </c>
      <c r="AB71">
        <v>1398339</v>
      </c>
      <c r="AC71">
        <v>699323</v>
      </c>
      <c r="AD71">
        <v>57837</v>
      </c>
      <c r="AE71" s="708">
        <v>9909</v>
      </c>
      <c r="AF71">
        <v>115405</v>
      </c>
      <c r="AG71">
        <v>1334661</v>
      </c>
      <c r="AH71">
        <v>0</v>
      </c>
      <c r="AI71">
        <v>30364</v>
      </c>
      <c r="AJ71">
        <v>2144331</v>
      </c>
      <c r="AK71">
        <v>0</v>
      </c>
      <c r="AL71">
        <v>0</v>
      </c>
      <c r="AM71">
        <v>0</v>
      </c>
      <c r="AN71">
        <v>1327221</v>
      </c>
      <c r="AO71">
        <v>0</v>
      </c>
      <c r="AP71">
        <v>0</v>
      </c>
      <c r="AQ71">
        <v>0</v>
      </c>
      <c r="AR71">
        <v>1034494</v>
      </c>
      <c r="AS71">
        <v>147173</v>
      </c>
      <c r="AT71">
        <v>5925</v>
      </c>
      <c r="AU71">
        <v>64542</v>
      </c>
      <c r="AV71">
        <v>0</v>
      </c>
      <c r="AW71">
        <v>1743951</v>
      </c>
      <c r="AX71">
        <v>0</v>
      </c>
      <c r="AY71">
        <v>0</v>
      </c>
      <c r="AZ71">
        <v>440743</v>
      </c>
      <c r="BA71">
        <v>8130</v>
      </c>
      <c r="BB71">
        <v>0</v>
      </c>
      <c r="BC71">
        <v>0</v>
      </c>
      <c r="BD71">
        <v>0</v>
      </c>
      <c r="BE71">
        <v>272888</v>
      </c>
      <c r="BF71">
        <v>0</v>
      </c>
      <c r="BG71">
        <v>0</v>
      </c>
      <c r="BH71">
        <v>0</v>
      </c>
      <c r="BI71">
        <v>0</v>
      </c>
      <c r="BJ71">
        <v>0</v>
      </c>
      <c r="BK71">
        <v>18940</v>
      </c>
      <c r="BL71">
        <v>282217</v>
      </c>
      <c r="BM71">
        <v>0</v>
      </c>
      <c r="BN71">
        <v>49614</v>
      </c>
      <c r="BO71">
        <v>189650</v>
      </c>
      <c r="BP71">
        <v>35279</v>
      </c>
      <c r="BQ71">
        <v>136978</v>
      </c>
      <c r="BR71">
        <v>319052</v>
      </c>
      <c r="BS71">
        <v>21521</v>
      </c>
      <c r="BT71">
        <v>834748</v>
      </c>
      <c r="BU71">
        <v>44286</v>
      </c>
      <c r="BV71">
        <v>104647</v>
      </c>
      <c r="BW71">
        <v>0</v>
      </c>
      <c r="BX71">
        <v>106351</v>
      </c>
      <c r="BY71">
        <v>0</v>
      </c>
      <c r="BZ71">
        <v>0</v>
      </c>
      <c r="CA71">
        <v>0</v>
      </c>
      <c r="CB71">
        <v>0</v>
      </c>
      <c r="CC71">
        <v>0</v>
      </c>
      <c r="CD71">
        <v>0</v>
      </c>
      <c r="CE71">
        <v>0</v>
      </c>
    </row>
    <row r="72" spans="1:83" x14ac:dyDescent="0.25">
      <c r="A72">
        <v>191</v>
      </c>
      <c r="B72">
        <v>191</v>
      </c>
      <c r="C72" t="s">
        <v>236</v>
      </c>
      <c r="D72" t="s">
        <v>384</v>
      </c>
      <c r="E72">
        <v>0</v>
      </c>
      <c r="F72">
        <v>0</v>
      </c>
      <c r="G72">
        <v>52750</v>
      </c>
      <c r="H72">
        <v>0</v>
      </c>
      <c r="I72">
        <v>0</v>
      </c>
      <c r="J72">
        <v>0</v>
      </c>
      <c r="K72">
        <v>0</v>
      </c>
      <c r="L72">
        <v>0</v>
      </c>
      <c r="M72">
        <v>0</v>
      </c>
      <c r="N72">
        <v>0</v>
      </c>
      <c r="O72">
        <v>0</v>
      </c>
      <c r="P72">
        <v>401725</v>
      </c>
      <c r="Q72">
        <v>0</v>
      </c>
      <c r="R72">
        <v>126680</v>
      </c>
      <c r="S72">
        <v>0</v>
      </c>
      <c r="T72">
        <v>0</v>
      </c>
      <c r="U72">
        <v>0</v>
      </c>
      <c r="V72">
        <v>232899</v>
      </c>
      <c r="W72">
        <v>0</v>
      </c>
      <c r="X72">
        <v>0</v>
      </c>
      <c r="Y72">
        <v>0</v>
      </c>
      <c r="Z72">
        <v>72260</v>
      </c>
      <c r="AA72">
        <v>0</v>
      </c>
      <c r="AB72">
        <v>0</v>
      </c>
      <c r="AC72">
        <v>391649</v>
      </c>
      <c r="AD72">
        <v>6476</v>
      </c>
      <c r="AE72">
        <v>0</v>
      </c>
      <c r="AF72">
        <v>1183771</v>
      </c>
      <c r="AG72">
        <v>22461</v>
      </c>
      <c r="AH72">
        <v>0</v>
      </c>
      <c r="AI72">
        <v>0</v>
      </c>
      <c r="AJ72">
        <v>2247452</v>
      </c>
      <c r="AK72">
        <v>0</v>
      </c>
      <c r="AL72">
        <v>0</v>
      </c>
      <c r="AM72">
        <v>0</v>
      </c>
      <c r="AN72">
        <v>387294</v>
      </c>
      <c r="AO72">
        <v>0</v>
      </c>
      <c r="AP72">
        <v>0</v>
      </c>
      <c r="AQ72">
        <v>0</v>
      </c>
      <c r="AR72">
        <v>0</v>
      </c>
      <c r="AS72">
        <v>0</v>
      </c>
      <c r="AT72">
        <v>0</v>
      </c>
      <c r="AU72">
        <v>0</v>
      </c>
      <c r="AV72">
        <v>0</v>
      </c>
      <c r="AW72">
        <v>4874459</v>
      </c>
      <c r="AX72">
        <v>0</v>
      </c>
      <c r="AY72">
        <v>0</v>
      </c>
      <c r="AZ72">
        <v>0</v>
      </c>
      <c r="BA72">
        <v>0</v>
      </c>
      <c r="BB72">
        <v>0</v>
      </c>
      <c r="BC72">
        <v>0</v>
      </c>
      <c r="BD72">
        <v>0</v>
      </c>
      <c r="BE72">
        <v>203965</v>
      </c>
      <c r="BF72">
        <v>0</v>
      </c>
      <c r="BG72">
        <v>101850</v>
      </c>
      <c r="BH72">
        <v>0</v>
      </c>
      <c r="BI72">
        <v>0</v>
      </c>
      <c r="BJ72">
        <v>0</v>
      </c>
      <c r="BK72">
        <v>0</v>
      </c>
      <c r="BL72">
        <v>927112</v>
      </c>
      <c r="BM72">
        <v>0</v>
      </c>
      <c r="BN72">
        <v>197450</v>
      </c>
      <c r="BO72">
        <v>0</v>
      </c>
      <c r="BP72">
        <v>0</v>
      </c>
      <c r="BQ72">
        <v>0</v>
      </c>
      <c r="BR72">
        <v>0</v>
      </c>
      <c r="BS72">
        <v>286522</v>
      </c>
      <c r="BT72">
        <v>0</v>
      </c>
      <c r="BU72">
        <v>98826</v>
      </c>
      <c r="BV72">
        <v>0</v>
      </c>
      <c r="BW72">
        <v>0</v>
      </c>
      <c r="BX72">
        <v>333753</v>
      </c>
      <c r="BY72">
        <v>0</v>
      </c>
      <c r="BZ72">
        <v>0</v>
      </c>
      <c r="CA72" s="708">
        <v>20575</v>
      </c>
      <c r="CB72">
        <v>0</v>
      </c>
      <c r="CC72">
        <v>0</v>
      </c>
      <c r="CD72">
        <v>0</v>
      </c>
      <c r="CE72">
        <v>0</v>
      </c>
    </row>
    <row r="73" spans="1:83" x14ac:dyDescent="0.25">
      <c r="A73">
        <v>192</v>
      </c>
      <c r="B73">
        <v>192</v>
      </c>
      <c r="C73" t="s">
        <v>247</v>
      </c>
      <c r="D73" t="s">
        <v>385</v>
      </c>
      <c r="E73">
        <v>0</v>
      </c>
      <c r="F73">
        <v>0</v>
      </c>
      <c r="G73">
        <v>0</v>
      </c>
      <c r="H73">
        <v>0</v>
      </c>
      <c r="I73">
        <v>0</v>
      </c>
      <c r="J73">
        <v>0</v>
      </c>
      <c r="K73">
        <v>0</v>
      </c>
      <c r="L73">
        <v>0</v>
      </c>
      <c r="M73">
        <v>0</v>
      </c>
      <c r="N73">
        <v>0</v>
      </c>
      <c r="O73">
        <v>0</v>
      </c>
      <c r="P73">
        <v>0</v>
      </c>
      <c r="Q73">
        <v>0</v>
      </c>
      <c r="R73">
        <v>346474</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41750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row>
    <row r="74" spans="1:83" x14ac:dyDescent="0.25">
      <c r="B74">
        <v>193</v>
      </c>
      <c r="C74" t="s">
        <v>386</v>
      </c>
      <c r="D74" t="s">
        <v>387</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row>
    <row r="75" spans="1:83" x14ac:dyDescent="0.25">
      <c r="B75">
        <v>194</v>
      </c>
      <c r="C75" t="s">
        <v>388</v>
      </c>
      <c r="D75" t="s">
        <v>389</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row>
    <row r="76" spans="1:83" x14ac:dyDescent="0.25">
      <c r="B76">
        <v>231</v>
      </c>
      <c r="C76" t="s">
        <v>390</v>
      </c>
      <c r="D76" t="s">
        <v>391</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row>
    <row r="77" spans="1:83" x14ac:dyDescent="0.25">
      <c r="B77">
        <v>251</v>
      </c>
      <c r="C77" t="s">
        <v>392</v>
      </c>
      <c r="D77" t="s">
        <v>393</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row>
    <row r="78" spans="1:83" x14ac:dyDescent="0.25">
      <c r="A78">
        <v>252</v>
      </c>
      <c r="B78">
        <v>252</v>
      </c>
      <c r="C78" t="s">
        <v>105</v>
      </c>
      <c r="D78" t="s">
        <v>394</v>
      </c>
      <c r="E78">
        <v>0</v>
      </c>
      <c r="F78">
        <v>160635</v>
      </c>
      <c r="G78">
        <v>684867</v>
      </c>
      <c r="H78">
        <v>5539748</v>
      </c>
      <c r="I78">
        <v>2232370</v>
      </c>
      <c r="J78">
        <v>4839765</v>
      </c>
      <c r="K78">
        <v>11234</v>
      </c>
      <c r="L78">
        <v>1714608</v>
      </c>
      <c r="M78">
        <v>331923</v>
      </c>
      <c r="N78">
        <v>57219935</v>
      </c>
      <c r="O78">
        <v>416071</v>
      </c>
      <c r="P78">
        <v>6094716</v>
      </c>
      <c r="Q78">
        <v>162719</v>
      </c>
      <c r="R78">
        <v>71001544</v>
      </c>
      <c r="S78">
        <v>4006692</v>
      </c>
      <c r="T78">
        <v>115848</v>
      </c>
      <c r="U78">
        <v>40957113</v>
      </c>
      <c r="V78">
        <v>33012289</v>
      </c>
      <c r="W78">
        <v>28528025</v>
      </c>
      <c r="X78">
        <v>132627138</v>
      </c>
      <c r="Y78">
        <v>230448</v>
      </c>
      <c r="Z78">
        <v>25662543</v>
      </c>
      <c r="AA78">
        <v>1494297</v>
      </c>
      <c r="AB78">
        <v>19050880</v>
      </c>
      <c r="AC78">
        <v>3294559</v>
      </c>
      <c r="AD78">
        <v>2620904</v>
      </c>
      <c r="AE78" s="708">
        <v>1191772</v>
      </c>
      <c r="AF78">
        <v>1450043</v>
      </c>
      <c r="AG78">
        <v>25110090</v>
      </c>
      <c r="AH78">
        <v>6425468</v>
      </c>
      <c r="AI78">
        <v>2060723</v>
      </c>
      <c r="AJ78">
        <v>52140067</v>
      </c>
      <c r="AK78">
        <v>3526801</v>
      </c>
      <c r="AL78">
        <v>2739843</v>
      </c>
      <c r="AM78">
        <v>0</v>
      </c>
      <c r="AN78">
        <v>10642496</v>
      </c>
      <c r="AO78">
        <v>0</v>
      </c>
      <c r="AP78">
        <v>0</v>
      </c>
      <c r="AQ78">
        <v>103338</v>
      </c>
      <c r="AR78">
        <v>12774208</v>
      </c>
      <c r="AS78">
        <v>42843982</v>
      </c>
      <c r="AT78">
        <v>106916</v>
      </c>
      <c r="AU78">
        <v>1494695</v>
      </c>
      <c r="AV78">
        <v>0</v>
      </c>
      <c r="AW78">
        <v>23471325</v>
      </c>
      <c r="AX78">
        <v>6655246</v>
      </c>
      <c r="AY78">
        <v>3769864</v>
      </c>
      <c r="AZ78">
        <v>1949044</v>
      </c>
      <c r="BA78">
        <v>1908053</v>
      </c>
      <c r="BB78">
        <v>884567</v>
      </c>
      <c r="BC78">
        <v>52843</v>
      </c>
      <c r="BD78">
        <v>0</v>
      </c>
      <c r="BE78">
        <v>5673377</v>
      </c>
      <c r="BF78">
        <v>317406</v>
      </c>
      <c r="BG78">
        <v>151700</v>
      </c>
      <c r="BH78">
        <v>65631</v>
      </c>
      <c r="BI78">
        <v>85611</v>
      </c>
      <c r="BJ78">
        <v>260299</v>
      </c>
      <c r="BK78">
        <v>241501</v>
      </c>
      <c r="BL78">
        <v>4043314</v>
      </c>
      <c r="BM78">
        <v>0</v>
      </c>
      <c r="BN78">
        <v>2086531</v>
      </c>
      <c r="BO78">
        <v>5658491</v>
      </c>
      <c r="BP78">
        <v>296654</v>
      </c>
      <c r="BQ78">
        <v>1421080</v>
      </c>
      <c r="BR78">
        <v>24692614</v>
      </c>
      <c r="BS78">
        <v>586825</v>
      </c>
      <c r="BT78">
        <v>27891256</v>
      </c>
      <c r="BU78">
        <v>697585</v>
      </c>
      <c r="BV78">
        <v>4837458</v>
      </c>
      <c r="BW78">
        <v>3178886</v>
      </c>
      <c r="BX78">
        <v>2867808</v>
      </c>
      <c r="BY78">
        <v>267263</v>
      </c>
      <c r="BZ78">
        <v>342915</v>
      </c>
      <c r="CA78" s="708">
        <v>276435</v>
      </c>
      <c r="CB78">
        <v>36504</v>
      </c>
      <c r="CC78">
        <v>0</v>
      </c>
      <c r="CD78">
        <v>0</v>
      </c>
      <c r="CE78">
        <v>69444</v>
      </c>
    </row>
    <row r="79" spans="1:83" x14ac:dyDescent="0.25">
      <c r="A79">
        <v>253</v>
      </c>
      <c r="B79">
        <v>253</v>
      </c>
      <c r="C79" t="s">
        <v>106</v>
      </c>
      <c r="D79" t="s">
        <v>395</v>
      </c>
      <c r="E79">
        <v>0</v>
      </c>
      <c r="F79">
        <v>38892</v>
      </c>
      <c r="G79">
        <v>181694</v>
      </c>
      <c r="H79">
        <v>610273</v>
      </c>
      <c r="I79">
        <v>209633</v>
      </c>
      <c r="J79">
        <v>437083</v>
      </c>
      <c r="K79">
        <v>635</v>
      </c>
      <c r="L79">
        <v>61222</v>
      </c>
      <c r="M79">
        <v>20036</v>
      </c>
      <c r="N79">
        <v>1825185</v>
      </c>
      <c r="O79">
        <v>192532</v>
      </c>
      <c r="P79">
        <v>2216516</v>
      </c>
      <c r="Q79">
        <v>11783</v>
      </c>
      <c r="R79">
        <v>16587539</v>
      </c>
      <c r="S79">
        <v>405906</v>
      </c>
      <c r="T79">
        <v>5483</v>
      </c>
      <c r="U79">
        <v>11851451</v>
      </c>
      <c r="V79">
        <v>5358178</v>
      </c>
      <c r="W79">
        <v>5829361</v>
      </c>
      <c r="X79">
        <v>25329902</v>
      </c>
      <c r="Y79">
        <v>182233</v>
      </c>
      <c r="Z79">
        <v>5523873</v>
      </c>
      <c r="AA79">
        <v>251195</v>
      </c>
      <c r="AB79">
        <v>3147236</v>
      </c>
      <c r="AC79">
        <v>868156</v>
      </c>
      <c r="AD79">
        <v>372776</v>
      </c>
      <c r="AE79" s="708">
        <v>401537</v>
      </c>
      <c r="AF79">
        <v>932703</v>
      </c>
      <c r="AG79">
        <v>20760822</v>
      </c>
      <c r="AH79">
        <v>305224</v>
      </c>
      <c r="AI79">
        <v>172835</v>
      </c>
      <c r="AJ79">
        <v>21920878</v>
      </c>
      <c r="AK79">
        <v>225594</v>
      </c>
      <c r="AL79">
        <v>102517</v>
      </c>
      <c r="AM79">
        <v>0</v>
      </c>
      <c r="AN79">
        <v>2893020</v>
      </c>
      <c r="AO79">
        <v>0</v>
      </c>
      <c r="AP79">
        <v>0</v>
      </c>
      <c r="AQ79">
        <v>7573</v>
      </c>
      <c r="AR79">
        <v>6413744</v>
      </c>
      <c r="AS79">
        <v>947709</v>
      </c>
      <c r="AT79">
        <v>199235</v>
      </c>
      <c r="AU79">
        <v>731449</v>
      </c>
      <c r="AV79">
        <v>0</v>
      </c>
      <c r="AW79">
        <v>7035554</v>
      </c>
      <c r="AX79">
        <v>207893</v>
      </c>
      <c r="AY79">
        <v>1008497</v>
      </c>
      <c r="AZ79">
        <v>325779</v>
      </c>
      <c r="BA79">
        <v>89221</v>
      </c>
      <c r="BB79">
        <v>480534</v>
      </c>
      <c r="BC79">
        <v>0</v>
      </c>
      <c r="BD79">
        <v>0</v>
      </c>
      <c r="BE79">
        <v>1571729</v>
      </c>
      <c r="BF79">
        <v>50952</v>
      </c>
      <c r="BG79">
        <v>108597</v>
      </c>
      <c r="BH79">
        <v>26815</v>
      </c>
      <c r="BI79">
        <v>6360</v>
      </c>
      <c r="BJ79">
        <v>90445</v>
      </c>
      <c r="BK79">
        <v>72219</v>
      </c>
      <c r="BL79">
        <v>417349</v>
      </c>
      <c r="BM79">
        <v>0</v>
      </c>
      <c r="BN79">
        <v>912156</v>
      </c>
      <c r="BO79">
        <v>3704693</v>
      </c>
      <c r="BP79">
        <v>219085</v>
      </c>
      <c r="BQ79">
        <v>298305</v>
      </c>
      <c r="BR79">
        <v>1934446</v>
      </c>
      <c r="BS79">
        <v>177077</v>
      </c>
      <c r="BT79">
        <v>1664231</v>
      </c>
      <c r="BU79">
        <v>498586</v>
      </c>
      <c r="BV79">
        <v>799643</v>
      </c>
      <c r="BW79">
        <v>1457710</v>
      </c>
      <c r="BX79">
        <v>441651</v>
      </c>
      <c r="BY79">
        <v>544295</v>
      </c>
      <c r="BZ79">
        <v>187028</v>
      </c>
      <c r="CA79" s="708">
        <v>62467</v>
      </c>
      <c r="CB79">
        <v>25652</v>
      </c>
      <c r="CC79">
        <v>0</v>
      </c>
      <c r="CD79">
        <v>0</v>
      </c>
      <c r="CE79">
        <v>21254</v>
      </c>
    </row>
    <row r="80" spans="1:83" x14ac:dyDescent="0.25">
      <c r="A80">
        <v>254</v>
      </c>
      <c r="B80">
        <v>254</v>
      </c>
      <c r="C80" t="s">
        <v>107</v>
      </c>
      <c r="D80" t="s">
        <v>396</v>
      </c>
      <c r="E80">
        <v>0</v>
      </c>
      <c r="F80">
        <v>103513</v>
      </c>
      <c r="G80">
        <v>729057</v>
      </c>
      <c r="H80">
        <v>3552270</v>
      </c>
      <c r="I80">
        <v>5011615</v>
      </c>
      <c r="J80">
        <v>4653221</v>
      </c>
      <c r="K80">
        <v>113741</v>
      </c>
      <c r="L80">
        <v>837962</v>
      </c>
      <c r="M80">
        <v>956984</v>
      </c>
      <c r="N80">
        <v>1310303</v>
      </c>
      <c r="O80">
        <v>396881</v>
      </c>
      <c r="P80">
        <v>2837903</v>
      </c>
      <c r="Q80">
        <v>279135</v>
      </c>
      <c r="R80">
        <v>-12946449</v>
      </c>
      <c r="S80">
        <v>1393124</v>
      </c>
      <c r="T80">
        <v>206623</v>
      </c>
      <c r="U80">
        <v>-9500476</v>
      </c>
      <c r="V80">
        <v>1685300</v>
      </c>
      <c r="W80">
        <v>-1052265</v>
      </c>
      <c r="X80">
        <v>17169229</v>
      </c>
      <c r="Y80">
        <v>155028</v>
      </c>
      <c r="Z80">
        <v>6960922</v>
      </c>
      <c r="AA80">
        <v>1233582</v>
      </c>
      <c r="AB80">
        <v>4990662</v>
      </c>
      <c r="AC80">
        <v>257152</v>
      </c>
      <c r="AD80">
        <v>1756964</v>
      </c>
      <c r="AE80" s="708">
        <v>701246</v>
      </c>
      <c r="AF80">
        <v>2715101</v>
      </c>
      <c r="AG80">
        <v>6504243</v>
      </c>
      <c r="AH80">
        <v>4562688</v>
      </c>
      <c r="AI80">
        <v>731144</v>
      </c>
      <c r="AJ80">
        <v>-47350282</v>
      </c>
      <c r="AK80">
        <v>3208540</v>
      </c>
      <c r="AL80">
        <v>507602</v>
      </c>
      <c r="AM80">
        <v>0</v>
      </c>
      <c r="AN80">
        <v>5246623</v>
      </c>
      <c r="AO80">
        <v>0</v>
      </c>
      <c r="AP80">
        <v>0</v>
      </c>
      <c r="AQ80">
        <v>90008</v>
      </c>
      <c r="AR80">
        <v>5137198</v>
      </c>
      <c r="AS80">
        <v>1837138</v>
      </c>
      <c r="AT80">
        <v>502698</v>
      </c>
      <c r="AU80">
        <v>569350</v>
      </c>
      <c r="AV80">
        <v>0</v>
      </c>
      <c r="AW80">
        <v>8449478</v>
      </c>
      <c r="AX80">
        <v>3355097</v>
      </c>
      <c r="AY80">
        <v>-85874</v>
      </c>
      <c r="AZ80">
        <v>24309812</v>
      </c>
      <c r="BA80">
        <v>1803594</v>
      </c>
      <c r="BB80">
        <v>496356</v>
      </c>
      <c r="BC80">
        <v>101867</v>
      </c>
      <c r="BD80">
        <v>0</v>
      </c>
      <c r="BE80">
        <v>-2190878</v>
      </c>
      <c r="BF80">
        <v>482194</v>
      </c>
      <c r="BG80">
        <v>685685</v>
      </c>
      <c r="BH80">
        <v>162753</v>
      </c>
      <c r="BI80">
        <v>293387</v>
      </c>
      <c r="BJ80">
        <v>465081</v>
      </c>
      <c r="BK80">
        <v>208779</v>
      </c>
      <c r="BL80">
        <v>34478</v>
      </c>
      <c r="BM80">
        <v>0</v>
      </c>
      <c r="BN80">
        <v>-438654</v>
      </c>
      <c r="BO80">
        <v>2475077</v>
      </c>
      <c r="BP80">
        <v>571895</v>
      </c>
      <c r="BQ80">
        <v>1492356</v>
      </c>
      <c r="BR80">
        <v>6276224</v>
      </c>
      <c r="BS80">
        <v>205700</v>
      </c>
      <c r="BT80">
        <v>13360155</v>
      </c>
      <c r="BU80">
        <v>432439</v>
      </c>
      <c r="BV80">
        <v>2872775</v>
      </c>
      <c r="BW80">
        <v>1003311</v>
      </c>
      <c r="BX80">
        <v>1077949</v>
      </c>
      <c r="BY80">
        <v>1127038</v>
      </c>
      <c r="BZ80">
        <v>196245</v>
      </c>
      <c r="CA80" s="708">
        <v>530850</v>
      </c>
      <c r="CB80">
        <v>153471</v>
      </c>
      <c r="CC80">
        <v>0</v>
      </c>
      <c r="CD80">
        <v>0</v>
      </c>
      <c r="CE80">
        <v>351704</v>
      </c>
    </row>
    <row r="81" spans="1:83" x14ac:dyDescent="0.25">
      <c r="A81">
        <v>255</v>
      </c>
      <c r="B81">
        <v>255</v>
      </c>
      <c r="C81" t="s">
        <v>200</v>
      </c>
      <c r="D81" t="s">
        <v>397</v>
      </c>
      <c r="E81">
        <v>0</v>
      </c>
      <c r="F81">
        <v>19488</v>
      </c>
      <c r="G81">
        <v>122501</v>
      </c>
      <c r="H81">
        <v>84835</v>
      </c>
      <c r="I81">
        <v>818700</v>
      </c>
      <c r="J81">
        <v>743200</v>
      </c>
      <c r="K81">
        <v>-104427</v>
      </c>
      <c r="L81">
        <v>52479</v>
      </c>
      <c r="M81">
        <v>61034</v>
      </c>
      <c r="N81">
        <v>-1825206</v>
      </c>
      <c r="O81">
        <v>52705</v>
      </c>
      <c r="P81">
        <v>-407484</v>
      </c>
      <c r="Q81">
        <v>19597</v>
      </c>
      <c r="R81">
        <v>3308380</v>
      </c>
      <c r="S81">
        <v>192487</v>
      </c>
      <c r="T81">
        <v>-6436</v>
      </c>
      <c r="U81">
        <v>10964112</v>
      </c>
      <c r="V81">
        <v>1079012</v>
      </c>
      <c r="W81">
        <v>1474705</v>
      </c>
      <c r="X81">
        <v>11830213</v>
      </c>
      <c r="Y81">
        <v>31127</v>
      </c>
      <c r="Z81">
        <v>-8813</v>
      </c>
      <c r="AA81">
        <v>79102</v>
      </c>
      <c r="AB81">
        <v>2663683</v>
      </c>
      <c r="AC81">
        <v>502942</v>
      </c>
      <c r="AD81">
        <v>236735</v>
      </c>
      <c r="AE81" s="708">
        <v>488441</v>
      </c>
      <c r="AF81">
        <v>261559</v>
      </c>
      <c r="AG81">
        <v>17076944</v>
      </c>
      <c r="AH81">
        <v>792513</v>
      </c>
      <c r="AI81">
        <v>-377223</v>
      </c>
      <c r="AJ81">
        <v>-10491716</v>
      </c>
      <c r="AK81">
        <v>222852</v>
      </c>
      <c r="AL81">
        <v>9970</v>
      </c>
      <c r="AM81">
        <v>0</v>
      </c>
      <c r="AN81">
        <v>1535972</v>
      </c>
      <c r="AO81">
        <v>0</v>
      </c>
      <c r="AP81">
        <v>0</v>
      </c>
      <c r="AQ81">
        <v>4150</v>
      </c>
      <c r="AR81">
        <v>3397537</v>
      </c>
      <c r="AS81">
        <v>-92733</v>
      </c>
      <c r="AT81">
        <v>35730</v>
      </c>
      <c r="AU81">
        <v>-105929</v>
      </c>
      <c r="AV81">
        <v>0</v>
      </c>
      <c r="AW81">
        <v>291387</v>
      </c>
      <c r="AX81">
        <v>436198</v>
      </c>
      <c r="AY81">
        <v>279619</v>
      </c>
      <c r="AZ81">
        <v>4344152</v>
      </c>
      <c r="BA81">
        <v>-16529</v>
      </c>
      <c r="BB81">
        <v>-19940</v>
      </c>
      <c r="BC81">
        <v>11981</v>
      </c>
      <c r="BD81">
        <v>0</v>
      </c>
      <c r="BE81">
        <v>999550</v>
      </c>
      <c r="BF81">
        <v>27493</v>
      </c>
      <c r="BG81">
        <v>-21355</v>
      </c>
      <c r="BH81">
        <v>32562</v>
      </c>
      <c r="BI81">
        <v>30517</v>
      </c>
      <c r="BJ81">
        <v>-4683</v>
      </c>
      <c r="BK81">
        <v>21488</v>
      </c>
      <c r="BL81">
        <v>426543</v>
      </c>
      <c r="BM81">
        <v>0</v>
      </c>
      <c r="BN81">
        <v>156652</v>
      </c>
      <c r="BO81">
        <v>1371721</v>
      </c>
      <c r="BP81">
        <v>-84533</v>
      </c>
      <c r="BQ81">
        <v>322930</v>
      </c>
      <c r="BR81">
        <v>1407045</v>
      </c>
      <c r="BS81">
        <v>-276259</v>
      </c>
      <c r="BT81">
        <v>3403819</v>
      </c>
      <c r="BU81">
        <v>36727</v>
      </c>
      <c r="BV81">
        <v>430991</v>
      </c>
      <c r="BW81">
        <v>244965</v>
      </c>
      <c r="BX81">
        <v>55866</v>
      </c>
      <c r="BY81">
        <v>81158</v>
      </c>
      <c r="BZ81">
        <v>55677</v>
      </c>
      <c r="CA81" s="708">
        <v>85237</v>
      </c>
      <c r="CB81">
        <v>55754</v>
      </c>
      <c r="CC81">
        <v>0</v>
      </c>
      <c r="CD81">
        <v>0</v>
      </c>
      <c r="CE81">
        <v>-5912</v>
      </c>
    </row>
    <row r="82" spans="1:83" x14ac:dyDescent="0.25">
      <c r="B82">
        <v>274</v>
      </c>
      <c r="C82" t="s">
        <v>398</v>
      </c>
      <c r="D82" t="s">
        <v>399</v>
      </c>
    </row>
    <row r="83" spans="1:83" x14ac:dyDescent="0.25">
      <c r="B83">
        <v>294</v>
      </c>
      <c r="C83" t="s">
        <v>1065</v>
      </c>
      <c r="D83" t="s">
        <v>400</v>
      </c>
    </row>
    <row r="84" spans="1:83" x14ac:dyDescent="0.25">
      <c r="B84">
        <v>314</v>
      </c>
      <c r="C84" t="s">
        <v>401</v>
      </c>
      <c r="D84" t="s">
        <v>402</v>
      </c>
    </row>
    <row r="85" spans="1:83" x14ac:dyDescent="0.25">
      <c r="B85">
        <v>315</v>
      </c>
      <c r="C85" t="s">
        <v>403</v>
      </c>
      <c r="D85" t="s">
        <v>404</v>
      </c>
    </row>
    <row r="86" spans="1:83" x14ac:dyDescent="0.25">
      <c r="B86">
        <v>316</v>
      </c>
      <c r="C86" t="s">
        <v>405</v>
      </c>
      <c r="D86" t="s">
        <v>406</v>
      </c>
    </row>
    <row r="87" spans="1:83" x14ac:dyDescent="0.25">
      <c r="B87">
        <v>320</v>
      </c>
      <c r="C87" t="s">
        <v>261</v>
      </c>
      <c r="D87" t="s">
        <v>407</v>
      </c>
    </row>
    <row r="88" spans="1:83" x14ac:dyDescent="0.25">
      <c r="B88">
        <v>321</v>
      </c>
      <c r="C88" t="s">
        <v>1066</v>
      </c>
      <c r="D88" t="s">
        <v>408</v>
      </c>
    </row>
    <row r="89" spans="1:83" x14ac:dyDescent="0.25">
      <c r="B89">
        <v>322</v>
      </c>
      <c r="C89" t="s">
        <v>263</v>
      </c>
      <c r="D89" t="s">
        <v>409</v>
      </c>
    </row>
    <row r="90" spans="1:83" x14ac:dyDescent="0.25">
      <c r="B90">
        <v>323</v>
      </c>
      <c r="C90" t="s">
        <v>262</v>
      </c>
      <c r="D90" t="s">
        <v>410</v>
      </c>
    </row>
    <row r="91" spans="1:83" x14ac:dyDescent="0.25">
      <c r="B91">
        <v>324</v>
      </c>
      <c r="C91" t="s">
        <v>260</v>
      </c>
      <c r="D91" t="s">
        <v>411</v>
      </c>
    </row>
    <row r="92" spans="1:83" x14ac:dyDescent="0.25">
      <c r="B92">
        <v>325</v>
      </c>
      <c r="C92" t="s">
        <v>264</v>
      </c>
      <c r="D92" t="s">
        <v>412</v>
      </c>
    </row>
    <row r="93" spans="1:83" x14ac:dyDescent="0.25">
      <c r="B93">
        <v>326</v>
      </c>
      <c r="C93" t="s">
        <v>710</v>
      </c>
      <c r="D93" t="s">
        <v>413</v>
      </c>
    </row>
    <row r="94" spans="1:83" x14ac:dyDescent="0.25">
      <c r="A94">
        <v>327</v>
      </c>
      <c r="B94">
        <v>327</v>
      </c>
      <c r="C94" t="s">
        <v>639</v>
      </c>
      <c r="D94" t="s">
        <v>414</v>
      </c>
      <c r="E94">
        <v>0</v>
      </c>
      <c r="F94">
        <v>0</v>
      </c>
      <c r="G94">
        <v>0</v>
      </c>
      <c r="H94">
        <v>0</v>
      </c>
      <c r="I94">
        <v>0</v>
      </c>
      <c r="J94">
        <v>0</v>
      </c>
      <c r="K94">
        <v>53983</v>
      </c>
      <c r="L94">
        <v>0</v>
      </c>
      <c r="M94">
        <v>0</v>
      </c>
      <c r="N94">
        <v>0</v>
      </c>
      <c r="O94">
        <v>0</v>
      </c>
      <c r="P94">
        <v>46446</v>
      </c>
      <c r="Q94">
        <v>0</v>
      </c>
      <c r="R94">
        <v>5609034</v>
      </c>
      <c r="S94">
        <v>367968</v>
      </c>
      <c r="T94">
        <v>0</v>
      </c>
      <c r="U94">
        <v>3881259</v>
      </c>
      <c r="V94">
        <v>1342991</v>
      </c>
      <c r="W94">
        <v>14979085</v>
      </c>
      <c r="X94">
        <v>0</v>
      </c>
      <c r="Y94">
        <v>0</v>
      </c>
      <c r="Z94">
        <v>745155</v>
      </c>
      <c r="AA94">
        <v>4000</v>
      </c>
      <c r="AB94">
        <v>569712</v>
      </c>
      <c r="AC94">
        <v>23252</v>
      </c>
      <c r="AD94">
        <v>0</v>
      </c>
      <c r="AE94" s="708">
        <v>882432</v>
      </c>
      <c r="AF94">
        <v>0</v>
      </c>
      <c r="AG94">
        <v>1779717</v>
      </c>
      <c r="AH94">
        <v>514809</v>
      </c>
      <c r="AI94">
        <v>19050</v>
      </c>
      <c r="AJ94">
        <v>13241990</v>
      </c>
      <c r="AK94">
        <v>6500</v>
      </c>
      <c r="AL94">
        <v>63005</v>
      </c>
      <c r="AM94">
        <v>0</v>
      </c>
      <c r="AN94">
        <v>210332</v>
      </c>
      <c r="AO94">
        <v>0</v>
      </c>
      <c r="AP94">
        <v>0</v>
      </c>
      <c r="AQ94">
        <v>0</v>
      </c>
      <c r="AR94">
        <v>0</v>
      </c>
      <c r="AS94">
        <v>44618</v>
      </c>
      <c r="AT94">
        <v>0</v>
      </c>
      <c r="AU94">
        <v>552989</v>
      </c>
      <c r="AV94">
        <v>0</v>
      </c>
      <c r="AW94">
        <v>3735076</v>
      </c>
      <c r="AX94">
        <v>0</v>
      </c>
      <c r="AY94">
        <v>76640</v>
      </c>
      <c r="AZ94">
        <v>1346936</v>
      </c>
      <c r="BA94">
        <v>5006</v>
      </c>
      <c r="BB94">
        <v>0</v>
      </c>
      <c r="BC94">
        <v>0</v>
      </c>
      <c r="BD94">
        <v>0</v>
      </c>
      <c r="BE94">
        <v>217472</v>
      </c>
      <c r="BF94">
        <v>0</v>
      </c>
      <c r="BG94">
        <v>0</v>
      </c>
      <c r="BH94">
        <v>0</v>
      </c>
      <c r="BI94">
        <v>0</v>
      </c>
      <c r="BJ94">
        <v>474</v>
      </c>
      <c r="BK94">
        <v>0</v>
      </c>
      <c r="BL94">
        <v>140972</v>
      </c>
      <c r="BM94">
        <v>0</v>
      </c>
      <c r="BN94">
        <v>168864</v>
      </c>
      <c r="BO94">
        <v>0</v>
      </c>
      <c r="BP94">
        <v>39115</v>
      </c>
      <c r="BQ94">
        <v>12100</v>
      </c>
      <c r="BR94">
        <v>0</v>
      </c>
      <c r="BS94">
        <v>25500</v>
      </c>
      <c r="BT94">
        <v>0</v>
      </c>
      <c r="BU94">
        <v>341062</v>
      </c>
      <c r="BV94">
        <v>10200</v>
      </c>
      <c r="BW94">
        <v>0</v>
      </c>
      <c r="BX94">
        <v>107630</v>
      </c>
      <c r="BY94">
        <v>81232</v>
      </c>
      <c r="BZ94">
        <v>0</v>
      </c>
      <c r="CA94" s="708">
        <v>21695</v>
      </c>
      <c r="CB94">
        <v>49000</v>
      </c>
      <c r="CC94">
        <v>0</v>
      </c>
      <c r="CD94">
        <v>0</v>
      </c>
      <c r="CE94">
        <v>0</v>
      </c>
    </row>
    <row r="95" spans="1:83" x14ac:dyDescent="0.25">
      <c r="A95">
        <v>328</v>
      </c>
      <c r="B95">
        <v>328</v>
      </c>
      <c r="C95" t="s">
        <v>554</v>
      </c>
      <c r="D95" t="s">
        <v>415</v>
      </c>
      <c r="E95">
        <v>0</v>
      </c>
      <c r="F95">
        <v>0</v>
      </c>
      <c r="G95">
        <v>0</v>
      </c>
      <c r="H95">
        <v>0</v>
      </c>
      <c r="I95">
        <v>0</v>
      </c>
      <c r="J95">
        <v>0</v>
      </c>
      <c r="K95">
        <v>0</v>
      </c>
      <c r="L95">
        <v>0</v>
      </c>
      <c r="M95">
        <v>0</v>
      </c>
      <c r="N95">
        <v>0</v>
      </c>
      <c r="O95">
        <v>0</v>
      </c>
      <c r="P95">
        <v>76571</v>
      </c>
      <c r="Q95">
        <v>0</v>
      </c>
      <c r="R95">
        <v>7352276</v>
      </c>
      <c r="S95">
        <v>0</v>
      </c>
      <c r="T95">
        <v>0</v>
      </c>
      <c r="U95">
        <v>20764812</v>
      </c>
      <c r="V95">
        <v>0</v>
      </c>
      <c r="W95">
        <v>0</v>
      </c>
      <c r="X95">
        <v>0</v>
      </c>
      <c r="Y95">
        <v>0</v>
      </c>
      <c r="Z95">
        <v>291871</v>
      </c>
      <c r="AA95">
        <v>300379</v>
      </c>
      <c r="AB95">
        <v>0</v>
      </c>
      <c r="AC95">
        <v>4075556</v>
      </c>
      <c r="AD95">
        <v>0</v>
      </c>
      <c r="AE95">
        <v>0</v>
      </c>
      <c r="AF95">
        <v>1452661</v>
      </c>
      <c r="AG95">
        <v>0</v>
      </c>
      <c r="AH95">
        <v>2701021</v>
      </c>
      <c r="AI95">
        <v>0</v>
      </c>
      <c r="AJ95">
        <v>4141704</v>
      </c>
      <c r="AK95">
        <v>0</v>
      </c>
      <c r="AL95">
        <v>0</v>
      </c>
      <c r="AM95">
        <v>0</v>
      </c>
      <c r="AN95">
        <v>1937234</v>
      </c>
      <c r="AO95">
        <v>0</v>
      </c>
      <c r="AP95">
        <v>0</v>
      </c>
      <c r="AQ95">
        <v>0</v>
      </c>
      <c r="AR95">
        <v>0</v>
      </c>
      <c r="AS95">
        <v>313404</v>
      </c>
      <c r="AT95">
        <v>0</v>
      </c>
      <c r="AU95">
        <v>95675</v>
      </c>
      <c r="AV95">
        <v>0</v>
      </c>
      <c r="AW95">
        <v>0</v>
      </c>
      <c r="AX95">
        <v>0</v>
      </c>
      <c r="AY95">
        <v>0</v>
      </c>
      <c r="AZ95">
        <v>0</v>
      </c>
      <c r="BA95">
        <v>0</v>
      </c>
      <c r="BB95">
        <v>0</v>
      </c>
      <c r="BC95">
        <v>0</v>
      </c>
      <c r="BD95">
        <v>0</v>
      </c>
      <c r="BE95">
        <v>6714039</v>
      </c>
      <c r="BF95">
        <v>0</v>
      </c>
      <c r="BG95">
        <v>24950</v>
      </c>
      <c r="BH95">
        <v>0</v>
      </c>
      <c r="BI95">
        <v>0</v>
      </c>
      <c r="BJ95">
        <v>54000</v>
      </c>
      <c r="BK95">
        <v>0</v>
      </c>
      <c r="BL95">
        <v>0</v>
      </c>
      <c r="BM95">
        <v>0</v>
      </c>
      <c r="BN95">
        <v>671267</v>
      </c>
      <c r="BO95">
        <v>35980</v>
      </c>
      <c r="BP95">
        <v>0</v>
      </c>
      <c r="BQ95">
        <v>0</v>
      </c>
      <c r="BR95">
        <v>0</v>
      </c>
      <c r="BS95">
        <v>108520</v>
      </c>
      <c r="BT95">
        <v>0</v>
      </c>
      <c r="BU95">
        <v>116380</v>
      </c>
      <c r="BV95">
        <v>1432820</v>
      </c>
      <c r="BW95">
        <v>0</v>
      </c>
      <c r="BX95">
        <v>207553</v>
      </c>
      <c r="BY95">
        <v>40000</v>
      </c>
      <c r="BZ95">
        <v>0</v>
      </c>
      <c r="CA95">
        <v>0</v>
      </c>
      <c r="CB95">
        <v>0</v>
      </c>
      <c r="CC95">
        <v>0</v>
      </c>
      <c r="CD95">
        <v>0</v>
      </c>
      <c r="CE95">
        <v>0</v>
      </c>
    </row>
    <row r="96" spans="1:83" x14ac:dyDescent="0.25">
      <c r="B96">
        <v>330</v>
      </c>
      <c r="C96" t="s">
        <v>640</v>
      </c>
      <c r="D96" t="s">
        <v>416</v>
      </c>
    </row>
    <row r="97" spans="1:83" x14ac:dyDescent="0.25">
      <c r="A97">
        <v>331</v>
      </c>
      <c r="B97">
        <v>331</v>
      </c>
      <c r="C97" t="s">
        <v>250</v>
      </c>
      <c r="D97" t="s">
        <v>417</v>
      </c>
      <c r="E97">
        <v>0</v>
      </c>
      <c r="F97">
        <v>0</v>
      </c>
      <c r="G97">
        <v>63000</v>
      </c>
      <c r="H97">
        <v>0</v>
      </c>
      <c r="I97">
        <v>0</v>
      </c>
      <c r="J97">
        <v>0</v>
      </c>
      <c r="K97">
        <v>12500</v>
      </c>
      <c r="L97">
        <v>0</v>
      </c>
      <c r="M97">
        <v>0</v>
      </c>
      <c r="N97">
        <v>0</v>
      </c>
      <c r="O97">
        <v>0</v>
      </c>
      <c r="P97">
        <v>0</v>
      </c>
      <c r="Q97">
        <v>0</v>
      </c>
      <c r="R97">
        <v>1381692</v>
      </c>
      <c r="S97">
        <v>68322</v>
      </c>
      <c r="T97">
        <v>0</v>
      </c>
      <c r="U97">
        <v>4004782</v>
      </c>
      <c r="V97">
        <v>1562188</v>
      </c>
      <c r="W97">
        <v>1762390</v>
      </c>
      <c r="X97">
        <v>0</v>
      </c>
      <c r="Y97">
        <v>0</v>
      </c>
      <c r="Z97">
        <v>1164948</v>
      </c>
      <c r="AA97">
        <v>27000</v>
      </c>
      <c r="AB97">
        <v>294424</v>
      </c>
      <c r="AC97">
        <v>996181</v>
      </c>
      <c r="AD97">
        <v>155390</v>
      </c>
      <c r="AE97" s="708">
        <v>290110</v>
      </c>
      <c r="AF97">
        <v>32920</v>
      </c>
      <c r="AG97">
        <v>112412</v>
      </c>
      <c r="AH97">
        <v>45500</v>
      </c>
      <c r="AI97">
        <v>32016</v>
      </c>
      <c r="AJ97">
        <v>4745912</v>
      </c>
      <c r="AK97">
        <v>0</v>
      </c>
      <c r="AL97">
        <v>40250</v>
      </c>
      <c r="AM97">
        <v>0</v>
      </c>
      <c r="AN97">
        <v>1536607</v>
      </c>
      <c r="AO97">
        <v>0</v>
      </c>
      <c r="AP97">
        <v>0</v>
      </c>
      <c r="AQ97">
        <v>0</v>
      </c>
      <c r="AR97">
        <v>0</v>
      </c>
      <c r="AS97">
        <v>547504</v>
      </c>
      <c r="AT97">
        <v>62052</v>
      </c>
      <c r="AU97">
        <v>189806</v>
      </c>
      <c r="AV97">
        <v>0</v>
      </c>
      <c r="AW97">
        <v>3632441</v>
      </c>
      <c r="AX97">
        <v>0</v>
      </c>
      <c r="AY97">
        <v>70376</v>
      </c>
      <c r="AZ97">
        <v>0</v>
      </c>
      <c r="BA97">
        <v>30000</v>
      </c>
      <c r="BB97">
        <v>0</v>
      </c>
      <c r="BC97">
        <v>0</v>
      </c>
      <c r="BD97">
        <v>0</v>
      </c>
      <c r="BE97">
        <v>727495</v>
      </c>
      <c r="BF97">
        <v>0</v>
      </c>
      <c r="BG97">
        <v>27752</v>
      </c>
      <c r="BH97">
        <v>0</v>
      </c>
      <c r="BI97">
        <v>0</v>
      </c>
      <c r="BJ97">
        <v>5557</v>
      </c>
      <c r="BK97">
        <v>0</v>
      </c>
      <c r="BL97">
        <v>125825</v>
      </c>
      <c r="BM97">
        <v>0</v>
      </c>
      <c r="BN97">
        <v>113791</v>
      </c>
      <c r="BO97">
        <v>171000</v>
      </c>
      <c r="BP97">
        <v>49467</v>
      </c>
      <c r="BQ97">
        <v>14331</v>
      </c>
      <c r="BR97">
        <v>0</v>
      </c>
      <c r="BS97">
        <v>0</v>
      </c>
      <c r="BT97">
        <v>0</v>
      </c>
      <c r="BU97">
        <v>18406</v>
      </c>
      <c r="BV97">
        <v>144258</v>
      </c>
      <c r="BW97">
        <v>0</v>
      </c>
      <c r="BX97">
        <v>162160</v>
      </c>
      <c r="BY97">
        <v>0</v>
      </c>
      <c r="BZ97">
        <v>0</v>
      </c>
      <c r="CA97" s="708">
        <v>32583</v>
      </c>
      <c r="CB97">
        <v>7000</v>
      </c>
      <c r="CC97">
        <v>0</v>
      </c>
      <c r="CD97">
        <v>0</v>
      </c>
      <c r="CE97">
        <v>0</v>
      </c>
    </row>
    <row r="98" spans="1:83" x14ac:dyDescent="0.25">
      <c r="A98">
        <v>332</v>
      </c>
      <c r="B98">
        <v>332</v>
      </c>
      <c r="C98" t="s">
        <v>251</v>
      </c>
      <c r="D98" t="s">
        <v>418</v>
      </c>
      <c r="E98">
        <v>0</v>
      </c>
      <c r="F98">
        <v>0</v>
      </c>
      <c r="G98">
        <v>41453</v>
      </c>
      <c r="H98">
        <v>0</v>
      </c>
      <c r="I98">
        <v>0</v>
      </c>
      <c r="J98">
        <v>0</v>
      </c>
      <c r="K98">
        <v>0</v>
      </c>
      <c r="L98">
        <v>0</v>
      </c>
      <c r="M98">
        <v>0</v>
      </c>
      <c r="N98">
        <v>0</v>
      </c>
      <c r="O98">
        <v>0</v>
      </c>
      <c r="P98">
        <v>951222</v>
      </c>
      <c r="Q98">
        <v>0</v>
      </c>
      <c r="R98">
        <v>18650763</v>
      </c>
      <c r="S98">
        <v>40819</v>
      </c>
      <c r="T98">
        <v>0</v>
      </c>
      <c r="U98">
        <v>11873434</v>
      </c>
      <c r="V98">
        <v>1225070</v>
      </c>
      <c r="W98">
        <v>6580201</v>
      </c>
      <c r="X98">
        <v>0</v>
      </c>
      <c r="Y98">
        <v>31398</v>
      </c>
      <c r="Z98">
        <v>820299</v>
      </c>
      <c r="AA98">
        <v>162101</v>
      </c>
      <c r="AB98">
        <v>834185</v>
      </c>
      <c r="AC98">
        <v>415437</v>
      </c>
      <c r="AD98">
        <v>25966</v>
      </c>
      <c r="AE98">
        <v>0</v>
      </c>
      <c r="AF98">
        <v>1353989</v>
      </c>
      <c r="AG98">
        <v>205265</v>
      </c>
      <c r="AH98">
        <v>313884</v>
      </c>
      <c r="AI98">
        <v>0</v>
      </c>
      <c r="AJ98">
        <v>4396316</v>
      </c>
      <c r="AK98">
        <v>12970</v>
      </c>
      <c r="AL98">
        <v>0</v>
      </c>
      <c r="AM98">
        <v>0</v>
      </c>
      <c r="AN98">
        <v>2194552</v>
      </c>
      <c r="AO98">
        <v>0</v>
      </c>
      <c r="AP98">
        <v>0</v>
      </c>
      <c r="AQ98">
        <v>0</v>
      </c>
      <c r="AR98">
        <v>0</v>
      </c>
      <c r="AS98">
        <v>618234</v>
      </c>
      <c r="AT98">
        <v>0</v>
      </c>
      <c r="AU98">
        <v>235039</v>
      </c>
      <c r="AV98">
        <v>0</v>
      </c>
      <c r="AW98">
        <v>941825</v>
      </c>
      <c r="AX98">
        <v>0</v>
      </c>
      <c r="AY98">
        <v>231788</v>
      </c>
      <c r="AZ98">
        <v>36208</v>
      </c>
      <c r="BA98">
        <v>42415</v>
      </c>
      <c r="BB98">
        <v>0</v>
      </c>
      <c r="BC98">
        <v>0</v>
      </c>
      <c r="BD98">
        <v>0</v>
      </c>
      <c r="BE98">
        <v>5676091</v>
      </c>
      <c r="BF98">
        <v>0</v>
      </c>
      <c r="BG98">
        <v>200465</v>
      </c>
      <c r="BH98">
        <v>0</v>
      </c>
      <c r="BI98">
        <v>0</v>
      </c>
      <c r="BJ98">
        <v>1400</v>
      </c>
      <c r="BK98">
        <v>0</v>
      </c>
      <c r="BL98">
        <v>1215540</v>
      </c>
      <c r="BM98">
        <v>0</v>
      </c>
      <c r="BN98">
        <v>590941</v>
      </c>
      <c r="BO98">
        <v>19542</v>
      </c>
      <c r="BP98">
        <v>2000</v>
      </c>
      <c r="BQ98">
        <v>25250</v>
      </c>
      <c r="BR98">
        <v>0</v>
      </c>
      <c r="BS98">
        <v>286522</v>
      </c>
      <c r="BT98">
        <v>0</v>
      </c>
      <c r="BU98">
        <v>101788</v>
      </c>
      <c r="BV98">
        <v>198947</v>
      </c>
      <c r="BW98">
        <v>0</v>
      </c>
      <c r="BX98">
        <v>1043397</v>
      </c>
      <c r="BY98">
        <v>11809</v>
      </c>
      <c r="BZ98">
        <v>0</v>
      </c>
      <c r="CA98" s="708">
        <v>119463</v>
      </c>
      <c r="CB98">
        <v>0</v>
      </c>
      <c r="CC98">
        <v>0</v>
      </c>
      <c r="CD98">
        <v>0</v>
      </c>
      <c r="CE98">
        <v>0</v>
      </c>
    </row>
    <row r="99" spans="1:83" x14ac:dyDescent="0.25">
      <c r="A99">
        <v>333</v>
      </c>
      <c r="B99">
        <v>333</v>
      </c>
      <c r="C99" t="s">
        <v>187</v>
      </c>
      <c r="D99" t="s">
        <v>419</v>
      </c>
      <c r="E99">
        <v>0</v>
      </c>
      <c r="F99">
        <v>102929</v>
      </c>
      <c r="G99">
        <v>775020</v>
      </c>
      <c r="H99">
        <v>3621262</v>
      </c>
      <c r="I99">
        <v>5125205</v>
      </c>
      <c r="J99">
        <v>4763513</v>
      </c>
      <c r="K99">
        <v>105791</v>
      </c>
      <c r="L99">
        <v>827716</v>
      </c>
      <c r="M99">
        <v>959120</v>
      </c>
      <c r="N99">
        <v>6872653</v>
      </c>
      <c r="O99">
        <v>501736</v>
      </c>
      <c r="P99">
        <v>4885397</v>
      </c>
      <c r="Q99">
        <v>278023</v>
      </c>
      <c r="R99">
        <v>39818383</v>
      </c>
      <c r="S99">
        <v>1685242</v>
      </c>
      <c r="T99">
        <v>210400</v>
      </c>
      <c r="U99">
        <v>32248785</v>
      </c>
      <c r="V99">
        <v>10364458</v>
      </c>
      <c r="W99">
        <v>18804265</v>
      </c>
      <c r="X99">
        <v>36399516</v>
      </c>
      <c r="Y99">
        <v>131108</v>
      </c>
      <c r="Z99">
        <v>13578780</v>
      </c>
      <c r="AA99">
        <v>1374686</v>
      </c>
      <c r="AB99">
        <v>13544234</v>
      </c>
      <c r="AC99">
        <v>958376</v>
      </c>
      <c r="AD99">
        <v>1935869</v>
      </c>
      <c r="AE99" s="708">
        <v>1092240</v>
      </c>
      <c r="AF99">
        <v>3629543</v>
      </c>
      <c r="AG99">
        <v>11398944</v>
      </c>
      <c r="AH99">
        <v>5972444</v>
      </c>
      <c r="AI99">
        <v>715153</v>
      </c>
      <c r="AJ99">
        <v>7819014</v>
      </c>
      <c r="AK99">
        <v>3120020</v>
      </c>
      <c r="AL99">
        <v>724636</v>
      </c>
      <c r="AM99">
        <v>0</v>
      </c>
      <c r="AN99">
        <v>9464203</v>
      </c>
      <c r="AO99">
        <v>0</v>
      </c>
      <c r="AP99">
        <v>0</v>
      </c>
      <c r="AQ99">
        <v>90609</v>
      </c>
      <c r="AR99">
        <v>5587553</v>
      </c>
      <c r="AS99">
        <v>18007018</v>
      </c>
      <c r="AT99">
        <v>545467</v>
      </c>
      <c r="AU99">
        <v>1108850</v>
      </c>
      <c r="AV99">
        <v>0</v>
      </c>
      <c r="AW99">
        <v>18440274</v>
      </c>
      <c r="AX99">
        <v>3659147</v>
      </c>
      <c r="AY99">
        <v>714224</v>
      </c>
      <c r="AZ99">
        <v>19195816</v>
      </c>
      <c r="BA99">
        <v>1882828</v>
      </c>
      <c r="BB99">
        <v>545906</v>
      </c>
      <c r="BC99">
        <v>101867</v>
      </c>
      <c r="BD99">
        <v>0</v>
      </c>
      <c r="BE99">
        <v>5163229</v>
      </c>
      <c r="BF99">
        <v>487845</v>
      </c>
      <c r="BG99">
        <v>661790</v>
      </c>
      <c r="BH99">
        <v>137666</v>
      </c>
      <c r="BI99">
        <v>293122</v>
      </c>
      <c r="BJ99">
        <v>455841</v>
      </c>
      <c r="BK99">
        <v>205663</v>
      </c>
      <c r="BL99">
        <v>1540687</v>
      </c>
      <c r="BM99">
        <v>0</v>
      </c>
      <c r="BN99">
        <v>127435</v>
      </c>
      <c r="BO99">
        <v>5779864</v>
      </c>
      <c r="BP99">
        <v>771917</v>
      </c>
      <c r="BQ99">
        <v>1597350</v>
      </c>
      <c r="BR99">
        <v>10276467</v>
      </c>
      <c r="BS99">
        <v>321426</v>
      </c>
      <c r="BT99">
        <v>20621047</v>
      </c>
      <c r="BU99">
        <v>555905</v>
      </c>
      <c r="BV99">
        <v>4907686</v>
      </c>
      <c r="BW99">
        <v>2080694</v>
      </c>
      <c r="BX99">
        <v>1087077</v>
      </c>
      <c r="BY99">
        <v>1668344</v>
      </c>
      <c r="BZ99">
        <v>195462</v>
      </c>
      <c r="CA99" s="708">
        <v>942182</v>
      </c>
      <c r="CB99">
        <v>156388</v>
      </c>
      <c r="CC99">
        <v>0</v>
      </c>
      <c r="CD99">
        <v>0</v>
      </c>
      <c r="CE99">
        <v>347794</v>
      </c>
    </row>
    <row r="100" spans="1:83" x14ac:dyDescent="0.25">
      <c r="A100">
        <v>334</v>
      </c>
      <c r="B100">
        <v>334</v>
      </c>
      <c r="C100" t="s">
        <v>279</v>
      </c>
      <c r="D100" t="s">
        <v>420</v>
      </c>
      <c r="E100">
        <v>0</v>
      </c>
      <c r="F100">
        <v>237086</v>
      </c>
      <c r="G100">
        <v>1683405</v>
      </c>
      <c r="H100">
        <v>6728628</v>
      </c>
      <c r="I100">
        <v>1858233</v>
      </c>
      <c r="J100">
        <v>4055698</v>
      </c>
      <c r="K100">
        <v>63968</v>
      </c>
      <c r="L100">
        <v>1142005</v>
      </c>
      <c r="M100">
        <v>579509</v>
      </c>
      <c r="N100">
        <v>72360009</v>
      </c>
      <c r="O100">
        <v>722874</v>
      </c>
      <c r="P100">
        <v>12981260</v>
      </c>
      <c r="Q100">
        <v>238647</v>
      </c>
      <c r="R100">
        <v>147847686</v>
      </c>
      <c r="S100">
        <v>3429731</v>
      </c>
      <c r="T100">
        <v>273576</v>
      </c>
      <c r="U100">
        <v>247587880</v>
      </c>
      <c r="V100">
        <v>41019476</v>
      </c>
      <c r="W100">
        <v>98525384</v>
      </c>
      <c r="X100">
        <v>141472765</v>
      </c>
      <c r="Y100">
        <v>415572</v>
      </c>
      <c r="Z100">
        <v>48098558</v>
      </c>
      <c r="AA100">
        <v>2777642</v>
      </c>
      <c r="AB100">
        <v>30280134</v>
      </c>
      <c r="AC100">
        <v>10635619</v>
      </c>
      <c r="AD100">
        <v>5342829</v>
      </c>
      <c r="AE100" s="708">
        <v>4407054</v>
      </c>
      <c r="AF100">
        <v>6356747</v>
      </c>
      <c r="AG100">
        <v>88321453</v>
      </c>
      <c r="AH100">
        <v>10804707</v>
      </c>
      <c r="AI100">
        <v>3460690</v>
      </c>
      <c r="AJ100">
        <v>77674688</v>
      </c>
      <c r="AK100">
        <v>4168593</v>
      </c>
      <c r="AL100">
        <v>2628629</v>
      </c>
      <c r="AM100">
        <v>0</v>
      </c>
      <c r="AN100">
        <v>33441952</v>
      </c>
      <c r="AO100">
        <v>0</v>
      </c>
      <c r="AP100">
        <v>0</v>
      </c>
      <c r="AQ100">
        <v>147732</v>
      </c>
      <c r="AR100">
        <v>36942554</v>
      </c>
      <c r="AS100">
        <v>47505532</v>
      </c>
      <c r="AT100">
        <v>382022</v>
      </c>
      <c r="AU100">
        <v>4105363</v>
      </c>
      <c r="AV100">
        <v>0</v>
      </c>
      <c r="AW100">
        <v>31092236</v>
      </c>
      <c r="AX100">
        <v>6281186</v>
      </c>
      <c r="AY100">
        <v>4649268</v>
      </c>
      <c r="AZ100">
        <v>6228214</v>
      </c>
      <c r="BA100">
        <v>3259380</v>
      </c>
      <c r="BB100">
        <v>1135720</v>
      </c>
      <c r="BC100">
        <v>68878</v>
      </c>
      <c r="BD100">
        <v>0</v>
      </c>
      <c r="BE100">
        <v>15862157</v>
      </c>
      <c r="BF100">
        <v>519712</v>
      </c>
      <c r="BG100">
        <v>388338</v>
      </c>
      <c r="BH100">
        <v>265935</v>
      </c>
      <c r="BI100">
        <v>161599</v>
      </c>
      <c r="BJ100">
        <v>531961</v>
      </c>
      <c r="BK100">
        <v>144865</v>
      </c>
      <c r="BL100">
        <v>9584184</v>
      </c>
      <c r="BM100">
        <v>0</v>
      </c>
      <c r="BN100">
        <v>3203113</v>
      </c>
      <c r="BO100">
        <v>9034725</v>
      </c>
      <c r="BP100">
        <v>2362195</v>
      </c>
      <c r="BQ100">
        <v>4986145</v>
      </c>
      <c r="BR100">
        <v>38973015</v>
      </c>
      <c r="BS100">
        <v>2124841</v>
      </c>
      <c r="BT100">
        <v>38387028</v>
      </c>
      <c r="BU100">
        <v>2551598</v>
      </c>
      <c r="BV100">
        <v>6547896</v>
      </c>
      <c r="BW100">
        <v>2621649</v>
      </c>
      <c r="BX100">
        <v>6494326</v>
      </c>
      <c r="BY100">
        <v>834759</v>
      </c>
      <c r="BZ100">
        <v>190642</v>
      </c>
      <c r="CA100" s="708">
        <v>451314</v>
      </c>
      <c r="CB100">
        <v>84874</v>
      </c>
      <c r="CC100">
        <v>0</v>
      </c>
      <c r="CD100">
        <v>0</v>
      </c>
      <c r="CE100">
        <v>199375</v>
      </c>
    </row>
    <row r="101" spans="1:83" x14ac:dyDescent="0.25">
      <c r="A101">
        <v>335</v>
      </c>
      <c r="B101">
        <v>335</v>
      </c>
      <c r="C101" t="s">
        <v>119</v>
      </c>
      <c r="D101" t="s">
        <v>421</v>
      </c>
      <c r="E101">
        <v>0</v>
      </c>
      <c r="F101">
        <v>0</v>
      </c>
      <c r="G101">
        <v>0</v>
      </c>
      <c r="H101">
        <v>0</v>
      </c>
      <c r="I101">
        <v>0</v>
      </c>
      <c r="J101">
        <v>0</v>
      </c>
      <c r="K101">
        <v>0</v>
      </c>
      <c r="L101">
        <v>0</v>
      </c>
      <c r="M101">
        <v>0</v>
      </c>
      <c r="N101">
        <v>0</v>
      </c>
      <c r="O101">
        <v>0</v>
      </c>
      <c r="P101">
        <v>0</v>
      </c>
      <c r="Q101">
        <v>0</v>
      </c>
      <c r="R101">
        <v>2236</v>
      </c>
      <c r="S101">
        <v>0</v>
      </c>
      <c r="T101">
        <v>0</v>
      </c>
      <c r="U101">
        <v>186770</v>
      </c>
      <c r="V101">
        <v>0</v>
      </c>
      <c r="W101">
        <v>0</v>
      </c>
      <c r="X101">
        <v>350000</v>
      </c>
      <c r="Y101">
        <v>0</v>
      </c>
      <c r="Z101">
        <v>91087</v>
      </c>
      <c r="AA101">
        <v>0</v>
      </c>
      <c r="AB101">
        <v>0</v>
      </c>
      <c r="AC101">
        <v>0</v>
      </c>
      <c r="AD101">
        <v>0</v>
      </c>
      <c r="AE101">
        <v>0</v>
      </c>
      <c r="AF101">
        <v>0</v>
      </c>
      <c r="AG101">
        <v>200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15298</v>
      </c>
      <c r="BP101">
        <v>0</v>
      </c>
      <c r="BQ101">
        <v>0</v>
      </c>
      <c r="BR101">
        <v>16016</v>
      </c>
      <c r="BS101">
        <v>0</v>
      </c>
      <c r="BT101">
        <v>0</v>
      </c>
      <c r="BU101">
        <v>0</v>
      </c>
      <c r="BV101">
        <v>0</v>
      </c>
      <c r="BW101">
        <v>0</v>
      </c>
      <c r="BX101">
        <v>0</v>
      </c>
      <c r="BY101">
        <v>0</v>
      </c>
      <c r="BZ101">
        <v>0</v>
      </c>
      <c r="CA101">
        <v>0</v>
      </c>
      <c r="CB101">
        <v>0</v>
      </c>
      <c r="CC101">
        <v>0</v>
      </c>
      <c r="CD101">
        <v>0</v>
      </c>
      <c r="CE101">
        <v>0</v>
      </c>
    </row>
    <row r="102" spans="1:83" x14ac:dyDescent="0.25">
      <c r="A102">
        <v>336</v>
      </c>
      <c r="B102">
        <v>336</v>
      </c>
      <c r="C102" t="s">
        <v>641</v>
      </c>
      <c r="D102" t="s">
        <v>422</v>
      </c>
      <c r="E102">
        <v>0</v>
      </c>
      <c r="F102">
        <v>4066</v>
      </c>
      <c r="G102">
        <v>32866</v>
      </c>
      <c r="H102">
        <v>143771</v>
      </c>
      <c r="I102">
        <v>126469</v>
      </c>
      <c r="J102">
        <v>151413</v>
      </c>
      <c r="K102">
        <v>674</v>
      </c>
      <c r="L102">
        <v>24989</v>
      </c>
      <c r="M102">
        <v>5048</v>
      </c>
      <c r="N102">
        <v>664206</v>
      </c>
      <c r="O102">
        <v>26891</v>
      </c>
      <c r="P102">
        <v>416610</v>
      </c>
      <c r="Q102">
        <v>876</v>
      </c>
      <c r="R102">
        <v>4802337</v>
      </c>
      <c r="S102">
        <v>137589</v>
      </c>
      <c r="T102">
        <v>3777</v>
      </c>
      <c r="U102">
        <v>14794337</v>
      </c>
      <c r="V102">
        <v>1698015</v>
      </c>
      <c r="W102">
        <v>2408676</v>
      </c>
      <c r="X102">
        <v>7541269</v>
      </c>
      <c r="Y102">
        <v>19828</v>
      </c>
      <c r="Z102">
        <v>1414873</v>
      </c>
      <c r="AA102">
        <v>76144</v>
      </c>
      <c r="AB102">
        <v>1495046</v>
      </c>
      <c r="AC102">
        <v>240172</v>
      </c>
      <c r="AD102">
        <v>98399</v>
      </c>
      <c r="AE102" s="708">
        <v>32189</v>
      </c>
      <c r="AF102">
        <v>100817</v>
      </c>
      <c r="AG102">
        <v>5929099</v>
      </c>
      <c r="AH102">
        <v>295406</v>
      </c>
      <c r="AI102">
        <v>39958</v>
      </c>
      <c r="AJ102">
        <v>5620607</v>
      </c>
      <c r="AK102">
        <v>9533</v>
      </c>
      <c r="AL102">
        <v>93281</v>
      </c>
      <c r="AM102">
        <v>0</v>
      </c>
      <c r="AN102">
        <v>2160651</v>
      </c>
      <c r="AO102">
        <v>0</v>
      </c>
      <c r="AP102">
        <v>0</v>
      </c>
      <c r="AQ102">
        <v>601</v>
      </c>
      <c r="AR102">
        <v>685412</v>
      </c>
      <c r="AS102">
        <v>194214</v>
      </c>
      <c r="AT102">
        <v>44572</v>
      </c>
      <c r="AU102">
        <v>104693</v>
      </c>
      <c r="AV102">
        <v>0</v>
      </c>
      <c r="AW102">
        <v>2443298</v>
      </c>
      <c r="AX102">
        <v>456878</v>
      </c>
      <c r="AY102">
        <v>45548</v>
      </c>
      <c r="AZ102">
        <v>1090447</v>
      </c>
      <c r="BA102">
        <v>38048</v>
      </c>
      <c r="BB102">
        <v>77284</v>
      </c>
      <c r="BC102">
        <v>0</v>
      </c>
      <c r="BD102">
        <v>0</v>
      </c>
      <c r="BE102">
        <v>435865</v>
      </c>
      <c r="BF102">
        <v>11934</v>
      </c>
      <c r="BG102">
        <v>0</v>
      </c>
      <c r="BH102">
        <v>22713</v>
      </c>
      <c r="BI102">
        <v>848</v>
      </c>
      <c r="BJ102">
        <v>2418</v>
      </c>
      <c r="BK102">
        <v>19233</v>
      </c>
      <c r="BL102">
        <v>232447</v>
      </c>
      <c r="BM102">
        <v>0</v>
      </c>
      <c r="BN102">
        <v>55364</v>
      </c>
      <c r="BO102">
        <v>310472</v>
      </c>
      <c r="BP102">
        <v>45431</v>
      </c>
      <c r="BQ102">
        <v>75799</v>
      </c>
      <c r="BR102">
        <v>2089950</v>
      </c>
      <c r="BS102">
        <v>71287</v>
      </c>
      <c r="BT102">
        <v>1119537</v>
      </c>
      <c r="BU102">
        <v>33364</v>
      </c>
      <c r="BV102">
        <v>317057</v>
      </c>
      <c r="BW102">
        <v>23528</v>
      </c>
      <c r="BX102">
        <v>188339</v>
      </c>
      <c r="BY102">
        <v>62758</v>
      </c>
      <c r="BZ102">
        <v>2310</v>
      </c>
      <c r="CA102" s="708">
        <v>10411</v>
      </c>
      <c r="CB102">
        <v>4527</v>
      </c>
      <c r="CC102">
        <v>0</v>
      </c>
      <c r="CD102">
        <v>0</v>
      </c>
      <c r="CE102">
        <v>1017</v>
      </c>
    </row>
    <row r="103" spans="1:83" x14ac:dyDescent="0.25">
      <c r="A103">
        <v>337</v>
      </c>
      <c r="B103">
        <v>337</v>
      </c>
      <c r="C103" t="s">
        <v>257</v>
      </c>
      <c r="D103" t="s">
        <v>423</v>
      </c>
      <c r="E103">
        <v>0</v>
      </c>
      <c r="F103">
        <v>9300</v>
      </c>
      <c r="G103">
        <v>51371</v>
      </c>
      <c r="H103">
        <v>632360</v>
      </c>
      <c r="I103">
        <v>0</v>
      </c>
      <c r="J103">
        <v>509397</v>
      </c>
      <c r="K103">
        <v>0</v>
      </c>
      <c r="L103">
        <v>0</v>
      </c>
      <c r="M103">
        <v>0</v>
      </c>
      <c r="N103">
        <v>827531</v>
      </c>
      <c r="O103">
        <v>72908</v>
      </c>
      <c r="P103">
        <v>1171744</v>
      </c>
      <c r="Q103">
        <v>0</v>
      </c>
      <c r="R103">
        <v>15014634</v>
      </c>
      <c r="S103">
        <v>1113400</v>
      </c>
      <c r="T103">
        <v>0</v>
      </c>
      <c r="U103">
        <v>121787557</v>
      </c>
      <c r="V103">
        <v>8753807</v>
      </c>
      <c r="W103">
        <v>4125565</v>
      </c>
      <c r="X103">
        <v>32476400</v>
      </c>
      <c r="Y103">
        <v>0</v>
      </c>
      <c r="Z103">
        <v>324000</v>
      </c>
      <c r="AA103">
        <v>8315</v>
      </c>
      <c r="AB103">
        <v>10715115</v>
      </c>
      <c r="AC103">
        <v>42514</v>
      </c>
      <c r="AD103">
        <v>266513</v>
      </c>
      <c r="AE103">
        <v>0</v>
      </c>
      <c r="AF103">
        <v>1673454</v>
      </c>
      <c r="AG103">
        <v>30641986</v>
      </c>
      <c r="AH103">
        <v>0</v>
      </c>
      <c r="AI103">
        <v>222326</v>
      </c>
      <c r="AJ103">
        <v>10249000</v>
      </c>
      <c r="AK103">
        <v>0</v>
      </c>
      <c r="AL103">
        <v>0</v>
      </c>
      <c r="AM103">
        <v>0</v>
      </c>
      <c r="AN103">
        <v>7644566</v>
      </c>
      <c r="AO103">
        <v>0</v>
      </c>
      <c r="AP103">
        <v>0</v>
      </c>
      <c r="AQ103">
        <v>0</v>
      </c>
      <c r="AR103">
        <v>15566306</v>
      </c>
      <c r="AS103">
        <v>431326</v>
      </c>
      <c r="AT103">
        <v>11334</v>
      </c>
      <c r="AU103">
        <v>342661</v>
      </c>
      <c r="AV103">
        <v>0</v>
      </c>
      <c r="AW103">
        <v>3267256</v>
      </c>
      <c r="AX103">
        <v>1620000</v>
      </c>
      <c r="AY103">
        <v>0</v>
      </c>
      <c r="AZ103">
        <v>9354295</v>
      </c>
      <c r="BA103">
        <v>42263</v>
      </c>
      <c r="BB103">
        <v>0</v>
      </c>
      <c r="BC103">
        <v>0</v>
      </c>
      <c r="BD103">
        <v>0</v>
      </c>
      <c r="BE103">
        <v>726379</v>
      </c>
      <c r="BF103">
        <v>0</v>
      </c>
      <c r="BG103">
        <v>0</v>
      </c>
      <c r="BH103">
        <v>13557</v>
      </c>
      <c r="BI103">
        <v>0</v>
      </c>
      <c r="BJ103">
        <v>0</v>
      </c>
      <c r="BK103">
        <v>71099</v>
      </c>
      <c r="BL103">
        <v>2175654</v>
      </c>
      <c r="BM103">
        <v>0</v>
      </c>
      <c r="BN103">
        <v>174933</v>
      </c>
      <c r="BO103">
        <v>1271858</v>
      </c>
      <c r="BP103">
        <v>672364</v>
      </c>
      <c r="BQ103">
        <v>1673646</v>
      </c>
      <c r="BR103">
        <v>440287</v>
      </c>
      <c r="BS103">
        <v>235384</v>
      </c>
      <c r="BT103">
        <v>844250</v>
      </c>
      <c r="BU103">
        <v>244593</v>
      </c>
      <c r="BV103">
        <v>248613</v>
      </c>
      <c r="BW103">
        <v>0</v>
      </c>
      <c r="BX103">
        <v>530161</v>
      </c>
      <c r="BY103">
        <v>4794</v>
      </c>
      <c r="BZ103">
        <v>0</v>
      </c>
      <c r="CA103">
        <v>0</v>
      </c>
      <c r="CB103">
        <v>0</v>
      </c>
      <c r="CC103">
        <v>0</v>
      </c>
      <c r="CD103">
        <v>0</v>
      </c>
      <c r="CE103">
        <v>0</v>
      </c>
    </row>
    <row r="104" spans="1:83" x14ac:dyDescent="0.25">
      <c r="A104">
        <v>338</v>
      </c>
      <c r="B104">
        <v>338</v>
      </c>
      <c r="C104" t="s">
        <v>118</v>
      </c>
      <c r="D104" t="s">
        <v>424</v>
      </c>
      <c r="E104">
        <v>0</v>
      </c>
      <c r="F104">
        <v>9766</v>
      </c>
      <c r="G104">
        <v>176893</v>
      </c>
      <c r="H104">
        <v>795938</v>
      </c>
      <c r="I104">
        <v>141868</v>
      </c>
      <c r="J104">
        <v>731464</v>
      </c>
      <c r="K104">
        <v>674</v>
      </c>
      <c r="L104">
        <v>48596</v>
      </c>
      <c r="M104">
        <v>5048</v>
      </c>
      <c r="N104">
        <v>8610234</v>
      </c>
      <c r="O104">
        <v>267089</v>
      </c>
      <c r="P104">
        <v>3166325</v>
      </c>
      <c r="Q104">
        <v>1878</v>
      </c>
      <c r="R104">
        <v>64936628</v>
      </c>
      <c r="S104">
        <v>1659991</v>
      </c>
      <c r="T104">
        <v>3777</v>
      </c>
      <c r="U104">
        <v>190958987</v>
      </c>
      <c r="V104">
        <v>17220721</v>
      </c>
      <c r="W104">
        <v>26444821</v>
      </c>
      <c r="X104">
        <v>49006548</v>
      </c>
      <c r="Y104">
        <v>38165</v>
      </c>
      <c r="Z104">
        <v>6010444</v>
      </c>
      <c r="AA104">
        <v>313432</v>
      </c>
      <c r="AB104">
        <v>21524601</v>
      </c>
      <c r="AC104">
        <v>1350249</v>
      </c>
      <c r="AD104">
        <v>392700</v>
      </c>
      <c r="AE104" s="708">
        <v>634956</v>
      </c>
      <c r="AF104">
        <v>2326125</v>
      </c>
      <c r="AG104">
        <v>50394857</v>
      </c>
      <c r="AH104">
        <v>2260445</v>
      </c>
      <c r="AI104">
        <v>391952</v>
      </c>
      <c r="AJ104">
        <v>59926823</v>
      </c>
      <c r="AK104">
        <v>24079</v>
      </c>
      <c r="AL104">
        <v>382667</v>
      </c>
      <c r="AM104">
        <v>0</v>
      </c>
      <c r="AN104">
        <v>13938775</v>
      </c>
      <c r="AO104">
        <v>0</v>
      </c>
      <c r="AP104">
        <v>0</v>
      </c>
      <c r="AQ104">
        <v>601</v>
      </c>
      <c r="AR104">
        <v>16907916</v>
      </c>
      <c r="AS104">
        <v>53188931</v>
      </c>
      <c r="AT104">
        <v>116625</v>
      </c>
      <c r="AU104">
        <v>1077627</v>
      </c>
      <c r="AV104">
        <v>0</v>
      </c>
      <c r="AW104">
        <v>9628121</v>
      </c>
      <c r="AX104">
        <v>2024068</v>
      </c>
      <c r="AY104">
        <v>394227</v>
      </c>
      <c r="AZ104">
        <v>10760106</v>
      </c>
      <c r="BA104">
        <v>236814</v>
      </c>
      <c r="BB104">
        <v>219643</v>
      </c>
      <c r="BC104">
        <v>0</v>
      </c>
      <c r="BD104">
        <v>0</v>
      </c>
      <c r="BE104">
        <v>9571052</v>
      </c>
      <c r="BF104">
        <v>11934</v>
      </c>
      <c r="BG104">
        <v>34301</v>
      </c>
      <c r="BH104">
        <v>29492</v>
      </c>
      <c r="BI104">
        <v>848</v>
      </c>
      <c r="BJ104">
        <v>25748</v>
      </c>
      <c r="BK104">
        <v>73233</v>
      </c>
      <c r="BL104">
        <v>4114777</v>
      </c>
      <c r="BM104">
        <v>0</v>
      </c>
      <c r="BN104">
        <v>953468</v>
      </c>
      <c r="BO104">
        <v>2402084</v>
      </c>
      <c r="BP104">
        <v>987055</v>
      </c>
      <c r="BQ104">
        <v>1868643</v>
      </c>
      <c r="BR104">
        <v>6497792</v>
      </c>
      <c r="BS104">
        <v>577118</v>
      </c>
      <c r="BT104">
        <v>8977856</v>
      </c>
      <c r="BU104">
        <v>426462</v>
      </c>
      <c r="BV104">
        <v>2832380</v>
      </c>
      <c r="BW104">
        <v>23528</v>
      </c>
      <c r="BX104">
        <v>1022710</v>
      </c>
      <c r="BY104">
        <v>686253</v>
      </c>
      <c r="BZ104">
        <v>12183</v>
      </c>
      <c r="CA104" s="708">
        <v>443689</v>
      </c>
      <c r="CB104">
        <v>4883</v>
      </c>
      <c r="CC104">
        <v>0</v>
      </c>
      <c r="CD104">
        <v>0</v>
      </c>
      <c r="CE104">
        <v>1017</v>
      </c>
    </row>
    <row r="105" spans="1:83" x14ac:dyDescent="0.25">
      <c r="A105">
        <v>339</v>
      </c>
      <c r="B105">
        <v>339</v>
      </c>
      <c r="C105" t="s">
        <v>193</v>
      </c>
      <c r="D105" t="s">
        <v>425</v>
      </c>
      <c r="E105">
        <v>0</v>
      </c>
      <c r="F105">
        <v>11625</v>
      </c>
      <c r="G105">
        <v>161561</v>
      </c>
      <c r="H105">
        <v>18823</v>
      </c>
      <c r="I105">
        <v>0</v>
      </c>
      <c r="J105">
        <v>7895</v>
      </c>
      <c r="K105">
        <v>0</v>
      </c>
      <c r="L105">
        <v>3794</v>
      </c>
      <c r="M105">
        <v>4199</v>
      </c>
      <c r="N105">
        <v>0</v>
      </c>
      <c r="O105">
        <v>265000</v>
      </c>
      <c r="P105">
        <v>179542</v>
      </c>
      <c r="Q105">
        <v>315</v>
      </c>
      <c r="R105">
        <v>8942541</v>
      </c>
      <c r="S105">
        <v>109992</v>
      </c>
      <c r="T105">
        <v>0</v>
      </c>
      <c r="U105">
        <v>6097258</v>
      </c>
      <c r="V105">
        <v>2492430</v>
      </c>
      <c r="W105">
        <v>2912503</v>
      </c>
      <c r="X105">
        <v>2764721</v>
      </c>
      <c r="Y105">
        <v>41525</v>
      </c>
      <c r="Z105">
        <v>1368463</v>
      </c>
      <c r="AA105">
        <v>111392</v>
      </c>
      <c r="AB105">
        <v>1055277</v>
      </c>
      <c r="AC105">
        <v>597769</v>
      </c>
      <c r="AD105">
        <v>30482</v>
      </c>
      <c r="AE105" s="708">
        <v>322277</v>
      </c>
      <c r="AF105">
        <v>36276</v>
      </c>
      <c r="AG105">
        <v>366320</v>
      </c>
      <c r="AH105">
        <v>702921</v>
      </c>
      <c r="AI105">
        <v>30568</v>
      </c>
      <c r="AJ105">
        <v>1266591</v>
      </c>
      <c r="AK105">
        <v>1485</v>
      </c>
      <c r="AL105">
        <v>78502</v>
      </c>
      <c r="AM105">
        <v>0</v>
      </c>
      <c r="AN105">
        <v>1256353</v>
      </c>
      <c r="AO105">
        <v>0</v>
      </c>
      <c r="AP105">
        <v>0</v>
      </c>
      <c r="AQ105">
        <v>0</v>
      </c>
      <c r="AR105">
        <v>745066</v>
      </c>
      <c r="AS105">
        <v>502997</v>
      </c>
      <c r="AT105">
        <v>0</v>
      </c>
      <c r="AU105">
        <v>103611</v>
      </c>
      <c r="AV105">
        <v>0</v>
      </c>
      <c r="AW105">
        <v>3600800</v>
      </c>
      <c r="AX105">
        <v>83381</v>
      </c>
      <c r="AY105">
        <v>70582</v>
      </c>
      <c r="AZ105">
        <v>4933420</v>
      </c>
      <c r="BA105">
        <v>42993</v>
      </c>
      <c r="BB105">
        <v>128873</v>
      </c>
      <c r="BC105">
        <v>0</v>
      </c>
      <c r="BD105">
        <v>0</v>
      </c>
      <c r="BE105">
        <v>2766241</v>
      </c>
      <c r="BF105">
        <v>17555</v>
      </c>
      <c r="BG105">
        <v>33352</v>
      </c>
      <c r="BH105">
        <v>7782</v>
      </c>
      <c r="BI105">
        <v>0</v>
      </c>
      <c r="BJ105">
        <v>31507</v>
      </c>
      <c r="BK105">
        <v>2695</v>
      </c>
      <c r="BL105">
        <v>609835</v>
      </c>
      <c r="BM105">
        <v>0</v>
      </c>
      <c r="BN105">
        <v>271711</v>
      </c>
      <c r="BO105">
        <v>1288461</v>
      </c>
      <c r="BP105">
        <v>278957</v>
      </c>
      <c r="BQ105">
        <v>29314</v>
      </c>
      <c r="BR105">
        <v>1478263</v>
      </c>
      <c r="BS105">
        <v>108091</v>
      </c>
      <c r="BT105">
        <v>1097680</v>
      </c>
      <c r="BU105">
        <v>104016</v>
      </c>
      <c r="BV105">
        <v>577054</v>
      </c>
      <c r="BW105">
        <v>148662</v>
      </c>
      <c r="BX105">
        <v>163393</v>
      </c>
      <c r="BY105">
        <v>48956</v>
      </c>
      <c r="BZ105">
        <v>0</v>
      </c>
      <c r="CA105">
        <v>0</v>
      </c>
      <c r="CB105">
        <v>22017</v>
      </c>
      <c r="CC105">
        <v>0</v>
      </c>
      <c r="CD105">
        <v>0</v>
      </c>
      <c r="CE105">
        <v>0</v>
      </c>
    </row>
    <row r="106" spans="1:83" x14ac:dyDescent="0.25">
      <c r="B106">
        <v>340</v>
      </c>
      <c r="C106" t="s">
        <v>642</v>
      </c>
      <c r="D106" t="s">
        <v>426</v>
      </c>
    </row>
    <row r="107" spans="1:83" x14ac:dyDescent="0.25">
      <c r="A107">
        <v>341</v>
      </c>
      <c r="B107">
        <v>341</v>
      </c>
      <c r="C107" t="s">
        <v>196</v>
      </c>
      <c r="D107" t="s">
        <v>427</v>
      </c>
      <c r="E107">
        <v>0</v>
      </c>
      <c r="F107">
        <v>51391</v>
      </c>
      <c r="G107">
        <v>576659</v>
      </c>
      <c r="H107">
        <v>1758189</v>
      </c>
      <c r="I107">
        <v>1644375</v>
      </c>
      <c r="J107">
        <v>3446684</v>
      </c>
      <c r="K107">
        <v>73106</v>
      </c>
      <c r="L107">
        <v>358609</v>
      </c>
      <c r="M107">
        <v>206684</v>
      </c>
      <c r="N107">
        <v>13022918</v>
      </c>
      <c r="O107">
        <v>256117</v>
      </c>
      <c r="P107">
        <v>4570088</v>
      </c>
      <c r="Q107">
        <v>81675</v>
      </c>
      <c r="R107">
        <v>38313254</v>
      </c>
      <c r="S107">
        <v>1429552</v>
      </c>
      <c r="T107">
        <v>30047</v>
      </c>
      <c r="U107">
        <v>65179695</v>
      </c>
      <c r="V107">
        <v>12415372</v>
      </c>
      <c r="W107">
        <v>17766369</v>
      </c>
      <c r="X107">
        <v>32252773</v>
      </c>
      <c r="Y107">
        <v>213263</v>
      </c>
      <c r="Z107">
        <v>12383501</v>
      </c>
      <c r="AA107">
        <v>969424</v>
      </c>
      <c r="AB107">
        <v>12531489</v>
      </c>
      <c r="AC107">
        <v>4239495</v>
      </c>
      <c r="AD107">
        <v>1210516</v>
      </c>
      <c r="AE107" s="708">
        <v>1978717</v>
      </c>
      <c r="AF107">
        <v>2450217</v>
      </c>
      <c r="AG107">
        <v>17272452</v>
      </c>
      <c r="AH107">
        <v>4810670</v>
      </c>
      <c r="AI107">
        <v>963809</v>
      </c>
      <c r="AJ107">
        <v>28037430</v>
      </c>
      <c r="AK107">
        <v>568378</v>
      </c>
      <c r="AL107">
        <v>811103</v>
      </c>
      <c r="AM107">
        <v>0</v>
      </c>
      <c r="AN107">
        <v>12083477</v>
      </c>
      <c r="AO107">
        <v>0</v>
      </c>
      <c r="AP107">
        <v>0</v>
      </c>
      <c r="AQ107">
        <v>40900</v>
      </c>
      <c r="AR107">
        <v>7050189</v>
      </c>
      <c r="AS107">
        <v>6063252</v>
      </c>
      <c r="AT107">
        <v>429120</v>
      </c>
      <c r="AU107">
        <v>2016729</v>
      </c>
      <c r="AV107">
        <v>0</v>
      </c>
      <c r="AW107">
        <v>13187794</v>
      </c>
      <c r="AX107">
        <v>1630422</v>
      </c>
      <c r="AY107">
        <v>1421999</v>
      </c>
      <c r="AZ107">
        <v>6581129</v>
      </c>
      <c r="BA107">
        <v>812476</v>
      </c>
      <c r="BB107">
        <v>862311</v>
      </c>
      <c r="BC107">
        <v>30007</v>
      </c>
      <c r="BD107">
        <v>0</v>
      </c>
      <c r="BE107">
        <v>6661331</v>
      </c>
      <c r="BF107">
        <v>106592</v>
      </c>
      <c r="BG107">
        <v>328836</v>
      </c>
      <c r="BH107">
        <v>114396</v>
      </c>
      <c r="BI107">
        <v>87807</v>
      </c>
      <c r="BJ107">
        <v>181208</v>
      </c>
      <c r="BK107">
        <v>114055</v>
      </c>
      <c r="BL107">
        <v>2802562</v>
      </c>
      <c r="BM107">
        <v>0</v>
      </c>
      <c r="BN107">
        <v>1471549</v>
      </c>
      <c r="BO107">
        <v>3433670</v>
      </c>
      <c r="BP107">
        <v>849804</v>
      </c>
      <c r="BQ107">
        <v>1274450</v>
      </c>
      <c r="BR107">
        <v>16956820</v>
      </c>
      <c r="BS107">
        <v>710819</v>
      </c>
      <c r="BT107">
        <v>10717856</v>
      </c>
      <c r="BU107">
        <v>381656</v>
      </c>
      <c r="BV107">
        <v>4193895</v>
      </c>
      <c r="BW107">
        <v>498543</v>
      </c>
      <c r="BX107">
        <v>1793148</v>
      </c>
      <c r="BY107">
        <v>869028</v>
      </c>
      <c r="BZ107">
        <v>52685</v>
      </c>
      <c r="CA107" s="708">
        <v>148118</v>
      </c>
      <c r="CB107">
        <v>150995</v>
      </c>
      <c r="CC107">
        <v>0</v>
      </c>
      <c r="CD107">
        <v>0</v>
      </c>
      <c r="CE107">
        <v>54046</v>
      </c>
    </row>
    <row r="108" spans="1:83" x14ac:dyDescent="0.25">
      <c r="A108">
        <v>343</v>
      </c>
      <c r="B108">
        <v>342</v>
      </c>
      <c r="C108" t="s">
        <v>643</v>
      </c>
      <c r="D108" t="s">
        <v>428</v>
      </c>
    </row>
    <row r="109" spans="1:83" x14ac:dyDescent="0.25">
      <c r="A109">
        <v>344</v>
      </c>
      <c r="B109">
        <v>343</v>
      </c>
      <c r="C109" t="s">
        <v>258</v>
      </c>
      <c r="D109" t="s">
        <v>429</v>
      </c>
      <c r="E109">
        <v>0</v>
      </c>
      <c r="F109">
        <v>3600</v>
      </c>
      <c r="G109">
        <v>2829</v>
      </c>
      <c r="H109">
        <v>39522</v>
      </c>
      <c r="I109">
        <v>0</v>
      </c>
      <c r="J109">
        <v>64498</v>
      </c>
      <c r="K109">
        <v>0</v>
      </c>
      <c r="L109">
        <v>0</v>
      </c>
      <c r="M109">
        <v>0</v>
      </c>
      <c r="N109">
        <v>663789</v>
      </c>
      <c r="O109">
        <v>23005</v>
      </c>
      <c r="P109">
        <v>213256</v>
      </c>
      <c r="Q109">
        <v>0</v>
      </c>
      <c r="R109">
        <v>1186123</v>
      </c>
      <c r="S109">
        <v>23061</v>
      </c>
      <c r="T109">
        <v>0</v>
      </c>
      <c r="U109">
        <v>9179743</v>
      </c>
      <c r="V109">
        <v>1186469</v>
      </c>
      <c r="W109">
        <v>1302818</v>
      </c>
      <c r="X109">
        <v>1289145</v>
      </c>
      <c r="Y109">
        <v>0</v>
      </c>
      <c r="Z109">
        <v>36000</v>
      </c>
      <c r="AA109">
        <v>25687</v>
      </c>
      <c r="AB109">
        <v>1074474</v>
      </c>
      <c r="AC109">
        <v>666332</v>
      </c>
      <c r="AD109">
        <v>49581</v>
      </c>
      <c r="AE109">
        <v>0</v>
      </c>
      <c r="AF109">
        <v>40865</v>
      </c>
      <c r="AG109">
        <v>1293230</v>
      </c>
      <c r="AH109">
        <v>0</v>
      </c>
      <c r="AI109">
        <v>22949</v>
      </c>
      <c r="AJ109">
        <v>1943365</v>
      </c>
      <c r="AK109">
        <v>0</v>
      </c>
      <c r="AL109">
        <v>34358</v>
      </c>
      <c r="AM109">
        <v>0</v>
      </c>
      <c r="AN109">
        <v>1101359</v>
      </c>
      <c r="AO109">
        <v>0</v>
      </c>
      <c r="AP109">
        <v>0</v>
      </c>
      <c r="AQ109">
        <v>0</v>
      </c>
      <c r="AR109">
        <v>515772</v>
      </c>
      <c r="AS109">
        <v>134817</v>
      </c>
      <c r="AT109">
        <v>5417</v>
      </c>
      <c r="AU109">
        <v>54659</v>
      </c>
      <c r="AV109">
        <v>0</v>
      </c>
      <c r="AW109">
        <v>1633627</v>
      </c>
      <c r="AX109">
        <v>0</v>
      </c>
      <c r="AY109">
        <v>0</v>
      </c>
      <c r="AZ109">
        <v>367109</v>
      </c>
      <c r="BA109">
        <v>6737</v>
      </c>
      <c r="BB109">
        <v>0</v>
      </c>
      <c r="BC109">
        <v>0</v>
      </c>
      <c r="BD109">
        <v>0</v>
      </c>
      <c r="BE109">
        <v>272522</v>
      </c>
      <c r="BF109">
        <v>0</v>
      </c>
      <c r="BG109">
        <v>0</v>
      </c>
      <c r="BH109">
        <v>6799</v>
      </c>
      <c r="BI109">
        <v>0</v>
      </c>
      <c r="BJ109">
        <v>0</v>
      </c>
      <c r="BK109">
        <v>16667</v>
      </c>
      <c r="BL109">
        <v>210370</v>
      </c>
      <c r="BM109">
        <v>0</v>
      </c>
      <c r="BN109">
        <v>43484</v>
      </c>
      <c r="BO109">
        <v>162390</v>
      </c>
      <c r="BP109">
        <v>17630</v>
      </c>
      <c r="BQ109">
        <v>73303</v>
      </c>
      <c r="BR109">
        <v>297282</v>
      </c>
      <c r="BS109">
        <v>13175</v>
      </c>
      <c r="BT109">
        <v>788500</v>
      </c>
      <c r="BU109">
        <v>31918</v>
      </c>
      <c r="BV109">
        <v>101225</v>
      </c>
      <c r="BW109">
        <v>0</v>
      </c>
      <c r="BX109">
        <v>96793</v>
      </c>
      <c r="BY109">
        <v>0</v>
      </c>
      <c r="BZ109">
        <v>0</v>
      </c>
      <c r="CA109">
        <v>0</v>
      </c>
      <c r="CB109">
        <v>0</v>
      </c>
      <c r="CC109">
        <v>0</v>
      </c>
      <c r="CD109">
        <v>0</v>
      </c>
      <c r="CE109">
        <v>0</v>
      </c>
    </row>
    <row r="110" spans="1:83" x14ac:dyDescent="0.25">
      <c r="B110">
        <v>344</v>
      </c>
      <c r="C110" t="s">
        <v>191</v>
      </c>
      <c r="D110" t="s">
        <v>430</v>
      </c>
      <c r="E110">
        <v>0</v>
      </c>
      <c r="F110">
        <v>0</v>
      </c>
      <c r="G110">
        <v>770</v>
      </c>
      <c r="H110">
        <v>13570</v>
      </c>
      <c r="I110">
        <v>0</v>
      </c>
      <c r="J110">
        <v>22517</v>
      </c>
      <c r="K110">
        <v>0</v>
      </c>
      <c r="L110">
        <v>0</v>
      </c>
      <c r="M110">
        <v>0</v>
      </c>
      <c r="N110">
        <v>46638</v>
      </c>
      <c r="O110">
        <v>1278</v>
      </c>
      <c r="P110">
        <v>17491</v>
      </c>
      <c r="Q110">
        <v>0</v>
      </c>
      <c r="R110">
        <v>468627</v>
      </c>
      <c r="S110">
        <v>2021</v>
      </c>
      <c r="T110">
        <v>0</v>
      </c>
      <c r="U110">
        <v>3967464</v>
      </c>
      <c r="V110">
        <v>298219</v>
      </c>
      <c r="W110">
        <v>113873</v>
      </c>
      <c r="X110">
        <v>765140</v>
      </c>
      <c r="Y110">
        <v>0</v>
      </c>
      <c r="Z110">
        <v>0</v>
      </c>
      <c r="AA110">
        <v>1858</v>
      </c>
      <c r="AB110">
        <v>309488</v>
      </c>
      <c r="AC110">
        <v>20407</v>
      </c>
      <c r="AD110">
        <v>8115</v>
      </c>
      <c r="AE110">
        <v>0</v>
      </c>
      <c r="AF110">
        <v>73974</v>
      </c>
      <c r="AG110">
        <v>430674</v>
      </c>
      <c r="AH110">
        <v>0</v>
      </c>
      <c r="AI110">
        <v>7415</v>
      </c>
      <c r="AJ110">
        <v>215138</v>
      </c>
      <c r="AK110">
        <v>0</v>
      </c>
      <c r="AL110">
        <v>132</v>
      </c>
      <c r="AM110">
        <v>0</v>
      </c>
      <c r="AN110">
        <v>212893</v>
      </c>
      <c r="AO110">
        <v>0</v>
      </c>
      <c r="AP110">
        <v>0</v>
      </c>
      <c r="AQ110">
        <v>0</v>
      </c>
      <c r="AR110">
        <v>517191</v>
      </c>
      <c r="AS110">
        <v>12359</v>
      </c>
      <c r="AT110">
        <v>508</v>
      </c>
      <c r="AU110">
        <v>9883</v>
      </c>
      <c r="AV110">
        <v>0</v>
      </c>
      <c r="AW110">
        <v>104971</v>
      </c>
      <c r="AX110">
        <v>94230</v>
      </c>
      <c r="AY110">
        <v>0</v>
      </c>
      <c r="AZ110">
        <v>73634</v>
      </c>
      <c r="BA110">
        <v>1392</v>
      </c>
      <c r="BB110">
        <v>0</v>
      </c>
      <c r="BC110">
        <v>0</v>
      </c>
      <c r="BD110">
        <v>0</v>
      </c>
      <c r="BE110">
        <v>346</v>
      </c>
      <c r="BF110">
        <v>0</v>
      </c>
      <c r="BG110">
        <v>0</v>
      </c>
      <c r="BH110">
        <v>599</v>
      </c>
      <c r="BI110">
        <v>0</v>
      </c>
      <c r="BJ110">
        <v>0</v>
      </c>
      <c r="BK110">
        <v>2273</v>
      </c>
      <c r="BL110">
        <v>71847</v>
      </c>
      <c r="BM110">
        <v>0</v>
      </c>
      <c r="BN110">
        <v>6130</v>
      </c>
      <c r="BO110">
        <v>25419</v>
      </c>
      <c r="BP110">
        <v>25187</v>
      </c>
      <c r="BQ110">
        <v>63675</v>
      </c>
      <c r="BR110">
        <v>18838</v>
      </c>
      <c r="BS110">
        <v>8346</v>
      </c>
      <c r="BT110">
        <v>39044</v>
      </c>
      <c r="BU110">
        <v>4664</v>
      </c>
      <c r="BV110">
        <v>3422</v>
      </c>
      <c r="BW110">
        <v>0</v>
      </c>
      <c r="BX110">
        <v>9558</v>
      </c>
      <c r="BY110">
        <v>0</v>
      </c>
      <c r="BZ110">
        <v>0</v>
      </c>
      <c r="CA110">
        <v>0</v>
      </c>
      <c r="CB110">
        <v>0</v>
      </c>
      <c r="CC110">
        <v>0</v>
      </c>
      <c r="CD110">
        <v>0</v>
      </c>
      <c r="CE110">
        <v>0</v>
      </c>
    </row>
    <row r="111" spans="1:83" x14ac:dyDescent="0.25">
      <c r="B111">
        <v>346</v>
      </c>
      <c r="C111" t="s">
        <v>644</v>
      </c>
      <c r="D111" t="s">
        <v>431</v>
      </c>
    </row>
    <row r="112" spans="1:83" x14ac:dyDescent="0.25">
      <c r="B112">
        <v>347</v>
      </c>
      <c r="C112" t="s">
        <v>645</v>
      </c>
      <c r="D112" t="s">
        <v>432</v>
      </c>
    </row>
    <row r="113" spans="1:83" x14ac:dyDescent="0.25">
      <c r="A113">
        <v>349</v>
      </c>
      <c r="B113">
        <v>349</v>
      </c>
      <c r="C113" t="s">
        <v>124</v>
      </c>
      <c r="D113" t="s">
        <v>433</v>
      </c>
      <c r="E113">
        <v>0</v>
      </c>
      <c r="F113">
        <v>0</v>
      </c>
      <c r="G113">
        <v>179148</v>
      </c>
      <c r="H113">
        <v>0</v>
      </c>
      <c r="I113">
        <v>0</v>
      </c>
      <c r="J113">
        <v>0</v>
      </c>
      <c r="K113">
        <v>441451</v>
      </c>
      <c r="L113">
        <v>0</v>
      </c>
      <c r="M113">
        <v>0</v>
      </c>
      <c r="N113">
        <v>0</v>
      </c>
      <c r="O113">
        <v>0</v>
      </c>
      <c r="P113">
        <v>1702903</v>
      </c>
      <c r="Q113">
        <v>0</v>
      </c>
      <c r="R113">
        <v>32867864</v>
      </c>
      <c r="S113">
        <v>494455</v>
      </c>
      <c r="T113">
        <v>0</v>
      </c>
      <c r="U113">
        <v>72831408</v>
      </c>
      <c r="V113">
        <v>18839123</v>
      </c>
      <c r="W113">
        <v>23695236</v>
      </c>
      <c r="X113">
        <v>0</v>
      </c>
      <c r="Y113">
        <v>26498</v>
      </c>
      <c r="Z113">
        <v>8821917</v>
      </c>
      <c r="AA113">
        <v>1410481</v>
      </c>
      <c r="AB113">
        <v>7261219</v>
      </c>
      <c r="AC113">
        <v>8453958</v>
      </c>
      <c r="AD113">
        <v>917025</v>
      </c>
      <c r="AE113" s="708">
        <v>2361893</v>
      </c>
      <c r="AF113">
        <v>1049391</v>
      </c>
      <c r="AG113">
        <v>1422099</v>
      </c>
      <c r="AH113">
        <v>643191</v>
      </c>
      <c r="AI113">
        <v>683254</v>
      </c>
      <c r="AJ113">
        <v>33288316</v>
      </c>
      <c r="AK113">
        <v>25860</v>
      </c>
      <c r="AL113">
        <v>878924</v>
      </c>
      <c r="AM113">
        <v>0</v>
      </c>
      <c r="AN113">
        <v>10221598</v>
      </c>
      <c r="AO113">
        <v>0</v>
      </c>
      <c r="AP113">
        <v>0</v>
      </c>
      <c r="AQ113">
        <v>0</v>
      </c>
      <c r="AR113">
        <v>0</v>
      </c>
      <c r="AS113">
        <v>2537384</v>
      </c>
      <c r="AT113">
        <v>1156578</v>
      </c>
      <c r="AU113">
        <v>2272659</v>
      </c>
      <c r="AV113">
        <v>0</v>
      </c>
      <c r="AW113">
        <v>89050911</v>
      </c>
      <c r="AX113">
        <v>0</v>
      </c>
      <c r="AY113">
        <v>1160868</v>
      </c>
      <c r="AZ113">
        <v>484417</v>
      </c>
      <c r="BA113">
        <v>809778</v>
      </c>
      <c r="BB113">
        <v>76627</v>
      </c>
      <c r="BC113">
        <v>0</v>
      </c>
      <c r="BD113">
        <v>0</v>
      </c>
      <c r="BE113">
        <v>14476744</v>
      </c>
      <c r="BF113">
        <v>0</v>
      </c>
      <c r="BG113">
        <v>594483</v>
      </c>
      <c r="BH113">
        <v>12212</v>
      </c>
      <c r="BI113">
        <v>0</v>
      </c>
      <c r="BJ113">
        <v>107247</v>
      </c>
      <c r="BK113">
        <v>0</v>
      </c>
      <c r="BL113">
        <v>2648236</v>
      </c>
      <c r="BM113">
        <v>0</v>
      </c>
      <c r="BN113">
        <v>1230155</v>
      </c>
      <c r="BO113">
        <v>2828176</v>
      </c>
      <c r="BP113">
        <v>1096243</v>
      </c>
      <c r="BQ113">
        <v>110191</v>
      </c>
      <c r="BR113">
        <v>0</v>
      </c>
      <c r="BS113">
        <v>91444</v>
      </c>
      <c r="BT113">
        <v>0</v>
      </c>
      <c r="BU113">
        <v>1182719</v>
      </c>
      <c r="BV113">
        <v>2549007</v>
      </c>
      <c r="BW113">
        <v>0</v>
      </c>
      <c r="BX113">
        <v>1932804</v>
      </c>
      <c r="BY113">
        <v>170535</v>
      </c>
      <c r="BZ113">
        <v>9017</v>
      </c>
      <c r="CA113" s="708">
        <v>808597</v>
      </c>
      <c r="CB113">
        <v>409459</v>
      </c>
      <c r="CC113">
        <v>0</v>
      </c>
      <c r="CD113">
        <v>0</v>
      </c>
      <c r="CE113">
        <v>237</v>
      </c>
    </row>
    <row r="114" spans="1:83" x14ac:dyDescent="0.25">
      <c r="A114">
        <v>350</v>
      </c>
      <c r="B114">
        <v>350</v>
      </c>
      <c r="C114" t="s">
        <v>234</v>
      </c>
      <c r="D114" t="s">
        <v>434</v>
      </c>
      <c r="E114">
        <v>0</v>
      </c>
      <c r="F114">
        <v>0</v>
      </c>
      <c r="G114">
        <v>6188</v>
      </c>
      <c r="H114">
        <v>0</v>
      </c>
      <c r="I114">
        <v>0</v>
      </c>
      <c r="J114">
        <v>0</v>
      </c>
      <c r="K114">
        <v>0</v>
      </c>
      <c r="L114">
        <v>0</v>
      </c>
      <c r="M114">
        <v>0</v>
      </c>
      <c r="N114">
        <v>0</v>
      </c>
      <c r="O114">
        <v>0</v>
      </c>
      <c r="P114">
        <v>8395</v>
      </c>
      <c r="Q114">
        <v>0</v>
      </c>
      <c r="R114">
        <v>2657557</v>
      </c>
      <c r="S114">
        <v>321</v>
      </c>
      <c r="T114">
        <v>0</v>
      </c>
      <c r="U114">
        <v>6338640</v>
      </c>
      <c r="V114">
        <v>211493</v>
      </c>
      <c r="W114">
        <v>495748</v>
      </c>
      <c r="X114">
        <v>0</v>
      </c>
      <c r="Y114">
        <v>180806</v>
      </c>
      <c r="Z114">
        <v>101480</v>
      </c>
      <c r="AA114">
        <v>1754</v>
      </c>
      <c r="AB114">
        <v>500392</v>
      </c>
      <c r="AC114">
        <v>2431</v>
      </c>
      <c r="AD114">
        <v>5490</v>
      </c>
      <c r="AE114" s="708">
        <v>4500</v>
      </c>
      <c r="AF114">
        <v>143003</v>
      </c>
      <c r="AG114">
        <v>116851</v>
      </c>
      <c r="AH114">
        <v>10086</v>
      </c>
      <c r="AI114">
        <v>417498</v>
      </c>
      <c r="AJ114">
        <v>255479</v>
      </c>
      <c r="AK114">
        <v>3224</v>
      </c>
      <c r="AL114">
        <v>1516</v>
      </c>
      <c r="AM114">
        <v>0</v>
      </c>
      <c r="AN114">
        <v>164893</v>
      </c>
      <c r="AO114">
        <v>0</v>
      </c>
      <c r="AP114">
        <v>0</v>
      </c>
      <c r="AQ114">
        <v>0</v>
      </c>
      <c r="AR114">
        <v>0</v>
      </c>
      <c r="AS114">
        <v>227380</v>
      </c>
      <c r="AT114">
        <v>522</v>
      </c>
      <c r="AU114">
        <v>35453</v>
      </c>
      <c r="AV114">
        <v>0</v>
      </c>
      <c r="AW114">
        <v>695772</v>
      </c>
      <c r="AX114">
        <v>0</v>
      </c>
      <c r="AY114">
        <v>4833</v>
      </c>
      <c r="AZ114">
        <v>124791</v>
      </c>
      <c r="BA114">
        <v>224856</v>
      </c>
      <c r="BB114">
        <v>1121</v>
      </c>
      <c r="BC114">
        <v>0</v>
      </c>
      <c r="BD114">
        <v>0</v>
      </c>
      <c r="BE114">
        <v>79187</v>
      </c>
      <c r="BF114">
        <v>0</v>
      </c>
      <c r="BG114">
        <v>17268</v>
      </c>
      <c r="BH114">
        <v>45</v>
      </c>
      <c r="BI114">
        <v>0</v>
      </c>
      <c r="BJ114">
        <v>283</v>
      </c>
      <c r="BK114">
        <v>0</v>
      </c>
      <c r="BL114">
        <v>26786</v>
      </c>
      <c r="BM114">
        <v>0</v>
      </c>
      <c r="BN114">
        <v>10831</v>
      </c>
      <c r="BO114">
        <v>91868</v>
      </c>
      <c r="BP114">
        <v>431</v>
      </c>
      <c r="BQ114">
        <v>1423</v>
      </c>
      <c r="BR114">
        <v>0</v>
      </c>
      <c r="BS114">
        <v>0</v>
      </c>
      <c r="BT114">
        <v>0</v>
      </c>
      <c r="BU114">
        <v>42128</v>
      </c>
      <c r="BV114">
        <v>84209</v>
      </c>
      <c r="BW114">
        <v>0</v>
      </c>
      <c r="BX114">
        <v>5000</v>
      </c>
      <c r="BY114">
        <v>4210</v>
      </c>
      <c r="BZ114">
        <v>0</v>
      </c>
      <c r="CA114" s="708">
        <v>249339</v>
      </c>
      <c r="CB114">
        <v>16925</v>
      </c>
      <c r="CC114">
        <v>0</v>
      </c>
      <c r="CD114">
        <v>0</v>
      </c>
      <c r="CE114">
        <v>0</v>
      </c>
    </row>
    <row r="115" spans="1:83" x14ac:dyDescent="0.25">
      <c r="A115">
        <v>351</v>
      </c>
      <c r="B115">
        <v>351</v>
      </c>
      <c r="C115" t="s">
        <v>235</v>
      </c>
      <c r="D115" t="s">
        <v>435</v>
      </c>
      <c r="E115">
        <v>0</v>
      </c>
      <c r="F115">
        <v>0</v>
      </c>
      <c r="G115">
        <v>2269</v>
      </c>
      <c r="H115">
        <v>0</v>
      </c>
      <c r="I115">
        <v>0</v>
      </c>
      <c r="J115">
        <v>0</v>
      </c>
      <c r="K115">
        <v>8178</v>
      </c>
      <c r="L115">
        <v>0</v>
      </c>
      <c r="M115">
        <v>0</v>
      </c>
      <c r="N115">
        <v>0</v>
      </c>
      <c r="O115">
        <v>0</v>
      </c>
      <c r="P115">
        <v>0</v>
      </c>
      <c r="Q115">
        <v>0</v>
      </c>
      <c r="R115">
        <v>917515</v>
      </c>
      <c r="S115">
        <v>10840</v>
      </c>
      <c r="T115">
        <v>0</v>
      </c>
      <c r="U115">
        <v>2657449</v>
      </c>
      <c r="V115">
        <v>895439</v>
      </c>
      <c r="W115">
        <v>405801</v>
      </c>
      <c r="X115">
        <v>0</v>
      </c>
      <c r="Y115">
        <v>0</v>
      </c>
      <c r="Z115">
        <v>277039</v>
      </c>
      <c r="AA115">
        <v>64705</v>
      </c>
      <c r="AB115">
        <v>113786</v>
      </c>
      <c r="AC115">
        <v>276100</v>
      </c>
      <c r="AD115">
        <v>23663</v>
      </c>
      <c r="AE115" s="708">
        <v>51815</v>
      </c>
      <c r="AF115">
        <v>0</v>
      </c>
      <c r="AG115">
        <v>2662</v>
      </c>
      <c r="AH115">
        <v>3734</v>
      </c>
      <c r="AI115">
        <v>13111</v>
      </c>
      <c r="AJ115">
        <v>781647</v>
      </c>
      <c r="AK115">
        <v>0</v>
      </c>
      <c r="AL115">
        <v>38695</v>
      </c>
      <c r="AM115">
        <v>0</v>
      </c>
      <c r="AN115">
        <v>265247</v>
      </c>
      <c r="AO115">
        <v>0</v>
      </c>
      <c r="AP115">
        <v>0</v>
      </c>
      <c r="AQ115">
        <v>0</v>
      </c>
      <c r="AR115">
        <v>0</v>
      </c>
      <c r="AS115">
        <v>1424366</v>
      </c>
      <c r="AT115">
        <v>25793</v>
      </c>
      <c r="AU115">
        <v>38793</v>
      </c>
      <c r="AV115">
        <v>0</v>
      </c>
      <c r="AW115">
        <v>3386629</v>
      </c>
      <c r="AX115">
        <v>0</v>
      </c>
      <c r="AY115">
        <v>0</v>
      </c>
      <c r="AZ115">
        <v>0</v>
      </c>
      <c r="BA115">
        <v>34764</v>
      </c>
      <c r="BB115">
        <v>0</v>
      </c>
      <c r="BC115">
        <v>0</v>
      </c>
      <c r="BD115">
        <v>0</v>
      </c>
      <c r="BE115">
        <v>88548</v>
      </c>
      <c r="BF115">
        <v>0</v>
      </c>
      <c r="BG115">
        <v>139</v>
      </c>
      <c r="BH115">
        <v>0</v>
      </c>
      <c r="BI115">
        <v>0</v>
      </c>
      <c r="BJ115">
        <v>0</v>
      </c>
      <c r="BK115">
        <v>0</v>
      </c>
      <c r="BL115">
        <v>49856</v>
      </c>
      <c r="BM115">
        <v>0</v>
      </c>
      <c r="BN115">
        <v>17888</v>
      </c>
      <c r="BO115">
        <v>114378</v>
      </c>
      <c r="BP115">
        <v>32197</v>
      </c>
      <c r="BQ115">
        <v>330</v>
      </c>
      <c r="BR115">
        <v>0</v>
      </c>
      <c r="BS115">
        <v>0</v>
      </c>
      <c r="BT115">
        <v>0</v>
      </c>
      <c r="BU115">
        <v>27673</v>
      </c>
      <c r="BV115">
        <v>18325</v>
      </c>
      <c r="BW115">
        <v>0</v>
      </c>
      <c r="BX115">
        <v>20325</v>
      </c>
      <c r="BY115">
        <v>0</v>
      </c>
      <c r="BZ115">
        <v>0</v>
      </c>
      <c r="CA115" s="708">
        <v>41237</v>
      </c>
      <c r="CB115">
        <v>9690</v>
      </c>
      <c r="CC115">
        <v>0</v>
      </c>
      <c r="CD115">
        <v>0</v>
      </c>
      <c r="CE115">
        <v>0</v>
      </c>
    </row>
    <row r="116" spans="1:83" x14ac:dyDescent="0.25">
      <c r="A116">
        <v>352</v>
      </c>
      <c r="B116">
        <v>352</v>
      </c>
      <c r="C116" t="s">
        <v>237</v>
      </c>
      <c r="D116" t="s">
        <v>436</v>
      </c>
      <c r="E116">
        <v>0</v>
      </c>
      <c r="F116">
        <v>0</v>
      </c>
      <c r="G116">
        <v>0</v>
      </c>
      <c r="H116">
        <v>0</v>
      </c>
      <c r="I116">
        <v>0</v>
      </c>
      <c r="J116">
        <v>0</v>
      </c>
      <c r="K116">
        <v>112809</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625614</v>
      </c>
      <c r="AX116">
        <v>0</v>
      </c>
      <c r="AY116">
        <v>0</v>
      </c>
      <c r="AZ116">
        <v>0</v>
      </c>
      <c r="BA116">
        <v>0</v>
      </c>
      <c r="BB116">
        <v>0</v>
      </c>
      <c r="BC116">
        <v>0</v>
      </c>
      <c r="BD116">
        <v>0</v>
      </c>
      <c r="BE116">
        <v>0</v>
      </c>
      <c r="BF116">
        <v>0</v>
      </c>
      <c r="BG116">
        <v>0</v>
      </c>
      <c r="BH116">
        <v>0</v>
      </c>
      <c r="BI116">
        <v>0</v>
      </c>
      <c r="BJ116">
        <v>0</v>
      </c>
      <c r="BK116">
        <v>0</v>
      </c>
      <c r="BL116">
        <v>0</v>
      </c>
      <c r="BM116">
        <v>0</v>
      </c>
      <c r="BN116">
        <v>0</v>
      </c>
      <c r="BO116">
        <v>0</v>
      </c>
      <c r="BP116">
        <v>0</v>
      </c>
      <c r="BQ116">
        <v>0</v>
      </c>
      <c r="BR116">
        <v>0</v>
      </c>
      <c r="BS116">
        <v>0</v>
      </c>
      <c r="BT116">
        <v>0</v>
      </c>
      <c r="BU116">
        <v>0</v>
      </c>
      <c r="BV116">
        <v>116300</v>
      </c>
      <c r="BW116">
        <v>0</v>
      </c>
      <c r="BX116">
        <v>0</v>
      </c>
      <c r="BY116">
        <v>172250</v>
      </c>
      <c r="BZ116">
        <v>0</v>
      </c>
      <c r="CA116" s="708">
        <v>83469</v>
      </c>
      <c r="CB116">
        <v>0</v>
      </c>
      <c r="CC116">
        <v>0</v>
      </c>
      <c r="CD116">
        <v>0</v>
      </c>
      <c r="CE116">
        <v>0</v>
      </c>
    </row>
    <row r="117" spans="1:83" x14ac:dyDescent="0.25">
      <c r="A117">
        <v>353</v>
      </c>
      <c r="B117">
        <v>353</v>
      </c>
      <c r="C117" t="s">
        <v>238</v>
      </c>
      <c r="D117" t="s">
        <v>437</v>
      </c>
      <c r="E117">
        <v>0</v>
      </c>
      <c r="F117">
        <v>0</v>
      </c>
      <c r="G117">
        <v>0</v>
      </c>
      <c r="H117">
        <v>0</v>
      </c>
      <c r="I117">
        <v>0</v>
      </c>
      <c r="J117">
        <v>0</v>
      </c>
      <c r="K117">
        <v>0</v>
      </c>
      <c r="L117">
        <v>0</v>
      </c>
      <c r="M117">
        <v>0</v>
      </c>
      <c r="N117">
        <v>0</v>
      </c>
      <c r="O117">
        <v>0</v>
      </c>
      <c r="P117">
        <v>0</v>
      </c>
      <c r="Q117">
        <v>0</v>
      </c>
      <c r="R117">
        <v>17409</v>
      </c>
      <c r="S117">
        <v>0</v>
      </c>
      <c r="T117">
        <v>0</v>
      </c>
      <c r="U117">
        <v>0</v>
      </c>
      <c r="V117">
        <v>698600</v>
      </c>
      <c r="W117">
        <v>0</v>
      </c>
      <c r="X117">
        <v>0</v>
      </c>
      <c r="Y117">
        <v>0</v>
      </c>
      <c r="Z117">
        <v>94223</v>
      </c>
      <c r="AA117">
        <v>2646</v>
      </c>
      <c r="AB117">
        <v>0</v>
      </c>
      <c r="AC117">
        <v>39502</v>
      </c>
      <c r="AD117">
        <v>0</v>
      </c>
      <c r="AE117">
        <v>0</v>
      </c>
      <c r="AF117">
        <v>0</v>
      </c>
      <c r="AG117">
        <v>0</v>
      </c>
      <c r="AH117">
        <v>85307</v>
      </c>
      <c r="AI117">
        <v>0</v>
      </c>
      <c r="AJ117">
        <v>0</v>
      </c>
      <c r="AK117">
        <v>0</v>
      </c>
      <c r="AL117">
        <v>0</v>
      </c>
      <c r="AM117">
        <v>0</v>
      </c>
      <c r="AN117">
        <v>0</v>
      </c>
      <c r="AO117">
        <v>0</v>
      </c>
      <c r="AP117">
        <v>0</v>
      </c>
      <c r="AQ117">
        <v>0</v>
      </c>
      <c r="AR117">
        <v>0</v>
      </c>
      <c r="AS117">
        <v>0</v>
      </c>
      <c r="AT117">
        <v>0</v>
      </c>
      <c r="AU117">
        <v>0</v>
      </c>
      <c r="AV117">
        <v>0</v>
      </c>
      <c r="AW117">
        <v>852909</v>
      </c>
      <c r="AX117">
        <v>0</v>
      </c>
      <c r="AY117">
        <v>0</v>
      </c>
      <c r="AZ117">
        <v>0</v>
      </c>
      <c r="BA117">
        <v>0</v>
      </c>
      <c r="BB117">
        <v>0</v>
      </c>
      <c r="BC117">
        <v>0</v>
      </c>
      <c r="BD117">
        <v>0</v>
      </c>
      <c r="BE117">
        <v>225950</v>
      </c>
      <c r="BF117">
        <v>0</v>
      </c>
      <c r="BG117">
        <v>0</v>
      </c>
      <c r="BH117">
        <v>0</v>
      </c>
      <c r="BI117">
        <v>0</v>
      </c>
      <c r="BJ117">
        <v>0</v>
      </c>
      <c r="BK117">
        <v>0</v>
      </c>
      <c r="BL117">
        <v>0</v>
      </c>
      <c r="BM117">
        <v>0</v>
      </c>
      <c r="BN117">
        <v>0</v>
      </c>
      <c r="BO117">
        <v>0</v>
      </c>
      <c r="BP117">
        <v>0</v>
      </c>
      <c r="BQ117">
        <v>0</v>
      </c>
      <c r="BR117">
        <v>0</v>
      </c>
      <c r="BS117">
        <v>213563</v>
      </c>
      <c r="BT117">
        <v>0</v>
      </c>
      <c r="BU117">
        <v>0</v>
      </c>
      <c r="BV117">
        <v>116300</v>
      </c>
      <c r="BW117">
        <v>0</v>
      </c>
      <c r="BX117">
        <v>4067</v>
      </c>
      <c r="BY117">
        <v>0</v>
      </c>
      <c r="BZ117">
        <v>0</v>
      </c>
      <c r="CA117">
        <v>0</v>
      </c>
      <c r="CB117">
        <v>0</v>
      </c>
      <c r="CC117">
        <v>0</v>
      </c>
      <c r="CD117">
        <v>0</v>
      </c>
      <c r="CE117">
        <v>0</v>
      </c>
    </row>
    <row r="118" spans="1:83" x14ac:dyDescent="0.25">
      <c r="A118">
        <v>356</v>
      </c>
      <c r="B118">
        <v>356</v>
      </c>
      <c r="C118" t="s">
        <v>555</v>
      </c>
      <c r="D118" t="s">
        <v>438</v>
      </c>
      <c r="E118">
        <v>0</v>
      </c>
      <c r="F118">
        <v>0</v>
      </c>
      <c r="G118">
        <v>0</v>
      </c>
      <c r="H118">
        <v>0</v>
      </c>
      <c r="I118">
        <v>0</v>
      </c>
      <c r="J118">
        <v>0</v>
      </c>
      <c r="K118">
        <v>0</v>
      </c>
      <c r="L118">
        <v>0</v>
      </c>
      <c r="M118">
        <v>0</v>
      </c>
      <c r="N118">
        <v>0</v>
      </c>
      <c r="O118">
        <v>0</v>
      </c>
      <c r="P118">
        <v>0</v>
      </c>
      <c r="Q118">
        <v>0</v>
      </c>
      <c r="R118">
        <v>129747439</v>
      </c>
      <c r="S118">
        <v>0</v>
      </c>
      <c r="T118">
        <v>0</v>
      </c>
      <c r="U118">
        <v>0</v>
      </c>
      <c r="V118">
        <v>0</v>
      </c>
      <c r="W118">
        <v>25417339</v>
      </c>
      <c r="X118">
        <v>0</v>
      </c>
      <c r="Y118">
        <v>0</v>
      </c>
      <c r="Z118">
        <v>0</v>
      </c>
      <c r="AA118">
        <v>0</v>
      </c>
      <c r="AB118">
        <v>0</v>
      </c>
      <c r="AC118">
        <v>0</v>
      </c>
      <c r="AD118">
        <v>0</v>
      </c>
      <c r="AE118">
        <v>0</v>
      </c>
      <c r="AF118">
        <v>0</v>
      </c>
      <c r="AG118">
        <v>0</v>
      </c>
      <c r="AH118">
        <v>0</v>
      </c>
      <c r="AI118">
        <v>0</v>
      </c>
      <c r="AJ118">
        <v>73959793</v>
      </c>
      <c r="AK118">
        <v>0</v>
      </c>
      <c r="AL118">
        <v>0</v>
      </c>
      <c r="AM118">
        <v>0</v>
      </c>
      <c r="AN118">
        <v>26071330</v>
      </c>
      <c r="AO118">
        <v>0</v>
      </c>
      <c r="AP118">
        <v>0</v>
      </c>
      <c r="AQ118">
        <v>0</v>
      </c>
      <c r="AR118">
        <v>0</v>
      </c>
      <c r="AS118">
        <v>0</v>
      </c>
      <c r="AT118">
        <v>0</v>
      </c>
      <c r="AU118">
        <v>0</v>
      </c>
      <c r="AV118">
        <v>0</v>
      </c>
      <c r="AW118">
        <v>0</v>
      </c>
      <c r="AX118">
        <v>0</v>
      </c>
      <c r="AY118">
        <v>0</v>
      </c>
      <c r="AZ118">
        <v>0</v>
      </c>
      <c r="BA118">
        <v>0</v>
      </c>
      <c r="BB118">
        <v>0</v>
      </c>
      <c r="BC118">
        <v>0</v>
      </c>
      <c r="BD118">
        <v>0</v>
      </c>
      <c r="BE118">
        <v>0</v>
      </c>
      <c r="BF118">
        <v>0</v>
      </c>
      <c r="BG118">
        <v>0</v>
      </c>
      <c r="BH118">
        <v>0</v>
      </c>
      <c r="BI118">
        <v>0</v>
      </c>
      <c r="BJ118">
        <v>0</v>
      </c>
      <c r="BK118">
        <v>0</v>
      </c>
      <c r="BL118">
        <v>0</v>
      </c>
      <c r="BM118">
        <v>0</v>
      </c>
      <c r="BN118">
        <v>0</v>
      </c>
      <c r="BO118">
        <v>0</v>
      </c>
      <c r="BP118">
        <v>0</v>
      </c>
      <c r="BQ118">
        <v>0</v>
      </c>
      <c r="BR118">
        <v>0</v>
      </c>
      <c r="BS118">
        <v>1454713</v>
      </c>
      <c r="BT118">
        <v>18554874</v>
      </c>
      <c r="BU118">
        <v>0</v>
      </c>
      <c r="BV118">
        <v>0</v>
      </c>
      <c r="BW118">
        <v>0</v>
      </c>
      <c r="BX118">
        <v>0</v>
      </c>
      <c r="BY118">
        <v>0</v>
      </c>
      <c r="BZ118">
        <v>0</v>
      </c>
      <c r="CA118">
        <v>0</v>
      </c>
      <c r="CB118">
        <v>0</v>
      </c>
      <c r="CC118">
        <v>0</v>
      </c>
      <c r="CD118">
        <v>0</v>
      </c>
      <c r="CE118">
        <v>0</v>
      </c>
    </row>
    <row r="119" spans="1:83" x14ac:dyDescent="0.25">
      <c r="A119">
        <v>357</v>
      </c>
      <c r="B119">
        <v>357</v>
      </c>
      <c r="C119" t="s">
        <v>556</v>
      </c>
      <c r="D119" t="s">
        <v>439</v>
      </c>
      <c r="E119">
        <v>0</v>
      </c>
      <c r="F119">
        <v>0</v>
      </c>
      <c r="G119">
        <v>0</v>
      </c>
      <c r="H119">
        <v>0</v>
      </c>
      <c r="I119">
        <v>0</v>
      </c>
      <c r="J119">
        <v>0</v>
      </c>
      <c r="K119">
        <v>0</v>
      </c>
      <c r="L119">
        <v>0</v>
      </c>
      <c r="M119">
        <v>0</v>
      </c>
      <c r="N119">
        <v>0</v>
      </c>
      <c r="O119">
        <v>0</v>
      </c>
      <c r="P119">
        <v>0</v>
      </c>
      <c r="Q119">
        <v>0</v>
      </c>
      <c r="R119">
        <v>48840901</v>
      </c>
      <c r="S119">
        <v>0</v>
      </c>
      <c r="T119">
        <v>0</v>
      </c>
      <c r="U119">
        <v>0</v>
      </c>
      <c r="V119">
        <v>0</v>
      </c>
      <c r="W119">
        <v>15950388</v>
      </c>
      <c r="X119">
        <v>0</v>
      </c>
      <c r="Y119">
        <v>0</v>
      </c>
      <c r="Z119">
        <v>0</v>
      </c>
      <c r="AA119">
        <v>0</v>
      </c>
      <c r="AB119">
        <v>0</v>
      </c>
      <c r="AC119">
        <v>0</v>
      </c>
      <c r="AD119">
        <v>0</v>
      </c>
      <c r="AE119">
        <v>0</v>
      </c>
      <c r="AF119">
        <v>0</v>
      </c>
      <c r="AG119">
        <v>0</v>
      </c>
      <c r="AH119">
        <v>0</v>
      </c>
      <c r="AI119">
        <v>0</v>
      </c>
      <c r="AJ119">
        <v>46508429</v>
      </c>
      <c r="AK119">
        <v>0</v>
      </c>
      <c r="AL119">
        <v>0</v>
      </c>
      <c r="AM119">
        <v>0</v>
      </c>
      <c r="AN119">
        <v>13004308</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0</v>
      </c>
      <c r="BJ119">
        <v>0</v>
      </c>
      <c r="BK119">
        <v>0</v>
      </c>
      <c r="BL119">
        <v>0</v>
      </c>
      <c r="BM119">
        <v>0</v>
      </c>
      <c r="BN119">
        <v>0</v>
      </c>
      <c r="BO119">
        <v>0</v>
      </c>
      <c r="BP119">
        <v>0</v>
      </c>
      <c r="BQ119">
        <v>0</v>
      </c>
      <c r="BR119">
        <v>0</v>
      </c>
      <c r="BS119">
        <v>1178581</v>
      </c>
      <c r="BT119">
        <v>9864897</v>
      </c>
      <c r="BU119">
        <v>0</v>
      </c>
      <c r="BV119">
        <v>0</v>
      </c>
      <c r="BW119">
        <v>0</v>
      </c>
      <c r="BX119">
        <v>0</v>
      </c>
      <c r="BY119">
        <v>0</v>
      </c>
      <c r="BZ119">
        <v>0</v>
      </c>
      <c r="CA119">
        <v>0</v>
      </c>
      <c r="CB119">
        <v>0</v>
      </c>
      <c r="CC119">
        <v>0</v>
      </c>
      <c r="CD119">
        <v>0</v>
      </c>
      <c r="CE119">
        <v>0</v>
      </c>
    </row>
    <row r="120" spans="1:83" x14ac:dyDescent="0.25">
      <c r="A120">
        <v>359</v>
      </c>
      <c r="B120">
        <v>359</v>
      </c>
      <c r="C120" t="s">
        <v>259</v>
      </c>
      <c r="D120" t="s">
        <v>440</v>
      </c>
      <c r="E120">
        <v>0</v>
      </c>
      <c r="F120">
        <v>0</v>
      </c>
      <c r="G120">
        <v>0</v>
      </c>
      <c r="H120">
        <v>0</v>
      </c>
      <c r="I120">
        <v>0</v>
      </c>
      <c r="J120">
        <v>0</v>
      </c>
      <c r="K120">
        <v>0</v>
      </c>
      <c r="L120">
        <v>0</v>
      </c>
      <c r="M120">
        <v>0</v>
      </c>
      <c r="N120">
        <v>0</v>
      </c>
      <c r="O120">
        <v>0</v>
      </c>
      <c r="P120">
        <v>0</v>
      </c>
      <c r="Q120">
        <v>0</v>
      </c>
      <c r="R120">
        <v>16263809</v>
      </c>
      <c r="S120">
        <v>0</v>
      </c>
      <c r="T120">
        <v>0</v>
      </c>
      <c r="U120">
        <v>0</v>
      </c>
      <c r="V120">
        <v>0</v>
      </c>
      <c r="W120">
        <v>377636</v>
      </c>
      <c r="X120">
        <v>0</v>
      </c>
      <c r="Y120">
        <v>0</v>
      </c>
      <c r="Z120">
        <v>0</v>
      </c>
      <c r="AA120">
        <v>0</v>
      </c>
      <c r="AB120">
        <v>0</v>
      </c>
      <c r="AC120">
        <v>0</v>
      </c>
      <c r="AD120">
        <v>0</v>
      </c>
      <c r="AE120">
        <v>0</v>
      </c>
      <c r="AF120">
        <v>0</v>
      </c>
      <c r="AG120">
        <v>0</v>
      </c>
      <c r="AH120">
        <v>0</v>
      </c>
      <c r="AI120">
        <v>0</v>
      </c>
      <c r="AJ120">
        <v>8713800</v>
      </c>
      <c r="AK120">
        <v>0</v>
      </c>
      <c r="AL120">
        <v>0</v>
      </c>
      <c r="AM120">
        <v>0</v>
      </c>
      <c r="AN120">
        <v>4746000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36506</v>
      </c>
      <c r="BT120">
        <v>0</v>
      </c>
      <c r="BU120">
        <v>0</v>
      </c>
      <c r="BV120">
        <v>0</v>
      </c>
      <c r="BW120">
        <v>0</v>
      </c>
      <c r="BX120">
        <v>0</v>
      </c>
      <c r="BY120">
        <v>0</v>
      </c>
      <c r="BZ120">
        <v>0</v>
      </c>
      <c r="CA120">
        <v>0</v>
      </c>
      <c r="CB120">
        <v>0</v>
      </c>
      <c r="CC120">
        <v>0</v>
      </c>
      <c r="CD120">
        <v>0</v>
      </c>
      <c r="CE120">
        <v>0</v>
      </c>
    </row>
    <row r="121" spans="1:83" x14ac:dyDescent="0.25">
      <c r="A121">
        <v>360</v>
      </c>
      <c r="B121">
        <v>360</v>
      </c>
      <c r="C121" t="s">
        <v>127</v>
      </c>
      <c r="D121" t="s">
        <v>441</v>
      </c>
      <c r="E121">
        <v>0</v>
      </c>
      <c r="F121">
        <v>0</v>
      </c>
      <c r="G121">
        <v>0</v>
      </c>
      <c r="H121">
        <v>0</v>
      </c>
      <c r="I121">
        <v>0</v>
      </c>
      <c r="J121">
        <v>0</v>
      </c>
      <c r="K121">
        <v>0</v>
      </c>
      <c r="L121">
        <v>0</v>
      </c>
      <c r="M121">
        <v>0</v>
      </c>
      <c r="N121">
        <v>0</v>
      </c>
      <c r="O121">
        <v>0</v>
      </c>
      <c r="P121">
        <v>0</v>
      </c>
      <c r="Q121">
        <v>0</v>
      </c>
      <c r="R121">
        <v>25049288</v>
      </c>
      <c r="S121">
        <v>0</v>
      </c>
      <c r="T121">
        <v>0</v>
      </c>
      <c r="U121">
        <v>0</v>
      </c>
      <c r="V121">
        <v>0</v>
      </c>
      <c r="W121">
        <v>5840867</v>
      </c>
      <c r="X121">
        <v>0</v>
      </c>
      <c r="Y121">
        <v>0</v>
      </c>
      <c r="Z121">
        <v>0</v>
      </c>
      <c r="AA121">
        <v>0</v>
      </c>
      <c r="AB121">
        <v>0</v>
      </c>
      <c r="AC121">
        <v>0</v>
      </c>
      <c r="AD121">
        <v>0</v>
      </c>
      <c r="AE121">
        <v>0</v>
      </c>
      <c r="AF121">
        <v>0</v>
      </c>
      <c r="AG121">
        <v>0</v>
      </c>
      <c r="AH121">
        <v>0</v>
      </c>
      <c r="AI121">
        <v>0</v>
      </c>
      <c r="AJ121">
        <v>16434316</v>
      </c>
      <c r="AK121">
        <v>0</v>
      </c>
      <c r="AL121">
        <v>0</v>
      </c>
      <c r="AM121">
        <v>0</v>
      </c>
      <c r="AN121">
        <v>6516391</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293689</v>
      </c>
      <c r="BT121">
        <v>1512521</v>
      </c>
      <c r="BU121">
        <v>0</v>
      </c>
      <c r="BV121">
        <v>0</v>
      </c>
      <c r="BW121">
        <v>0</v>
      </c>
      <c r="BX121">
        <v>0</v>
      </c>
      <c r="BY121">
        <v>0</v>
      </c>
      <c r="BZ121">
        <v>0</v>
      </c>
      <c r="CA121">
        <v>0</v>
      </c>
      <c r="CB121">
        <v>0</v>
      </c>
      <c r="CC121">
        <v>0</v>
      </c>
      <c r="CD121">
        <v>0</v>
      </c>
      <c r="CE121">
        <v>0</v>
      </c>
    </row>
    <row r="122" spans="1:83" x14ac:dyDescent="0.25">
      <c r="A122">
        <v>361</v>
      </c>
      <c r="B122">
        <v>361</v>
      </c>
      <c r="C122" t="s">
        <v>108</v>
      </c>
      <c r="D122" t="s">
        <v>442</v>
      </c>
      <c r="E122">
        <v>0</v>
      </c>
      <c r="F122">
        <v>0</v>
      </c>
      <c r="G122">
        <v>0</v>
      </c>
      <c r="H122">
        <v>0</v>
      </c>
      <c r="I122">
        <v>0</v>
      </c>
      <c r="J122">
        <v>0</v>
      </c>
      <c r="K122">
        <v>0</v>
      </c>
      <c r="L122">
        <v>0</v>
      </c>
      <c r="M122">
        <v>0</v>
      </c>
      <c r="N122">
        <v>0</v>
      </c>
      <c r="O122">
        <v>0</v>
      </c>
      <c r="P122">
        <v>0</v>
      </c>
      <c r="Q122">
        <v>0</v>
      </c>
      <c r="R122">
        <v>58146085</v>
      </c>
      <c r="S122">
        <v>0</v>
      </c>
      <c r="T122">
        <v>0</v>
      </c>
      <c r="U122">
        <v>0</v>
      </c>
      <c r="V122">
        <v>0</v>
      </c>
      <c r="W122">
        <v>9180163</v>
      </c>
      <c r="X122">
        <v>0</v>
      </c>
      <c r="Y122">
        <v>0</v>
      </c>
      <c r="Z122">
        <v>0</v>
      </c>
      <c r="AA122">
        <v>0</v>
      </c>
      <c r="AB122">
        <v>0</v>
      </c>
      <c r="AC122">
        <v>0</v>
      </c>
      <c r="AD122">
        <v>0</v>
      </c>
      <c r="AE122">
        <v>0</v>
      </c>
      <c r="AF122">
        <v>0</v>
      </c>
      <c r="AG122">
        <v>0</v>
      </c>
      <c r="AH122">
        <v>0</v>
      </c>
      <c r="AI122">
        <v>0</v>
      </c>
      <c r="AJ122">
        <v>23445409</v>
      </c>
      <c r="AK122">
        <v>0</v>
      </c>
      <c r="AL122">
        <v>0</v>
      </c>
      <c r="AM122">
        <v>0</v>
      </c>
      <c r="AN122">
        <v>7151218</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774492</v>
      </c>
      <c r="BT122">
        <v>3025218</v>
      </c>
      <c r="BU122">
        <v>0</v>
      </c>
      <c r="BV122">
        <v>0</v>
      </c>
      <c r="BW122">
        <v>0</v>
      </c>
      <c r="BX122">
        <v>0</v>
      </c>
      <c r="BY122">
        <v>0</v>
      </c>
      <c r="BZ122">
        <v>0</v>
      </c>
      <c r="CA122">
        <v>0</v>
      </c>
      <c r="CB122">
        <v>0</v>
      </c>
      <c r="CC122">
        <v>0</v>
      </c>
      <c r="CD122">
        <v>0</v>
      </c>
      <c r="CE122">
        <v>0</v>
      </c>
    </row>
    <row r="123" spans="1:83" x14ac:dyDescent="0.25">
      <c r="A123">
        <v>362</v>
      </c>
      <c r="B123">
        <v>362</v>
      </c>
      <c r="C123" t="s">
        <v>109</v>
      </c>
      <c r="D123" t="s">
        <v>443</v>
      </c>
      <c r="E123">
        <v>0</v>
      </c>
      <c r="F123">
        <v>0</v>
      </c>
      <c r="G123">
        <v>0</v>
      </c>
      <c r="H123">
        <v>0</v>
      </c>
      <c r="I123">
        <v>0</v>
      </c>
      <c r="J123">
        <v>0</v>
      </c>
      <c r="K123">
        <v>0</v>
      </c>
      <c r="L123">
        <v>0</v>
      </c>
      <c r="M123">
        <v>0</v>
      </c>
      <c r="N123">
        <v>0</v>
      </c>
      <c r="O123">
        <v>0</v>
      </c>
      <c r="P123">
        <v>0</v>
      </c>
      <c r="Q123">
        <v>0</v>
      </c>
      <c r="R123">
        <v>131062382</v>
      </c>
      <c r="S123">
        <v>0</v>
      </c>
      <c r="T123">
        <v>0</v>
      </c>
      <c r="U123">
        <v>0</v>
      </c>
      <c r="V123">
        <v>0</v>
      </c>
      <c r="W123">
        <v>18325428</v>
      </c>
      <c r="X123">
        <v>0</v>
      </c>
      <c r="Y123">
        <v>0</v>
      </c>
      <c r="Z123">
        <v>0</v>
      </c>
      <c r="AA123">
        <v>0</v>
      </c>
      <c r="AB123">
        <v>0</v>
      </c>
      <c r="AC123">
        <v>0</v>
      </c>
      <c r="AD123">
        <v>0</v>
      </c>
      <c r="AE123">
        <v>0</v>
      </c>
      <c r="AF123">
        <v>0</v>
      </c>
      <c r="AG123">
        <v>0</v>
      </c>
      <c r="AH123">
        <v>0</v>
      </c>
      <c r="AI123">
        <v>0</v>
      </c>
      <c r="AJ123">
        <v>50597196</v>
      </c>
      <c r="AK123">
        <v>0</v>
      </c>
      <c r="AL123">
        <v>0</v>
      </c>
      <c r="AM123">
        <v>0</v>
      </c>
      <c r="AN123">
        <v>16204301</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1025718</v>
      </c>
      <c r="BT123">
        <v>16487565</v>
      </c>
      <c r="BU123">
        <v>0</v>
      </c>
      <c r="BV123">
        <v>0</v>
      </c>
      <c r="BW123">
        <v>0</v>
      </c>
      <c r="BX123">
        <v>0</v>
      </c>
      <c r="BY123">
        <v>0</v>
      </c>
      <c r="BZ123">
        <v>0</v>
      </c>
      <c r="CA123">
        <v>0</v>
      </c>
      <c r="CB123">
        <v>0</v>
      </c>
      <c r="CC123">
        <v>0</v>
      </c>
      <c r="CD123">
        <v>0</v>
      </c>
      <c r="CE123">
        <v>0</v>
      </c>
    </row>
    <row r="124" spans="1:83" x14ac:dyDescent="0.25">
      <c r="A124">
        <v>363</v>
      </c>
      <c r="B124">
        <v>363</v>
      </c>
      <c r="C124" t="s">
        <v>245</v>
      </c>
      <c r="D124" t="s">
        <v>444</v>
      </c>
      <c r="E124">
        <v>0</v>
      </c>
      <c r="F124">
        <v>0</v>
      </c>
      <c r="G124">
        <v>0</v>
      </c>
      <c r="H124">
        <v>0</v>
      </c>
      <c r="I124">
        <v>0</v>
      </c>
      <c r="J124">
        <v>0</v>
      </c>
      <c r="K124">
        <v>0</v>
      </c>
      <c r="L124">
        <v>0</v>
      </c>
      <c r="M124">
        <v>0</v>
      </c>
      <c r="N124">
        <v>0</v>
      </c>
      <c r="O124">
        <v>0</v>
      </c>
      <c r="P124">
        <v>0</v>
      </c>
      <c r="Q124">
        <v>0</v>
      </c>
      <c r="R124">
        <v>3398082</v>
      </c>
      <c r="S124">
        <v>0</v>
      </c>
      <c r="T124">
        <v>0</v>
      </c>
      <c r="U124">
        <v>0</v>
      </c>
      <c r="V124">
        <v>0</v>
      </c>
      <c r="W124">
        <v>263972</v>
      </c>
      <c r="X124">
        <v>0</v>
      </c>
      <c r="Y124">
        <v>0</v>
      </c>
      <c r="Z124">
        <v>0</v>
      </c>
      <c r="AA124">
        <v>0</v>
      </c>
      <c r="AB124">
        <v>0</v>
      </c>
      <c r="AC124">
        <v>0</v>
      </c>
      <c r="AD124">
        <v>0</v>
      </c>
      <c r="AE124">
        <v>0</v>
      </c>
      <c r="AF124">
        <v>0</v>
      </c>
      <c r="AG124">
        <v>0</v>
      </c>
      <c r="AH124">
        <v>0</v>
      </c>
      <c r="AI124">
        <v>0</v>
      </c>
      <c r="AJ124">
        <v>349041</v>
      </c>
      <c r="AK124">
        <v>0</v>
      </c>
      <c r="AL124">
        <v>0</v>
      </c>
      <c r="AM124">
        <v>0</v>
      </c>
      <c r="AN124">
        <v>998247</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85</v>
      </c>
      <c r="BT124">
        <v>37339</v>
      </c>
      <c r="BU124">
        <v>0</v>
      </c>
      <c r="BV124">
        <v>0</v>
      </c>
      <c r="BW124">
        <v>0</v>
      </c>
      <c r="BX124">
        <v>0</v>
      </c>
      <c r="BY124">
        <v>0</v>
      </c>
      <c r="BZ124">
        <v>0</v>
      </c>
      <c r="CA124">
        <v>0</v>
      </c>
      <c r="CB124">
        <v>0</v>
      </c>
      <c r="CC124">
        <v>0</v>
      </c>
      <c r="CD124">
        <v>0</v>
      </c>
      <c r="CE124">
        <v>0</v>
      </c>
    </row>
    <row r="125" spans="1:83" x14ac:dyDescent="0.25">
      <c r="A125">
        <v>364</v>
      </c>
      <c r="B125">
        <v>364</v>
      </c>
      <c r="C125" t="s">
        <v>246</v>
      </c>
      <c r="D125" t="s">
        <v>445</v>
      </c>
      <c r="E125">
        <v>0</v>
      </c>
      <c r="F125">
        <v>0</v>
      </c>
      <c r="G125">
        <v>0</v>
      </c>
      <c r="H125">
        <v>0</v>
      </c>
      <c r="I125">
        <v>0</v>
      </c>
      <c r="J125">
        <v>0</v>
      </c>
      <c r="K125">
        <v>0</v>
      </c>
      <c r="L125">
        <v>0</v>
      </c>
      <c r="M125">
        <v>0</v>
      </c>
      <c r="N125">
        <v>0</v>
      </c>
      <c r="O125">
        <v>0</v>
      </c>
      <c r="P125">
        <v>0</v>
      </c>
      <c r="Q125">
        <v>0</v>
      </c>
      <c r="R125">
        <v>854414</v>
      </c>
      <c r="S125">
        <v>0</v>
      </c>
      <c r="T125">
        <v>0</v>
      </c>
      <c r="U125">
        <v>0</v>
      </c>
      <c r="V125">
        <v>0</v>
      </c>
      <c r="W125">
        <v>9353</v>
      </c>
      <c r="X125">
        <v>0</v>
      </c>
      <c r="Y125">
        <v>0</v>
      </c>
      <c r="Z125">
        <v>0</v>
      </c>
      <c r="AA125">
        <v>0</v>
      </c>
      <c r="AB125">
        <v>0</v>
      </c>
      <c r="AC125">
        <v>0</v>
      </c>
      <c r="AD125">
        <v>0</v>
      </c>
      <c r="AE125">
        <v>0</v>
      </c>
      <c r="AF125">
        <v>0</v>
      </c>
      <c r="AG125">
        <v>0</v>
      </c>
      <c r="AH125">
        <v>0</v>
      </c>
      <c r="AI125">
        <v>0</v>
      </c>
      <c r="AJ125">
        <v>188594</v>
      </c>
      <c r="AK125">
        <v>0</v>
      </c>
      <c r="AL125">
        <v>0</v>
      </c>
      <c r="AM125">
        <v>0</v>
      </c>
      <c r="AN125">
        <v>145204</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1498</v>
      </c>
      <c r="BT125">
        <v>0</v>
      </c>
      <c r="BU125">
        <v>0</v>
      </c>
      <c r="BV125">
        <v>0</v>
      </c>
      <c r="BW125">
        <v>0</v>
      </c>
      <c r="BX125">
        <v>0</v>
      </c>
      <c r="BY125">
        <v>0</v>
      </c>
      <c r="BZ125">
        <v>0</v>
      </c>
      <c r="CA125">
        <v>0</v>
      </c>
      <c r="CB125">
        <v>0</v>
      </c>
      <c r="CC125">
        <v>0</v>
      </c>
      <c r="CD125">
        <v>0</v>
      </c>
      <c r="CE125">
        <v>0</v>
      </c>
    </row>
    <row r="126" spans="1:83" x14ac:dyDescent="0.25">
      <c r="A126">
        <v>365</v>
      </c>
      <c r="B126">
        <v>365</v>
      </c>
      <c r="C126" t="s">
        <v>248</v>
      </c>
      <c r="D126" t="s">
        <v>446</v>
      </c>
      <c r="E126">
        <v>0</v>
      </c>
      <c r="F126">
        <v>0</v>
      </c>
      <c r="G126">
        <v>0</v>
      </c>
      <c r="H126">
        <v>0</v>
      </c>
      <c r="I126">
        <v>0</v>
      </c>
      <c r="J126">
        <v>0</v>
      </c>
      <c r="K126">
        <v>0</v>
      </c>
      <c r="L126">
        <v>0</v>
      </c>
      <c r="M126">
        <v>0</v>
      </c>
      <c r="N126">
        <v>0</v>
      </c>
      <c r="O126">
        <v>0</v>
      </c>
      <c r="P126">
        <v>0</v>
      </c>
      <c r="Q126">
        <v>0</v>
      </c>
      <c r="R126">
        <v>25000</v>
      </c>
      <c r="S126">
        <v>0</v>
      </c>
      <c r="T126">
        <v>0</v>
      </c>
      <c r="U126">
        <v>0</v>
      </c>
      <c r="V126">
        <v>0</v>
      </c>
      <c r="W126">
        <v>0</v>
      </c>
      <c r="X126">
        <v>0</v>
      </c>
      <c r="Y126">
        <v>0</v>
      </c>
      <c r="Z126">
        <v>0</v>
      </c>
      <c r="AA126">
        <v>0</v>
      </c>
      <c r="AB126">
        <v>0</v>
      </c>
      <c r="AC126">
        <v>0</v>
      </c>
      <c r="AD126">
        <v>0</v>
      </c>
      <c r="AE126">
        <v>0</v>
      </c>
      <c r="AF126">
        <v>0</v>
      </c>
      <c r="AG126">
        <v>0</v>
      </c>
      <c r="AH126">
        <v>0</v>
      </c>
      <c r="AI126">
        <v>0</v>
      </c>
      <c r="AJ126">
        <v>0</v>
      </c>
      <c r="AK126">
        <v>0</v>
      </c>
      <c r="AL126">
        <v>0</v>
      </c>
      <c r="AM126">
        <v>0</v>
      </c>
      <c r="AN126">
        <v>0</v>
      </c>
      <c r="AO126">
        <v>0</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0</v>
      </c>
      <c r="BI126">
        <v>0</v>
      </c>
      <c r="BJ126">
        <v>0</v>
      </c>
      <c r="BK126">
        <v>0</v>
      </c>
      <c r="BL126">
        <v>0</v>
      </c>
      <c r="BM126">
        <v>0</v>
      </c>
      <c r="BN126">
        <v>0</v>
      </c>
      <c r="BO126">
        <v>0</v>
      </c>
      <c r="BP126">
        <v>0</v>
      </c>
      <c r="BQ126">
        <v>0</v>
      </c>
      <c r="BR126">
        <v>0</v>
      </c>
      <c r="BS126">
        <v>0</v>
      </c>
      <c r="BT126">
        <v>0</v>
      </c>
      <c r="BU126">
        <v>0</v>
      </c>
      <c r="BV126">
        <v>0</v>
      </c>
      <c r="BW126">
        <v>0</v>
      </c>
      <c r="BX126">
        <v>0</v>
      </c>
      <c r="BY126">
        <v>0</v>
      </c>
      <c r="BZ126">
        <v>0</v>
      </c>
      <c r="CA126">
        <v>0</v>
      </c>
      <c r="CB126">
        <v>0</v>
      </c>
      <c r="CC126">
        <v>0</v>
      </c>
      <c r="CD126">
        <v>0</v>
      </c>
      <c r="CE126">
        <v>0</v>
      </c>
    </row>
    <row r="127" spans="1:83" x14ac:dyDescent="0.25">
      <c r="A127">
        <v>366</v>
      </c>
      <c r="B127">
        <v>366</v>
      </c>
      <c r="C127" t="s">
        <v>539</v>
      </c>
      <c r="D127" t="s">
        <v>447</v>
      </c>
      <c r="E127">
        <v>0</v>
      </c>
      <c r="F127">
        <v>0</v>
      </c>
      <c r="G127">
        <v>0</v>
      </c>
      <c r="H127">
        <v>0</v>
      </c>
      <c r="I127">
        <v>0</v>
      </c>
      <c r="J127">
        <v>0</v>
      </c>
      <c r="K127">
        <v>0</v>
      </c>
      <c r="L127">
        <v>0</v>
      </c>
      <c r="M127">
        <v>0</v>
      </c>
      <c r="N127">
        <v>0</v>
      </c>
      <c r="O127">
        <v>0</v>
      </c>
      <c r="P127">
        <v>0</v>
      </c>
      <c r="Q127">
        <v>0</v>
      </c>
      <c r="R127">
        <v>564561</v>
      </c>
      <c r="S127">
        <v>0</v>
      </c>
      <c r="T127">
        <v>0</v>
      </c>
      <c r="U127">
        <v>0</v>
      </c>
      <c r="V127">
        <v>0</v>
      </c>
      <c r="W127">
        <v>733535</v>
      </c>
      <c r="X127">
        <v>0</v>
      </c>
      <c r="Y127">
        <v>0</v>
      </c>
      <c r="Z127">
        <v>0</v>
      </c>
      <c r="AA127">
        <v>0</v>
      </c>
      <c r="AB127">
        <v>0</v>
      </c>
      <c r="AC127">
        <v>0</v>
      </c>
      <c r="AD127">
        <v>0</v>
      </c>
      <c r="AE127">
        <v>0</v>
      </c>
      <c r="AF127">
        <v>0</v>
      </c>
      <c r="AG127">
        <v>0</v>
      </c>
      <c r="AH127">
        <v>0</v>
      </c>
      <c r="AI127">
        <v>0</v>
      </c>
      <c r="AJ127">
        <v>1968600</v>
      </c>
      <c r="AK127">
        <v>0</v>
      </c>
      <c r="AL127">
        <v>0</v>
      </c>
      <c r="AM127">
        <v>0</v>
      </c>
      <c r="AN127">
        <v>5779</v>
      </c>
      <c r="AO127">
        <v>0</v>
      </c>
      <c r="AP127">
        <v>0</v>
      </c>
      <c r="AQ127">
        <v>0</v>
      </c>
      <c r="AR127">
        <v>0</v>
      </c>
      <c r="AS127">
        <v>0</v>
      </c>
      <c r="AT127">
        <v>0</v>
      </c>
      <c r="AU127">
        <v>0</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0</v>
      </c>
      <c r="BS127">
        <v>32475</v>
      </c>
      <c r="BT127">
        <v>30964</v>
      </c>
      <c r="BU127">
        <v>0</v>
      </c>
      <c r="BV127">
        <v>0</v>
      </c>
      <c r="BW127">
        <v>0</v>
      </c>
      <c r="BX127">
        <v>0</v>
      </c>
      <c r="BY127">
        <v>0</v>
      </c>
      <c r="BZ127">
        <v>0</v>
      </c>
      <c r="CA127">
        <v>0</v>
      </c>
      <c r="CB127">
        <v>0</v>
      </c>
      <c r="CC127">
        <v>0</v>
      </c>
      <c r="CD127">
        <v>0</v>
      </c>
      <c r="CE127">
        <v>0</v>
      </c>
    </row>
    <row r="128" spans="1:83" x14ac:dyDescent="0.25">
      <c r="B128">
        <v>367</v>
      </c>
      <c r="C128" t="s">
        <v>646</v>
      </c>
      <c r="D128" t="s">
        <v>448</v>
      </c>
    </row>
    <row r="129" spans="1:83" x14ac:dyDescent="0.25">
      <c r="A129">
        <v>368</v>
      </c>
      <c r="B129">
        <v>368</v>
      </c>
      <c r="C129" t="s">
        <v>203</v>
      </c>
      <c r="D129" t="s">
        <v>449</v>
      </c>
      <c r="E129">
        <v>0</v>
      </c>
      <c r="F129">
        <v>0</v>
      </c>
      <c r="G129">
        <v>0</v>
      </c>
      <c r="H129">
        <v>0</v>
      </c>
      <c r="I129">
        <v>0</v>
      </c>
      <c r="J129">
        <v>0</v>
      </c>
      <c r="K129">
        <v>0</v>
      </c>
      <c r="L129">
        <v>21195</v>
      </c>
      <c r="M129">
        <v>0</v>
      </c>
      <c r="N129">
        <v>526718</v>
      </c>
      <c r="O129">
        <v>0</v>
      </c>
      <c r="P129">
        <v>0</v>
      </c>
      <c r="Q129">
        <v>0</v>
      </c>
      <c r="R129">
        <v>4318</v>
      </c>
      <c r="S129">
        <v>0</v>
      </c>
      <c r="T129">
        <v>0</v>
      </c>
      <c r="U129">
        <v>198830</v>
      </c>
      <c r="V129">
        <v>0</v>
      </c>
      <c r="W129">
        <v>0</v>
      </c>
      <c r="X129">
        <v>0</v>
      </c>
      <c r="Y129">
        <v>0</v>
      </c>
      <c r="Z129">
        <v>13539</v>
      </c>
      <c r="AA129">
        <v>0</v>
      </c>
      <c r="AB129">
        <v>102811</v>
      </c>
      <c r="AC129">
        <v>0</v>
      </c>
      <c r="AD129">
        <v>0</v>
      </c>
      <c r="AE129">
        <v>0</v>
      </c>
      <c r="AF129">
        <v>0</v>
      </c>
      <c r="AG129">
        <v>4550</v>
      </c>
      <c r="AH129">
        <v>0</v>
      </c>
      <c r="AI129">
        <v>0</v>
      </c>
      <c r="AJ129">
        <v>0</v>
      </c>
      <c r="AK129">
        <v>0</v>
      </c>
      <c r="AL129">
        <v>0</v>
      </c>
      <c r="AM129">
        <v>0</v>
      </c>
      <c r="AN129">
        <v>58270</v>
      </c>
      <c r="AO129">
        <v>0</v>
      </c>
      <c r="AP129">
        <v>0</v>
      </c>
      <c r="AQ129">
        <v>0</v>
      </c>
      <c r="AR129">
        <v>0</v>
      </c>
      <c r="AS129">
        <v>0</v>
      </c>
      <c r="AT129">
        <v>0</v>
      </c>
      <c r="AU129">
        <v>0</v>
      </c>
      <c r="AV129">
        <v>0</v>
      </c>
      <c r="AW129">
        <v>76289</v>
      </c>
      <c r="AX129">
        <v>12903</v>
      </c>
      <c r="AY129">
        <v>33000</v>
      </c>
      <c r="AZ129">
        <v>132054</v>
      </c>
      <c r="BA129">
        <v>0</v>
      </c>
      <c r="BB129">
        <v>0</v>
      </c>
      <c r="BC129">
        <v>0</v>
      </c>
      <c r="BD129">
        <v>0</v>
      </c>
      <c r="BE129">
        <v>0</v>
      </c>
      <c r="BF129">
        <v>0</v>
      </c>
      <c r="BG129">
        <v>0</v>
      </c>
      <c r="BH129">
        <v>0</v>
      </c>
      <c r="BI129">
        <v>0</v>
      </c>
      <c r="BJ129">
        <v>0</v>
      </c>
      <c r="BK129">
        <v>0</v>
      </c>
      <c r="BL129">
        <v>0</v>
      </c>
      <c r="BM129">
        <v>0</v>
      </c>
      <c r="BN129">
        <v>0</v>
      </c>
      <c r="BO129">
        <v>27500</v>
      </c>
      <c r="BP129">
        <v>0</v>
      </c>
      <c r="BQ129">
        <v>0</v>
      </c>
      <c r="BR129">
        <v>0</v>
      </c>
      <c r="BS129">
        <v>0</v>
      </c>
      <c r="BT129">
        <v>0</v>
      </c>
      <c r="BU129">
        <v>0</v>
      </c>
      <c r="BV129">
        <v>0</v>
      </c>
      <c r="BW129">
        <v>0</v>
      </c>
      <c r="BX129">
        <v>0</v>
      </c>
      <c r="BY129">
        <v>0</v>
      </c>
      <c r="BZ129">
        <v>0</v>
      </c>
      <c r="CA129">
        <v>0</v>
      </c>
      <c r="CB129">
        <v>0</v>
      </c>
      <c r="CC129">
        <v>0</v>
      </c>
      <c r="CD129">
        <v>0</v>
      </c>
      <c r="CE129">
        <v>0</v>
      </c>
    </row>
    <row r="130" spans="1:83" x14ac:dyDescent="0.25">
      <c r="A130">
        <v>369</v>
      </c>
      <c r="B130">
        <v>369</v>
      </c>
      <c r="C130" t="s">
        <v>208</v>
      </c>
      <c r="D130" t="s">
        <v>450</v>
      </c>
      <c r="E130">
        <v>0</v>
      </c>
      <c r="F130">
        <v>29576</v>
      </c>
      <c r="G130">
        <v>380497</v>
      </c>
      <c r="H130">
        <v>931209</v>
      </c>
      <c r="I130">
        <v>1391617</v>
      </c>
      <c r="J130">
        <v>1425852</v>
      </c>
      <c r="K130">
        <v>8955</v>
      </c>
      <c r="L130">
        <v>270624</v>
      </c>
      <c r="M130">
        <v>91276</v>
      </c>
      <c r="N130">
        <v>4526279</v>
      </c>
      <c r="O130">
        <v>213923</v>
      </c>
      <c r="P130">
        <v>1285656</v>
      </c>
      <c r="Q130">
        <v>10519</v>
      </c>
      <c r="R130">
        <v>12273283</v>
      </c>
      <c r="S130">
        <v>141492</v>
      </c>
      <c r="T130">
        <v>5125</v>
      </c>
      <c r="U130">
        <v>20056404</v>
      </c>
      <c r="V130">
        <v>5165889</v>
      </c>
      <c r="W130">
        <v>3254429</v>
      </c>
      <c r="X130">
        <v>9794759</v>
      </c>
      <c r="Y130">
        <v>149816</v>
      </c>
      <c r="Z130">
        <v>4785051</v>
      </c>
      <c r="AA130">
        <v>426760</v>
      </c>
      <c r="AB130">
        <v>4774704</v>
      </c>
      <c r="AC130">
        <v>1655238</v>
      </c>
      <c r="AD130">
        <v>1004595</v>
      </c>
      <c r="AE130" s="708">
        <v>748838</v>
      </c>
      <c r="AF130">
        <v>1247504</v>
      </c>
      <c r="AG130">
        <v>10397392</v>
      </c>
      <c r="AH130">
        <v>1860076</v>
      </c>
      <c r="AI130">
        <v>654232</v>
      </c>
      <c r="AJ130">
        <v>12443181</v>
      </c>
      <c r="AK130">
        <v>376166</v>
      </c>
      <c r="AL130">
        <v>524981</v>
      </c>
      <c r="AM130">
        <v>0</v>
      </c>
      <c r="AN130">
        <v>2235432</v>
      </c>
      <c r="AO130">
        <v>0</v>
      </c>
      <c r="AP130">
        <v>0</v>
      </c>
      <c r="AQ130">
        <v>44346</v>
      </c>
      <c r="AR130">
        <v>1698122</v>
      </c>
      <c r="AS130">
        <v>2270439</v>
      </c>
      <c r="AT130">
        <v>344936</v>
      </c>
      <c r="AU130">
        <v>883181</v>
      </c>
      <c r="AV130">
        <v>0</v>
      </c>
      <c r="AW130">
        <v>3179089</v>
      </c>
      <c r="AX130">
        <v>839514</v>
      </c>
      <c r="AY130">
        <v>775372</v>
      </c>
      <c r="AZ130">
        <v>933950</v>
      </c>
      <c r="BA130">
        <v>271779</v>
      </c>
      <c r="BB130">
        <v>439492</v>
      </c>
      <c r="BC130">
        <v>30007</v>
      </c>
      <c r="BD130">
        <v>0</v>
      </c>
      <c r="BE130">
        <v>994269</v>
      </c>
      <c r="BF130">
        <v>81479</v>
      </c>
      <c r="BG130">
        <v>92207</v>
      </c>
      <c r="BH130">
        <v>36992</v>
      </c>
      <c r="BI130">
        <v>44148</v>
      </c>
      <c r="BJ130">
        <v>128928</v>
      </c>
      <c r="BK130">
        <v>84246</v>
      </c>
      <c r="BL130">
        <v>651131</v>
      </c>
      <c r="BM130">
        <v>0</v>
      </c>
      <c r="BN130">
        <v>690974</v>
      </c>
      <c r="BO130">
        <v>1257924</v>
      </c>
      <c r="BP130">
        <v>370619</v>
      </c>
      <c r="BQ130">
        <v>1080482</v>
      </c>
      <c r="BR130">
        <v>6871503</v>
      </c>
      <c r="BS130">
        <v>393470</v>
      </c>
      <c r="BT130">
        <v>5706007</v>
      </c>
      <c r="BU130">
        <v>320572</v>
      </c>
      <c r="BV130">
        <v>503378</v>
      </c>
      <c r="BW130">
        <v>265336</v>
      </c>
      <c r="BX130">
        <v>945924</v>
      </c>
      <c r="BY130">
        <v>816256</v>
      </c>
      <c r="BZ130">
        <v>75253</v>
      </c>
      <c r="CA130" s="708">
        <v>148752</v>
      </c>
      <c r="CB130">
        <v>76269</v>
      </c>
      <c r="CC130">
        <v>0</v>
      </c>
      <c r="CD130">
        <v>0</v>
      </c>
      <c r="CE130">
        <v>38708</v>
      </c>
    </row>
    <row r="131" spans="1:83" x14ac:dyDescent="0.25">
      <c r="A131">
        <v>370</v>
      </c>
      <c r="B131">
        <v>370</v>
      </c>
      <c r="C131" t="s">
        <v>210</v>
      </c>
      <c r="D131" t="s">
        <v>451</v>
      </c>
      <c r="E131">
        <v>0</v>
      </c>
      <c r="F131">
        <v>3600</v>
      </c>
      <c r="G131">
        <v>3599</v>
      </c>
      <c r="H131">
        <v>52958</v>
      </c>
      <c r="I131">
        <v>0</v>
      </c>
      <c r="J131">
        <v>87015</v>
      </c>
      <c r="K131">
        <v>0</v>
      </c>
      <c r="L131">
        <v>0</v>
      </c>
      <c r="M131">
        <v>0</v>
      </c>
      <c r="N131">
        <v>704269</v>
      </c>
      <c r="O131">
        <v>24282</v>
      </c>
      <c r="P131">
        <v>230747</v>
      </c>
      <c r="Q131">
        <v>0</v>
      </c>
      <c r="R131">
        <v>1654750</v>
      </c>
      <c r="S131">
        <v>23578</v>
      </c>
      <c r="T131">
        <v>0</v>
      </c>
      <c r="U131">
        <v>12790185</v>
      </c>
      <c r="V131">
        <v>1382299</v>
      </c>
      <c r="W131">
        <v>1413821</v>
      </c>
      <c r="X131">
        <v>2130414</v>
      </c>
      <c r="Y131">
        <v>0</v>
      </c>
      <c r="Z131">
        <v>36000</v>
      </c>
      <c r="AA131">
        <v>27545</v>
      </c>
      <c r="AB131">
        <v>1356424</v>
      </c>
      <c r="AC131">
        <v>699323</v>
      </c>
      <c r="AD131">
        <v>57837</v>
      </c>
      <c r="AE131" s="708">
        <v>9909</v>
      </c>
      <c r="AF131">
        <v>115405</v>
      </c>
      <c r="AG131">
        <v>1334661</v>
      </c>
      <c r="AH131">
        <v>0</v>
      </c>
      <c r="AI131">
        <v>30364</v>
      </c>
      <c r="AJ131">
        <v>2144331</v>
      </c>
      <c r="AK131">
        <v>0</v>
      </c>
      <c r="AL131">
        <v>0</v>
      </c>
      <c r="AM131">
        <v>0</v>
      </c>
      <c r="AN131">
        <v>1327221</v>
      </c>
      <c r="AO131">
        <v>0</v>
      </c>
      <c r="AP131">
        <v>0</v>
      </c>
      <c r="AQ131">
        <v>0</v>
      </c>
      <c r="AR131">
        <v>135464</v>
      </c>
      <c r="AS131">
        <v>147173</v>
      </c>
      <c r="AT131">
        <v>5925</v>
      </c>
      <c r="AU131">
        <v>64542</v>
      </c>
      <c r="AV131">
        <v>0</v>
      </c>
      <c r="AW131">
        <v>1743897</v>
      </c>
      <c r="AX131">
        <v>0</v>
      </c>
      <c r="AY131">
        <v>0</v>
      </c>
      <c r="AZ131">
        <v>440743</v>
      </c>
      <c r="BA131">
        <v>8130</v>
      </c>
      <c r="BB131">
        <v>0</v>
      </c>
      <c r="BC131">
        <v>0</v>
      </c>
      <c r="BD131">
        <v>0</v>
      </c>
      <c r="BE131">
        <v>272888</v>
      </c>
      <c r="BF131">
        <v>0</v>
      </c>
      <c r="BG131">
        <v>0</v>
      </c>
      <c r="BH131">
        <v>0</v>
      </c>
      <c r="BI131">
        <v>0</v>
      </c>
      <c r="BJ131">
        <v>0</v>
      </c>
      <c r="BK131">
        <v>18940</v>
      </c>
      <c r="BL131">
        <v>282217</v>
      </c>
      <c r="BM131">
        <v>0</v>
      </c>
      <c r="BN131">
        <v>49614</v>
      </c>
      <c r="BO131">
        <v>189650</v>
      </c>
      <c r="BP131">
        <v>35279</v>
      </c>
      <c r="BQ131">
        <v>136978</v>
      </c>
      <c r="BR131">
        <v>319052</v>
      </c>
      <c r="BS131">
        <v>21521</v>
      </c>
      <c r="BT131">
        <v>834748</v>
      </c>
      <c r="BU131">
        <v>44286</v>
      </c>
      <c r="BV131">
        <v>104647</v>
      </c>
      <c r="BW131">
        <v>0</v>
      </c>
      <c r="BX131">
        <v>106351</v>
      </c>
      <c r="BY131">
        <v>0</v>
      </c>
      <c r="BZ131">
        <v>0</v>
      </c>
      <c r="CA131">
        <v>0</v>
      </c>
      <c r="CB131">
        <v>0</v>
      </c>
      <c r="CC131">
        <v>0</v>
      </c>
      <c r="CD131">
        <v>0</v>
      </c>
      <c r="CE131">
        <v>0</v>
      </c>
    </row>
    <row r="132" spans="1:83" x14ac:dyDescent="0.25">
      <c r="A132">
        <v>371</v>
      </c>
      <c r="B132">
        <v>371</v>
      </c>
      <c r="C132" t="s">
        <v>265</v>
      </c>
      <c r="D132" t="s">
        <v>452</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row>
    <row r="133" spans="1:83" x14ac:dyDescent="0.25">
      <c r="A133">
        <v>373</v>
      </c>
      <c r="B133">
        <v>373</v>
      </c>
      <c r="C133" t="s">
        <v>552</v>
      </c>
      <c r="D133" t="s">
        <v>453</v>
      </c>
      <c r="E133">
        <v>0</v>
      </c>
      <c r="F133">
        <v>76120</v>
      </c>
      <c r="G133">
        <v>1004512</v>
      </c>
      <c r="H133">
        <v>1581061</v>
      </c>
      <c r="I133">
        <v>387120</v>
      </c>
      <c r="J133">
        <v>1187085</v>
      </c>
      <c r="K133">
        <v>53735</v>
      </c>
      <c r="L133">
        <v>233500</v>
      </c>
      <c r="M133">
        <v>284699</v>
      </c>
      <c r="N133">
        <v>20487278</v>
      </c>
      <c r="O133">
        <v>280580</v>
      </c>
      <c r="P133">
        <v>7042324</v>
      </c>
      <c r="Q133">
        <v>75928</v>
      </c>
      <c r="R133">
        <v>80795656</v>
      </c>
      <c r="S133">
        <v>1078545</v>
      </c>
      <c r="T133">
        <v>182728</v>
      </c>
      <c r="U133">
        <v>111568843</v>
      </c>
      <c r="V133">
        <v>13281957</v>
      </c>
      <c r="W133">
        <v>79319308</v>
      </c>
      <c r="X133">
        <v>44646476</v>
      </c>
      <c r="Y133">
        <v>247724</v>
      </c>
      <c r="Z133">
        <v>30582415</v>
      </c>
      <c r="AA133">
        <v>1498815</v>
      </c>
      <c r="AB133">
        <v>9725152</v>
      </c>
      <c r="AC133">
        <v>7658297</v>
      </c>
      <c r="AD133">
        <v>2818378</v>
      </c>
      <c r="AE133" s="708">
        <v>3339410</v>
      </c>
      <c r="AF133">
        <v>3334460</v>
      </c>
      <c r="AG133">
        <v>55985065</v>
      </c>
      <c r="AH133">
        <v>6830750</v>
      </c>
      <c r="AI133">
        <v>1226311</v>
      </c>
      <c r="AJ133">
        <v>37792187</v>
      </c>
      <c r="AK133">
        <v>996491</v>
      </c>
      <c r="AL133">
        <v>996218</v>
      </c>
      <c r="AM133">
        <v>0</v>
      </c>
      <c r="AN133">
        <v>20529676</v>
      </c>
      <c r="AO133">
        <v>0</v>
      </c>
      <c r="AP133">
        <v>0</v>
      </c>
      <c r="AQ133">
        <v>98846</v>
      </c>
      <c r="AR133">
        <v>10290636</v>
      </c>
      <c r="AS133">
        <v>9749088</v>
      </c>
      <c r="AT133">
        <v>327752</v>
      </c>
      <c r="AU133">
        <v>2543865</v>
      </c>
      <c r="AV133">
        <v>0</v>
      </c>
      <c r="AW133">
        <v>13608112</v>
      </c>
      <c r="AX133">
        <v>1997807</v>
      </c>
      <c r="AY133">
        <v>2400744</v>
      </c>
      <c r="AZ133">
        <v>4020883</v>
      </c>
      <c r="BA133">
        <v>1561759</v>
      </c>
      <c r="BB133">
        <v>483260</v>
      </c>
      <c r="BC133">
        <v>16535</v>
      </c>
      <c r="BD133">
        <v>0</v>
      </c>
      <c r="BE133">
        <v>11148666</v>
      </c>
      <c r="BF133">
        <v>224907</v>
      </c>
      <c r="BG133">
        <v>250088</v>
      </c>
      <c r="BH133">
        <v>202871</v>
      </c>
      <c r="BI133">
        <v>124059</v>
      </c>
      <c r="BJ133">
        <v>352213</v>
      </c>
      <c r="BK133">
        <v>26592</v>
      </c>
      <c r="BL133">
        <v>3973716</v>
      </c>
      <c r="BM133">
        <v>0</v>
      </c>
      <c r="BN133">
        <v>1549739</v>
      </c>
      <c r="BO133">
        <v>4334175</v>
      </c>
      <c r="BP133">
        <v>1460377</v>
      </c>
      <c r="BQ133">
        <v>2303372</v>
      </c>
      <c r="BR133">
        <v>22484062</v>
      </c>
      <c r="BS133">
        <v>1486954</v>
      </c>
      <c r="BT133">
        <v>16229844</v>
      </c>
      <c r="BU133">
        <v>1637464</v>
      </c>
      <c r="BV133">
        <v>3444870</v>
      </c>
      <c r="BW133">
        <v>805622</v>
      </c>
      <c r="BX133">
        <v>3777278</v>
      </c>
      <c r="BY133">
        <v>570532</v>
      </c>
      <c r="BZ133">
        <v>59078</v>
      </c>
      <c r="CA133" s="708">
        <v>209354</v>
      </c>
      <c r="CB133">
        <v>52495</v>
      </c>
      <c r="CC133">
        <v>0</v>
      </c>
      <c r="CD133">
        <v>0</v>
      </c>
      <c r="CE133">
        <v>129931</v>
      </c>
    </row>
    <row r="134" spans="1:83" x14ac:dyDescent="0.25">
      <c r="A134">
        <v>375</v>
      </c>
      <c r="B134">
        <v>375</v>
      </c>
      <c r="C134" t="s">
        <v>225</v>
      </c>
      <c r="D134" t="s">
        <v>454</v>
      </c>
      <c r="E134">
        <v>0</v>
      </c>
      <c r="F134">
        <v>0</v>
      </c>
      <c r="G134">
        <v>619917</v>
      </c>
      <c r="H134">
        <v>0</v>
      </c>
      <c r="I134">
        <v>0</v>
      </c>
      <c r="J134">
        <v>0</v>
      </c>
      <c r="K134">
        <v>53331</v>
      </c>
      <c r="L134">
        <v>0</v>
      </c>
      <c r="M134">
        <v>0</v>
      </c>
      <c r="N134">
        <v>0</v>
      </c>
      <c r="O134">
        <v>0</v>
      </c>
      <c r="P134">
        <v>-483856</v>
      </c>
      <c r="Q134">
        <v>0</v>
      </c>
      <c r="R134">
        <v>34299929</v>
      </c>
      <c r="S134">
        <v>883991</v>
      </c>
      <c r="T134">
        <v>0</v>
      </c>
      <c r="U134">
        <v>44749550</v>
      </c>
      <c r="V134">
        <v>12338459</v>
      </c>
      <c r="W134">
        <v>13836142</v>
      </c>
      <c r="X134">
        <v>0</v>
      </c>
      <c r="Y134">
        <v>334592</v>
      </c>
      <c r="Z134">
        <v>5308478</v>
      </c>
      <c r="AA134">
        <v>1431787</v>
      </c>
      <c r="AB134">
        <v>10789502</v>
      </c>
      <c r="AC134">
        <v>-280742</v>
      </c>
      <c r="AD134">
        <v>865815</v>
      </c>
      <c r="AE134" s="708">
        <v>594319</v>
      </c>
      <c r="AF134">
        <v>1991422</v>
      </c>
      <c r="AG134">
        <v>2904580</v>
      </c>
      <c r="AH134">
        <v>2140297</v>
      </c>
      <c r="AI134">
        <v>-13026</v>
      </c>
      <c r="AJ134">
        <v>16100400</v>
      </c>
      <c r="AK134">
        <v>765677</v>
      </c>
      <c r="AL134">
        <v>386218</v>
      </c>
      <c r="AM134">
        <v>0</v>
      </c>
      <c r="AN134">
        <v>3013033</v>
      </c>
      <c r="AO134">
        <v>0</v>
      </c>
      <c r="AP134">
        <v>0</v>
      </c>
      <c r="AQ134">
        <v>0</v>
      </c>
      <c r="AR134">
        <v>0</v>
      </c>
      <c r="AS134">
        <v>3099834</v>
      </c>
      <c r="AT134">
        <v>110811</v>
      </c>
      <c r="AU134">
        <v>674916</v>
      </c>
      <c r="AV134">
        <v>0</v>
      </c>
      <c r="AW134">
        <v>32014621</v>
      </c>
      <c r="AX134">
        <v>0</v>
      </c>
      <c r="AY134">
        <v>2635598</v>
      </c>
      <c r="AZ134">
        <v>5955123</v>
      </c>
      <c r="BA134">
        <v>933297</v>
      </c>
      <c r="BB134">
        <v>151006</v>
      </c>
      <c r="BC134">
        <v>0</v>
      </c>
      <c r="BD134">
        <v>0</v>
      </c>
      <c r="BE134">
        <v>6400279</v>
      </c>
      <c r="BF134">
        <v>0</v>
      </c>
      <c r="BG134">
        <v>121001</v>
      </c>
      <c r="BH134">
        <v>112191</v>
      </c>
      <c r="BI134">
        <v>0</v>
      </c>
      <c r="BJ134">
        <v>225611</v>
      </c>
      <c r="BK134">
        <v>0</v>
      </c>
      <c r="BL134">
        <v>1327210</v>
      </c>
      <c r="BM134">
        <v>0</v>
      </c>
      <c r="BN134">
        <v>-166047</v>
      </c>
      <c r="BO134">
        <v>960033</v>
      </c>
      <c r="BP134">
        <v>563049</v>
      </c>
      <c r="BQ134">
        <v>807032</v>
      </c>
      <c r="BR134">
        <v>0</v>
      </c>
      <c r="BS134">
        <v>241513</v>
      </c>
      <c r="BT134">
        <v>0</v>
      </c>
      <c r="BU134">
        <v>601813</v>
      </c>
      <c r="BV134">
        <v>2580128</v>
      </c>
      <c r="BW134">
        <v>0</v>
      </c>
      <c r="BX134">
        <v>541820</v>
      </c>
      <c r="BY134">
        <v>1004471</v>
      </c>
      <c r="BZ134">
        <v>7316</v>
      </c>
      <c r="CA134" s="708">
        <v>158046</v>
      </c>
      <c r="CB134">
        <v>13345</v>
      </c>
      <c r="CC134">
        <v>0</v>
      </c>
      <c r="CD134">
        <v>0</v>
      </c>
      <c r="CE134">
        <v>6799</v>
      </c>
    </row>
    <row r="135" spans="1:83" x14ac:dyDescent="0.25">
      <c r="A135">
        <v>376</v>
      </c>
      <c r="B135">
        <v>376</v>
      </c>
      <c r="C135" t="s">
        <v>110</v>
      </c>
      <c r="D135" t="s">
        <v>455</v>
      </c>
      <c r="E135">
        <v>0</v>
      </c>
      <c r="F135">
        <v>0</v>
      </c>
      <c r="G135">
        <v>0</v>
      </c>
      <c r="H135">
        <v>2560272</v>
      </c>
      <c r="I135">
        <v>0</v>
      </c>
      <c r="J135">
        <v>0</v>
      </c>
      <c r="K135">
        <v>1</v>
      </c>
      <c r="L135">
        <v>0</v>
      </c>
      <c r="M135">
        <v>0</v>
      </c>
      <c r="N135">
        <v>-84092</v>
      </c>
      <c r="O135">
        <v>0</v>
      </c>
      <c r="P135">
        <v>0</v>
      </c>
      <c r="Q135">
        <v>0</v>
      </c>
      <c r="R135">
        <v>0</v>
      </c>
      <c r="S135">
        <v>0</v>
      </c>
      <c r="T135">
        <v>0</v>
      </c>
      <c r="U135">
        <v>0</v>
      </c>
      <c r="V135">
        <v>0</v>
      </c>
      <c r="W135">
        <v>0</v>
      </c>
      <c r="X135">
        <v>0</v>
      </c>
      <c r="Y135">
        <v>0</v>
      </c>
      <c r="Z135">
        <v>0</v>
      </c>
      <c r="AA135">
        <v>0</v>
      </c>
      <c r="AB135">
        <v>0</v>
      </c>
      <c r="AC135">
        <v>0</v>
      </c>
      <c r="AD135">
        <v>0</v>
      </c>
      <c r="AE135" s="708">
        <v>-56884</v>
      </c>
      <c r="AF135">
        <v>0</v>
      </c>
      <c r="AG135">
        <v>0</v>
      </c>
      <c r="AH135">
        <v>0</v>
      </c>
      <c r="AI135">
        <v>0</v>
      </c>
      <c r="AJ135">
        <v>-288809</v>
      </c>
      <c r="AK135">
        <v>0</v>
      </c>
      <c r="AL135">
        <v>0</v>
      </c>
      <c r="AM135">
        <v>0</v>
      </c>
      <c r="AN135">
        <v>0</v>
      </c>
      <c r="AO135">
        <v>0</v>
      </c>
      <c r="AP135">
        <v>0</v>
      </c>
      <c r="AQ135">
        <v>0</v>
      </c>
      <c r="AR135">
        <v>0</v>
      </c>
      <c r="AS135">
        <v>870986</v>
      </c>
      <c r="AT135">
        <v>0</v>
      </c>
      <c r="AU135">
        <v>0</v>
      </c>
      <c r="AV135">
        <v>0</v>
      </c>
      <c r="AW135">
        <v>-308349</v>
      </c>
      <c r="AX135">
        <v>0</v>
      </c>
      <c r="AY135">
        <v>1</v>
      </c>
      <c r="AZ135">
        <v>0</v>
      </c>
      <c r="BA135">
        <v>0</v>
      </c>
      <c r="BB135">
        <v>0</v>
      </c>
      <c r="BC135">
        <v>0</v>
      </c>
      <c r="BD135">
        <v>0</v>
      </c>
      <c r="BE135">
        <v>0</v>
      </c>
      <c r="BF135">
        <v>0</v>
      </c>
      <c r="BG135">
        <v>0</v>
      </c>
      <c r="BH135">
        <v>0</v>
      </c>
      <c r="BI135">
        <v>0</v>
      </c>
      <c r="BJ135">
        <v>0</v>
      </c>
      <c r="BK135">
        <v>0</v>
      </c>
      <c r="BL135">
        <v>0</v>
      </c>
      <c r="BM135">
        <v>0</v>
      </c>
      <c r="BN135">
        <v>0</v>
      </c>
      <c r="BO135">
        <v>0</v>
      </c>
      <c r="BP135">
        <v>-1</v>
      </c>
      <c r="BQ135">
        <v>0</v>
      </c>
      <c r="BR135">
        <v>0</v>
      </c>
      <c r="BS135">
        <v>0</v>
      </c>
      <c r="BT135">
        <v>0</v>
      </c>
      <c r="BU135">
        <v>0</v>
      </c>
      <c r="BV135">
        <v>0</v>
      </c>
      <c r="BW135">
        <v>0</v>
      </c>
      <c r="BX135">
        <v>0</v>
      </c>
      <c r="BY135">
        <v>0</v>
      </c>
      <c r="BZ135">
        <v>0</v>
      </c>
      <c r="CA135">
        <v>0</v>
      </c>
      <c r="CB135">
        <v>0</v>
      </c>
      <c r="CC135">
        <v>0</v>
      </c>
      <c r="CD135">
        <v>0</v>
      </c>
      <c r="CE135">
        <v>0</v>
      </c>
    </row>
    <row r="136" spans="1:83" x14ac:dyDescent="0.25">
      <c r="A136">
        <v>377</v>
      </c>
      <c r="B136">
        <v>377</v>
      </c>
      <c r="C136" t="s">
        <v>111</v>
      </c>
      <c r="D136" t="s">
        <v>456</v>
      </c>
      <c r="E136">
        <v>0</v>
      </c>
      <c r="F136">
        <v>0</v>
      </c>
      <c r="G136">
        <v>0</v>
      </c>
      <c r="H136">
        <v>0</v>
      </c>
      <c r="I136">
        <v>0</v>
      </c>
      <c r="J136">
        <v>0</v>
      </c>
      <c r="K136">
        <v>1</v>
      </c>
      <c r="L136">
        <v>0</v>
      </c>
      <c r="M136">
        <v>0</v>
      </c>
      <c r="N136">
        <v>0</v>
      </c>
      <c r="O136">
        <v>0</v>
      </c>
      <c r="P136">
        <v>-1</v>
      </c>
      <c r="Q136">
        <v>0</v>
      </c>
      <c r="R136">
        <v>0</v>
      </c>
      <c r="S136">
        <v>0</v>
      </c>
      <c r="T136">
        <v>0</v>
      </c>
      <c r="U136">
        <v>0</v>
      </c>
      <c r="V136">
        <v>0</v>
      </c>
      <c r="W136">
        <v>0</v>
      </c>
      <c r="X136">
        <v>0</v>
      </c>
      <c r="Y136">
        <v>0</v>
      </c>
      <c r="Z136">
        <v>0</v>
      </c>
      <c r="AA136">
        <v>0</v>
      </c>
      <c r="AB136">
        <v>0</v>
      </c>
      <c r="AC136">
        <v>-235972</v>
      </c>
      <c r="AD136">
        <v>0</v>
      </c>
      <c r="AE136" s="708">
        <v>-9449</v>
      </c>
      <c r="AF136">
        <v>0</v>
      </c>
      <c r="AG136">
        <v>0</v>
      </c>
      <c r="AH136">
        <v>0</v>
      </c>
      <c r="AI136">
        <v>-115642</v>
      </c>
      <c r="AJ136">
        <v>0</v>
      </c>
      <c r="AK136">
        <v>0</v>
      </c>
      <c r="AL136">
        <v>0</v>
      </c>
      <c r="AM136">
        <v>0</v>
      </c>
      <c r="AN136">
        <v>0</v>
      </c>
      <c r="AO136">
        <v>0</v>
      </c>
      <c r="AP136">
        <v>0</v>
      </c>
      <c r="AQ136">
        <v>0</v>
      </c>
      <c r="AR136">
        <v>0</v>
      </c>
      <c r="AS136">
        <v>0</v>
      </c>
      <c r="AT136">
        <v>0</v>
      </c>
      <c r="AU136">
        <v>0</v>
      </c>
      <c r="AV136">
        <v>0</v>
      </c>
      <c r="AW136">
        <v>0</v>
      </c>
      <c r="AX136">
        <v>0</v>
      </c>
      <c r="AY136">
        <v>-1</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2</v>
      </c>
    </row>
    <row r="137" spans="1:83" x14ac:dyDescent="0.25">
      <c r="A137">
        <v>378</v>
      </c>
      <c r="B137">
        <v>378</v>
      </c>
      <c r="C137" t="s">
        <v>112</v>
      </c>
      <c r="D137" t="s">
        <v>457</v>
      </c>
      <c r="E137">
        <v>0</v>
      </c>
      <c r="F137">
        <v>0</v>
      </c>
      <c r="G137">
        <v>0</v>
      </c>
      <c r="H137">
        <v>0</v>
      </c>
      <c r="I137">
        <v>0</v>
      </c>
      <c r="J137">
        <v>0</v>
      </c>
      <c r="K137">
        <v>0</v>
      </c>
      <c r="L137">
        <v>0</v>
      </c>
      <c r="M137">
        <v>0</v>
      </c>
      <c r="N137">
        <v>0</v>
      </c>
      <c r="O137">
        <v>0</v>
      </c>
      <c r="P137">
        <v>0</v>
      </c>
      <c r="Q137">
        <v>0</v>
      </c>
      <c r="R137">
        <v>0</v>
      </c>
      <c r="S137">
        <v>0</v>
      </c>
      <c r="T137">
        <v>0</v>
      </c>
      <c r="U137">
        <v>0</v>
      </c>
      <c r="V137">
        <v>0</v>
      </c>
      <c r="W137">
        <v>0</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0</v>
      </c>
      <c r="BI137">
        <v>0</v>
      </c>
      <c r="BJ137">
        <v>0</v>
      </c>
      <c r="BK137">
        <v>0</v>
      </c>
      <c r="BL137">
        <v>0</v>
      </c>
      <c r="BM137">
        <v>0</v>
      </c>
      <c r="BN137">
        <v>0</v>
      </c>
      <c r="BO137">
        <v>0</v>
      </c>
      <c r="BP137">
        <v>0</v>
      </c>
      <c r="BQ137">
        <v>0</v>
      </c>
      <c r="BR137">
        <v>0</v>
      </c>
      <c r="BS137">
        <v>0</v>
      </c>
      <c r="BT137">
        <v>0</v>
      </c>
      <c r="BU137">
        <v>0</v>
      </c>
      <c r="BV137">
        <v>0</v>
      </c>
      <c r="BW137">
        <v>0</v>
      </c>
      <c r="BX137">
        <v>0</v>
      </c>
      <c r="BY137">
        <v>0</v>
      </c>
      <c r="BZ137">
        <v>0</v>
      </c>
      <c r="CA137">
        <v>0</v>
      </c>
      <c r="CB137">
        <v>0</v>
      </c>
      <c r="CC137">
        <v>0</v>
      </c>
      <c r="CD137">
        <v>0</v>
      </c>
      <c r="CE137">
        <v>0</v>
      </c>
    </row>
    <row r="138" spans="1:83" x14ac:dyDescent="0.25">
      <c r="A138">
        <v>379</v>
      </c>
      <c r="B138">
        <v>379</v>
      </c>
      <c r="C138" t="s">
        <v>120</v>
      </c>
      <c r="D138" t="s">
        <v>458</v>
      </c>
      <c r="E138">
        <v>0</v>
      </c>
      <c r="F138">
        <v>142705</v>
      </c>
      <c r="G138">
        <v>987527</v>
      </c>
      <c r="H138">
        <v>4264642</v>
      </c>
      <c r="I138">
        <v>5350752</v>
      </c>
      <c r="J138">
        <v>5195627</v>
      </c>
      <c r="K138">
        <v>115050</v>
      </c>
      <c r="L138">
        <v>910956</v>
      </c>
      <c r="M138">
        <v>982068</v>
      </c>
      <c r="N138">
        <v>8804014</v>
      </c>
      <c r="O138">
        <v>680144</v>
      </c>
      <c r="P138">
        <v>7166125</v>
      </c>
      <c r="Q138">
        <v>290489</v>
      </c>
      <c r="R138">
        <v>37395765</v>
      </c>
      <c r="S138">
        <v>1799692</v>
      </c>
      <c r="T138">
        <v>215883</v>
      </c>
      <c r="U138">
        <v>44104184</v>
      </c>
      <c r="V138">
        <v>10242658</v>
      </c>
      <c r="W138">
        <v>20930770</v>
      </c>
      <c r="X138">
        <v>36660815</v>
      </c>
      <c r="Y138">
        <v>367542</v>
      </c>
      <c r="Z138">
        <v>14229646</v>
      </c>
      <c r="AA138">
        <v>1659926</v>
      </c>
      <c r="AB138">
        <v>14081427</v>
      </c>
      <c r="AC138">
        <v>1549945</v>
      </c>
      <c r="AD138">
        <v>1878582</v>
      </c>
      <c r="AE138" s="708">
        <v>1563979</v>
      </c>
      <c r="AF138">
        <v>3418928</v>
      </c>
      <c r="AG138">
        <v>28874667</v>
      </c>
      <c r="AH138">
        <v>5778305</v>
      </c>
      <c r="AI138">
        <v>921784</v>
      </c>
      <c r="AJ138">
        <v>24560015</v>
      </c>
      <c r="AK138">
        <v>3269987</v>
      </c>
      <c r="AL138">
        <v>841003</v>
      </c>
      <c r="AM138">
        <v>0</v>
      </c>
      <c r="AN138">
        <v>9919286</v>
      </c>
      <c r="AO138">
        <v>0</v>
      </c>
      <c r="AP138">
        <v>0</v>
      </c>
      <c r="AQ138">
        <v>98182</v>
      </c>
      <c r="AR138">
        <v>3505149</v>
      </c>
      <c r="AS138">
        <v>54010310</v>
      </c>
      <c r="AT138">
        <v>773730</v>
      </c>
      <c r="AU138">
        <v>1906475</v>
      </c>
      <c r="AV138">
        <v>0</v>
      </c>
      <c r="AW138">
        <v>14682963</v>
      </c>
      <c r="AX138">
        <v>3888905</v>
      </c>
      <c r="AY138">
        <v>1797950</v>
      </c>
      <c r="AZ138">
        <v>18285269</v>
      </c>
      <c r="BA138">
        <v>1989546</v>
      </c>
      <c r="BB138">
        <v>1105237</v>
      </c>
      <c r="BC138">
        <v>101867</v>
      </c>
      <c r="BD138">
        <v>0</v>
      </c>
      <c r="BE138">
        <v>6932429</v>
      </c>
      <c r="BF138">
        <v>545080</v>
      </c>
      <c r="BG138">
        <v>805986</v>
      </c>
      <c r="BH138">
        <v>205502</v>
      </c>
      <c r="BI138">
        <v>300595</v>
      </c>
      <c r="BJ138">
        <v>560128</v>
      </c>
      <c r="BK138">
        <v>283132</v>
      </c>
      <c r="BL138">
        <v>2071417</v>
      </c>
      <c r="BM138">
        <v>0</v>
      </c>
      <c r="BN138">
        <v>994047</v>
      </c>
      <c r="BO138">
        <v>3849233</v>
      </c>
      <c r="BP138">
        <v>970455</v>
      </c>
      <c r="BQ138">
        <v>1900171</v>
      </c>
      <c r="BR138">
        <v>8841664</v>
      </c>
      <c r="BS138">
        <v>578339</v>
      </c>
      <c r="BT138">
        <v>20248875</v>
      </c>
      <c r="BU138">
        <v>797133</v>
      </c>
      <c r="BV138">
        <v>4218125</v>
      </c>
      <c r="BW138">
        <v>1095509</v>
      </c>
      <c r="BX138">
        <v>1688917</v>
      </c>
      <c r="BY138">
        <v>2255362</v>
      </c>
      <c r="BZ138">
        <v>395456</v>
      </c>
      <c r="CA138" s="708">
        <v>1031061</v>
      </c>
      <c r="CB138">
        <v>183689</v>
      </c>
      <c r="CC138">
        <v>0</v>
      </c>
      <c r="CD138">
        <v>0</v>
      </c>
      <c r="CE138">
        <v>373975</v>
      </c>
    </row>
    <row r="139" spans="1:83" x14ac:dyDescent="0.25">
      <c r="A139">
        <v>380</v>
      </c>
      <c r="B139">
        <v>380</v>
      </c>
      <c r="C139" t="s">
        <v>123</v>
      </c>
      <c r="D139" t="s">
        <v>459</v>
      </c>
      <c r="E139">
        <v>0</v>
      </c>
      <c r="F139">
        <v>884</v>
      </c>
      <c r="G139">
        <v>30813</v>
      </c>
      <c r="H139">
        <v>33107</v>
      </c>
      <c r="I139">
        <v>15915</v>
      </c>
      <c r="J139">
        <v>35901</v>
      </c>
      <c r="K139">
        <v>3107</v>
      </c>
      <c r="L139">
        <v>677</v>
      </c>
      <c r="M139">
        <v>2912</v>
      </c>
      <c r="N139">
        <v>131233</v>
      </c>
      <c r="O139">
        <v>2140</v>
      </c>
      <c r="P139">
        <v>64212</v>
      </c>
      <c r="Q139">
        <v>683</v>
      </c>
      <c r="R139">
        <v>936272</v>
      </c>
      <c r="S139">
        <v>102</v>
      </c>
      <c r="T139">
        <v>0</v>
      </c>
      <c r="U139">
        <v>827474</v>
      </c>
      <c r="V139">
        <v>102122</v>
      </c>
      <c r="W139">
        <v>151448</v>
      </c>
      <c r="X139">
        <v>28689</v>
      </c>
      <c r="Y139">
        <v>54290</v>
      </c>
      <c r="Z139">
        <v>183522</v>
      </c>
      <c r="AA139">
        <v>48090</v>
      </c>
      <c r="AB139">
        <v>230089</v>
      </c>
      <c r="AC139">
        <v>117999</v>
      </c>
      <c r="AD139">
        <v>16483</v>
      </c>
      <c r="AE139" s="708">
        <v>70202</v>
      </c>
      <c r="AF139">
        <v>86905</v>
      </c>
      <c r="AG139">
        <v>3885</v>
      </c>
      <c r="AH139">
        <v>102152</v>
      </c>
      <c r="AI139">
        <v>33796</v>
      </c>
      <c r="AJ139">
        <v>583718</v>
      </c>
      <c r="AK139">
        <v>1593</v>
      </c>
      <c r="AL139">
        <v>6755</v>
      </c>
      <c r="AM139">
        <v>0</v>
      </c>
      <c r="AN139">
        <v>373199</v>
      </c>
      <c r="AO139">
        <v>0</v>
      </c>
      <c r="AP139">
        <v>0</v>
      </c>
      <c r="AQ139">
        <v>0</v>
      </c>
      <c r="AR139">
        <v>57534</v>
      </c>
      <c r="AS139">
        <v>35424290</v>
      </c>
      <c r="AT139">
        <v>29028</v>
      </c>
      <c r="AU139">
        <v>66176</v>
      </c>
      <c r="AV139">
        <v>0</v>
      </c>
      <c r="AW139">
        <v>67713</v>
      </c>
      <c r="AX139">
        <v>8962</v>
      </c>
      <c r="AY139">
        <v>42228</v>
      </c>
      <c r="AZ139">
        <v>98033</v>
      </c>
      <c r="BA139">
        <v>17497</v>
      </c>
      <c r="BB139">
        <v>78797</v>
      </c>
      <c r="BC139">
        <v>0</v>
      </c>
      <c r="BD139">
        <v>0</v>
      </c>
      <c r="BE139">
        <v>106838</v>
      </c>
      <c r="BF139">
        <v>1468</v>
      </c>
      <c r="BG139">
        <v>35599</v>
      </c>
      <c r="BH139">
        <v>41021</v>
      </c>
      <c r="BI139">
        <v>1113</v>
      </c>
      <c r="BJ139">
        <v>13842</v>
      </c>
      <c r="BK139">
        <v>5250</v>
      </c>
      <c r="BL139">
        <v>122137</v>
      </c>
      <c r="BM139">
        <v>0</v>
      </c>
      <c r="BN139">
        <v>6463</v>
      </c>
      <c r="BO139">
        <v>299387</v>
      </c>
      <c r="BP139">
        <v>2390</v>
      </c>
      <c r="BQ139">
        <v>4516</v>
      </c>
      <c r="BR139">
        <v>55424</v>
      </c>
      <c r="BS139">
        <v>47774</v>
      </c>
      <c r="BT139">
        <v>41371</v>
      </c>
      <c r="BU139">
        <v>14046</v>
      </c>
      <c r="BV139">
        <v>110432</v>
      </c>
      <c r="BW139">
        <v>7273</v>
      </c>
      <c r="BX139">
        <v>244371</v>
      </c>
      <c r="BY139">
        <v>42723</v>
      </c>
      <c r="BZ139">
        <v>9963</v>
      </c>
      <c r="CA139" s="708">
        <v>26413</v>
      </c>
      <c r="CB139">
        <v>1649</v>
      </c>
      <c r="CC139">
        <v>0</v>
      </c>
      <c r="CD139">
        <v>0</v>
      </c>
      <c r="CE139">
        <v>4927</v>
      </c>
    </row>
    <row r="140" spans="1:83" x14ac:dyDescent="0.25">
      <c r="A140">
        <v>381</v>
      </c>
      <c r="B140">
        <v>381</v>
      </c>
      <c r="C140" t="s">
        <v>115</v>
      </c>
      <c r="D140" t="s">
        <v>460</v>
      </c>
      <c r="E140">
        <v>0</v>
      </c>
      <c r="F140">
        <v>0</v>
      </c>
      <c r="G140">
        <v>4273239</v>
      </c>
      <c r="H140">
        <v>0</v>
      </c>
      <c r="I140">
        <v>0</v>
      </c>
      <c r="J140">
        <v>0</v>
      </c>
      <c r="K140">
        <v>2514269</v>
      </c>
      <c r="L140">
        <v>0</v>
      </c>
      <c r="M140">
        <v>0</v>
      </c>
      <c r="N140">
        <v>0</v>
      </c>
      <c r="O140">
        <v>0</v>
      </c>
      <c r="P140">
        <v>15597569</v>
      </c>
      <c r="Q140">
        <v>0</v>
      </c>
      <c r="R140">
        <v>139651103</v>
      </c>
      <c r="S140">
        <v>2448913</v>
      </c>
      <c r="T140">
        <v>0</v>
      </c>
      <c r="U140">
        <v>197153619</v>
      </c>
      <c r="V140">
        <v>65976989</v>
      </c>
      <c r="W140">
        <v>82354441</v>
      </c>
      <c r="X140">
        <v>0</v>
      </c>
      <c r="Y140">
        <v>3530496</v>
      </c>
      <c r="Z140">
        <v>46475246</v>
      </c>
      <c r="AA140">
        <v>11385305</v>
      </c>
      <c r="AB140">
        <v>38288152</v>
      </c>
      <c r="AC140">
        <v>25565550</v>
      </c>
      <c r="AD140">
        <v>4454427</v>
      </c>
      <c r="AE140" s="708">
        <v>7394366</v>
      </c>
      <c r="AF140">
        <v>14447164</v>
      </c>
      <c r="AG140">
        <v>10431547</v>
      </c>
      <c r="AH140">
        <v>10730617</v>
      </c>
      <c r="AI140">
        <v>4235139</v>
      </c>
      <c r="AJ140">
        <v>134831562</v>
      </c>
      <c r="AK140">
        <v>2380041</v>
      </c>
      <c r="AL140">
        <v>4787927</v>
      </c>
      <c r="AM140">
        <v>0</v>
      </c>
      <c r="AN140">
        <v>33495532</v>
      </c>
      <c r="AO140">
        <v>0</v>
      </c>
      <c r="AP140">
        <v>0</v>
      </c>
      <c r="AQ140">
        <v>0</v>
      </c>
      <c r="AR140">
        <v>0</v>
      </c>
      <c r="AS140">
        <v>21274621</v>
      </c>
      <c r="AT140">
        <v>7183916</v>
      </c>
      <c r="AU140">
        <v>12125079</v>
      </c>
      <c r="AV140">
        <v>0</v>
      </c>
      <c r="AW140">
        <v>142406888</v>
      </c>
      <c r="AX140">
        <v>0</v>
      </c>
      <c r="AY140">
        <v>8193282</v>
      </c>
      <c r="AZ140">
        <v>11100195</v>
      </c>
      <c r="BA140">
        <v>6853134</v>
      </c>
      <c r="BB140">
        <v>1358872</v>
      </c>
      <c r="BC140">
        <v>0</v>
      </c>
      <c r="BD140">
        <v>0</v>
      </c>
      <c r="BE140">
        <v>41766991</v>
      </c>
      <c r="BF140">
        <v>0</v>
      </c>
      <c r="BG140">
        <v>3226629</v>
      </c>
      <c r="BH140">
        <v>2454284</v>
      </c>
      <c r="BI140">
        <v>0</v>
      </c>
      <c r="BJ140">
        <v>3274083</v>
      </c>
      <c r="BK140">
        <v>0</v>
      </c>
      <c r="BL140">
        <v>17451845</v>
      </c>
      <c r="BM140">
        <v>0</v>
      </c>
      <c r="BN140">
        <v>6828031</v>
      </c>
      <c r="BO140">
        <v>4364795</v>
      </c>
      <c r="BP140">
        <v>2909438</v>
      </c>
      <c r="BQ140">
        <v>1524865</v>
      </c>
      <c r="BR140">
        <v>0</v>
      </c>
      <c r="BS140">
        <v>5045759</v>
      </c>
      <c r="BT140">
        <v>0</v>
      </c>
      <c r="BU140">
        <v>7537720</v>
      </c>
      <c r="BV140">
        <v>16746480</v>
      </c>
      <c r="BW140">
        <v>0</v>
      </c>
      <c r="BX140">
        <v>12477773</v>
      </c>
      <c r="BY140">
        <v>3326903</v>
      </c>
      <c r="BZ140">
        <v>665851</v>
      </c>
      <c r="CA140" s="708">
        <v>4642705</v>
      </c>
      <c r="CB140">
        <v>4861193</v>
      </c>
      <c r="CC140">
        <v>0</v>
      </c>
      <c r="CD140">
        <v>0</v>
      </c>
      <c r="CE140">
        <v>829401</v>
      </c>
    </row>
    <row r="141" spans="1:83" x14ac:dyDescent="0.25">
      <c r="A141">
        <v>382</v>
      </c>
      <c r="B141">
        <v>382</v>
      </c>
      <c r="C141" t="s">
        <v>116</v>
      </c>
      <c r="D141" t="s">
        <v>461</v>
      </c>
      <c r="E141">
        <v>0</v>
      </c>
      <c r="F141">
        <v>0</v>
      </c>
      <c r="G141">
        <v>0</v>
      </c>
      <c r="H141">
        <v>0</v>
      </c>
      <c r="I141">
        <v>0</v>
      </c>
      <c r="J141">
        <v>0</v>
      </c>
      <c r="K141">
        <v>0</v>
      </c>
      <c r="L141">
        <v>0</v>
      </c>
      <c r="M141">
        <v>0</v>
      </c>
      <c r="N141">
        <v>0</v>
      </c>
      <c r="O141">
        <v>0</v>
      </c>
      <c r="P141">
        <v>0</v>
      </c>
      <c r="Q141">
        <v>0</v>
      </c>
      <c r="R141">
        <v>156111670</v>
      </c>
      <c r="S141">
        <v>0</v>
      </c>
      <c r="T141">
        <v>0</v>
      </c>
      <c r="U141">
        <v>0</v>
      </c>
      <c r="V141">
        <v>0</v>
      </c>
      <c r="W141">
        <v>24166295</v>
      </c>
      <c r="X141">
        <v>0</v>
      </c>
      <c r="Y141">
        <v>0</v>
      </c>
      <c r="Z141">
        <v>0</v>
      </c>
      <c r="AA141">
        <v>0</v>
      </c>
      <c r="AB141">
        <v>0</v>
      </c>
      <c r="AC141">
        <v>0</v>
      </c>
      <c r="AD141">
        <v>0</v>
      </c>
      <c r="AE141">
        <v>0</v>
      </c>
      <c r="AF141">
        <v>0</v>
      </c>
      <c r="AG141">
        <v>0</v>
      </c>
      <c r="AH141">
        <v>0</v>
      </c>
      <c r="AI141">
        <v>0</v>
      </c>
      <c r="AJ141">
        <v>67031512</v>
      </c>
      <c r="AK141">
        <v>0</v>
      </c>
      <c r="AL141">
        <v>0</v>
      </c>
      <c r="AM141">
        <v>0</v>
      </c>
      <c r="AN141">
        <v>22720692</v>
      </c>
      <c r="AO141">
        <v>0</v>
      </c>
      <c r="AP141">
        <v>0</v>
      </c>
      <c r="AQ141">
        <v>0</v>
      </c>
      <c r="AR141">
        <v>0</v>
      </c>
      <c r="AS141">
        <v>0</v>
      </c>
      <c r="AT141">
        <v>0</v>
      </c>
      <c r="AU141">
        <v>0</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0</v>
      </c>
      <c r="BR141">
        <v>0</v>
      </c>
      <c r="BS141">
        <v>1319407</v>
      </c>
      <c r="BT141">
        <v>18000086</v>
      </c>
      <c r="BU141">
        <v>0</v>
      </c>
      <c r="BV141">
        <v>0</v>
      </c>
      <c r="BW141">
        <v>0</v>
      </c>
      <c r="BX141">
        <v>0</v>
      </c>
      <c r="BY141">
        <v>0</v>
      </c>
      <c r="BZ141">
        <v>0</v>
      </c>
      <c r="CA141">
        <v>0</v>
      </c>
      <c r="CB141">
        <v>0</v>
      </c>
      <c r="CC141">
        <v>0</v>
      </c>
      <c r="CD141">
        <v>0</v>
      </c>
      <c r="CE141">
        <v>0</v>
      </c>
    </row>
    <row r="142" spans="1:83" x14ac:dyDescent="0.25">
      <c r="A142">
        <v>383</v>
      </c>
      <c r="B142">
        <v>383</v>
      </c>
      <c r="C142" t="s">
        <v>224</v>
      </c>
      <c r="D142" t="s">
        <v>462</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40100</v>
      </c>
      <c r="AA142">
        <v>0</v>
      </c>
      <c r="AB142">
        <v>0</v>
      </c>
      <c r="AC142">
        <v>0</v>
      </c>
      <c r="AD142">
        <v>0</v>
      </c>
      <c r="AE142">
        <v>0</v>
      </c>
      <c r="AF142">
        <v>0</v>
      </c>
      <c r="AG142">
        <v>0</v>
      </c>
      <c r="AH142">
        <v>0</v>
      </c>
      <c r="AI142">
        <v>0</v>
      </c>
      <c r="AJ142">
        <v>0</v>
      </c>
      <c r="AK142">
        <v>0</v>
      </c>
      <c r="AL142">
        <v>0</v>
      </c>
      <c r="AM142">
        <v>0</v>
      </c>
      <c r="AN142">
        <v>0</v>
      </c>
      <c r="AO142">
        <v>0</v>
      </c>
      <c r="AP142">
        <v>0</v>
      </c>
      <c r="AQ142">
        <v>0</v>
      </c>
      <c r="AR142">
        <v>0</v>
      </c>
      <c r="AS142">
        <v>0</v>
      </c>
      <c r="AT142">
        <v>0</v>
      </c>
      <c r="AU142">
        <v>39708</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9021</v>
      </c>
      <c r="BR142">
        <v>0</v>
      </c>
      <c r="BS142">
        <v>0</v>
      </c>
      <c r="BT142">
        <v>0</v>
      </c>
      <c r="BU142">
        <v>0</v>
      </c>
      <c r="BV142">
        <v>0</v>
      </c>
      <c r="BW142">
        <v>0</v>
      </c>
      <c r="BX142">
        <v>0</v>
      </c>
      <c r="BY142">
        <v>0</v>
      </c>
      <c r="BZ142">
        <v>0</v>
      </c>
      <c r="CA142">
        <v>0</v>
      </c>
      <c r="CB142">
        <v>0</v>
      </c>
      <c r="CC142">
        <v>0</v>
      </c>
      <c r="CD142">
        <v>0</v>
      </c>
      <c r="CE142">
        <v>0</v>
      </c>
    </row>
    <row r="143" spans="1:83" x14ac:dyDescent="0.25">
      <c r="A143">
        <v>384</v>
      </c>
      <c r="B143">
        <v>384</v>
      </c>
      <c r="C143" t="s">
        <v>126</v>
      </c>
      <c r="D143" t="s">
        <v>463</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0</v>
      </c>
      <c r="CE143">
        <v>0</v>
      </c>
    </row>
    <row r="144" spans="1:83" x14ac:dyDescent="0.25">
      <c r="A144">
        <v>385</v>
      </c>
      <c r="B144">
        <v>385</v>
      </c>
      <c r="C144" t="s">
        <v>117</v>
      </c>
      <c r="D144" t="s">
        <v>464</v>
      </c>
      <c r="E144">
        <v>0</v>
      </c>
      <c r="F144">
        <v>312806</v>
      </c>
      <c r="G144">
        <v>1772511</v>
      </c>
      <c r="H144">
        <v>10498229</v>
      </c>
      <c r="I144">
        <v>7595486</v>
      </c>
      <c r="J144">
        <v>10661533</v>
      </c>
      <c r="K144">
        <v>126284</v>
      </c>
      <c r="L144">
        <v>2662388</v>
      </c>
      <c r="M144">
        <v>1313991</v>
      </c>
      <c r="N144">
        <v>68965657</v>
      </c>
      <c r="O144">
        <v>1272573</v>
      </c>
      <c r="P144">
        <v>14315460</v>
      </c>
      <c r="Q144">
        <v>455515</v>
      </c>
      <c r="R144">
        <v>139579262</v>
      </c>
      <c r="S144">
        <v>7465713</v>
      </c>
      <c r="T144">
        <v>331731</v>
      </c>
      <c r="U144">
        <v>234267075</v>
      </c>
      <c r="V144">
        <v>57276488</v>
      </c>
      <c r="W144">
        <v>59749942</v>
      </c>
      <c r="X144">
        <v>224132817</v>
      </c>
      <c r="Y144">
        <v>605874</v>
      </c>
      <c r="Z144">
        <v>44157782</v>
      </c>
      <c r="AA144">
        <v>3292506</v>
      </c>
      <c r="AB144">
        <v>48713379</v>
      </c>
      <c r="AC144">
        <v>5770116</v>
      </c>
      <c r="AD144">
        <v>5143344</v>
      </c>
      <c r="AE144" s="708">
        <v>2929511</v>
      </c>
      <c r="AF144">
        <v>7423972</v>
      </c>
      <c r="AG144">
        <v>102770012</v>
      </c>
      <c r="AH144">
        <v>13553825</v>
      </c>
      <c r="AI144">
        <v>3356654</v>
      </c>
      <c r="AJ144">
        <v>86637486</v>
      </c>
      <c r="AK144">
        <v>6985014</v>
      </c>
      <c r="AL144">
        <v>3732629</v>
      </c>
      <c r="AM144">
        <v>0</v>
      </c>
      <c r="AN144">
        <v>32720914</v>
      </c>
      <c r="AO144">
        <v>0</v>
      </c>
      <c r="AP144">
        <v>0</v>
      </c>
      <c r="AQ144">
        <v>201520</v>
      </c>
      <c r="AR144">
        <v>41233066</v>
      </c>
      <c r="AS144">
        <v>98817760</v>
      </c>
      <c r="AT144">
        <v>925474</v>
      </c>
      <c r="AU144">
        <v>3873121</v>
      </c>
      <c r="AV144">
        <v>0</v>
      </c>
      <c r="AW144">
        <v>48584478</v>
      </c>
      <c r="AX144">
        <v>12242304</v>
      </c>
      <c r="AY144">
        <v>5086714</v>
      </c>
      <c r="AZ144">
        <v>37344741</v>
      </c>
      <c r="BA144">
        <v>4037682</v>
      </c>
      <c r="BB144">
        <v>2081100</v>
      </c>
      <c r="BC144">
        <v>154710</v>
      </c>
      <c r="BD144">
        <v>0</v>
      </c>
      <c r="BE144">
        <v>14625280</v>
      </c>
      <c r="BF144">
        <v>862486</v>
      </c>
      <c r="BG144">
        <v>980283</v>
      </c>
      <c r="BH144">
        <v>284691</v>
      </c>
      <c r="BI144">
        <v>386206</v>
      </c>
      <c r="BJ144">
        <v>841573</v>
      </c>
      <c r="BK144">
        <v>595732</v>
      </c>
      <c r="BL144">
        <v>8609918</v>
      </c>
      <c r="BM144">
        <v>0</v>
      </c>
      <c r="BN144">
        <v>3513501</v>
      </c>
      <c r="BO144">
        <v>14240345</v>
      </c>
      <c r="BP144">
        <v>2074689</v>
      </c>
      <c r="BQ144">
        <v>5080384</v>
      </c>
      <c r="BR144">
        <v>39401076</v>
      </c>
      <c r="BS144">
        <v>1546720</v>
      </c>
      <c r="BT144">
        <v>51893498</v>
      </c>
      <c r="BU144">
        <v>2055072</v>
      </c>
      <c r="BV144">
        <v>11342256</v>
      </c>
      <c r="BW144">
        <v>5663435</v>
      </c>
      <c r="BX144">
        <v>5410118</v>
      </c>
      <c r="BY144">
        <v>2624849</v>
      </c>
      <c r="BZ144">
        <v>738371</v>
      </c>
      <c r="CA144" s="708">
        <v>1313441</v>
      </c>
      <c r="CB144">
        <v>220510</v>
      </c>
      <c r="CC144">
        <v>0</v>
      </c>
      <c r="CD144">
        <v>0</v>
      </c>
      <c r="CE144">
        <v>443419</v>
      </c>
    </row>
    <row r="145" spans="1:83" x14ac:dyDescent="0.25">
      <c r="A145">
        <v>386</v>
      </c>
      <c r="B145">
        <v>386</v>
      </c>
      <c r="C145" t="s">
        <v>197</v>
      </c>
      <c r="D145" t="s">
        <v>465</v>
      </c>
      <c r="E145">
        <v>0</v>
      </c>
      <c r="F145">
        <v>0</v>
      </c>
      <c r="G145">
        <v>0</v>
      </c>
      <c r="H145">
        <v>0</v>
      </c>
      <c r="I145">
        <v>0</v>
      </c>
      <c r="J145">
        <v>0</v>
      </c>
      <c r="K145">
        <v>0</v>
      </c>
      <c r="L145">
        <v>0</v>
      </c>
      <c r="M145">
        <v>0</v>
      </c>
      <c r="N145">
        <v>0</v>
      </c>
      <c r="O145">
        <v>0</v>
      </c>
      <c r="P145">
        <v>0</v>
      </c>
      <c r="Q145">
        <v>0</v>
      </c>
      <c r="R145">
        <v>3603502</v>
      </c>
      <c r="S145">
        <v>0</v>
      </c>
      <c r="T145">
        <v>0</v>
      </c>
      <c r="U145">
        <v>0</v>
      </c>
      <c r="V145">
        <v>698600</v>
      </c>
      <c r="W145">
        <v>733535</v>
      </c>
      <c r="X145">
        <v>0</v>
      </c>
      <c r="Y145">
        <v>0</v>
      </c>
      <c r="Z145">
        <v>94223</v>
      </c>
      <c r="AA145">
        <v>29896</v>
      </c>
      <c r="AB145">
        <v>0</v>
      </c>
      <c r="AC145">
        <v>39502</v>
      </c>
      <c r="AD145">
        <v>0</v>
      </c>
      <c r="AE145">
        <v>0</v>
      </c>
      <c r="AF145">
        <v>0</v>
      </c>
      <c r="AG145">
        <v>0</v>
      </c>
      <c r="AH145">
        <v>85307</v>
      </c>
      <c r="AI145">
        <v>0</v>
      </c>
      <c r="AJ145">
        <v>1968600</v>
      </c>
      <c r="AK145">
        <v>0</v>
      </c>
      <c r="AL145">
        <v>0</v>
      </c>
      <c r="AM145">
        <v>0</v>
      </c>
      <c r="AN145">
        <v>5779</v>
      </c>
      <c r="AO145">
        <v>0</v>
      </c>
      <c r="AP145">
        <v>0</v>
      </c>
      <c r="AQ145">
        <v>0</v>
      </c>
      <c r="AR145">
        <v>0</v>
      </c>
      <c r="AS145">
        <v>0</v>
      </c>
      <c r="AT145">
        <v>0</v>
      </c>
      <c r="AU145">
        <v>0</v>
      </c>
      <c r="AV145">
        <v>0</v>
      </c>
      <c r="AW145">
        <v>1804056</v>
      </c>
      <c r="AX145">
        <v>0</v>
      </c>
      <c r="AY145">
        <v>0</v>
      </c>
      <c r="AZ145">
        <v>0</v>
      </c>
      <c r="BA145">
        <v>0</v>
      </c>
      <c r="BB145">
        <v>0</v>
      </c>
      <c r="BC145">
        <v>0</v>
      </c>
      <c r="BD145">
        <v>0</v>
      </c>
      <c r="BE145">
        <v>225950</v>
      </c>
      <c r="BF145">
        <v>0</v>
      </c>
      <c r="BG145">
        <v>0</v>
      </c>
      <c r="BH145">
        <v>0</v>
      </c>
      <c r="BI145">
        <v>0</v>
      </c>
      <c r="BJ145">
        <v>0</v>
      </c>
      <c r="BK145">
        <v>0</v>
      </c>
      <c r="BL145">
        <v>0</v>
      </c>
      <c r="BM145">
        <v>0</v>
      </c>
      <c r="BN145">
        <v>0</v>
      </c>
      <c r="BO145">
        <v>0</v>
      </c>
      <c r="BP145">
        <v>0</v>
      </c>
      <c r="BQ145">
        <v>0</v>
      </c>
      <c r="BR145">
        <v>0</v>
      </c>
      <c r="BS145">
        <v>246038</v>
      </c>
      <c r="BT145">
        <v>42497</v>
      </c>
      <c r="BU145">
        <v>0</v>
      </c>
      <c r="BV145">
        <v>0</v>
      </c>
      <c r="BW145">
        <v>0</v>
      </c>
      <c r="BX145">
        <v>4609</v>
      </c>
      <c r="BY145">
        <v>0</v>
      </c>
      <c r="BZ145">
        <v>0</v>
      </c>
      <c r="CA145">
        <v>0</v>
      </c>
      <c r="CB145">
        <v>0</v>
      </c>
      <c r="CC145">
        <v>0</v>
      </c>
      <c r="CD145">
        <v>0</v>
      </c>
      <c r="CE145">
        <v>0</v>
      </c>
    </row>
    <row r="146" spans="1:83" x14ac:dyDescent="0.25">
      <c r="A146">
        <v>387</v>
      </c>
      <c r="B146">
        <v>387</v>
      </c>
      <c r="C146" t="s">
        <v>198</v>
      </c>
      <c r="D146" t="s">
        <v>466</v>
      </c>
      <c r="E146">
        <v>0</v>
      </c>
      <c r="F146">
        <v>0</v>
      </c>
      <c r="G146">
        <v>0</v>
      </c>
      <c r="H146">
        <v>0</v>
      </c>
      <c r="I146">
        <v>0</v>
      </c>
      <c r="J146">
        <v>0</v>
      </c>
      <c r="K146">
        <v>112809</v>
      </c>
      <c r="L146">
        <v>0</v>
      </c>
      <c r="M146">
        <v>0</v>
      </c>
      <c r="N146">
        <v>0</v>
      </c>
      <c r="O146">
        <v>0</v>
      </c>
      <c r="P146">
        <v>0</v>
      </c>
      <c r="Q146">
        <v>0</v>
      </c>
      <c r="R146">
        <v>4519053</v>
      </c>
      <c r="S146">
        <v>0</v>
      </c>
      <c r="T146">
        <v>0</v>
      </c>
      <c r="U146">
        <v>0</v>
      </c>
      <c r="V146">
        <v>0</v>
      </c>
      <c r="W146">
        <v>0</v>
      </c>
      <c r="X146">
        <v>57800</v>
      </c>
      <c r="Y146">
        <v>0</v>
      </c>
      <c r="Z146">
        <v>0</v>
      </c>
      <c r="AA146">
        <v>27250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0</v>
      </c>
      <c r="AV146">
        <v>0</v>
      </c>
      <c r="AW146">
        <v>1904228</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172250</v>
      </c>
      <c r="BZ146">
        <v>0</v>
      </c>
      <c r="CA146" s="708">
        <v>83469</v>
      </c>
      <c r="CB146">
        <v>0</v>
      </c>
      <c r="CC146">
        <v>0</v>
      </c>
      <c r="CD146">
        <v>0</v>
      </c>
      <c r="CE146">
        <v>0</v>
      </c>
    </row>
    <row r="147" spans="1:83" x14ac:dyDescent="0.25">
      <c r="A147">
        <v>388</v>
      </c>
      <c r="B147">
        <v>388</v>
      </c>
      <c r="C147" t="s">
        <v>192</v>
      </c>
      <c r="D147" t="s">
        <v>467</v>
      </c>
      <c r="E147">
        <v>0</v>
      </c>
      <c r="F147">
        <v>50444</v>
      </c>
      <c r="G147">
        <v>758732</v>
      </c>
      <c r="H147">
        <v>1778313</v>
      </c>
      <c r="I147">
        <v>825675</v>
      </c>
      <c r="J147">
        <v>2852474</v>
      </c>
      <c r="K147">
        <v>64724</v>
      </c>
      <c r="L147">
        <v>309924</v>
      </c>
      <c r="M147">
        <v>168507</v>
      </c>
      <c r="N147">
        <v>16216932</v>
      </c>
      <c r="O147">
        <v>482186</v>
      </c>
      <c r="P147">
        <v>5926329</v>
      </c>
      <c r="Q147">
        <v>62393</v>
      </c>
      <c r="R147">
        <v>45614148</v>
      </c>
      <c r="S147">
        <v>1688863</v>
      </c>
      <c r="T147">
        <v>41608</v>
      </c>
      <c r="U147">
        <v>64115837</v>
      </c>
      <c r="V147">
        <v>15617217</v>
      </c>
      <c r="W147">
        <v>22538703</v>
      </c>
      <c r="X147">
        <v>28375949</v>
      </c>
      <c r="Y147">
        <v>260737</v>
      </c>
      <c r="Z147">
        <v>14317396</v>
      </c>
      <c r="AA147">
        <v>1070457</v>
      </c>
      <c r="AB147">
        <v>12110320</v>
      </c>
      <c r="AC147">
        <v>4570272</v>
      </c>
      <c r="AD147">
        <v>1600494</v>
      </c>
      <c r="AE147" s="708">
        <v>1973673</v>
      </c>
      <c r="AF147">
        <v>2473367</v>
      </c>
      <c r="AG147">
        <v>19179449</v>
      </c>
      <c r="AH147">
        <v>5136417</v>
      </c>
      <c r="AI147">
        <v>1421748</v>
      </c>
      <c r="AJ147">
        <v>44128707</v>
      </c>
      <c r="AK147">
        <v>368828</v>
      </c>
      <c r="AL147">
        <v>905149</v>
      </c>
      <c r="AM147">
        <v>0</v>
      </c>
      <c r="AN147">
        <v>12755606</v>
      </c>
      <c r="AO147">
        <v>0</v>
      </c>
      <c r="AP147">
        <v>0</v>
      </c>
      <c r="AQ147">
        <v>41204</v>
      </c>
      <c r="AR147">
        <v>8808603</v>
      </c>
      <c r="AS147">
        <v>7220887</v>
      </c>
      <c r="AT147">
        <v>477390</v>
      </c>
      <c r="AU147">
        <v>2387436</v>
      </c>
      <c r="AV147">
        <v>0</v>
      </c>
      <c r="AW147">
        <v>16871884</v>
      </c>
      <c r="AX147">
        <v>1355569</v>
      </c>
      <c r="AY147">
        <v>1492056</v>
      </c>
      <c r="AZ147">
        <v>7833422</v>
      </c>
      <c r="BA147">
        <v>938230</v>
      </c>
      <c r="BB147">
        <v>1283670</v>
      </c>
      <c r="BC147">
        <v>18026</v>
      </c>
      <c r="BD147">
        <v>0</v>
      </c>
      <c r="BE147">
        <v>8743387</v>
      </c>
      <c r="BF147">
        <v>108035</v>
      </c>
      <c r="BG147">
        <v>443138</v>
      </c>
      <c r="BH147">
        <v>136361</v>
      </c>
      <c r="BI147">
        <v>65359</v>
      </c>
      <c r="BJ147">
        <v>233594</v>
      </c>
      <c r="BK147">
        <v>114934</v>
      </c>
      <c r="BL147">
        <v>3240803</v>
      </c>
      <c r="BM147">
        <v>0</v>
      </c>
      <c r="BN147">
        <v>1787812</v>
      </c>
      <c r="BO147">
        <v>4775775</v>
      </c>
      <c r="BP147">
        <v>1265520</v>
      </c>
      <c r="BQ147">
        <v>1300653</v>
      </c>
      <c r="BR147">
        <v>18284410</v>
      </c>
      <c r="BS147">
        <v>1419917</v>
      </c>
      <c r="BT147">
        <v>10915322</v>
      </c>
      <c r="BU147">
        <v>643077</v>
      </c>
      <c r="BV147">
        <v>4712859</v>
      </c>
      <c r="BW147">
        <v>779802</v>
      </c>
      <c r="BX147">
        <v>2224611</v>
      </c>
      <c r="BY147">
        <v>755651</v>
      </c>
      <c r="BZ147">
        <v>72261</v>
      </c>
      <c r="CA147" s="708">
        <v>215021</v>
      </c>
      <c r="CB147">
        <v>124452</v>
      </c>
      <c r="CC147">
        <v>0</v>
      </c>
      <c r="CD147">
        <v>0</v>
      </c>
      <c r="CE147">
        <v>64021</v>
      </c>
    </row>
    <row r="148" spans="1:83" x14ac:dyDescent="0.25">
      <c r="A148">
        <v>389</v>
      </c>
      <c r="B148">
        <v>389</v>
      </c>
      <c r="C148" t="s">
        <v>199</v>
      </c>
      <c r="D148" t="s">
        <v>468</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s="708">
        <v>135798</v>
      </c>
      <c r="CB148">
        <v>0</v>
      </c>
      <c r="CC148">
        <v>0</v>
      </c>
      <c r="CD148">
        <v>0</v>
      </c>
      <c r="CE148">
        <v>0</v>
      </c>
    </row>
    <row r="149" spans="1:83" x14ac:dyDescent="0.25">
      <c r="A149">
        <v>391</v>
      </c>
      <c r="B149">
        <v>391</v>
      </c>
      <c r="C149" t="s">
        <v>204</v>
      </c>
      <c r="D149" t="s">
        <v>469</v>
      </c>
      <c r="E149">
        <v>0</v>
      </c>
      <c r="F149">
        <v>4513</v>
      </c>
      <c r="G149">
        <v>70905</v>
      </c>
      <c r="H149">
        <v>398864</v>
      </c>
      <c r="I149">
        <v>209633</v>
      </c>
      <c r="J149">
        <v>273832</v>
      </c>
      <c r="K149">
        <v>635</v>
      </c>
      <c r="L149">
        <v>61222</v>
      </c>
      <c r="M149">
        <v>20036</v>
      </c>
      <c r="N149">
        <v>1219135</v>
      </c>
      <c r="O149">
        <v>99409</v>
      </c>
      <c r="P149">
        <v>1516327</v>
      </c>
      <c r="Q149">
        <v>11783</v>
      </c>
      <c r="R149">
        <v>6450041</v>
      </c>
      <c r="S149">
        <v>109641</v>
      </c>
      <c r="T149">
        <v>5483</v>
      </c>
      <c r="U149">
        <v>7410610</v>
      </c>
      <c r="V149">
        <v>2015042</v>
      </c>
      <c r="W149">
        <v>2888459</v>
      </c>
      <c r="X149">
        <v>9317570</v>
      </c>
      <c r="Y149">
        <v>51412</v>
      </c>
      <c r="Z149">
        <v>3395756</v>
      </c>
      <c r="AA149">
        <v>123396</v>
      </c>
      <c r="AB149">
        <v>1104850</v>
      </c>
      <c r="AC149">
        <v>640258</v>
      </c>
      <c r="AD149">
        <v>144219</v>
      </c>
      <c r="AE149" s="708">
        <v>377804</v>
      </c>
      <c r="AF149">
        <v>56051</v>
      </c>
      <c r="AG149">
        <v>11990789</v>
      </c>
      <c r="AH149">
        <v>137081</v>
      </c>
      <c r="AI149">
        <v>118403</v>
      </c>
      <c r="AJ149">
        <v>19411492</v>
      </c>
      <c r="AK149">
        <v>70819</v>
      </c>
      <c r="AL149">
        <v>80227</v>
      </c>
      <c r="AM149">
        <v>0</v>
      </c>
      <c r="AN149">
        <v>1622163</v>
      </c>
      <c r="AO149">
        <v>0</v>
      </c>
      <c r="AP149">
        <v>0</v>
      </c>
      <c r="AQ149">
        <v>7573</v>
      </c>
      <c r="AR149">
        <v>360093</v>
      </c>
      <c r="AS149">
        <v>842782</v>
      </c>
      <c r="AT149">
        <v>111989</v>
      </c>
      <c r="AU149">
        <v>322068</v>
      </c>
      <c r="AV149">
        <v>0</v>
      </c>
      <c r="AW149">
        <v>282879</v>
      </c>
      <c r="AX149">
        <v>205633</v>
      </c>
      <c r="AY149">
        <v>830355</v>
      </c>
      <c r="AZ149">
        <v>199973</v>
      </c>
      <c r="BA149">
        <v>55619</v>
      </c>
      <c r="BB149">
        <v>76130</v>
      </c>
      <c r="BC149">
        <v>0</v>
      </c>
      <c r="BD149">
        <v>0</v>
      </c>
      <c r="BE149">
        <v>785253</v>
      </c>
      <c r="BF149">
        <v>15557</v>
      </c>
      <c r="BG149">
        <v>101331</v>
      </c>
      <c r="BH149">
        <v>6625</v>
      </c>
      <c r="BI149">
        <v>6360</v>
      </c>
      <c r="BJ149">
        <v>25298</v>
      </c>
      <c r="BK149">
        <v>17865</v>
      </c>
      <c r="BL149">
        <v>394966</v>
      </c>
      <c r="BM149">
        <v>0</v>
      </c>
      <c r="BN149">
        <v>911455</v>
      </c>
      <c r="BO149">
        <v>515404</v>
      </c>
      <c r="BP149">
        <v>105253</v>
      </c>
      <c r="BQ149">
        <v>167112</v>
      </c>
      <c r="BR149">
        <v>1923503</v>
      </c>
      <c r="BS149">
        <v>27610</v>
      </c>
      <c r="BT149">
        <v>736130</v>
      </c>
      <c r="BU149">
        <v>102409</v>
      </c>
      <c r="BV149">
        <v>493812</v>
      </c>
      <c r="BW149">
        <v>43709</v>
      </c>
      <c r="BX149">
        <v>347267</v>
      </c>
      <c r="BY149">
        <v>135869</v>
      </c>
      <c r="BZ149">
        <v>14992</v>
      </c>
      <c r="CA149" s="708">
        <v>26880</v>
      </c>
      <c r="CB149">
        <v>11289</v>
      </c>
      <c r="CC149">
        <v>0</v>
      </c>
      <c r="CD149">
        <v>0</v>
      </c>
      <c r="CE149">
        <v>1607</v>
      </c>
    </row>
    <row r="150" spans="1:83" x14ac:dyDescent="0.25">
      <c r="A150">
        <v>500</v>
      </c>
      <c r="B150">
        <v>500</v>
      </c>
      <c r="C150" t="s">
        <v>186</v>
      </c>
      <c r="D150" t="s">
        <v>470</v>
      </c>
      <c r="E150">
        <v>0</v>
      </c>
      <c r="F150">
        <v>34379</v>
      </c>
      <c r="G150">
        <v>110789</v>
      </c>
      <c r="H150">
        <v>33107</v>
      </c>
      <c r="I150">
        <v>0</v>
      </c>
      <c r="J150">
        <v>122381</v>
      </c>
      <c r="K150">
        <v>0</v>
      </c>
      <c r="L150">
        <v>21341</v>
      </c>
      <c r="M150">
        <v>0</v>
      </c>
      <c r="N150">
        <v>1073655</v>
      </c>
      <c r="O150">
        <v>84991</v>
      </c>
      <c r="P150">
        <v>700189</v>
      </c>
      <c r="Q150">
        <v>0</v>
      </c>
      <c r="R150">
        <v>8457068</v>
      </c>
      <c r="S150">
        <v>1275503</v>
      </c>
      <c r="T150">
        <v>0</v>
      </c>
      <c r="U150">
        <v>20107968</v>
      </c>
      <c r="V150">
        <v>846442</v>
      </c>
      <c r="W150">
        <v>2113410</v>
      </c>
      <c r="X150">
        <v>23444593</v>
      </c>
      <c r="Y150">
        <v>130821</v>
      </c>
      <c r="Z150">
        <v>1105262</v>
      </c>
      <c r="AA150">
        <v>120108</v>
      </c>
      <c r="AB150">
        <v>1633821</v>
      </c>
      <c r="AC150">
        <v>227898</v>
      </c>
      <c r="AD150">
        <v>65892</v>
      </c>
      <c r="AE150">
        <v>0</v>
      </c>
      <c r="AF150">
        <v>256180</v>
      </c>
      <c r="AG150">
        <v>34376968</v>
      </c>
      <c r="AH150">
        <v>168143</v>
      </c>
      <c r="AI150">
        <v>54432</v>
      </c>
      <c r="AJ150">
        <v>4799452</v>
      </c>
      <c r="AK150">
        <v>154775</v>
      </c>
      <c r="AL150">
        <v>22290</v>
      </c>
      <c r="AM150">
        <v>0</v>
      </c>
      <c r="AN150">
        <v>1421039</v>
      </c>
      <c r="AO150">
        <v>0</v>
      </c>
      <c r="AP150">
        <v>0</v>
      </c>
      <c r="AQ150">
        <v>0</v>
      </c>
      <c r="AR150">
        <v>3600000</v>
      </c>
      <c r="AS150">
        <v>114427</v>
      </c>
      <c r="AT150">
        <v>87246</v>
      </c>
      <c r="AU150">
        <v>409381</v>
      </c>
      <c r="AV150">
        <v>0</v>
      </c>
      <c r="AW150">
        <v>1252958</v>
      </c>
      <c r="AX150">
        <v>15163</v>
      </c>
      <c r="AY150">
        <v>211142</v>
      </c>
      <c r="AZ150">
        <v>5896942</v>
      </c>
      <c r="BA150">
        <v>33602</v>
      </c>
      <c r="BB150">
        <v>404404</v>
      </c>
      <c r="BC150">
        <v>0</v>
      </c>
      <c r="BD150">
        <v>0</v>
      </c>
      <c r="BE150">
        <v>801248</v>
      </c>
      <c r="BF150">
        <v>35395</v>
      </c>
      <c r="BG150">
        <v>7266</v>
      </c>
      <c r="BH150">
        <v>20190</v>
      </c>
      <c r="BI150">
        <v>0</v>
      </c>
      <c r="BJ150">
        <v>65147</v>
      </c>
      <c r="BK150">
        <v>54354</v>
      </c>
      <c r="BL150">
        <v>22383</v>
      </c>
      <c r="BM150">
        <v>0</v>
      </c>
      <c r="BN150">
        <v>701</v>
      </c>
      <c r="BO150">
        <v>212600</v>
      </c>
      <c r="BP150">
        <v>87692</v>
      </c>
      <c r="BQ150">
        <v>131193</v>
      </c>
      <c r="BR150">
        <v>0</v>
      </c>
      <c r="BS150">
        <v>149467</v>
      </c>
      <c r="BT150">
        <v>377685</v>
      </c>
      <c r="BU150">
        <v>396177</v>
      </c>
      <c r="BV150">
        <v>305831</v>
      </c>
      <c r="BW150">
        <v>0</v>
      </c>
      <c r="BX150">
        <v>93896</v>
      </c>
      <c r="BY150">
        <v>408426</v>
      </c>
      <c r="BZ150">
        <v>172036</v>
      </c>
      <c r="CA150" s="708">
        <v>35587</v>
      </c>
      <c r="CB150">
        <v>14363</v>
      </c>
      <c r="CC150">
        <v>0</v>
      </c>
      <c r="CD150">
        <v>0</v>
      </c>
      <c r="CE150">
        <v>19647</v>
      </c>
    </row>
    <row r="151" spans="1:83" x14ac:dyDescent="0.25">
      <c r="B151">
        <v>501</v>
      </c>
      <c r="C151" t="s">
        <v>188</v>
      </c>
      <c r="D151" t="s">
        <v>471</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row>
    <row r="152" spans="1:83" x14ac:dyDescent="0.25">
      <c r="A152">
        <v>502</v>
      </c>
      <c r="B152">
        <v>502</v>
      </c>
      <c r="C152" t="s">
        <v>189</v>
      </c>
      <c r="D152" t="s">
        <v>472</v>
      </c>
      <c r="E152">
        <v>0</v>
      </c>
      <c r="F152">
        <v>0</v>
      </c>
      <c r="G152">
        <v>591592</v>
      </c>
      <c r="H152">
        <v>0</v>
      </c>
      <c r="I152">
        <v>0</v>
      </c>
      <c r="J152">
        <v>0</v>
      </c>
      <c r="K152">
        <v>0</v>
      </c>
      <c r="L152">
        <v>0</v>
      </c>
      <c r="M152">
        <v>0</v>
      </c>
      <c r="N152">
        <v>0</v>
      </c>
      <c r="O152">
        <v>0</v>
      </c>
      <c r="P152">
        <v>702127</v>
      </c>
      <c r="Q152">
        <v>0</v>
      </c>
      <c r="R152">
        <v>131447145</v>
      </c>
      <c r="S152">
        <v>822124</v>
      </c>
      <c r="T152">
        <v>0</v>
      </c>
      <c r="U152">
        <v>38642033</v>
      </c>
      <c r="V152">
        <v>11987746</v>
      </c>
      <c r="W152">
        <v>23990081</v>
      </c>
      <c r="X152">
        <v>2166595</v>
      </c>
      <c r="Y152">
        <v>280586</v>
      </c>
      <c r="Z152">
        <v>4961795</v>
      </c>
      <c r="AA152">
        <v>1206170</v>
      </c>
      <c r="AB152">
        <v>12081965</v>
      </c>
      <c r="AC152">
        <v>32399</v>
      </c>
      <c r="AD152">
        <v>724499</v>
      </c>
      <c r="AE152" s="708">
        <v>735372</v>
      </c>
      <c r="AF152">
        <v>2562610</v>
      </c>
      <c r="AG152">
        <v>2948777</v>
      </c>
      <c r="AH152">
        <v>1916485</v>
      </c>
      <c r="AI152">
        <v>125076</v>
      </c>
      <c r="AJ152">
        <v>33584912</v>
      </c>
      <c r="AK152">
        <v>771698</v>
      </c>
      <c r="AL152">
        <v>336351</v>
      </c>
      <c r="AM152">
        <v>0</v>
      </c>
      <c r="AN152">
        <v>8597222</v>
      </c>
      <c r="AO152">
        <v>0</v>
      </c>
      <c r="AP152">
        <v>0</v>
      </c>
      <c r="AQ152">
        <v>0</v>
      </c>
      <c r="AR152">
        <v>0</v>
      </c>
      <c r="AS152">
        <v>3398666</v>
      </c>
      <c r="AT152">
        <v>163723</v>
      </c>
      <c r="AU152">
        <v>615062</v>
      </c>
      <c r="AV152">
        <v>0</v>
      </c>
      <c r="AW152">
        <v>29763213</v>
      </c>
      <c r="AX152">
        <v>0</v>
      </c>
      <c r="AY152">
        <v>1765596</v>
      </c>
      <c r="AZ152">
        <v>5456373</v>
      </c>
      <c r="BA152">
        <v>845844</v>
      </c>
      <c r="BB152">
        <v>126808</v>
      </c>
      <c r="BC152">
        <v>0</v>
      </c>
      <c r="BD152">
        <v>0</v>
      </c>
      <c r="BE152">
        <v>6936576</v>
      </c>
      <c r="BF152">
        <v>0</v>
      </c>
      <c r="BG152">
        <v>161716</v>
      </c>
      <c r="BH152">
        <v>101899</v>
      </c>
      <c r="BI152">
        <v>0</v>
      </c>
      <c r="BJ152">
        <v>207211</v>
      </c>
      <c r="BK152">
        <v>0</v>
      </c>
      <c r="BL152">
        <v>2486039</v>
      </c>
      <c r="BM152">
        <v>0</v>
      </c>
      <c r="BN152">
        <v>20976</v>
      </c>
      <c r="BO152">
        <v>812808</v>
      </c>
      <c r="BP152">
        <v>464780</v>
      </c>
      <c r="BQ152">
        <v>800549</v>
      </c>
      <c r="BR152">
        <v>0</v>
      </c>
      <c r="BS152">
        <v>702237</v>
      </c>
      <c r="BT152">
        <v>5086731</v>
      </c>
      <c r="BU152">
        <v>582110</v>
      </c>
      <c r="BV152">
        <v>3438081</v>
      </c>
      <c r="BW152">
        <v>0</v>
      </c>
      <c r="BX152">
        <v>84401</v>
      </c>
      <c r="BY152">
        <v>1060063</v>
      </c>
      <c r="BZ152">
        <v>3129</v>
      </c>
      <c r="CA152" s="708">
        <v>138117</v>
      </c>
      <c r="CB152">
        <v>956</v>
      </c>
      <c r="CC152">
        <v>0</v>
      </c>
      <c r="CD152">
        <v>0</v>
      </c>
      <c r="CE152">
        <v>7036</v>
      </c>
    </row>
    <row r="153" spans="1:83" x14ac:dyDescent="0.25">
      <c r="A153">
        <v>503</v>
      </c>
      <c r="B153">
        <v>503</v>
      </c>
      <c r="C153" t="s">
        <v>190</v>
      </c>
      <c r="D153" t="s">
        <v>473</v>
      </c>
      <c r="E153">
        <v>0</v>
      </c>
      <c r="F153">
        <v>0</v>
      </c>
      <c r="G153">
        <v>62852</v>
      </c>
      <c r="H153">
        <v>0</v>
      </c>
      <c r="I153">
        <v>0</v>
      </c>
      <c r="J153">
        <v>0</v>
      </c>
      <c r="K153">
        <v>7283</v>
      </c>
      <c r="L153">
        <v>0</v>
      </c>
      <c r="M153">
        <v>0</v>
      </c>
      <c r="N153">
        <v>0</v>
      </c>
      <c r="O153">
        <v>0</v>
      </c>
      <c r="P153">
        <v>115425</v>
      </c>
      <c r="Q153">
        <v>0</v>
      </c>
      <c r="R153">
        <v>7223550</v>
      </c>
      <c r="S153">
        <v>5780</v>
      </c>
      <c r="T153">
        <v>0</v>
      </c>
      <c r="U153">
        <v>15556619</v>
      </c>
      <c r="V153">
        <v>106023</v>
      </c>
      <c r="W153">
        <v>909074</v>
      </c>
      <c r="X153">
        <v>0</v>
      </c>
      <c r="Y153">
        <v>0</v>
      </c>
      <c r="Z153">
        <v>46060</v>
      </c>
      <c r="AA153">
        <v>186823</v>
      </c>
      <c r="AB153">
        <v>1764466</v>
      </c>
      <c r="AC153">
        <v>195607</v>
      </c>
      <c r="AD153">
        <v>75952</v>
      </c>
      <c r="AE153">
        <v>0</v>
      </c>
      <c r="AF153">
        <v>139580</v>
      </c>
      <c r="AG153">
        <v>457034</v>
      </c>
      <c r="AH153">
        <v>164812</v>
      </c>
      <c r="AI153">
        <v>0</v>
      </c>
      <c r="AJ153">
        <v>6111774</v>
      </c>
      <c r="AK153">
        <v>13125</v>
      </c>
      <c r="AL153">
        <v>14072</v>
      </c>
      <c r="AM153">
        <v>0</v>
      </c>
      <c r="AN153">
        <v>414515</v>
      </c>
      <c r="AO153">
        <v>0</v>
      </c>
      <c r="AP153">
        <v>0</v>
      </c>
      <c r="AQ153">
        <v>0</v>
      </c>
      <c r="AR153">
        <v>0</v>
      </c>
      <c r="AS153">
        <v>73728</v>
      </c>
      <c r="AT153">
        <v>0</v>
      </c>
      <c r="AU153">
        <v>33300</v>
      </c>
      <c r="AV153">
        <v>0</v>
      </c>
      <c r="AW153">
        <v>8790703</v>
      </c>
      <c r="AX153">
        <v>0</v>
      </c>
      <c r="AY153">
        <v>21720</v>
      </c>
      <c r="AZ153">
        <v>176024</v>
      </c>
      <c r="BA153">
        <v>30450</v>
      </c>
      <c r="BB153">
        <v>23802</v>
      </c>
      <c r="BC153">
        <v>0</v>
      </c>
      <c r="BD153">
        <v>0</v>
      </c>
      <c r="BE153">
        <v>0</v>
      </c>
      <c r="BF153">
        <v>0</v>
      </c>
      <c r="BG153">
        <v>2700</v>
      </c>
      <c r="BH153">
        <v>5856</v>
      </c>
      <c r="BI153">
        <v>0</v>
      </c>
      <c r="BJ153">
        <v>19810</v>
      </c>
      <c r="BK153">
        <v>0</v>
      </c>
      <c r="BL153">
        <v>0</v>
      </c>
      <c r="BM153">
        <v>0</v>
      </c>
      <c r="BN153">
        <v>37600</v>
      </c>
      <c r="BO153">
        <v>4113</v>
      </c>
      <c r="BP153">
        <v>142515</v>
      </c>
      <c r="BQ153">
        <v>88073</v>
      </c>
      <c r="BR153">
        <v>0</v>
      </c>
      <c r="BS153">
        <v>128906</v>
      </c>
      <c r="BT153">
        <v>243203</v>
      </c>
      <c r="BU153">
        <v>58978</v>
      </c>
      <c r="BV153">
        <v>128287</v>
      </c>
      <c r="BW153">
        <v>0</v>
      </c>
      <c r="BX153">
        <v>171717</v>
      </c>
      <c r="BY153">
        <v>35271</v>
      </c>
      <c r="BZ153">
        <v>0</v>
      </c>
      <c r="CA153" s="708">
        <v>38735</v>
      </c>
      <c r="CB153">
        <v>7684</v>
      </c>
      <c r="CC153">
        <v>0</v>
      </c>
      <c r="CD153">
        <v>0</v>
      </c>
      <c r="CE153">
        <v>0</v>
      </c>
    </row>
    <row r="154" spans="1:83" x14ac:dyDescent="0.25">
      <c r="A154">
        <v>504</v>
      </c>
      <c r="B154">
        <v>504</v>
      </c>
      <c r="C154" t="s">
        <v>194</v>
      </c>
      <c r="D154" t="s">
        <v>474</v>
      </c>
      <c r="E154">
        <v>0</v>
      </c>
      <c r="F154">
        <v>6916</v>
      </c>
      <c r="G154">
        <v>66013</v>
      </c>
      <c r="H154">
        <v>86136</v>
      </c>
      <c r="I154">
        <v>0</v>
      </c>
      <c r="J154">
        <v>24896</v>
      </c>
      <c r="K154">
        <v>0</v>
      </c>
      <c r="L154">
        <v>0</v>
      </c>
      <c r="M154">
        <v>18658</v>
      </c>
      <c r="N154">
        <v>1385696</v>
      </c>
      <c r="O154">
        <v>0</v>
      </c>
      <c r="P154">
        <v>586756</v>
      </c>
      <c r="Q154">
        <v>0</v>
      </c>
      <c r="R154">
        <v>2469613</v>
      </c>
      <c r="S154">
        <v>262302</v>
      </c>
      <c r="T154">
        <v>5125</v>
      </c>
      <c r="U154">
        <v>3802996</v>
      </c>
      <c r="V154">
        <v>1089827</v>
      </c>
      <c r="W154">
        <v>2407803</v>
      </c>
      <c r="X154">
        <v>614529</v>
      </c>
      <c r="Y154">
        <v>37076</v>
      </c>
      <c r="Z154">
        <v>462396</v>
      </c>
      <c r="AA154">
        <v>66097</v>
      </c>
      <c r="AB154">
        <v>287632</v>
      </c>
      <c r="AC154">
        <v>135736</v>
      </c>
      <c r="AD154">
        <v>596231</v>
      </c>
      <c r="AE154" s="708">
        <v>132167</v>
      </c>
      <c r="AF154">
        <v>185865</v>
      </c>
      <c r="AG154">
        <v>176074</v>
      </c>
      <c r="AH154">
        <v>320132</v>
      </c>
      <c r="AI154">
        <v>50148</v>
      </c>
      <c r="AJ154">
        <v>1677370</v>
      </c>
      <c r="AK154">
        <v>21817</v>
      </c>
      <c r="AL154">
        <v>25514</v>
      </c>
      <c r="AM154">
        <v>0</v>
      </c>
      <c r="AN154">
        <v>819293</v>
      </c>
      <c r="AO154">
        <v>0</v>
      </c>
      <c r="AP154">
        <v>0</v>
      </c>
      <c r="AQ154">
        <v>4454</v>
      </c>
      <c r="AR154">
        <v>4410885</v>
      </c>
      <c r="AS154">
        <v>371705</v>
      </c>
      <c r="AT154">
        <v>84000</v>
      </c>
      <c r="AU154">
        <v>86167</v>
      </c>
      <c r="AV154">
        <v>0</v>
      </c>
      <c r="AW154">
        <v>318358</v>
      </c>
      <c r="AX154">
        <v>2897</v>
      </c>
      <c r="AY154">
        <v>89006</v>
      </c>
      <c r="AZ154">
        <v>663025</v>
      </c>
      <c r="BA154">
        <v>66232</v>
      </c>
      <c r="BB154">
        <v>272546</v>
      </c>
      <c r="BC154">
        <v>0</v>
      </c>
      <c r="BD154">
        <v>0</v>
      </c>
      <c r="BE154">
        <v>89415</v>
      </c>
      <c r="BF154">
        <v>11381</v>
      </c>
      <c r="BG154">
        <v>59595</v>
      </c>
      <c r="BH154">
        <v>46745</v>
      </c>
      <c r="BI154">
        <v>8069</v>
      </c>
      <c r="BJ154">
        <v>16196</v>
      </c>
      <c r="BK154">
        <v>19672</v>
      </c>
      <c r="BL154">
        <v>254949</v>
      </c>
      <c r="BM154">
        <v>0</v>
      </c>
      <c r="BN154">
        <v>43900</v>
      </c>
      <c r="BO154">
        <v>1404195</v>
      </c>
      <c r="BP154">
        <v>52226</v>
      </c>
      <c r="BQ154">
        <v>319819</v>
      </c>
      <c r="BR154">
        <v>859123</v>
      </c>
      <c r="BS154">
        <v>78710</v>
      </c>
      <c r="BT154">
        <v>1939701</v>
      </c>
      <c r="BU154">
        <v>194132</v>
      </c>
      <c r="BV154">
        <v>350016</v>
      </c>
      <c r="BW154">
        <v>0</v>
      </c>
      <c r="BX154">
        <v>105227</v>
      </c>
      <c r="BY154">
        <v>80775</v>
      </c>
      <c r="BZ154">
        <v>75253</v>
      </c>
      <c r="CA154" s="708">
        <v>95898</v>
      </c>
      <c r="CB154">
        <v>7194</v>
      </c>
      <c r="CC154">
        <v>0</v>
      </c>
      <c r="CD154">
        <v>0</v>
      </c>
      <c r="CE154">
        <v>4063</v>
      </c>
    </row>
    <row r="155" spans="1:83" x14ac:dyDescent="0.25">
      <c r="A155">
        <v>505</v>
      </c>
      <c r="B155">
        <v>505</v>
      </c>
      <c r="C155" t="s">
        <v>195</v>
      </c>
      <c r="D155" t="s">
        <v>475</v>
      </c>
      <c r="E155">
        <v>0</v>
      </c>
      <c r="F155">
        <v>0</v>
      </c>
      <c r="G155">
        <v>77000</v>
      </c>
      <c r="H155">
        <v>0</v>
      </c>
      <c r="I155">
        <v>0</v>
      </c>
      <c r="J155">
        <v>116199</v>
      </c>
      <c r="K155">
        <v>0</v>
      </c>
      <c r="L155">
        <v>0</v>
      </c>
      <c r="M155">
        <v>0</v>
      </c>
      <c r="N155">
        <v>0</v>
      </c>
      <c r="O155">
        <v>13774</v>
      </c>
      <c r="P155">
        <v>182459</v>
      </c>
      <c r="Q155">
        <v>0</v>
      </c>
      <c r="R155">
        <v>112671</v>
      </c>
      <c r="S155">
        <v>79504</v>
      </c>
      <c r="T155">
        <v>0</v>
      </c>
      <c r="U155">
        <v>0</v>
      </c>
      <c r="V155">
        <v>0</v>
      </c>
      <c r="W155">
        <v>193198</v>
      </c>
      <c r="X155">
        <v>4631939</v>
      </c>
      <c r="Y155">
        <v>0</v>
      </c>
      <c r="Z155">
        <v>0</v>
      </c>
      <c r="AA155">
        <v>0</v>
      </c>
      <c r="AB155">
        <v>899605</v>
      </c>
      <c r="AC155">
        <v>60712</v>
      </c>
      <c r="AD155">
        <v>0</v>
      </c>
      <c r="AE155" s="708">
        <v>28953</v>
      </c>
      <c r="AF155">
        <v>62568</v>
      </c>
      <c r="AG155">
        <v>18441547</v>
      </c>
      <c r="AH155">
        <v>9900</v>
      </c>
      <c r="AI155">
        <v>0</v>
      </c>
      <c r="AJ155">
        <v>687000</v>
      </c>
      <c r="AK155">
        <v>0</v>
      </c>
      <c r="AL155">
        <v>0</v>
      </c>
      <c r="AM155">
        <v>0</v>
      </c>
      <c r="AN155">
        <v>126676</v>
      </c>
      <c r="AO155">
        <v>0</v>
      </c>
      <c r="AP155">
        <v>0</v>
      </c>
      <c r="AQ155">
        <v>0</v>
      </c>
      <c r="AR155">
        <v>0</v>
      </c>
      <c r="AS155">
        <v>190200</v>
      </c>
      <c r="AT155">
        <v>0</v>
      </c>
      <c r="AU155">
        <v>75000</v>
      </c>
      <c r="AV155">
        <v>0</v>
      </c>
      <c r="AW155">
        <v>156491</v>
      </c>
      <c r="AX155">
        <v>75067</v>
      </c>
      <c r="AY155">
        <v>190088</v>
      </c>
      <c r="AZ155">
        <v>0</v>
      </c>
      <c r="BA155">
        <v>0</v>
      </c>
      <c r="BB155">
        <v>0</v>
      </c>
      <c r="BC155">
        <v>0</v>
      </c>
      <c r="BD155">
        <v>0</v>
      </c>
      <c r="BE155">
        <v>0</v>
      </c>
      <c r="BF155">
        <v>0</v>
      </c>
      <c r="BG155">
        <v>0</v>
      </c>
      <c r="BH155">
        <v>0</v>
      </c>
      <c r="BI155">
        <v>0</v>
      </c>
      <c r="BJ155">
        <v>0</v>
      </c>
      <c r="BK155">
        <v>0</v>
      </c>
      <c r="BL155">
        <v>0</v>
      </c>
      <c r="BM155">
        <v>0</v>
      </c>
      <c r="BN155">
        <v>157304</v>
      </c>
      <c r="BO155">
        <v>21170</v>
      </c>
      <c r="BP155">
        <v>0</v>
      </c>
      <c r="BQ155">
        <v>0</v>
      </c>
      <c r="BR155">
        <v>397249</v>
      </c>
      <c r="BS155">
        <v>0</v>
      </c>
      <c r="BT155">
        <v>521407</v>
      </c>
      <c r="BU155">
        <v>0</v>
      </c>
      <c r="BV155">
        <v>22885</v>
      </c>
      <c r="BW155">
        <v>377562</v>
      </c>
      <c r="BX155">
        <v>214100</v>
      </c>
      <c r="BY155">
        <v>10300</v>
      </c>
      <c r="BZ155">
        <v>0</v>
      </c>
      <c r="CA155" s="708">
        <v>3913</v>
      </c>
      <c r="CB155">
        <v>0</v>
      </c>
      <c r="CC155">
        <v>0</v>
      </c>
      <c r="CD155">
        <v>0</v>
      </c>
      <c r="CE155">
        <v>0</v>
      </c>
    </row>
    <row r="156" spans="1:83" x14ac:dyDescent="0.25">
      <c r="A156">
        <v>506</v>
      </c>
      <c r="B156">
        <v>506</v>
      </c>
      <c r="C156" t="s">
        <v>201</v>
      </c>
      <c r="D156" t="s">
        <v>476</v>
      </c>
      <c r="E156">
        <v>0</v>
      </c>
      <c r="F156">
        <v>102929</v>
      </c>
      <c r="G156">
        <v>775020</v>
      </c>
      <c r="H156">
        <v>3621262</v>
      </c>
      <c r="I156">
        <v>5125205</v>
      </c>
      <c r="J156">
        <v>4763513</v>
      </c>
      <c r="K156">
        <v>105791</v>
      </c>
      <c r="L156">
        <v>827716</v>
      </c>
      <c r="M156">
        <v>959120</v>
      </c>
      <c r="N156">
        <v>6109904</v>
      </c>
      <c r="O156">
        <v>493604</v>
      </c>
      <c r="P156">
        <v>4885397</v>
      </c>
      <c r="Q156">
        <v>278023</v>
      </c>
      <c r="R156">
        <v>29858180</v>
      </c>
      <c r="S156">
        <v>1401454</v>
      </c>
      <c r="T156">
        <v>210400</v>
      </c>
      <c r="U156">
        <v>32248785</v>
      </c>
      <c r="V156">
        <v>7611828</v>
      </c>
      <c r="W156">
        <v>17108289</v>
      </c>
      <c r="X156">
        <v>28196249</v>
      </c>
      <c r="Y156">
        <v>131108</v>
      </c>
      <c r="Z156">
        <v>11644439</v>
      </c>
      <c r="AA156">
        <v>1362700</v>
      </c>
      <c r="AB156">
        <v>11075446</v>
      </c>
      <c r="AC156">
        <v>563790</v>
      </c>
      <c r="AD156">
        <v>1651988</v>
      </c>
      <c r="AE156" s="708">
        <v>1092240</v>
      </c>
      <c r="AF156">
        <v>3019792</v>
      </c>
      <c r="AG156">
        <v>7400797</v>
      </c>
      <c r="AH156">
        <v>5372020</v>
      </c>
      <c r="AI156">
        <v>715153</v>
      </c>
      <c r="AJ156">
        <v>4698072</v>
      </c>
      <c r="AK156">
        <v>3049450</v>
      </c>
      <c r="AL156">
        <v>724636</v>
      </c>
      <c r="AM156">
        <v>0</v>
      </c>
      <c r="AN156">
        <v>7180127</v>
      </c>
      <c r="AO156">
        <v>0</v>
      </c>
      <c r="AP156">
        <v>0</v>
      </c>
      <c r="AQ156">
        <v>90609</v>
      </c>
      <c r="AR156">
        <v>3063069</v>
      </c>
      <c r="AS156">
        <v>17293599</v>
      </c>
      <c r="AT156">
        <v>545467</v>
      </c>
      <c r="AU156">
        <v>1108850</v>
      </c>
      <c r="AV156">
        <v>0</v>
      </c>
      <c r="AW156">
        <v>12704194</v>
      </c>
      <c r="AX156">
        <v>3659147</v>
      </c>
      <c r="AY156">
        <v>714224</v>
      </c>
      <c r="AZ156">
        <v>17807798</v>
      </c>
      <c r="BA156">
        <v>1882828</v>
      </c>
      <c r="BB156">
        <v>545906</v>
      </c>
      <c r="BC156">
        <v>101867</v>
      </c>
      <c r="BD156">
        <v>0</v>
      </c>
      <c r="BE156">
        <v>5233178</v>
      </c>
      <c r="BF156">
        <v>487845</v>
      </c>
      <c r="BG156">
        <v>661790</v>
      </c>
      <c r="BH156">
        <v>137666</v>
      </c>
      <c r="BI156">
        <v>293122</v>
      </c>
      <c r="BJ156">
        <v>455841</v>
      </c>
      <c r="BK156">
        <v>205663</v>
      </c>
      <c r="BL156">
        <v>1540687</v>
      </c>
      <c r="BM156">
        <v>0</v>
      </c>
      <c r="BN156">
        <v>75428</v>
      </c>
      <c r="BO156">
        <v>2775945</v>
      </c>
      <c r="BP156">
        <v>771917</v>
      </c>
      <c r="BQ156">
        <v>1597350</v>
      </c>
      <c r="BR156">
        <v>6867632</v>
      </c>
      <c r="BS156">
        <v>321426</v>
      </c>
      <c r="BT156">
        <v>19087261</v>
      </c>
      <c r="BU156">
        <v>555905</v>
      </c>
      <c r="BV156">
        <v>3308050</v>
      </c>
      <c r="BW156">
        <v>1019216</v>
      </c>
      <c r="BX156">
        <v>1000791</v>
      </c>
      <c r="BY156">
        <v>1668344</v>
      </c>
      <c r="BZ156">
        <v>195462</v>
      </c>
      <c r="CA156" s="708">
        <v>942182</v>
      </c>
      <c r="CB156">
        <v>156388</v>
      </c>
      <c r="CC156">
        <v>0</v>
      </c>
      <c r="CD156">
        <v>0</v>
      </c>
      <c r="CE156">
        <v>347794</v>
      </c>
    </row>
    <row r="157" spans="1:83" x14ac:dyDescent="0.25">
      <c r="A157">
        <v>507</v>
      </c>
      <c r="B157">
        <v>507</v>
      </c>
      <c r="C157" t="s">
        <v>219</v>
      </c>
      <c r="D157" t="s">
        <v>477</v>
      </c>
      <c r="E157">
        <v>0</v>
      </c>
      <c r="F157">
        <v>0</v>
      </c>
      <c r="G157">
        <v>0</v>
      </c>
      <c r="H157">
        <v>0</v>
      </c>
      <c r="I157">
        <v>0</v>
      </c>
      <c r="J157">
        <v>0</v>
      </c>
      <c r="K157">
        <v>0</v>
      </c>
      <c r="L157">
        <v>0</v>
      </c>
      <c r="M157">
        <v>0</v>
      </c>
      <c r="N157">
        <v>-84092</v>
      </c>
      <c r="O157">
        <v>0</v>
      </c>
      <c r="P157">
        <v>0</v>
      </c>
      <c r="Q157">
        <v>0</v>
      </c>
      <c r="R157">
        <v>0</v>
      </c>
      <c r="S157">
        <v>0</v>
      </c>
      <c r="T157">
        <v>0</v>
      </c>
      <c r="U157">
        <v>0</v>
      </c>
      <c r="V157">
        <v>0</v>
      </c>
      <c r="W157">
        <v>0</v>
      </c>
      <c r="X157">
        <v>0</v>
      </c>
      <c r="Y157">
        <v>0</v>
      </c>
      <c r="Z157">
        <v>0</v>
      </c>
      <c r="AA157">
        <v>0</v>
      </c>
      <c r="AB157">
        <v>0</v>
      </c>
      <c r="AC157">
        <v>1</v>
      </c>
      <c r="AD157">
        <v>0</v>
      </c>
      <c r="AE157">
        <v>0</v>
      </c>
      <c r="AF157">
        <v>0</v>
      </c>
      <c r="AG157">
        <v>1</v>
      </c>
      <c r="AH157">
        <v>0</v>
      </c>
      <c r="AI157">
        <v>0</v>
      </c>
      <c r="AJ157">
        <v>-301195</v>
      </c>
      <c r="AK157">
        <v>0</v>
      </c>
      <c r="AL157">
        <v>0</v>
      </c>
      <c r="AM157">
        <v>0</v>
      </c>
      <c r="AN157">
        <v>0</v>
      </c>
      <c r="AO157">
        <v>0</v>
      </c>
      <c r="AP157">
        <v>0</v>
      </c>
      <c r="AQ157">
        <v>0</v>
      </c>
      <c r="AR157">
        <v>0</v>
      </c>
      <c r="AS157">
        <v>0</v>
      </c>
      <c r="AT157">
        <v>0</v>
      </c>
      <c r="AU157">
        <v>0</v>
      </c>
      <c r="AV157">
        <v>0</v>
      </c>
      <c r="AW157">
        <v>0</v>
      </c>
      <c r="AX157">
        <v>0</v>
      </c>
      <c r="AY157">
        <v>1</v>
      </c>
      <c r="AZ157">
        <v>0</v>
      </c>
      <c r="BA157">
        <v>0</v>
      </c>
      <c r="BB157">
        <v>0</v>
      </c>
      <c r="BC157">
        <v>0</v>
      </c>
      <c r="BD157">
        <v>0</v>
      </c>
      <c r="BE157">
        <v>0</v>
      </c>
      <c r="BF157">
        <v>0</v>
      </c>
      <c r="BG157">
        <v>0</v>
      </c>
      <c r="BH157">
        <v>0</v>
      </c>
      <c r="BI157">
        <v>0</v>
      </c>
      <c r="BJ157">
        <v>0</v>
      </c>
      <c r="BK157">
        <v>0</v>
      </c>
      <c r="BL157">
        <v>0</v>
      </c>
      <c r="BM157">
        <v>0</v>
      </c>
      <c r="BN157">
        <v>0</v>
      </c>
      <c r="BO157">
        <v>0</v>
      </c>
      <c r="BP157">
        <v>0</v>
      </c>
      <c r="BQ157">
        <v>0</v>
      </c>
      <c r="BR157">
        <v>0</v>
      </c>
      <c r="BS157">
        <v>0</v>
      </c>
      <c r="BT157">
        <v>0</v>
      </c>
      <c r="BU157">
        <v>0</v>
      </c>
      <c r="BV157">
        <v>0</v>
      </c>
      <c r="BW157">
        <v>0</v>
      </c>
      <c r="BX157">
        <v>0</v>
      </c>
      <c r="BY157">
        <v>0</v>
      </c>
      <c r="BZ157">
        <v>0</v>
      </c>
      <c r="CA157">
        <v>0</v>
      </c>
      <c r="CB157">
        <v>0</v>
      </c>
      <c r="CC157">
        <v>0</v>
      </c>
      <c r="CD157">
        <v>0</v>
      </c>
      <c r="CE157">
        <v>0</v>
      </c>
    </row>
    <row r="158" spans="1:83" x14ac:dyDescent="0.25">
      <c r="A158">
        <v>508</v>
      </c>
      <c r="B158">
        <v>508</v>
      </c>
      <c r="C158" t="s">
        <v>216</v>
      </c>
      <c r="D158" t="s">
        <v>478</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0</v>
      </c>
      <c r="BQ158">
        <v>0</v>
      </c>
      <c r="BR158">
        <v>0</v>
      </c>
      <c r="BS158">
        <v>0</v>
      </c>
      <c r="BT158">
        <v>0</v>
      </c>
      <c r="BU158">
        <v>0</v>
      </c>
      <c r="BV158">
        <v>0</v>
      </c>
      <c r="BW158">
        <v>0</v>
      </c>
      <c r="BX158">
        <v>0</v>
      </c>
      <c r="BY158">
        <v>0</v>
      </c>
      <c r="BZ158">
        <v>0</v>
      </c>
      <c r="CA158">
        <v>0</v>
      </c>
      <c r="CB158">
        <v>0</v>
      </c>
      <c r="CC158">
        <v>0</v>
      </c>
      <c r="CD158">
        <v>0</v>
      </c>
      <c r="CE158">
        <v>0</v>
      </c>
    </row>
    <row r="159" spans="1:83" x14ac:dyDescent="0.25">
      <c r="A159">
        <v>509</v>
      </c>
      <c r="B159">
        <v>509</v>
      </c>
      <c r="C159" t="s">
        <v>217</v>
      </c>
      <c r="D159" t="s">
        <v>479</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0</v>
      </c>
      <c r="BD159">
        <v>0</v>
      </c>
      <c r="BE159">
        <v>0</v>
      </c>
      <c r="BF159">
        <v>0</v>
      </c>
      <c r="BG159">
        <v>0</v>
      </c>
      <c r="BH159">
        <v>0</v>
      </c>
      <c r="BI159">
        <v>0</v>
      </c>
      <c r="BJ159">
        <v>0</v>
      </c>
      <c r="BK159">
        <v>0</v>
      </c>
      <c r="BL159">
        <v>0</v>
      </c>
      <c r="BM159">
        <v>0</v>
      </c>
      <c r="BN159">
        <v>0</v>
      </c>
      <c r="BO159">
        <v>0</v>
      </c>
      <c r="BP159">
        <v>0</v>
      </c>
      <c r="BQ159">
        <v>0</v>
      </c>
      <c r="BR159">
        <v>0</v>
      </c>
      <c r="BS159">
        <v>0</v>
      </c>
      <c r="BT159" s="515">
        <v>0</v>
      </c>
      <c r="BU159">
        <v>0</v>
      </c>
      <c r="BV159">
        <v>0</v>
      </c>
      <c r="BW159">
        <v>0</v>
      </c>
      <c r="BX159">
        <v>0</v>
      </c>
      <c r="BY159">
        <v>0</v>
      </c>
      <c r="BZ159">
        <v>0</v>
      </c>
      <c r="CA159">
        <v>0</v>
      </c>
      <c r="CB159">
        <v>0</v>
      </c>
      <c r="CC159">
        <v>0</v>
      </c>
      <c r="CD159">
        <v>0</v>
      </c>
      <c r="CE159">
        <v>0</v>
      </c>
    </row>
    <row r="160" spans="1:83" x14ac:dyDescent="0.25">
      <c r="A160">
        <v>510</v>
      </c>
      <c r="B160">
        <v>510</v>
      </c>
      <c r="C160" t="s">
        <v>223</v>
      </c>
      <c r="D160" t="s">
        <v>480</v>
      </c>
      <c r="E160">
        <v>0</v>
      </c>
      <c r="F160">
        <v>0</v>
      </c>
      <c r="G160">
        <v>0</v>
      </c>
      <c r="H160">
        <v>0</v>
      </c>
      <c r="I160">
        <v>0</v>
      </c>
      <c r="J160">
        <v>0</v>
      </c>
      <c r="K160">
        <v>22062</v>
      </c>
      <c r="L160">
        <v>0</v>
      </c>
      <c r="M160">
        <v>0</v>
      </c>
      <c r="N160">
        <v>0</v>
      </c>
      <c r="O160">
        <v>0</v>
      </c>
      <c r="P160">
        <v>48167</v>
      </c>
      <c r="Q160">
        <v>0</v>
      </c>
      <c r="R160">
        <v>295778</v>
      </c>
      <c r="S160">
        <v>16845</v>
      </c>
      <c r="T160">
        <v>0</v>
      </c>
      <c r="U160">
        <v>422781</v>
      </c>
      <c r="V160">
        <v>198126</v>
      </c>
      <c r="W160">
        <v>49026</v>
      </c>
      <c r="X160">
        <v>0</v>
      </c>
      <c r="Y160">
        <v>0</v>
      </c>
      <c r="Z160">
        <v>256202</v>
      </c>
      <c r="AA160">
        <v>29215</v>
      </c>
      <c r="AB160">
        <v>77406</v>
      </c>
      <c r="AC160">
        <v>0</v>
      </c>
      <c r="AD160">
        <v>0</v>
      </c>
      <c r="AE160">
        <v>0</v>
      </c>
      <c r="AF160">
        <v>0</v>
      </c>
      <c r="AG160">
        <v>55935</v>
      </c>
      <c r="AH160">
        <v>0</v>
      </c>
      <c r="AI160">
        <v>0</v>
      </c>
      <c r="AJ160">
        <v>0</v>
      </c>
      <c r="AK160">
        <v>0</v>
      </c>
      <c r="AL160">
        <v>1146</v>
      </c>
      <c r="AM160">
        <v>0</v>
      </c>
      <c r="AN160">
        <v>130531</v>
      </c>
      <c r="AO160">
        <v>0</v>
      </c>
      <c r="AP160">
        <v>0</v>
      </c>
      <c r="AQ160">
        <v>0</v>
      </c>
      <c r="AR160">
        <v>0</v>
      </c>
      <c r="AS160">
        <v>34903</v>
      </c>
      <c r="AT160">
        <v>0</v>
      </c>
      <c r="AU160">
        <v>97097</v>
      </c>
      <c r="AV160">
        <v>0</v>
      </c>
      <c r="AW160">
        <v>509262</v>
      </c>
      <c r="AX160">
        <v>0</v>
      </c>
      <c r="AY160">
        <v>35763</v>
      </c>
      <c r="AZ160">
        <v>32687</v>
      </c>
      <c r="BA160">
        <v>5090</v>
      </c>
      <c r="BB160">
        <v>0</v>
      </c>
      <c r="BC160">
        <v>0</v>
      </c>
      <c r="BD160">
        <v>0</v>
      </c>
      <c r="BE160">
        <v>108034</v>
      </c>
      <c r="BF160">
        <v>0</v>
      </c>
      <c r="BG160">
        <v>0</v>
      </c>
      <c r="BH160">
        <v>0</v>
      </c>
      <c r="BI160">
        <v>0</v>
      </c>
      <c r="BJ160">
        <v>0</v>
      </c>
      <c r="BK160">
        <v>0</v>
      </c>
      <c r="BL160">
        <v>81182</v>
      </c>
      <c r="BM160">
        <v>0</v>
      </c>
      <c r="BN160">
        <v>0</v>
      </c>
      <c r="BO160">
        <v>0</v>
      </c>
      <c r="BP160">
        <v>9921</v>
      </c>
      <c r="BQ160">
        <v>0</v>
      </c>
      <c r="BR160">
        <v>0</v>
      </c>
      <c r="BS160">
        <v>21329</v>
      </c>
      <c r="BT160">
        <v>0</v>
      </c>
      <c r="BU160">
        <v>6868</v>
      </c>
      <c r="BV160">
        <v>0</v>
      </c>
      <c r="BW160">
        <v>0</v>
      </c>
      <c r="BX160">
        <v>9062</v>
      </c>
      <c r="BY160">
        <v>28117</v>
      </c>
      <c r="BZ160">
        <v>12353</v>
      </c>
      <c r="CA160">
        <v>0</v>
      </c>
      <c r="CB160">
        <v>0</v>
      </c>
      <c r="CC160">
        <v>0</v>
      </c>
      <c r="CD160">
        <v>0</v>
      </c>
      <c r="CE160">
        <v>0</v>
      </c>
    </row>
    <row r="161" spans="1:83" x14ac:dyDescent="0.25">
      <c r="A161">
        <v>511</v>
      </c>
      <c r="B161">
        <v>511</v>
      </c>
      <c r="C161" t="s">
        <v>228</v>
      </c>
      <c r="D161" t="s">
        <v>481</v>
      </c>
      <c r="E161">
        <v>0</v>
      </c>
      <c r="F161">
        <v>0</v>
      </c>
      <c r="G161">
        <v>0</v>
      </c>
      <c r="H161">
        <v>0</v>
      </c>
      <c r="I161">
        <v>0</v>
      </c>
      <c r="J161">
        <v>0</v>
      </c>
      <c r="K161">
        <v>0</v>
      </c>
      <c r="L161">
        <v>0</v>
      </c>
      <c r="M161">
        <v>0</v>
      </c>
      <c r="N161">
        <v>0</v>
      </c>
      <c r="O161">
        <v>0</v>
      </c>
      <c r="P161">
        <v>0</v>
      </c>
      <c r="Q161">
        <v>0</v>
      </c>
      <c r="R161">
        <v>3457543</v>
      </c>
      <c r="S161">
        <v>0</v>
      </c>
      <c r="T161">
        <v>0</v>
      </c>
      <c r="U161">
        <v>0</v>
      </c>
      <c r="V161">
        <v>0</v>
      </c>
      <c r="W161">
        <v>26013</v>
      </c>
      <c r="X161">
        <v>0</v>
      </c>
      <c r="Y161">
        <v>0</v>
      </c>
      <c r="Z161">
        <v>0</v>
      </c>
      <c r="AA161">
        <v>0</v>
      </c>
      <c r="AB161">
        <v>0</v>
      </c>
      <c r="AC161">
        <v>0</v>
      </c>
      <c r="AD161">
        <v>0</v>
      </c>
      <c r="AE161">
        <v>0</v>
      </c>
      <c r="AF161">
        <v>0</v>
      </c>
      <c r="AG161">
        <v>0</v>
      </c>
      <c r="AH161">
        <v>0</v>
      </c>
      <c r="AI161">
        <v>0</v>
      </c>
      <c r="AJ161">
        <v>2041454</v>
      </c>
      <c r="AK161">
        <v>0</v>
      </c>
      <c r="AL161">
        <v>0</v>
      </c>
      <c r="AM161">
        <v>0</v>
      </c>
      <c r="AN161">
        <v>678083</v>
      </c>
      <c r="AO161">
        <v>0</v>
      </c>
      <c r="AP161">
        <v>0</v>
      </c>
      <c r="AQ161">
        <v>0</v>
      </c>
      <c r="AR161">
        <v>0</v>
      </c>
      <c r="AS161">
        <v>0</v>
      </c>
      <c r="AT161">
        <v>0</v>
      </c>
      <c r="AU161">
        <v>0</v>
      </c>
      <c r="AV161">
        <v>0</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0</v>
      </c>
      <c r="BP161">
        <v>0</v>
      </c>
      <c r="BQ161">
        <v>0</v>
      </c>
      <c r="BR161">
        <v>0</v>
      </c>
      <c r="BS161">
        <v>33482</v>
      </c>
      <c r="BT161">
        <v>449285</v>
      </c>
      <c r="BU161">
        <v>0</v>
      </c>
      <c r="BV161">
        <v>0</v>
      </c>
      <c r="BW161">
        <v>0</v>
      </c>
      <c r="BX161">
        <v>0</v>
      </c>
      <c r="BY161">
        <v>0</v>
      </c>
      <c r="BZ161">
        <v>0</v>
      </c>
      <c r="CA161">
        <v>0</v>
      </c>
      <c r="CB161">
        <v>0</v>
      </c>
      <c r="CC161">
        <v>0</v>
      </c>
      <c r="CD161">
        <v>0</v>
      </c>
      <c r="CE161">
        <v>0</v>
      </c>
    </row>
    <row r="162" spans="1:83" x14ac:dyDescent="0.25">
      <c r="A162">
        <v>512</v>
      </c>
      <c r="B162">
        <v>512</v>
      </c>
      <c r="C162" t="s">
        <v>255</v>
      </c>
      <c r="D162" t="s">
        <v>482</v>
      </c>
      <c r="E162">
        <v>0</v>
      </c>
      <c r="F162">
        <v>0</v>
      </c>
      <c r="G162">
        <v>0</v>
      </c>
      <c r="H162">
        <v>0</v>
      </c>
      <c r="I162">
        <v>0</v>
      </c>
      <c r="J162">
        <v>0</v>
      </c>
      <c r="K162">
        <v>0</v>
      </c>
      <c r="L162">
        <v>0</v>
      </c>
      <c r="M162">
        <v>0</v>
      </c>
      <c r="N162">
        <v>0</v>
      </c>
      <c r="O162">
        <v>0</v>
      </c>
      <c r="P162">
        <v>0</v>
      </c>
      <c r="Q162">
        <v>0</v>
      </c>
      <c r="R162">
        <v>0</v>
      </c>
      <c r="S162">
        <v>55310</v>
      </c>
      <c r="T162">
        <v>0</v>
      </c>
      <c r="U162">
        <v>217388</v>
      </c>
      <c r="V162">
        <v>0</v>
      </c>
      <c r="W162">
        <v>0</v>
      </c>
      <c r="X162">
        <v>0</v>
      </c>
      <c r="Y162">
        <v>0</v>
      </c>
      <c r="Z162">
        <v>32595</v>
      </c>
      <c r="AA162">
        <v>0</v>
      </c>
      <c r="AB162">
        <v>0</v>
      </c>
      <c r="AC162">
        <v>0</v>
      </c>
      <c r="AD162">
        <v>0</v>
      </c>
      <c r="AE162">
        <v>0</v>
      </c>
      <c r="AF162">
        <v>0</v>
      </c>
      <c r="AG162">
        <v>0</v>
      </c>
      <c r="AH162">
        <v>879</v>
      </c>
      <c r="AI162">
        <v>0</v>
      </c>
      <c r="AJ162">
        <v>0</v>
      </c>
      <c r="AK162">
        <v>0</v>
      </c>
      <c r="AL162">
        <v>0</v>
      </c>
      <c r="AM162">
        <v>0</v>
      </c>
      <c r="AN162">
        <v>0</v>
      </c>
      <c r="AO162">
        <v>0</v>
      </c>
      <c r="AP162">
        <v>0</v>
      </c>
      <c r="AQ162">
        <v>0</v>
      </c>
      <c r="AR162">
        <v>0</v>
      </c>
      <c r="AS162">
        <v>0</v>
      </c>
      <c r="AT162">
        <v>0</v>
      </c>
      <c r="AU162">
        <v>0</v>
      </c>
      <c r="AV162">
        <v>0</v>
      </c>
      <c r="AW162">
        <v>500</v>
      </c>
      <c r="AX162">
        <v>0</v>
      </c>
      <c r="AY162">
        <v>0</v>
      </c>
      <c r="AZ162">
        <v>0</v>
      </c>
      <c r="BA162">
        <v>0</v>
      </c>
      <c r="BB162">
        <v>0</v>
      </c>
      <c r="BC162">
        <v>0</v>
      </c>
      <c r="BD162">
        <v>0</v>
      </c>
      <c r="BE162">
        <v>0</v>
      </c>
      <c r="BF162">
        <v>0</v>
      </c>
      <c r="BG162">
        <v>0</v>
      </c>
      <c r="BH162">
        <v>0</v>
      </c>
      <c r="BI162">
        <v>0</v>
      </c>
      <c r="BJ162">
        <v>0</v>
      </c>
      <c r="BK162">
        <v>0</v>
      </c>
      <c r="BL162">
        <v>0</v>
      </c>
      <c r="BM162">
        <v>0</v>
      </c>
      <c r="BN162">
        <v>20836</v>
      </c>
      <c r="BO162">
        <v>3718</v>
      </c>
      <c r="BP162">
        <v>0</v>
      </c>
      <c r="BQ162">
        <v>0</v>
      </c>
      <c r="BR162">
        <v>0</v>
      </c>
      <c r="BS162">
        <v>0</v>
      </c>
      <c r="BT162">
        <v>0</v>
      </c>
      <c r="BU162">
        <v>0</v>
      </c>
      <c r="BV162">
        <v>0</v>
      </c>
      <c r="BW162">
        <v>0</v>
      </c>
      <c r="BX162">
        <v>0</v>
      </c>
      <c r="BY162">
        <v>0</v>
      </c>
      <c r="BZ162">
        <v>0</v>
      </c>
      <c r="CA162" s="708">
        <v>1182</v>
      </c>
      <c r="CB162">
        <v>0</v>
      </c>
      <c r="CC162">
        <v>0</v>
      </c>
      <c r="CD162">
        <v>0</v>
      </c>
      <c r="CE162">
        <v>0</v>
      </c>
    </row>
    <row r="163" spans="1:83" x14ac:dyDescent="0.25">
      <c r="A163">
        <v>513</v>
      </c>
      <c r="B163">
        <v>513</v>
      </c>
      <c r="C163" t="s">
        <v>266</v>
      </c>
      <c r="D163" t="s">
        <v>483</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c r="BT163">
        <v>0</v>
      </c>
      <c r="BU163">
        <v>0</v>
      </c>
      <c r="BV163">
        <v>0</v>
      </c>
      <c r="BW163">
        <v>0</v>
      </c>
      <c r="BX163">
        <v>0</v>
      </c>
      <c r="BY163">
        <v>0</v>
      </c>
      <c r="BZ163">
        <v>0</v>
      </c>
      <c r="CA163">
        <v>0</v>
      </c>
      <c r="CB163">
        <v>0</v>
      </c>
      <c r="CC163">
        <v>0</v>
      </c>
      <c r="CD163">
        <v>0</v>
      </c>
      <c r="CE163">
        <v>0</v>
      </c>
    </row>
    <row r="164" spans="1:83" x14ac:dyDescent="0.25">
      <c r="A164">
        <v>514</v>
      </c>
      <c r="B164">
        <v>514</v>
      </c>
      <c r="C164" t="s">
        <v>267</v>
      </c>
      <c r="D164" t="s">
        <v>484</v>
      </c>
      <c r="E164">
        <v>0</v>
      </c>
      <c r="F164">
        <v>0</v>
      </c>
      <c r="G164">
        <v>0</v>
      </c>
      <c r="H164">
        <v>0</v>
      </c>
      <c r="I164">
        <v>0</v>
      </c>
      <c r="J164">
        <v>0</v>
      </c>
      <c r="K164">
        <v>0</v>
      </c>
      <c r="L164">
        <v>0</v>
      </c>
      <c r="M164">
        <v>0</v>
      </c>
      <c r="N164">
        <v>0</v>
      </c>
      <c r="O164">
        <v>0</v>
      </c>
      <c r="P164">
        <v>0</v>
      </c>
      <c r="Q164">
        <v>0</v>
      </c>
      <c r="R164">
        <v>547152</v>
      </c>
      <c r="S164">
        <v>0</v>
      </c>
      <c r="T164">
        <v>0</v>
      </c>
      <c r="U164">
        <v>0</v>
      </c>
      <c r="V164">
        <v>0</v>
      </c>
      <c r="W164">
        <v>733535</v>
      </c>
      <c r="X164">
        <v>0</v>
      </c>
      <c r="Y164">
        <v>0</v>
      </c>
      <c r="Z164">
        <v>0</v>
      </c>
      <c r="AA164">
        <v>0</v>
      </c>
      <c r="AB164">
        <v>0</v>
      </c>
      <c r="AC164">
        <v>0</v>
      </c>
      <c r="AD164">
        <v>0</v>
      </c>
      <c r="AE164">
        <v>0</v>
      </c>
      <c r="AF164">
        <v>0</v>
      </c>
      <c r="AG164">
        <v>0</v>
      </c>
      <c r="AH164">
        <v>0</v>
      </c>
      <c r="AI164">
        <v>0</v>
      </c>
      <c r="AJ164">
        <v>1968600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32475</v>
      </c>
      <c r="BT164">
        <v>30964</v>
      </c>
      <c r="BU164">
        <v>0</v>
      </c>
      <c r="BV164">
        <v>0</v>
      </c>
      <c r="BW164">
        <v>0</v>
      </c>
      <c r="BX164">
        <v>0</v>
      </c>
      <c r="BY164">
        <v>0</v>
      </c>
      <c r="BZ164">
        <v>0</v>
      </c>
      <c r="CA164">
        <v>0</v>
      </c>
      <c r="CB164">
        <v>0</v>
      </c>
      <c r="CC164">
        <v>0</v>
      </c>
      <c r="CD164">
        <v>0</v>
      </c>
      <c r="CE164">
        <v>0</v>
      </c>
    </row>
    <row r="165" spans="1:83" x14ac:dyDescent="0.25">
      <c r="A165">
        <v>515</v>
      </c>
      <c r="B165">
        <v>515</v>
      </c>
      <c r="C165" t="s">
        <v>280</v>
      </c>
      <c r="D165" t="s">
        <v>485</v>
      </c>
      <c r="E165">
        <v>0</v>
      </c>
      <c r="F165">
        <v>0</v>
      </c>
      <c r="G165">
        <v>0</v>
      </c>
      <c r="H165">
        <v>0</v>
      </c>
      <c r="I165">
        <v>0</v>
      </c>
      <c r="J165">
        <v>0</v>
      </c>
      <c r="K165">
        <v>0</v>
      </c>
      <c r="L165">
        <v>0</v>
      </c>
      <c r="M165">
        <v>0</v>
      </c>
      <c r="N165">
        <v>0</v>
      </c>
      <c r="O165">
        <v>0</v>
      </c>
      <c r="P165">
        <v>0</v>
      </c>
      <c r="Q165">
        <v>0</v>
      </c>
      <c r="R165">
        <v>33331138</v>
      </c>
      <c r="S165">
        <v>142110</v>
      </c>
      <c r="T165">
        <v>0</v>
      </c>
      <c r="U165">
        <v>113496039</v>
      </c>
      <c r="V165">
        <v>6414871</v>
      </c>
      <c r="W165">
        <v>14034904</v>
      </c>
      <c r="X165">
        <v>0</v>
      </c>
      <c r="Y165">
        <v>0</v>
      </c>
      <c r="Z165">
        <v>0</v>
      </c>
      <c r="AA165">
        <v>0</v>
      </c>
      <c r="AB165">
        <v>18303866</v>
      </c>
      <c r="AC165">
        <v>5119437</v>
      </c>
      <c r="AD165">
        <v>613604</v>
      </c>
      <c r="AE165">
        <v>0</v>
      </c>
      <c r="AF165">
        <v>0</v>
      </c>
      <c r="AG165">
        <v>3283693</v>
      </c>
      <c r="AH165">
        <v>0</v>
      </c>
      <c r="AI165">
        <v>0</v>
      </c>
      <c r="AJ165">
        <v>75763078</v>
      </c>
      <c r="AK165">
        <v>0</v>
      </c>
      <c r="AL165">
        <v>0</v>
      </c>
      <c r="AM165">
        <v>0</v>
      </c>
      <c r="AN165">
        <v>23292598</v>
      </c>
      <c r="AO165">
        <v>0</v>
      </c>
      <c r="AP165">
        <v>0</v>
      </c>
      <c r="AQ165">
        <v>0</v>
      </c>
      <c r="AR165">
        <v>0</v>
      </c>
      <c r="AS165">
        <v>0</v>
      </c>
      <c r="AT165">
        <v>0</v>
      </c>
      <c r="AU165">
        <v>0</v>
      </c>
      <c r="AV165">
        <v>0</v>
      </c>
      <c r="AW165">
        <v>13400610</v>
      </c>
      <c r="AX165">
        <v>0</v>
      </c>
      <c r="AY165">
        <v>0</v>
      </c>
      <c r="AZ165">
        <v>181893</v>
      </c>
      <c r="BA165">
        <v>321190</v>
      </c>
      <c r="BB165">
        <v>0</v>
      </c>
      <c r="BC165">
        <v>0</v>
      </c>
      <c r="BD165">
        <v>0</v>
      </c>
      <c r="BE165">
        <v>0</v>
      </c>
      <c r="BF165">
        <v>0</v>
      </c>
      <c r="BG165">
        <v>0</v>
      </c>
      <c r="BH165">
        <v>0</v>
      </c>
      <c r="BI165">
        <v>0</v>
      </c>
      <c r="BJ165">
        <v>0</v>
      </c>
      <c r="BK165">
        <v>0</v>
      </c>
      <c r="BL165">
        <v>0</v>
      </c>
      <c r="BM165">
        <v>0</v>
      </c>
      <c r="BN165">
        <v>0</v>
      </c>
      <c r="BO165">
        <v>0</v>
      </c>
      <c r="BP165">
        <v>0</v>
      </c>
      <c r="BQ165">
        <v>92954</v>
      </c>
      <c r="BR165">
        <v>0</v>
      </c>
      <c r="BS165">
        <v>0</v>
      </c>
      <c r="BT165">
        <v>0</v>
      </c>
      <c r="BU165">
        <v>21428</v>
      </c>
      <c r="BV165">
        <v>163682</v>
      </c>
      <c r="BW165">
        <v>0</v>
      </c>
      <c r="BX165">
        <v>0</v>
      </c>
      <c r="BY165">
        <v>121104</v>
      </c>
      <c r="BZ165">
        <v>0</v>
      </c>
      <c r="CA165">
        <v>0</v>
      </c>
      <c r="CB165">
        <v>0</v>
      </c>
      <c r="CC165">
        <v>0</v>
      </c>
      <c r="CD165">
        <v>0</v>
      </c>
      <c r="CE165">
        <v>0</v>
      </c>
    </row>
    <row r="166" spans="1:83" x14ac:dyDescent="0.25">
      <c r="A166">
        <v>516</v>
      </c>
      <c r="B166">
        <v>516</v>
      </c>
      <c r="C166" t="s">
        <v>281</v>
      </c>
      <c r="D166" t="s">
        <v>486</v>
      </c>
      <c r="E166">
        <v>0</v>
      </c>
      <c r="F166">
        <v>0</v>
      </c>
      <c r="G166">
        <v>7021698</v>
      </c>
      <c r="H166">
        <v>0</v>
      </c>
      <c r="I166">
        <v>0</v>
      </c>
      <c r="J166">
        <v>0</v>
      </c>
      <c r="K166">
        <v>3251767</v>
      </c>
      <c r="L166">
        <v>0</v>
      </c>
      <c r="M166">
        <v>0</v>
      </c>
      <c r="N166">
        <v>0</v>
      </c>
      <c r="O166">
        <v>0</v>
      </c>
      <c r="P166">
        <v>26695143</v>
      </c>
      <c r="Q166">
        <v>0</v>
      </c>
      <c r="R166">
        <v>0</v>
      </c>
      <c r="S166">
        <v>2042211</v>
      </c>
      <c r="T166">
        <v>0</v>
      </c>
      <c r="U166">
        <v>77176056</v>
      </c>
      <c r="V166">
        <v>66697075</v>
      </c>
      <c r="W166">
        <v>56263711</v>
      </c>
      <c r="X166">
        <v>0</v>
      </c>
      <c r="Y166">
        <v>4566402</v>
      </c>
      <c r="Z166">
        <v>78123158</v>
      </c>
      <c r="AA166">
        <v>16507580</v>
      </c>
      <c r="AB166">
        <v>26863028</v>
      </c>
      <c r="AC166">
        <v>24726441</v>
      </c>
      <c r="AD166">
        <v>4637476</v>
      </c>
      <c r="AE166" s="708">
        <v>8913991</v>
      </c>
      <c r="AF166">
        <v>19534700</v>
      </c>
      <c r="AG166">
        <v>0</v>
      </c>
      <c r="AH166">
        <v>7670030</v>
      </c>
      <c r="AI166">
        <v>5853459</v>
      </c>
      <c r="AJ166">
        <v>67481905</v>
      </c>
      <c r="AK166">
        <v>2638690</v>
      </c>
      <c r="AL166">
        <v>8163928</v>
      </c>
      <c r="AM166">
        <v>0</v>
      </c>
      <c r="AN166">
        <v>42345873</v>
      </c>
      <c r="AO166">
        <v>0</v>
      </c>
      <c r="AP166">
        <v>0</v>
      </c>
      <c r="AQ166">
        <v>0</v>
      </c>
      <c r="AR166">
        <v>0</v>
      </c>
      <c r="AS166">
        <v>32411424</v>
      </c>
      <c r="AT166">
        <v>8757887</v>
      </c>
      <c r="AU166">
        <v>16804826</v>
      </c>
      <c r="AV166">
        <v>0</v>
      </c>
      <c r="AW166">
        <v>91912182</v>
      </c>
      <c r="AX166">
        <v>0</v>
      </c>
      <c r="AY166">
        <v>10210372</v>
      </c>
      <c r="AZ166">
        <v>4885807</v>
      </c>
      <c r="BA166">
        <v>9763547</v>
      </c>
      <c r="BB166">
        <v>2403227</v>
      </c>
      <c r="BC166">
        <v>0</v>
      </c>
      <c r="BD166">
        <v>0</v>
      </c>
      <c r="BE166">
        <v>37961480</v>
      </c>
      <c r="BF166">
        <v>0</v>
      </c>
      <c r="BG166">
        <v>4530643</v>
      </c>
      <c r="BH166">
        <v>3562489</v>
      </c>
      <c r="BI166">
        <v>0</v>
      </c>
      <c r="BJ166">
        <v>4509497</v>
      </c>
      <c r="BK166">
        <v>0</v>
      </c>
      <c r="BL166">
        <v>19990497</v>
      </c>
      <c r="BM166">
        <v>0</v>
      </c>
      <c r="BN166">
        <v>14513445</v>
      </c>
      <c r="BO166">
        <v>4673752</v>
      </c>
      <c r="BP166">
        <v>4636862</v>
      </c>
      <c r="BQ166">
        <v>1224602</v>
      </c>
      <c r="BR166">
        <v>0</v>
      </c>
      <c r="BS166">
        <v>10045589</v>
      </c>
      <c r="BT166">
        <v>0</v>
      </c>
      <c r="BU166">
        <v>10116721</v>
      </c>
      <c r="BV166">
        <v>20132172</v>
      </c>
      <c r="BW166">
        <v>0</v>
      </c>
      <c r="BX166">
        <v>15873913</v>
      </c>
      <c r="BY166">
        <v>3121068</v>
      </c>
      <c r="BZ166">
        <v>833000</v>
      </c>
      <c r="CA166" s="708">
        <v>7016374</v>
      </c>
      <c r="CB166">
        <v>6282078</v>
      </c>
      <c r="CC166">
        <v>0</v>
      </c>
      <c r="CD166">
        <v>0</v>
      </c>
      <c r="CE166">
        <v>1200807</v>
      </c>
    </row>
    <row r="167" spans="1:83" x14ac:dyDescent="0.25">
      <c r="A167">
        <v>517</v>
      </c>
      <c r="B167">
        <v>517</v>
      </c>
      <c r="C167" t="s">
        <v>282</v>
      </c>
      <c r="D167" t="s">
        <v>487</v>
      </c>
      <c r="E167">
        <v>0</v>
      </c>
      <c r="F167">
        <v>0</v>
      </c>
      <c r="G167">
        <v>0</v>
      </c>
      <c r="H167">
        <v>0</v>
      </c>
      <c r="I167">
        <v>0</v>
      </c>
      <c r="J167">
        <v>0</v>
      </c>
      <c r="K167">
        <v>0</v>
      </c>
      <c r="L167">
        <v>0</v>
      </c>
      <c r="M167">
        <v>0</v>
      </c>
      <c r="N167">
        <v>0</v>
      </c>
      <c r="O167">
        <v>0</v>
      </c>
      <c r="P167">
        <v>0</v>
      </c>
      <c r="Q167">
        <v>0</v>
      </c>
      <c r="R167">
        <v>79377444</v>
      </c>
      <c r="S167">
        <v>723869</v>
      </c>
      <c r="T167">
        <v>0</v>
      </c>
      <c r="U167">
        <v>0</v>
      </c>
      <c r="V167">
        <v>0</v>
      </c>
      <c r="W167">
        <v>0</v>
      </c>
      <c r="X167">
        <v>0</v>
      </c>
      <c r="Y167">
        <v>0</v>
      </c>
      <c r="Z167">
        <v>0</v>
      </c>
      <c r="AA167">
        <v>0</v>
      </c>
      <c r="AB167">
        <v>0</v>
      </c>
      <c r="AC167">
        <v>0</v>
      </c>
      <c r="AD167">
        <v>0</v>
      </c>
      <c r="AE167">
        <v>0</v>
      </c>
      <c r="AF167">
        <v>0</v>
      </c>
      <c r="AG167">
        <v>2581885</v>
      </c>
      <c r="AH167">
        <v>1255680</v>
      </c>
      <c r="AI167">
        <v>0</v>
      </c>
      <c r="AJ167">
        <v>0</v>
      </c>
      <c r="AK167">
        <v>0</v>
      </c>
      <c r="AL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625527</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C167">
        <v>0</v>
      </c>
      <c r="CD167">
        <v>0</v>
      </c>
      <c r="CE167">
        <v>0</v>
      </c>
    </row>
    <row r="168" spans="1:83" x14ac:dyDescent="0.25">
      <c r="A168">
        <v>518</v>
      </c>
      <c r="B168">
        <v>518</v>
      </c>
      <c r="C168" t="s">
        <v>283</v>
      </c>
      <c r="D168" t="s">
        <v>488</v>
      </c>
      <c r="E168">
        <v>0</v>
      </c>
      <c r="F168">
        <v>0</v>
      </c>
      <c r="G168">
        <v>193122</v>
      </c>
      <c r="H168">
        <v>0</v>
      </c>
      <c r="I168">
        <v>0</v>
      </c>
      <c r="J168">
        <v>0</v>
      </c>
      <c r="K168">
        <v>10116</v>
      </c>
      <c r="L168">
        <v>0</v>
      </c>
      <c r="M168">
        <v>0</v>
      </c>
      <c r="N168">
        <v>0</v>
      </c>
      <c r="O168">
        <v>0</v>
      </c>
      <c r="P168">
        <v>2171609</v>
      </c>
      <c r="Q168">
        <v>0</v>
      </c>
      <c r="R168">
        <v>13067008</v>
      </c>
      <c r="S168">
        <v>26514</v>
      </c>
      <c r="T168">
        <v>0</v>
      </c>
      <c r="U168">
        <v>10744978</v>
      </c>
      <c r="V168">
        <v>2517986</v>
      </c>
      <c r="W168">
        <v>22598753</v>
      </c>
      <c r="X168">
        <v>0</v>
      </c>
      <c r="Y168">
        <v>10236</v>
      </c>
      <c r="Z168">
        <v>3098046</v>
      </c>
      <c r="AA168">
        <v>0</v>
      </c>
      <c r="AB168">
        <v>3969046</v>
      </c>
      <c r="AC168">
        <v>1224006</v>
      </c>
      <c r="AD168">
        <v>201403</v>
      </c>
      <c r="AE168" s="708">
        <v>792251</v>
      </c>
      <c r="AF168">
        <v>729854</v>
      </c>
      <c r="AG168">
        <v>6286083</v>
      </c>
      <c r="AH168">
        <v>2246612</v>
      </c>
      <c r="AI168">
        <v>1525</v>
      </c>
      <c r="AJ168">
        <v>8881605</v>
      </c>
      <c r="AK168">
        <v>0</v>
      </c>
      <c r="AL168">
        <v>270763</v>
      </c>
      <c r="AM168">
        <v>0</v>
      </c>
      <c r="AN168">
        <v>2786085</v>
      </c>
      <c r="AO168">
        <v>0</v>
      </c>
      <c r="AP168">
        <v>0</v>
      </c>
      <c r="AQ168">
        <v>0</v>
      </c>
      <c r="AR168">
        <v>0</v>
      </c>
      <c r="AS168">
        <v>1569465</v>
      </c>
      <c r="AT168">
        <v>0</v>
      </c>
      <c r="AU168">
        <v>860228</v>
      </c>
      <c r="AV168">
        <v>0</v>
      </c>
      <c r="AW168">
        <v>24755488</v>
      </c>
      <c r="AX168">
        <v>0</v>
      </c>
      <c r="AY168">
        <v>1417378</v>
      </c>
      <c r="AZ168">
        <v>1119320</v>
      </c>
      <c r="BA168">
        <v>497055</v>
      </c>
      <c r="BB168">
        <v>97644</v>
      </c>
      <c r="BC168">
        <v>0</v>
      </c>
      <c r="BD168">
        <v>0</v>
      </c>
      <c r="BE168">
        <v>3208545</v>
      </c>
      <c r="BF168">
        <v>0</v>
      </c>
      <c r="BG168">
        <v>107941</v>
      </c>
      <c r="BH168">
        <v>34718</v>
      </c>
      <c r="BI168">
        <v>0</v>
      </c>
      <c r="BJ168">
        <v>12847</v>
      </c>
      <c r="BK168">
        <v>0</v>
      </c>
      <c r="BL168">
        <v>2830963</v>
      </c>
      <c r="BM168">
        <v>0</v>
      </c>
      <c r="BN168">
        <v>327664</v>
      </c>
      <c r="BO168">
        <v>219418</v>
      </c>
      <c r="BP168">
        <v>182948</v>
      </c>
      <c r="BQ168">
        <v>355800</v>
      </c>
      <c r="BR168">
        <v>0</v>
      </c>
      <c r="BS168">
        <v>123583</v>
      </c>
      <c r="BT168">
        <v>0</v>
      </c>
      <c r="BU168">
        <v>514469</v>
      </c>
      <c r="BV168">
        <v>2388045</v>
      </c>
      <c r="BW168">
        <v>0</v>
      </c>
      <c r="BX168">
        <v>1513601</v>
      </c>
      <c r="BY168">
        <v>48948</v>
      </c>
      <c r="BZ168">
        <v>0</v>
      </c>
      <c r="CA168" s="708">
        <v>96960</v>
      </c>
      <c r="CB168">
        <v>8823</v>
      </c>
      <c r="CC168">
        <v>0</v>
      </c>
      <c r="CD168">
        <v>0</v>
      </c>
      <c r="CE168">
        <v>0</v>
      </c>
    </row>
    <row r="169" spans="1:83" x14ac:dyDescent="0.25">
      <c r="A169">
        <v>519</v>
      </c>
      <c r="B169">
        <v>519</v>
      </c>
      <c r="C169" t="s">
        <v>284</v>
      </c>
      <c r="D169" t="s">
        <v>489</v>
      </c>
      <c r="E169">
        <v>0</v>
      </c>
      <c r="F169">
        <v>0</v>
      </c>
      <c r="G169">
        <v>0</v>
      </c>
      <c r="H169">
        <v>0</v>
      </c>
      <c r="I169">
        <v>0</v>
      </c>
      <c r="J169">
        <v>0</v>
      </c>
      <c r="K169">
        <v>0</v>
      </c>
      <c r="L169">
        <v>0</v>
      </c>
      <c r="M169">
        <v>0</v>
      </c>
      <c r="N169">
        <v>0</v>
      </c>
      <c r="O169">
        <v>0</v>
      </c>
      <c r="P169">
        <v>0</v>
      </c>
      <c r="Q169">
        <v>0</v>
      </c>
      <c r="R169">
        <v>703622</v>
      </c>
      <c r="S169">
        <v>3553</v>
      </c>
      <c r="T169">
        <v>0</v>
      </c>
      <c r="U169">
        <v>2373467</v>
      </c>
      <c r="V169">
        <v>138538</v>
      </c>
      <c r="W169">
        <v>248612</v>
      </c>
      <c r="X169">
        <v>0</v>
      </c>
      <c r="Y169">
        <v>0</v>
      </c>
      <c r="Z169">
        <v>0</v>
      </c>
      <c r="AA169">
        <v>0</v>
      </c>
      <c r="AB169">
        <v>313075</v>
      </c>
      <c r="AC169">
        <v>127986</v>
      </c>
      <c r="AD169">
        <v>14546</v>
      </c>
      <c r="AE169">
        <v>0</v>
      </c>
      <c r="AF169">
        <v>0</v>
      </c>
      <c r="AG169">
        <v>42127</v>
      </c>
      <c r="AH169">
        <v>0</v>
      </c>
      <c r="AI169">
        <v>0</v>
      </c>
      <c r="AJ169">
        <v>1868324</v>
      </c>
      <c r="AK169">
        <v>0</v>
      </c>
      <c r="AL169">
        <v>0</v>
      </c>
      <c r="AM169">
        <v>0</v>
      </c>
      <c r="AN169">
        <v>507335</v>
      </c>
      <c r="AO169">
        <v>0</v>
      </c>
      <c r="AP169">
        <v>0</v>
      </c>
      <c r="AQ169">
        <v>0</v>
      </c>
      <c r="AR169">
        <v>0</v>
      </c>
      <c r="AS169">
        <v>0</v>
      </c>
      <c r="AT169">
        <v>0</v>
      </c>
      <c r="AU169">
        <v>0</v>
      </c>
      <c r="AV169">
        <v>0</v>
      </c>
      <c r="AW169">
        <v>352352</v>
      </c>
      <c r="AX169">
        <v>0</v>
      </c>
      <c r="AY169">
        <v>0</v>
      </c>
      <c r="AZ169">
        <v>57445</v>
      </c>
      <c r="BA169">
        <v>0</v>
      </c>
      <c r="BB169">
        <v>0</v>
      </c>
      <c r="BC169">
        <v>0</v>
      </c>
      <c r="BD169">
        <v>0</v>
      </c>
      <c r="BE169">
        <v>0</v>
      </c>
      <c r="BF169">
        <v>0</v>
      </c>
      <c r="BG169">
        <v>0</v>
      </c>
      <c r="BH169">
        <v>0</v>
      </c>
      <c r="BI169">
        <v>0</v>
      </c>
      <c r="BJ169">
        <v>0</v>
      </c>
      <c r="BK169">
        <v>0</v>
      </c>
      <c r="BL169">
        <v>0</v>
      </c>
      <c r="BM169">
        <v>0</v>
      </c>
      <c r="BN169">
        <v>0</v>
      </c>
      <c r="BO169">
        <v>0</v>
      </c>
      <c r="BP169">
        <v>0</v>
      </c>
      <c r="BQ169">
        <v>2324</v>
      </c>
      <c r="BR169">
        <v>0</v>
      </c>
      <c r="BS169">
        <v>0</v>
      </c>
      <c r="BT169">
        <v>0</v>
      </c>
      <c r="BU169">
        <v>785</v>
      </c>
      <c r="BV169">
        <v>4359</v>
      </c>
      <c r="BW169">
        <v>0</v>
      </c>
      <c r="BX169">
        <v>0</v>
      </c>
      <c r="BY169">
        <v>4037</v>
      </c>
      <c r="BZ169">
        <v>0</v>
      </c>
      <c r="CA169">
        <v>0</v>
      </c>
      <c r="CB169">
        <v>0</v>
      </c>
      <c r="CC169">
        <v>0</v>
      </c>
      <c r="CD169">
        <v>0</v>
      </c>
      <c r="CE169">
        <v>0</v>
      </c>
    </row>
    <row r="170" spans="1:83" x14ac:dyDescent="0.25">
      <c r="A170">
        <v>520</v>
      </c>
      <c r="B170">
        <v>520</v>
      </c>
      <c r="C170" t="s">
        <v>285</v>
      </c>
      <c r="D170" t="s">
        <v>490</v>
      </c>
      <c r="E170">
        <v>0</v>
      </c>
      <c r="F170">
        <v>0</v>
      </c>
      <c r="G170">
        <v>166875</v>
      </c>
      <c r="H170">
        <v>0</v>
      </c>
      <c r="I170">
        <v>0</v>
      </c>
      <c r="J170">
        <v>0</v>
      </c>
      <c r="K170">
        <v>64391</v>
      </c>
      <c r="L170">
        <v>0</v>
      </c>
      <c r="M170">
        <v>0</v>
      </c>
      <c r="N170">
        <v>0</v>
      </c>
      <c r="O170">
        <v>0</v>
      </c>
      <c r="P170">
        <v>667454</v>
      </c>
      <c r="Q170">
        <v>0</v>
      </c>
      <c r="R170">
        <v>0</v>
      </c>
      <c r="S170">
        <v>53894</v>
      </c>
      <c r="T170">
        <v>0</v>
      </c>
      <c r="U170">
        <v>1728101</v>
      </c>
      <c r="V170">
        <v>1384292</v>
      </c>
      <c r="W170">
        <v>1235335</v>
      </c>
      <c r="X170">
        <v>0</v>
      </c>
      <c r="Y170">
        <v>88567</v>
      </c>
      <c r="Z170">
        <v>1696334</v>
      </c>
      <c r="AA170">
        <v>412764</v>
      </c>
      <c r="AB170">
        <v>613189</v>
      </c>
      <c r="AC170">
        <v>413649</v>
      </c>
      <c r="AD170">
        <v>92336</v>
      </c>
      <c r="AE170" s="708">
        <v>164861</v>
      </c>
      <c r="AF170">
        <v>660839</v>
      </c>
      <c r="AG170">
        <v>0</v>
      </c>
      <c r="AH170">
        <v>172649</v>
      </c>
      <c r="AI170">
        <v>146339</v>
      </c>
      <c r="AJ170">
        <v>1334690</v>
      </c>
      <c r="AK170">
        <v>67226</v>
      </c>
      <c r="AL170">
        <v>215191</v>
      </c>
      <c r="AM170">
        <v>0</v>
      </c>
      <c r="AN170">
        <v>1269760</v>
      </c>
      <c r="AO170">
        <v>0</v>
      </c>
      <c r="AP170">
        <v>0</v>
      </c>
      <c r="AQ170">
        <v>0</v>
      </c>
      <c r="AR170">
        <v>0</v>
      </c>
      <c r="AS170">
        <v>719265</v>
      </c>
      <c r="AT170">
        <v>175158</v>
      </c>
      <c r="AU170">
        <v>329865</v>
      </c>
      <c r="AV170">
        <v>0</v>
      </c>
      <c r="AW170">
        <v>2888270</v>
      </c>
      <c r="AX170">
        <v>0</v>
      </c>
      <c r="AY170">
        <v>183869</v>
      </c>
      <c r="AZ170">
        <v>17002</v>
      </c>
      <c r="BA170">
        <v>195185</v>
      </c>
      <c r="BB170">
        <v>38216</v>
      </c>
      <c r="BC170">
        <v>0</v>
      </c>
      <c r="BD170">
        <v>0</v>
      </c>
      <c r="BE170">
        <v>918519</v>
      </c>
      <c r="BF170">
        <v>0</v>
      </c>
      <c r="BG170">
        <v>59920</v>
      </c>
      <c r="BH170">
        <v>71250</v>
      </c>
      <c r="BI170">
        <v>0</v>
      </c>
      <c r="BJ170">
        <v>91872</v>
      </c>
      <c r="BK170">
        <v>0</v>
      </c>
      <c r="BL170">
        <v>390271</v>
      </c>
      <c r="BM170">
        <v>0</v>
      </c>
      <c r="BN170">
        <v>331265</v>
      </c>
      <c r="BO170">
        <v>149526</v>
      </c>
      <c r="BP170">
        <v>98719</v>
      </c>
      <c r="BQ170">
        <v>24548</v>
      </c>
      <c r="BR170">
        <v>0</v>
      </c>
      <c r="BS170">
        <v>199587</v>
      </c>
      <c r="BT170">
        <v>0</v>
      </c>
      <c r="BU170">
        <v>247312</v>
      </c>
      <c r="BV170">
        <v>559690</v>
      </c>
      <c r="BW170">
        <v>0</v>
      </c>
      <c r="BX170">
        <v>345913</v>
      </c>
      <c r="BY170">
        <v>62282</v>
      </c>
      <c r="BZ170">
        <v>18215</v>
      </c>
      <c r="CA170" s="708">
        <v>168004</v>
      </c>
      <c r="CB170">
        <v>157767</v>
      </c>
      <c r="CC170">
        <v>0</v>
      </c>
      <c r="CD170">
        <v>0</v>
      </c>
      <c r="CE170">
        <v>30020</v>
      </c>
    </row>
    <row r="171" spans="1:83" x14ac:dyDescent="0.25">
      <c r="A171">
        <v>521</v>
      </c>
      <c r="B171">
        <v>521</v>
      </c>
      <c r="C171" t="s">
        <v>286</v>
      </c>
      <c r="D171" t="s">
        <v>491</v>
      </c>
      <c r="E171">
        <v>0</v>
      </c>
      <c r="F171">
        <v>0</v>
      </c>
      <c r="G171">
        <v>0</v>
      </c>
      <c r="H171">
        <v>0</v>
      </c>
      <c r="I171">
        <v>0</v>
      </c>
      <c r="J171">
        <v>0</v>
      </c>
      <c r="K171">
        <v>0</v>
      </c>
      <c r="L171">
        <v>0</v>
      </c>
      <c r="M171">
        <v>0</v>
      </c>
      <c r="N171">
        <v>0</v>
      </c>
      <c r="O171">
        <v>0</v>
      </c>
      <c r="P171">
        <v>0</v>
      </c>
      <c r="Q171">
        <v>0</v>
      </c>
      <c r="R171">
        <v>1358599</v>
      </c>
      <c r="S171">
        <v>19909</v>
      </c>
      <c r="T171">
        <v>0</v>
      </c>
      <c r="U171">
        <v>0</v>
      </c>
      <c r="V171">
        <v>0</v>
      </c>
      <c r="W171">
        <v>0</v>
      </c>
      <c r="X171">
        <v>0</v>
      </c>
      <c r="Y171">
        <v>0</v>
      </c>
      <c r="Z171">
        <v>0</v>
      </c>
      <c r="AA171">
        <v>0</v>
      </c>
      <c r="AB171">
        <v>0</v>
      </c>
      <c r="AC171">
        <v>0</v>
      </c>
      <c r="AD171">
        <v>0</v>
      </c>
      <c r="AE171">
        <v>0</v>
      </c>
      <c r="AF171">
        <v>0</v>
      </c>
      <c r="AG171">
        <v>87157</v>
      </c>
      <c r="AH171">
        <v>31392</v>
      </c>
      <c r="AI171">
        <v>0</v>
      </c>
      <c r="AJ171">
        <v>0</v>
      </c>
      <c r="AK171">
        <v>0</v>
      </c>
      <c r="AL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44456</v>
      </c>
      <c r="BF171">
        <v>0</v>
      </c>
      <c r="BG171">
        <v>0</v>
      </c>
      <c r="BH171">
        <v>0</v>
      </c>
      <c r="BI171">
        <v>0</v>
      </c>
      <c r="BJ171">
        <v>0</v>
      </c>
      <c r="BK171">
        <v>0</v>
      </c>
      <c r="BL171">
        <v>0</v>
      </c>
      <c r="BM171">
        <v>0</v>
      </c>
      <c r="BN171">
        <v>0</v>
      </c>
      <c r="BO171">
        <v>0</v>
      </c>
      <c r="BP171">
        <v>0</v>
      </c>
      <c r="BQ171">
        <v>0</v>
      </c>
      <c r="BR171">
        <v>0</v>
      </c>
      <c r="BS171">
        <v>0</v>
      </c>
      <c r="BT171">
        <v>0</v>
      </c>
      <c r="BU171">
        <v>0</v>
      </c>
      <c r="BV171">
        <v>0</v>
      </c>
      <c r="BW171">
        <v>0</v>
      </c>
      <c r="BX171">
        <v>0</v>
      </c>
      <c r="BY171">
        <v>0</v>
      </c>
      <c r="BZ171">
        <v>0</v>
      </c>
      <c r="CA171">
        <v>0</v>
      </c>
      <c r="CB171">
        <v>0</v>
      </c>
      <c r="CC171">
        <v>0</v>
      </c>
      <c r="CD171">
        <v>0</v>
      </c>
      <c r="CE171">
        <v>0</v>
      </c>
    </row>
    <row r="172" spans="1:83" x14ac:dyDescent="0.25">
      <c r="A172">
        <v>522</v>
      </c>
      <c r="B172">
        <v>522</v>
      </c>
      <c r="C172" t="s">
        <v>287</v>
      </c>
      <c r="D172" t="s">
        <v>492</v>
      </c>
      <c r="E172">
        <v>0</v>
      </c>
      <c r="F172">
        <v>0</v>
      </c>
      <c r="G172">
        <v>6475</v>
      </c>
      <c r="H172">
        <v>0</v>
      </c>
      <c r="I172">
        <v>0</v>
      </c>
      <c r="J172">
        <v>0</v>
      </c>
      <c r="K172">
        <v>674</v>
      </c>
      <c r="L172">
        <v>0</v>
      </c>
      <c r="M172">
        <v>0</v>
      </c>
      <c r="N172">
        <v>0</v>
      </c>
      <c r="O172">
        <v>0</v>
      </c>
      <c r="P172">
        <v>83749</v>
      </c>
      <c r="Q172">
        <v>0</v>
      </c>
      <c r="R172">
        <v>1135966</v>
      </c>
      <c r="S172">
        <v>0</v>
      </c>
      <c r="T172">
        <v>0</v>
      </c>
      <c r="U172">
        <v>606966</v>
      </c>
      <c r="V172">
        <v>138600</v>
      </c>
      <c r="W172">
        <v>1096913</v>
      </c>
      <c r="X172">
        <v>0</v>
      </c>
      <c r="Y172">
        <v>1024</v>
      </c>
      <c r="Z172">
        <v>175877</v>
      </c>
      <c r="AA172">
        <v>0</v>
      </c>
      <c r="AB172">
        <v>203872</v>
      </c>
      <c r="AC172">
        <v>41602</v>
      </c>
      <c r="AD172">
        <v>20860</v>
      </c>
      <c r="AE172" s="708">
        <v>57111</v>
      </c>
      <c r="AF172">
        <v>41987</v>
      </c>
      <c r="AG172">
        <v>223789</v>
      </c>
      <c r="AH172">
        <v>107366</v>
      </c>
      <c r="AI172">
        <v>0</v>
      </c>
      <c r="AJ172">
        <v>582624</v>
      </c>
      <c r="AK172">
        <v>0</v>
      </c>
      <c r="AL172">
        <v>9658</v>
      </c>
      <c r="AM172">
        <v>0</v>
      </c>
      <c r="AN172">
        <v>214267</v>
      </c>
      <c r="AO172">
        <v>0</v>
      </c>
      <c r="AP172">
        <v>0</v>
      </c>
      <c r="AQ172">
        <v>0</v>
      </c>
      <c r="AR172">
        <v>0</v>
      </c>
      <c r="AS172">
        <v>72591</v>
      </c>
      <c r="AT172">
        <v>0</v>
      </c>
      <c r="AU172">
        <v>47196</v>
      </c>
      <c r="AV172">
        <v>0</v>
      </c>
      <c r="AW172">
        <v>1538174</v>
      </c>
      <c r="AX172">
        <v>0</v>
      </c>
      <c r="AY172">
        <v>75735</v>
      </c>
      <c r="AZ172">
        <v>47809</v>
      </c>
      <c r="BA172">
        <v>10275</v>
      </c>
      <c r="BB172">
        <v>7463</v>
      </c>
      <c r="BC172">
        <v>0</v>
      </c>
      <c r="BD172">
        <v>0</v>
      </c>
      <c r="BE172">
        <v>175648</v>
      </c>
      <c r="BF172">
        <v>0</v>
      </c>
      <c r="BG172">
        <v>6464</v>
      </c>
      <c r="BH172">
        <v>2870</v>
      </c>
      <c r="BI172">
        <v>0</v>
      </c>
      <c r="BJ172">
        <v>624</v>
      </c>
      <c r="BK172">
        <v>0</v>
      </c>
      <c r="BL172">
        <v>93108</v>
      </c>
      <c r="BM172">
        <v>0</v>
      </c>
      <c r="BN172">
        <v>52776</v>
      </c>
      <c r="BO172">
        <v>14302</v>
      </c>
      <c r="BP172">
        <v>1682</v>
      </c>
      <c r="BQ172">
        <v>16808</v>
      </c>
      <c r="BR172">
        <v>0</v>
      </c>
      <c r="BS172">
        <v>858</v>
      </c>
      <c r="BT172">
        <v>0</v>
      </c>
      <c r="BU172">
        <v>17000</v>
      </c>
      <c r="BV172">
        <v>41382</v>
      </c>
      <c r="BW172">
        <v>0</v>
      </c>
      <c r="BX172">
        <v>41650</v>
      </c>
      <c r="BY172">
        <v>1231</v>
      </c>
      <c r="BZ172">
        <v>0</v>
      </c>
      <c r="CA172">
        <v>789</v>
      </c>
      <c r="CB172">
        <v>582</v>
      </c>
      <c r="CC172">
        <v>0</v>
      </c>
      <c r="CD172">
        <v>0</v>
      </c>
      <c r="CE172">
        <v>0</v>
      </c>
    </row>
    <row r="173" spans="1:83" x14ac:dyDescent="0.25">
      <c r="A173">
        <v>523</v>
      </c>
      <c r="B173">
        <v>523</v>
      </c>
      <c r="C173" t="s">
        <v>288</v>
      </c>
      <c r="D173" t="s">
        <v>493</v>
      </c>
      <c r="E173">
        <v>0</v>
      </c>
      <c r="F173">
        <v>0</v>
      </c>
      <c r="G173">
        <v>0</v>
      </c>
      <c r="H173">
        <v>0</v>
      </c>
      <c r="I173">
        <v>0</v>
      </c>
      <c r="J173">
        <v>0</v>
      </c>
      <c r="K173">
        <v>0</v>
      </c>
      <c r="L173">
        <v>0</v>
      </c>
      <c r="M173">
        <v>0</v>
      </c>
      <c r="N173">
        <v>0</v>
      </c>
      <c r="O173">
        <v>0</v>
      </c>
      <c r="P173">
        <v>0</v>
      </c>
      <c r="Q173">
        <v>0</v>
      </c>
      <c r="R173">
        <v>15448017</v>
      </c>
      <c r="S173">
        <v>71037</v>
      </c>
      <c r="T173">
        <v>0</v>
      </c>
      <c r="U173">
        <v>32721866</v>
      </c>
      <c r="V173">
        <v>947468</v>
      </c>
      <c r="W173">
        <v>10500151</v>
      </c>
      <c r="X173">
        <v>0</v>
      </c>
      <c r="Y173">
        <v>0</v>
      </c>
      <c r="Z173">
        <v>0</v>
      </c>
      <c r="AA173">
        <v>0</v>
      </c>
      <c r="AB173">
        <v>11421459</v>
      </c>
      <c r="AC173">
        <v>4657616</v>
      </c>
      <c r="AD173">
        <v>111096</v>
      </c>
      <c r="AE173">
        <v>0</v>
      </c>
      <c r="AF173">
        <v>0</v>
      </c>
      <c r="AG173">
        <v>2324635</v>
      </c>
      <c r="AH173">
        <v>0</v>
      </c>
      <c r="AI173">
        <v>0</v>
      </c>
      <c r="AJ173">
        <v>26992662</v>
      </c>
      <c r="AK173">
        <v>0</v>
      </c>
      <c r="AL173">
        <v>0</v>
      </c>
      <c r="AM173">
        <v>0</v>
      </c>
      <c r="AN173">
        <v>18824418</v>
      </c>
      <c r="AO173">
        <v>0</v>
      </c>
      <c r="AP173">
        <v>0</v>
      </c>
      <c r="AQ173">
        <v>0</v>
      </c>
      <c r="AR173">
        <v>0</v>
      </c>
      <c r="AS173">
        <v>0</v>
      </c>
      <c r="AT173">
        <v>0</v>
      </c>
      <c r="AU173">
        <v>0</v>
      </c>
      <c r="AV173">
        <v>0</v>
      </c>
      <c r="AW173">
        <v>2937760</v>
      </c>
      <c r="AX173">
        <v>0</v>
      </c>
      <c r="AY173">
        <v>0</v>
      </c>
      <c r="AZ173">
        <v>59378</v>
      </c>
      <c r="BA173">
        <v>321190</v>
      </c>
      <c r="BB173">
        <v>0</v>
      </c>
      <c r="BC173">
        <v>0</v>
      </c>
      <c r="BD173">
        <v>0</v>
      </c>
      <c r="BE173">
        <v>0</v>
      </c>
      <c r="BF173">
        <v>0</v>
      </c>
      <c r="BG173">
        <v>0</v>
      </c>
      <c r="BH173">
        <v>0</v>
      </c>
      <c r="BI173">
        <v>0</v>
      </c>
      <c r="BJ173">
        <v>0</v>
      </c>
      <c r="BK173">
        <v>0</v>
      </c>
      <c r="BL173">
        <v>0</v>
      </c>
      <c r="BM173">
        <v>0</v>
      </c>
      <c r="BN173">
        <v>0</v>
      </c>
      <c r="BO173">
        <v>0</v>
      </c>
      <c r="BP173">
        <v>0</v>
      </c>
      <c r="BQ173">
        <v>75301</v>
      </c>
      <c r="BR173">
        <v>0</v>
      </c>
      <c r="BS173">
        <v>0</v>
      </c>
      <c r="BT173">
        <v>0</v>
      </c>
      <c r="BU173">
        <v>6924</v>
      </c>
      <c r="BV173">
        <v>132160</v>
      </c>
      <c r="BW173">
        <v>0</v>
      </c>
      <c r="BX173">
        <v>0</v>
      </c>
      <c r="BY173">
        <v>66776</v>
      </c>
      <c r="BZ173">
        <v>0</v>
      </c>
      <c r="CA173">
        <v>0</v>
      </c>
      <c r="CB173">
        <v>0</v>
      </c>
      <c r="CC173">
        <v>0</v>
      </c>
      <c r="CD173">
        <v>0</v>
      </c>
      <c r="CE173">
        <v>0</v>
      </c>
    </row>
    <row r="174" spans="1:83" x14ac:dyDescent="0.25">
      <c r="A174">
        <v>524</v>
      </c>
      <c r="B174">
        <v>524</v>
      </c>
      <c r="C174" t="s">
        <v>289</v>
      </c>
      <c r="D174" t="s">
        <v>494</v>
      </c>
      <c r="E174">
        <v>0</v>
      </c>
      <c r="F174">
        <v>0</v>
      </c>
      <c r="G174">
        <v>3516712</v>
      </c>
      <c r="H174">
        <v>0</v>
      </c>
      <c r="I174">
        <v>0</v>
      </c>
      <c r="J174">
        <v>0</v>
      </c>
      <c r="K174">
        <v>858692</v>
      </c>
      <c r="L174">
        <v>0</v>
      </c>
      <c r="M174">
        <v>0</v>
      </c>
      <c r="N174">
        <v>0</v>
      </c>
      <c r="O174">
        <v>0</v>
      </c>
      <c r="P174">
        <v>12953611</v>
      </c>
      <c r="Q174">
        <v>0</v>
      </c>
      <c r="R174">
        <v>0</v>
      </c>
      <c r="S174">
        <v>1404148</v>
      </c>
      <c r="T174">
        <v>0</v>
      </c>
      <c r="U174">
        <v>47313139</v>
      </c>
      <c r="V174">
        <v>22621062</v>
      </c>
      <c r="W174">
        <v>25166662</v>
      </c>
      <c r="X174">
        <v>0</v>
      </c>
      <c r="Y174">
        <v>1396996</v>
      </c>
      <c r="Z174">
        <v>39879723</v>
      </c>
      <c r="AA174">
        <v>7111922</v>
      </c>
      <c r="AB174">
        <v>12986542</v>
      </c>
      <c r="AC174">
        <v>4636889</v>
      </c>
      <c r="AD174">
        <v>1817123</v>
      </c>
      <c r="AE174" s="708">
        <v>3579719</v>
      </c>
      <c r="AF174">
        <v>9458322</v>
      </c>
      <c r="AG174">
        <v>0</v>
      </c>
      <c r="AH174">
        <v>4512367</v>
      </c>
      <c r="AI174">
        <v>1837510</v>
      </c>
      <c r="AJ174">
        <v>21814067</v>
      </c>
      <c r="AK174">
        <v>1069811</v>
      </c>
      <c r="AL174">
        <v>3868701</v>
      </c>
      <c r="AM174">
        <v>0</v>
      </c>
      <c r="AN174">
        <v>20573513</v>
      </c>
      <c r="AO174">
        <v>0</v>
      </c>
      <c r="AP174">
        <v>0</v>
      </c>
      <c r="AQ174">
        <v>0</v>
      </c>
      <c r="AR174">
        <v>0</v>
      </c>
      <c r="AS174">
        <v>16261895</v>
      </c>
      <c r="AT174">
        <v>1795791</v>
      </c>
      <c r="AU174">
        <v>6742010</v>
      </c>
      <c r="AV174">
        <v>0</v>
      </c>
      <c r="AW174">
        <v>21177925</v>
      </c>
      <c r="AX174">
        <v>0</v>
      </c>
      <c r="AY174">
        <v>5611154</v>
      </c>
      <c r="AZ174">
        <v>1772234</v>
      </c>
      <c r="BA174">
        <v>4055317</v>
      </c>
      <c r="BB174">
        <v>1300943</v>
      </c>
      <c r="BC174">
        <v>0</v>
      </c>
      <c r="BD174">
        <v>0</v>
      </c>
      <c r="BE174">
        <v>14727753</v>
      </c>
      <c r="BF174">
        <v>0</v>
      </c>
      <c r="BG174">
        <v>1554088</v>
      </c>
      <c r="BH174">
        <v>1256731</v>
      </c>
      <c r="BI174">
        <v>0</v>
      </c>
      <c r="BJ174">
        <v>1540859</v>
      </c>
      <c r="BK174">
        <v>0</v>
      </c>
      <c r="BL174">
        <v>6976394</v>
      </c>
      <c r="BM174">
        <v>0</v>
      </c>
      <c r="BN174">
        <v>9139284</v>
      </c>
      <c r="BO174">
        <v>1472649</v>
      </c>
      <c r="BP174">
        <v>2540121</v>
      </c>
      <c r="BQ174">
        <v>713935</v>
      </c>
      <c r="BR174">
        <v>0</v>
      </c>
      <c r="BS174">
        <v>5469123</v>
      </c>
      <c r="BT174">
        <v>0</v>
      </c>
      <c r="BU174">
        <v>4088062</v>
      </c>
      <c r="BV174">
        <v>9398143</v>
      </c>
      <c r="BW174">
        <v>0</v>
      </c>
      <c r="BX174">
        <v>5800181</v>
      </c>
      <c r="BY174">
        <v>1151223</v>
      </c>
      <c r="BZ174">
        <v>183482</v>
      </c>
      <c r="CA174" s="708">
        <v>2741240</v>
      </c>
      <c r="CB174">
        <v>1494982</v>
      </c>
      <c r="CC174">
        <v>0</v>
      </c>
      <c r="CD174">
        <v>0</v>
      </c>
      <c r="CE174">
        <v>378442</v>
      </c>
    </row>
    <row r="175" spans="1:83" x14ac:dyDescent="0.25">
      <c r="A175">
        <v>525</v>
      </c>
      <c r="B175">
        <v>525</v>
      </c>
      <c r="C175" t="s">
        <v>290</v>
      </c>
      <c r="D175" t="s">
        <v>495</v>
      </c>
      <c r="E175">
        <v>0</v>
      </c>
      <c r="F175">
        <v>0</v>
      </c>
      <c r="G175">
        <v>0</v>
      </c>
      <c r="H175">
        <v>0</v>
      </c>
      <c r="I175">
        <v>0</v>
      </c>
      <c r="J175">
        <v>0</v>
      </c>
      <c r="K175">
        <v>0</v>
      </c>
      <c r="L175">
        <v>0</v>
      </c>
      <c r="M175">
        <v>0</v>
      </c>
      <c r="N175">
        <v>0</v>
      </c>
      <c r="O175">
        <v>0</v>
      </c>
      <c r="P175">
        <v>0</v>
      </c>
      <c r="Q175">
        <v>0</v>
      </c>
      <c r="R175">
        <v>21873991</v>
      </c>
      <c r="S175">
        <v>246059</v>
      </c>
      <c r="T175">
        <v>0</v>
      </c>
      <c r="U175">
        <v>0</v>
      </c>
      <c r="V175">
        <v>0</v>
      </c>
      <c r="W175">
        <v>0</v>
      </c>
      <c r="X175">
        <v>0</v>
      </c>
      <c r="Y175">
        <v>0</v>
      </c>
      <c r="Z175">
        <v>0</v>
      </c>
      <c r="AA175">
        <v>0</v>
      </c>
      <c r="AB175">
        <v>0</v>
      </c>
      <c r="AC175">
        <v>0</v>
      </c>
      <c r="AD175">
        <v>0</v>
      </c>
      <c r="AE175">
        <v>0</v>
      </c>
      <c r="AF175">
        <v>0</v>
      </c>
      <c r="AG175">
        <v>867795</v>
      </c>
      <c r="AH175">
        <v>520584</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58908</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row>
    <row r="176" spans="1:83" x14ac:dyDescent="0.25">
      <c r="A176">
        <v>526</v>
      </c>
      <c r="B176">
        <v>526</v>
      </c>
      <c r="C176" t="s">
        <v>291</v>
      </c>
      <c r="D176" t="s">
        <v>496</v>
      </c>
      <c r="E176">
        <v>0</v>
      </c>
      <c r="F176">
        <v>0</v>
      </c>
      <c r="G176">
        <v>147134</v>
      </c>
      <c r="H176">
        <v>0</v>
      </c>
      <c r="I176">
        <v>0</v>
      </c>
      <c r="J176">
        <v>0</v>
      </c>
      <c r="K176">
        <v>5188</v>
      </c>
      <c r="L176">
        <v>0</v>
      </c>
      <c r="M176">
        <v>0</v>
      </c>
      <c r="N176">
        <v>0</v>
      </c>
      <c r="O176">
        <v>0</v>
      </c>
      <c r="P176">
        <v>1657636</v>
      </c>
      <c r="Q176">
        <v>0</v>
      </c>
      <c r="R176">
        <v>8055262</v>
      </c>
      <c r="S176">
        <v>26514</v>
      </c>
      <c r="T176">
        <v>0</v>
      </c>
      <c r="U176">
        <v>6781353</v>
      </c>
      <c r="V176">
        <v>1896736</v>
      </c>
      <c r="W176">
        <v>9262083</v>
      </c>
      <c r="X176">
        <v>0</v>
      </c>
      <c r="Y176">
        <v>10236</v>
      </c>
      <c r="Z176">
        <v>2358951</v>
      </c>
      <c r="AA176">
        <v>0</v>
      </c>
      <c r="AB176">
        <v>2894285</v>
      </c>
      <c r="AC176">
        <v>1081007</v>
      </c>
      <c r="AD176">
        <v>99061</v>
      </c>
      <c r="AE176" s="708">
        <v>551367</v>
      </c>
      <c r="AF176">
        <v>490422</v>
      </c>
      <c r="AG176">
        <v>4622854</v>
      </c>
      <c r="AH176">
        <v>1194439</v>
      </c>
      <c r="AI176">
        <v>1525</v>
      </c>
      <c r="AJ176">
        <v>6523920</v>
      </c>
      <c r="AK176">
        <v>0</v>
      </c>
      <c r="AL176">
        <v>266310</v>
      </c>
      <c r="AM176">
        <v>0</v>
      </c>
      <c r="AN176">
        <v>1967029</v>
      </c>
      <c r="AO176">
        <v>0</v>
      </c>
      <c r="AP176">
        <v>0</v>
      </c>
      <c r="AQ176">
        <v>0</v>
      </c>
      <c r="AR176">
        <v>0</v>
      </c>
      <c r="AS176">
        <v>1259639</v>
      </c>
      <c r="AT176">
        <v>0</v>
      </c>
      <c r="AU176">
        <v>452002</v>
      </c>
      <c r="AV176">
        <v>0</v>
      </c>
      <c r="AW176">
        <v>10992646</v>
      </c>
      <c r="AX176">
        <v>0</v>
      </c>
      <c r="AY176">
        <v>711237</v>
      </c>
      <c r="AZ176">
        <v>1041689</v>
      </c>
      <c r="BA176">
        <v>355234</v>
      </c>
      <c r="BB176">
        <v>68688</v>
      </c>
      <c r="BC176">
        <v>0</v>
      </c>
      <c r="BD176">
        <v>0</v>
      </c>
      <c r="BE176">
        <v>2481638</v>
      </c>
      <c r="BF176">
        <v>0</v>
      </c>
      <c r="BG176">
        <v>101474</v>
      </c>
      <c r="BH176">
        <v>10595</v>
      </c>
      <c r="BI176">
        <v>0</v>
      </c>
      <c r="BJ176">
        <v>11372</v>
      </c>
      <c r="BK176">
        <v>0</v>
      </c>
      <c r="BL176">
        <v>1583141</v>
      </c>
      <c r="BM176">
        <v>0</v>
      </c>
      <c r="BN176">
        <v>195729</v>
      </c>
      <c r="BO176">
        <v>174915</v>
      </c>
      <c r="BP176">
        <v>179314</v>
      </c>
      <c r="BQ176">
        <v>288578</v>
      </c>
      <c r="BR176">
        <v>0</v>
      </c>
      <c r="BS176">
        <v>121267</v>
      </c>
      <c r="BT176">
        <v>0</v>
      </c>
      <c r="BU176">
        <v>250359</v>
      </c>
      <c r="BV176">
        <v>2079370</v>
      </c>
      <c r="BW176">
        <v>0</v>
      </c>
      <c r="BX176">
        <v>1249443</v>
      </c>
      <c r="BY176">
        <v>42456</v>
      </c>
      <c r="BZ176">
        <v>0</v>
      </c>
      <c r="CA176" s="708">
        <v>94818</v>
      </c>
      <c r="CB176">
        <v>5530</v>
      </c>
      <c r="CC176">
        <v>0</v>
      </c>
      <c r="CD176">
        <v>0</v>
      </c>
      <c r="CE176">
        <v>0</v>
      </c>
    </row>
    <row r="177" spans="1:83" x14ac:dyDescent="0.25">
      <c r="A177">
        <v>527</v>
      </c>
      <c r="B177">
        <v>527</v>
      </c>
      <c r="C177" t="s">
        <v>292</v>
      </c>
      <c r="D177" t="s">
        <v>497</v>
      </c>
      <c r="E177">
        <v>0</v>
      </c>
      <c r="F177">
        <v>0</v>
      </c>
      <c r="G177">
        <v>0</v>
      </c>
      <c r="H177">
        <v>0</v>
      </c>
      <c r="I177">
        <v>0</v>
      </c>
      <c r="J177">
        <v>0</v>
      </c>
      <c r="K177">
        <v>0</v>
      </c>
      <c r="L177">
        <v>0</v>
      </c>
      <c r="M177">
        <v>0</v>
      </c>
      <c r="N177">
        <v>0</v>
      </c>
      <c r="O177">
        <v>0</v>
      </c>
      <c r="P177">
        <v>0</v>
      </c>
      <c r="Q177">
        <v>0</v>
      </c>
      <c r="R177">
        <v>7562906</v>
      </c>
      <c r="S177">
        <v>0</v>
      </c>
      <c r="T177">
        <v>0</v>
      </c>
      <c r="U177">
        <v>0</v>
      </c>
      <c r="V177">
        <v>0</v>
      </c>
      <c r="W177">
        <v>55950</v>
      </c>
      <c r="X177">
        <v>0</v>
      </c>
      <c r="Y177">
        <v>0</v>
      </c>
      <c r="Z177">
        <v>0</v>
      </c>
      <c r="AA177">
        <v>0</v>
      </c>
      <c r="AB177">
        <v>0</v>
      </c>
      <c r="AC177">
        <v>0</v>
      </c>
      <c r="AD177">
        <v>0</v>
      </c>
      <c r="AE177">
        <v>0</v>
      </c>
      <c r="AF177">
        <v>0</v>
      </c>
      <c r="AG177">
        <v>0</v>
      </c>
      <c r="AH177">
        <v>0</v>
      </c>
      <c r="AI177">
        <v>0</v>
      </c>
      <c r="AJ177">
        <v>8351067</v>
      </c>
      <c r="AK177">
        <v>0</v>
      </c>
      <c r="AL177">
        <v>0</v>
      </c>
      <c r="AM177">
        <v>0</v>
      </c>
      <c r="AN177">
        <v>726747</v>
      </c>
      <c r="AO177">
        <v>0</v>
      </c>
      <c r="AP177">
        <v>0</v>
      </c>
      <c r="AQ177">
        <v>0</v>
      </c>
      <c r="AR177">
        <v>0</v>
      </c>
      <c r="AS177">
        <v>0</v>
      </c>
      <c r="AT177">
        <v>0</v>
      </c>
      <c r="AU177">
        <v>0</v>
      </c>
      <c r="AV177">
        <v>0</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11600</v>
      </c>
      <c r="BT177">
        <v>4772370</v>
      </c>
      <c r="BU177">
        <v>0</v>
      </c>
      <c r="BV177">
        <v>0</v>
      </c>
      <c r="BW177">
        <v>0</v>
      </c>
      <c r="BX177">
        <v>0</v>
      </c>
      <c r="BY177">
        <v>0</v>
      </c>
      <c r="BZ177">
        <v>0</v>
      </c>
      <c r="CA177">
        <v>0</v>
      </c>
      <c r="CB177">
        <v>0</v>
      </c>
      <c r="CC177">
        <v>0</v>
      </c>
      <c r="CD177">
        <v>0</v>
      </c>
      <c r="CE177">
        <v>0</v>
      </c>
    </row>
    <row r="178" spans="1:83" x14ac:dyDescent="0.25">
      <c r="A178">
        <v>528</v>
      </c>
      <c r="B178">
        <v>528</v>
      </c>
      <c r="C178" t="s">
        <v>274</v>
      </c>
      <c r="D178" t="s">
        <v>498</v>
      </c>
      <c r="E178">
        <v>0</v>
      </c>
      <c r="F178">
        <v>24936</v>
      </c>
      <c r="G178">
        <v>290037</v>
      </c>
      <c r="H178">
        <v>750155</v>
      </c>
      <c r="I178">
        <v>166220</v>
      </c>
      <c r="J178">
        <v>1894819</v>
      </c>
      <c r="K178">
        <v>37862</v>
      </c>
      <c r="L178">
        <v>67282</v>
      </c>
      <c r="M178">
        <v>113472</v>
      </c>
      <c r="N178">
        <v>6439468</v>
      </c>
      <c r="O178">
        <v>26048</v>
      </c>
      <c r="P178">
        <v>2541998</v>
      </c>
      <c r="Q178">
        <v>13360</v>
      </c>
      <c r="R178">
        <v>20510731</v>
      </c>
      <c r="S178">
        <v>1017908</v>
      </c>
      <c r="T178">
        <v>0</v>
      </c>
      <c r="U178">
        <v>35126354</v>
      </c>
      <c r="V178">
        <v>6857214</v>
      </c>
      <c r="W178">
        <v>9165544</v>
      </c>
      <c r="X178">
        <v>17690795</v>
      </c>
      <c r="Y178">
        <v>67971</v>
      </c>
      <c r="Z178">
        <v>6313213</v>
      </c>
      <c r="AA178">
        <v>515877</v>
      </c>
      <c r="AB178">
        <v>6574266</v>
      </c>
      <c r="AC178">
        <v>1466395</v>
      </c>
      <c r="AD178">
        <v>683417</v>
      </c>
      <c r="AE178" s="708">
        <v>806495</v>
      </c>
      <c r="AF178">
        <v>900220</v>
      </c>
      <c r="AG178">
        <v>7316246</v>
      </c>
      <c r="AH178">
        <v>2170651</v>
      </c>
      <c r="AI178">
        <v>199460</v>
      </c>
      <c r="AJ178">
        <v>13334949</v>
      </c>
      <c r="AK178">
        <v>184967</v>
      </c>
      <c r="AL178">
        <v>324283</v>
      </c>
      <c r="AM178">
        <v>0</v>
      </c>
      <c r="AN178">
        <v>5603555</v>
      </c>
      <c r="AO178">
        <v>0</v>
      </c>
      <c r="AP178">
        <v>0</v>
      </c>
      <c r="AQ178">
        <v>0</v>
      </c>
      <c r="AR178">
        <v>3250618</v>
      </c>
      <c r="AS178">
        <v>2124013</v>
      </c>
      <c r="AT178">
        <v>140959</v>
      </c>
      <c r="AU178">
        <v>1084023</v>
      </c>
      <c r="AV178">
        <v>0</v>
      </c>
      <c r="AW178">
        <v>8105082</v>
      </c>
      <c r="AX178">
        <v>748137</v>
      </c>
      <c r="AY178">
        <v>576344</v>
      </c>
      <c r="AZ178">
        <v>3191092</v>
      </c>
      <c r="BA178">
        <v>357040</v>
      </c>
      <c r="BB178">
        <v>493414</v>
      </c>
      <c r="BC178">
        <v>0</v>
      </c>
      <c r="BD178">
        <v>0</v>
      </c>
      <c r="BE178">
        <v>3267477</v>
      </c>
      <c r="BF178">
        <v>30202</v>
      </c>
      <c r="BG178">
        <v>148090</v>
      </c>
      <c r="BH178">
        <v>60155</v>
      </c>
      <c r="BI178">
        <v>30418</v>
      </c>
      <c r="BJ178">
        <v>48851</v>
      </c>
      <c r="BK178">
        <v>44473</v>
      </c>
      <c r="BL178">
        <v>1168298</v>
      </c>
      <c r="BM178">
        <v>0</v>
      </c>
      <c r="BN178">
        <v>790817</v>
      </c>
      <c r="BO178">
        <v>1770282</v>
      </c>
      <c r="BP178">
        <v>453573</v>
      </c>
      <c r="BQ178">
        <v>403801</v>
      </c>
      <c r="BR178">
        <v>9667660</v>
      </c>
      <c r="BS178">
        <v>171168</v>
      </c>
      <c r="BT178">
        <v>6517191</v>
      </c>
      <c r="BU178">
        <v>183831</v>
      </c>
      <c r="BV178">
        <v>2224992</v>
      </c>
      <c r="BW178">
        <v>177251</v>
      </c>
      <c r="BX178">
        <v>962705</v>
      </c>
      <c r="BY178">
        <v>107815</v>
      </c>
      <c r="BZ178">
        <v>12302</v>
      </c>
      <c r="CA178" s="708">
        <v>67907</v>
      </c>
      <c r="CB178">
        <v>21414</v>
      </c>
      <c r="CC178">
        <v>0</v>
      </c>
      <c r="CD178">
        <v>0</v>
      </c>
      <c r="CE178">
        <v>7159</v>
      </c>
    </row>
    <row r="179" spans="1:83" x14ac:dyDescent="0.25">
      <c r="A179">
        <v>529</v>
      </c>
      <c r="B179">
        <v>529</v>
      </c>
      <c r="C179" t="s">
        <v>275</v>
      </c>
      <c r="D179" t="s">
        <v>499</v>
      </c>
      <c r="E179">
        <v>0</v>
      </c>
      <c r="F179">
        <v>3445</v>
      </c>
      <c r="G179">
        <v>38100</v>
      </c>
      <c r="H179">
        <v>95375</v>
      </c>
      <c r="I179">
        <v>22192</v>
      </c>
      <c r="J179">
        <v>155040</v>
      </c>
      <c r="K179">
        <v>3540</v>
      </c>
      <c r="L179">
        <v>7880</v>
      </c>
      <c r="M179">
        <v>8233</v>
      </c>
      <c r="N179">
        <v>733197</v>
      </c>
      <c r="O179">
        <v>4686</v>
      </c>
      <c r="P179">
        <v>130824</v>
      </c>
      <c r="Q179">
        <v>2564</v>
      </c>
      <c r="R179">
        <v>1689843</v>
      </c>
      <c r="S179">
        <v>19622</v>
      </c>
      <c r="T179">
        <v>0</v>
      </c>
      <c r="U179">
        <v>2841232</v>
      </c>
      <c r="V179">
        <v>334087</v>
      </c>
      <c r="W179">
        <v>680414</v>
      </c>
      <c r="X179">
        <v>1126413</v>
      </c>
      <c r="Y179">
        <v>10192</v>
      </c>
      <c r="Z179">
        <v>520454</v>
      </c>
      <c r="AA179">
        <v>47660</v>
      </c>
      <c r="AB179">
        <v>772263</v>
      </c>
      <c r="AC179">
        <v>162580</v>
      </c>
      <c r="AD179">
        <v>69359</v>
      </c>
      <c r="AE179" s="708">
        <v>127284</v>
      </c>
      <c r="AF179">
        <v>44989</v>
      </c>
      <c r="AG179">
        <v>134381</v>
      </c>
      <c r="AH179">
        <v>287301</v>
      </c>
      <c r="AI179">
        <v>16977</v>
      </c>
      <c r="AJ179">
        <v>1247121</v>
      </c>
      <c r="AK179">
        <v>11957</v>
      </c>
      <c r="AL179">
        <v>25450</v>
      </c>
      <c r="AM179">
        <v>0</v>
      </c>
      <c r="AN179">
        <v>484109</v>
      </c>
      <c r="AO179">
        <v>0</v>
      </c>
      <c r="AP179">
        <v>0</v>
      </c>
      <c r="AQ179">
        <v>0</v>
      </c>
      <c r="AR179">
        <v>54112</v>
      </c>
      <c r="AS179">
        <v>164745</v>
      </c>
      <c r="AT179">
        <v>14032</v>
      </c>
      <c r="AU179">
        <v>76777</v>
      </c>
      <c r="AV179">
        <v>0</v>
      </c>
      <c r="AW179">
        <v>318294</v>
      </c>
      <c r="AX179">
        <v>80025</v>
      </c>
      <c r="AY179">
        <v>67674</v>
      </c>
      <c r="AZ179">
        <v>42795</v>
      </c>
      <c r="BA179">
        <v>16656</v>
      </c>
      <c r="BB179">
        <v>25817</v>
      </c>
      <c r="BC179">
        <v>0</v>
      </c>
      <c r="BD179">
        <v>0</v>
      </c>
      <c r="BE179">
        <v>356333</v>
      </c>
      <c r="BF179">
        <v>2728</v>
      </c>
      <c r="BG179">
        <v>14651</v>
      </c>
      <c r="BH179">
        <v>11498</v>
      </c>
      <c r="BI179">
        <v>1558</v>
      </c>
      <c r="BJ179">
        <v>8243</v>
      </c>
      <c r="BK179">
        <v>3068</v>
      </c>
      <c r="BL179">
        <v>81761</v>
      </c>
      <c r="BM179">
        <v>0</v>
      </c>
      <c r="BN179">
        <v>61483</v>
      </c>
      <c r="BO179">
        <v>41045</v>
      </c>
      <c r="BP179">
        <v>66005</v>
      </c>
      <c r="BQ179">
        <v>60509</v>
      </c>
      <c r="BR179">
        <v>666353</v>
      </c>
      <c r="BS179">
        <v>33299</v>
      </c>
      <c r="BT179">
        <v>365025</v>
      </c>
      <c r="BU179">
        <v>17980</v>
      </c>
      <c r="BV179">
        <v>215683</v>
      </c>
      <c r="BW179">
        <v>20386</v>
      </c>
      <c r="BX179">
        <v>82730</v>
      </c>
      <c r="BY179">
        <v>15704</v>
      </c>
      <c r="BZ179">
        <v>1661</v>
      </c>
      <c r="CA179" s="708">
        <v>9318</v>
      </c>
      <c r="CB179">
        <v>3963</v>
      </c>
      <c r="CC179">
        <v>0</v>
      </c>
      <c r="CD179">
        <v>0</v>
      </c>
      <c r="CE179">
        <v>3724</v>
      </c>
    </row>
    <row r="180" spans="1:83" x14ac:dyDescent="0.25">
      <c r="A180">
        <v>530</v>
      </c>
      <c r="B180">
        <v>530</v>
      </c>
      <c r="C180" t="s">
        <v>276</v>
      </c>
      <c r="D180" t="s">
        <v>500</v>
      </c>
      <c r="E180">
        <v>0</v>
      </c>
      <c r="F180">
        <v>249</v>
      </c>
      <c r="G180">
        <v>6446</v>
      </c>
      <c r="H180">
        <v>14428</v>
      </c>
      <c r="I180">
        <v>5101</v>
      </c>
      <c r="J180">
        <v>17467</v>
      </c>
      <c r="K180">
        <v>1496</v>
      </c>
      <c r="L180">
        <v>319</v>
      </c>
      <c r="M180">
        <v>1801</v>
      </c>
      <c r="N180">
        <v>28518</v>
      </c>
      <c r="O180">
        <v>1166</v>
      </c>
      <c r="P180">
        <v>29205</v>
      </c>
      <c r="Q180">
        <v>114</v>
      </c>
      <c r="R180">
        <v>176557</v>
      </c>
      <c r="S180">
        <v>102</v>
      </c>
      <c r="T180">
        <v>0</v>
      </c>
      <c r="U180">
        <v>282469</v>
      </c>
      <c r="V180">
        <v>48552</v>
      </c>
      <c r="W180">
        <v>151448</v>
      </c>
      <c r="X180">
        <v>13538</v>
      </c>
      <c r="Y180">
        <v>14022</v>
      </c>
      <c r="Z180">
        <v>102889</v>
      </c>
      <c r="AA180">
        <v>27088</v>
      </c>
      <c r="AB180">
        <v>43426</v>
      </c>
      <c r="AC180">
        <v>41847</v>
      </c>
      <c r="AD180">
        <v>11676</v>
      </c>
      <c r="AE180" s="708">
        <v>24287</v>
      </c>
      <c r="AF180">
        <v>68664</v>
      </c>
      <c r="AG180">
        <v>1749</v>
      </c>
      <c r="AH180">
        <v>45942</v>
      </c>
      <c r="AI180">
        <v>14655</v>
      </c>
      <c r="AJ180">
        <v>96219</v>
      </c>
      <c r="AK180">
        <v>543</v>
      </c>
      <c r="AL180">
        <v>18132</v>
      </c>
      <c r="AM180">
        <v>0</v>
      </c>
      <c r="AN180">
        <v>92552</v>
      </c>
      <c r="AO180">
        <v>0</v>
      </c>
      <c r="AP180">
        <v>0</v>
      </c>
      <c r="AQ180">
        <v>0</v>
      </c>
      <c r="AR180">
        <v>21210</v>
      </c>
      <c r="AS180">
        <v>77485</v>
      </c>
      <c r="AT180">
        <v>8958</v>
      </c>
      <c r="AU180">
        <v>23766</v>
      </c>
      <c r="AV180">
        <v>0</v>
      </c>
      <c r="AW180">
        <v>70298</v>
      </c>
      <c r="AX180">
        <v>4204</v>
      </c>
      <c r="AY180">
        <v>10997</v>
      </c>
      <c r="AZ180">
        <v>94936</v>
      </c>
      <c r="BA180">
        <v>5486</v>
      </c>
      <c r="BB180">
        <v>28200</v>
      </c>
      <c r="BC180">
        <v>0</v>
      </c>
      <c r="BD180">
        <v>0</v>
      </c>
      <c r="BE180">
        <v>55229</v>
      </c>
      <c r="BF180">
        <v>570</v>
      </c>
      <c r="BG180">
        <v>9959</v>
      </c>
      <c r="BH180">
        <v>14255</v>
      </c>
      <c r="BI180">
        <v>829</v>
      </c>
      <c r="BJ180">
        <v>2485</v>
      </c>
      <c r="BK180">
        <v>1734</v>
      </c>
      <c r="BL180">
        <v>55291</v>
      </c>
      <c r="BM180">
        <v>0</v>
      </c>
      <c r="BN180">
        <v>7492</v>
      </c>
      <c r="BO180">
        <v>1577</v>
      </c>
      <c r="BP180">
        <v>747</v>
      </c>
      <c r="BQ180">
        <v>3332</v>
      </c>
      <c r="BR180">
        <v>10853</v>
      </c>
      <c r="BS180">
        <v>24288</v>
      </c>
      <c r="BT180">
        <v>24446</v>
      </c>
      <c r="BU180">
        <v>6888</v>
      </c>
      <c r="BV180">
        <v>43018</v>
      </c>
      <c r="BW180">
        <v>2742</v>
      </c>
      <c r="BX180">
        <v>80935</v>
      </c>
      <c r="BY180">
        <v>9488</v>
      </c>
      <c r="BZ180">
        <v>53</v>
      </c>
      <c r="CA180" s="708">
        <v>16543</v>
      </c>
      <c r="CB180">
        <v>678</v>
      </c>
      <c r="CC180">
        <v>0</v>
      </c>
      <c r="CD180">
        <v>0</v>
      </c>
      <c r="CE180">
        <v>930</v>
      </c>
    </row>
    <row r="181" spans="1:83" x14ac:dyDescent="0.25">
      <c r="A181">
        <v>531</v>
      </c>
      <c r="B181">
        <v>531</v>
      </c>
      <c r="C181" t="s">
        <v>277</v>
      </c>
      <c r="D181" t="s">
        <v>501</v>
      </c>
      <c r="E181">
        <v>0</v>
      </c>
      <c r="F181">
        <v>0</v>
      </c>
      <c r="G181">
        <v>0</v>
      </c>
      <c r="H181">
        <v>0</v>
      </c>
      <c r="I181">
        <v>0</v>
      </c>
      <c r="J181">
        <v>0</v>
      </c>
      <c r="K181">
        <v>0</v>
      </c>
      <c r="L181">
        <v>0</v>
      </c>
      <c r="M181">
        <v>0</v>
      </c>
      <c r="N181">
        <v>0</v>
      </c>
      <c r="O181">
        <v>0</v>
      </c>
      <c r="P181">
        <v>0</v>
      </c>
      <c r="Q181">
        <v>0</v>
      </c>
      <c r="R181">
        <v>0</v>
      </c>
      <c r="S181">
        <v>0</v>
      </c>
      <c r="T181">
        <v>0</v>
      </c>
      <c r="U181">
        <v>14203</v>
      </c>
      <c r="V181">
        <v>0</v>
      </c>
      <c r="W181">
        <v>0</v>
      </c>
      <c r="X181">
        <v>1965</v>
      </c>
      <c r="Y181">
        <v>0</v>
      </c>
      <c r="Z181">
        <v>1633</v>
      </c>
      <c r="AA181">
        <v>0</v>
      </c>
      <c r="AB181">
        <v>0</v>
      </c>
      <c r="AC181">
        <v>1597</v>
      </c>
      <c r="AD181">
        <v>0</v>
      </c>
      <c r="AE181">
        <v>0</v>
      </c>
      <c r="AF181">
        <v>0</v>
      </c>
      <c r="AG181">
        <v>0</v>
      </c>
      <c r="AH181">
        <v>0</v>
      </c>
      <c r="AI181">
        <v>0</v>
      </c>
      <c r="AJ181">
        <v>0</v>
      </c>
      <c r="AK181">
        <v>0</v>
      </c>
      <c r="AL181">
        <v>2239</v>
      </c>
      <c r="AM181">
        <v>0</v>
      </c>
      <c r="AN181">
        <v>78</v>
      </c>
      <c r="AO181">
        <v>0</v>
      </c>
      <c r="AP181">
        <v>0</v>
      </c>
      <c r="AQ181">
        <v>0</v>
      </c>
      <c r="AR181">
        <v>0</v>
      </c>
      <c r="AS181">
        <v>0</v>
      </c>
      <c r="AT181">
        <v>0</v>
      </c>
      <c r="AU181">
        <v>155</v>
      </c>
      <c r="AV181">
        <v>0</v>
      </c>
      <c r="AW181">
        <v>0</v>
      </c>
      <c r="AX181">
        <v>0</v>
      </c>
      <c r="AY181">
        <v>0</v>
      </c>
      <c r="AZ181">
        <v>0</v>
      </c>
      <c r="BA181">
        <v>0</v>
      </c>
      <c r="BB181">
        <v>0</v>
      </c>
      <c r="BC181">
        <v>0</v>
      </c>
      <c r="BD181">
        <v>0</v>
      </c>
      <c r="BE181">
        <v>316</v>
      </c>
      <c r="BF181">
        <v>0</v>
      </c>
      <c r="BG181">
        <v>0</v>
      </c>
      <c r="BH181">
        <v>0</v>
      </c>
      <c r="BI181">
        <v>0</v>
      </c>
      <c r="BJ181">
        <v>0</v>
      </c>
      <c r="BK181">
        <v>0</v>
      </c>
      <c r="BL181">
        <v>2255</v>
      </c>
      <c r="BM181">
        <v>0</v>
      </c>
      <c r="BN181">
        <v>0</v>
      </c>
      <c r="BO181">
        <v>275</v>
      </c>
      <c r="BP181">
        <v>0</v>
      </c>
      <c r="BQ181">
        <v>0</v>
      </c>
      <c r="BR181">
        <v>0</v>
      </c>
      <c r="BS181">
        <v>0</v>
      </c>
      <c r="BT181">
        <v>0</v>
      </c>
      <c r="BU181">
        <v>0</v>
      </c>
      <c r="BV181">
        <v>0</v>
      </c>
      <c r="BW181">
        <v>0</v>
      </c>
      <c r="BX181">
        <v>0</v>
      </c>
      <c r="BY181">
        <v>0</v>
      </c>
      <c r="BZ181">
        <v>0</v>
      </c>
      <c r="CA181">
        <v>0</v>
      </c>
      <c r="CB181">
        <v>0</v>
      </c>
      <c r="CC181">
        <v>0</v>
      </c>
      <c r="CD181">
        <v>0</v>
      </c>
      <c r="CE181">
        <v>0</v>
      </c>
    </row>
    <row r="182" spans="1:83" x14ac:dyDescent="0.25">
      <c r="A182">
        <v>532</v>
      </c>
      <c r="B182">
        <v>532</v>
      </c>
      <c r="C182" t="s">
        <v>572</v>
      </c>
      <c r="D182" t="s">
        <v>502</v>
      </c>
      <c r="E182">
        <v>0</v>
      </c>
      <c r="F182">
        <v>49367</v>
      </c>
      <c r="G182">
        <v>847133</v>
      </c>
      <c r="H182">
        <v>1685894</v>
      </c>
      <c r="I182">
        <v>912078</v>
      </c>
      <c r="J182">
        <v>3019414</v>
      </c>
      <c r="K182">
        <v>63427</v>
      </c>
      <c r="L182">
        <v>286422</v>
      </c>
      <c r="M182">
        <v>140943</v>
      </c>
      <c r="N182">
        <v>14812420</v>
      </c>
      <c r="O182">
        <v>502624</v>
      </c>
      <c r="P182">
        <v>6591794</v>
      </c>
      <c r="Q182">
        <v>57300</v>
      </c>
      <c r="R182">
        <v>34583498</v>
      </c>
      <c r="S182">
        <v>1673349</v>
      </c>
      <c r="T182">
        <v>34899</v>
      </c>
      <c r="U182">
        <v>64359226</v>
      </c>
      <c r="V182">
        <v>10558079</v>
      </c>
      <c r="W182">
        <v>20909643</v>
      </c>
      <c r="X182">
        <v>27306085</v>
      </c>
      <c r="Y182">
        <v>250349</v>
      </c>
      <c r="Z182">
        <v>13248818</v>
      </c>
      <c r="AA182">
        <v>1147409</v>
      </c>
      <c r="AB182">
        <v>12577191</v>
      </c>
      <c r="AC182">
        <v>4804402</v>
      </c>
      <c r="AD182">
        <v>1495028</v>
      </c>
      <c r="AE182" s="708">
        <v>1923979</v>
      </c>
      <c r="AF182">
        <v>2064663</v>
      </c>
      <c r="AG182">
        <v>16051872</v>
      </c>
      <c r="AH182">
        <v>5001884</v>
      </c>
      <c r="AI182">
        <v>1321731</v>
      </c>
      <c r="AJ182">
        <v>29665698</v>
      </c>
      <c r="AK182">
        <v>302719</v>
      </c>
      <c r="AL182">
        <v>851500</v>
      </c>
      <c r="AM182">
        <v>0</v>
      </c>
      <c r="AN182">
        <v>14284631</v>
      </c>
      <c r="AO182">
        <v>0</v>
      </c>
      <c r="AP182">
        <v>0</v>
      </c>
      <c r="AQ182">
        <v>34769</v>
      </c>
      <c r="AR182">
        <v>4457436</v>
      </c>
      <c r="AS182">
        <v>5926194</v>
      </c>
      <c r="AT182">
        <v>459943</v>
      </c>
      <c r="AU182">
        <v>2310188</v>
      </c>
      <c r="AV182">
        <v>0</v>
      </c>
      <c r="AW182">
        <v>15007377</v>
      </c>
      <c r="AX182">
        <v>3412724</v>
      </c>
      <c r="AY182">
        <v>1633977</v>
      </c>
      <c r="AZ182">
        <v>6559255</v>
      </c>
      <c r="BA182">
        <v>931693</v>
      </c>
      <c r="BB182">
        <v>1324452</v>
      </c>
      <c r="BC182">
        <v>16570</v>
      </c>
      <c r="BD182">
        <v>0</v>
      </c>
      <c r="BE182">
        <v>9577055</v>
      </c>
      <c r="BF182">
        <v>99808</v>
      </c>
      <c r="BG182">
        <v>527026</v>
      </c>
      <c r="BH182">
        <v>136253</v>
      </c>
      <c r="BI182">
        <v>86860</v>
      </c>
      <c r="BJ182">
        <v>230133</v>
      </c>
      <c r="BK182">
        <v>144758</v>
      </c>
      <c r="BL182">
        <v>3325911</v>
      </c>
      <c r="BM182">
        <v>0</v>
      </c>
      <c r="BN182">
        <v>1750250</v>
      </c>
      <c r="BO182">
        <v>5396975</v>
      </c>
      <c r="BP182">
        <v>1209090</v>
      </c>
      <c r="BQ182">
        <v>1781069</v>
      </c>
      <c r="BR182">
        <v>17526893</v>
      </c>
      <c r="BS182">
        <v>1325462</v>
      </c>
      <c r="BT182">
        <v>12344954</v>
      </c>
      <c r="BU182">
        <v>647489</v>
      </c>
      <c r="BV182">
        <v>4554500</v>
      </c>
      <c r="BW182">
        <v>671127</v>
      </c>
      <c r="BX182">
        <v>2098284</v>
      </c>
      <c r="BY182">
        <v>703929</v>
      </c>
      <c r="BZ182">
        <v>80047</v>
      </c>
      <c r="CA182" s="708">
        <v>228197</v>
      </c>
      <c r="CB182">
        <v>122165</v>
      </c>
      <c r="CC182">
        <v>0</v>
      </c>
      <c r="CD182">
        <v>0</v>
      </c>
      <c r="CE182">
        <v>60299</v>
      </c>
    </row>
    <row r="183" spans="1:83" x14ac:dyDescent="0.25">
      <c r="A183">
        <v>533</v>
      </c>
      <c r="B183">
        <v>533</v>
      </c>
      <c r="C183" t="s">
        <v>573</v>
      </c>
      <c r="D183" t="s">
        <v>503</v>
      </c>
      <c r="E183">
        <v>0</v>
      </c>
      <c r="F183">
        <v>0</v>
      </c>
      <c r="G183">
        <v>32200</v>
      </c>
      <c r="H183">
        <v>0</v>
      </c>
      <c r="I183">
        <v>0</v>
      </c>
      <c r="J183">
        <v>0</v>
      </c>
      <c r="K183">
        <v>0</v>
      </c>
      <c r="L183">
        <v>0</v>
      </c>
      <c r="M183">
        <v>0</v>
      </c>
      <c r="N183">
        <v>385639</v>
      </c>
      <c r="O183">
        <v>41000</v>
      </c>
      <c r="P183">
        <v>0</v>
      </c>
      <c r="Q183">
        <v>0</v>
      </c>
      <c r="R183">
        <v>748171</v>
      </c>
      <c r="S183">
        <v>0</v>
      </c>
      <c r="T183">
        <v>0</v>
      </c>
      <c r="U183">
        <v>0</v>
      </c>
      <c r="V183">
        <v>0</v>
      </c>
      <c r="W183">
        <v>918948</v>
      </c>
      <c r="X183">
        <v>0</v>
      </c>
      <c r="Y183">
        <v>0</v>
      </c>
      <c r="Z183">
        <v>0</v>
      </c>
      <c r="AA183">
        <v>0</v>
      </c>
      <c r="AB183">
        <v>0</v>
      </c>
      <c r="AC183">
        <v>0</v>
      </c>
      <c r="AD183">
        <v>0</v>
      </c>
      <c r="AE183">
        <v>0</v>
      </c>
      <c r="AF183">
        <v>0</v>
      </c>
      <c r="AG183">
        <v>2217383</v>
      </c>
      <c r="AH183">
        <v>0</v>
      </c>
      <c r="AI183">
        <v>0</v>
      </c>
      <c r="AJ183">
        <v>1629798</v>
      </c>
      <c r="AK183">
        <v>0</v>
      </c>
      <c r="AL183">
        <v>0</v>
      </c>
      <c r="AM183">
        <v>0</v>
      </c>
      <c r="AN183">
        <v>900868</v>
      </c>
      <c r="AO183">
        <v>0</v>
      </c>
      <c r="AP183">
        <v>0</v>
      </c>
      <c r="AQ183">
        <v>0</v>
      </c>
      <c r="AR183">
        <v>0</v>
      </c>
      <c r="AS183">
        <v>0</v>
      </c>
      <c r="AT183">
        <v>0</v>
      </c>
      <c r="AU183">
        <v>0</v>
      </c>
      <c r="AV183">
        <v>0</v>
      </c>
      <c r="AW183">
        <v>0</v>
      </c>
      <c r="AX183">
        <v>1620000</v>
      </c>
      <c r="AY183">
        <v>0</v>
      </c>
      <c r="AZ183">
        <v>1000000</v>
      </c>
      <c r="BA183">
        <v>49000</v>
      </c>
      <c r="BB183">
        <v>0</v>
      </c>
      <c r="BC183">
        <v>0</v>
      </c>
      <c r="BD183">
        <v>0</v>
      </c>
      <c r="BE183">
        <v>779306</v>
      </c>
      <c r="BF183">
        <v>0</v>
      </c>
      <c r="BG183">
        <v>0</v>
      </c>
      <c r="BH183">
        <v>0</v>
      </c>
      <c r="BI183">
        <v>0</v>
      </c>
      <c r="BJ183">
        <v>0</v>
      </c>
      <c r="BK183">
        <v>0</v>
      </c>
      <c r="BL183">
        <v>0</v>
      </c>
      <c r="BM183">
        <v>0</v>
      </c>
      <c r="BN183">
        <v>0</v>
      </c>
      <c r="BO183">
        <v>230000</v>
      </c>
      <c r="BP183">
        <v>0</v>
      </c>
      <c r="BQ183">
        <v>0</v>
      </c>
      <c r="BR183">
        <v>0</v>
      </c>
      <c r="BS183">
        <v>0</v>
      </c>
      <c r="BT183">
        <v>0</v>
      </c>
      <c r="BU183">
        <v>0</v>
      </c>
      <c r="BV183">
        <v>157000</v>
      </c>
      <c r="BW183">
        <v>0</v>
      </c>
      <c r="BX183">
        <v>0</v>
      </c>
      <c r="BY183">
        <v>0</v>
      </c>
      <c r="BZ183">
        <v>0</v>
      </c>
      <c r="CA183">
        <v>0</v>
      </c>
      <c r="CB183">
        <v>0</v>
      </c>
      <c r="CC183">
        <v>0</v>
      </c>
      <c r="CD183">
        <v>0</v>
      </c>
      <c r="CE183">
        <v>0</v>
      </c>
    </row>
    <row r="184" spans="1:83" x14ac:dyDescent="0.25">
      <c r="B184">
        <v>534</v>
      </c>
      <c r="C184" t="s">
        <v>278</v>
      </c>
      <c r="D184" t="s">
        <v>504</v>
      </c>
    </row>
    <row r="185" spans="1:83" x14ac:dyDescent="0.25">
      <c r="A185">
        <v>535</v>
      </c>
      <c r="B185">
        <v>535</v>
      </c>
      <c r="C185" t="s">
        <v>256</v>
      </c>
      <c r="D185" t="s">
        <v>505</v>
      </c>
      <c r="E185">
        <v>0</v>
      </c>
      <c r="F185">
        <v>0</v>
      </c>
      <c r="G185">
        <v>0</v>
      </c>
      <c r="H185">
        <v>0</v>
      </c>
      <c r="I185">
        <v>0</v>
      </c>
      <c r="J185">
        <v>0</v>
      </c>
      <c r="K185">
        <v>0</v>
      </c>
      <c r="L185">
        <v>0</v>
      </c>
      <c r="M185">
        <v>0</v>
      </c>
      <c r="N185">
        <v>0</v>
      </c>
      <c r="O185">
        <v>0</v>
      </c>
      <c r="P185">
        <v>0</v>
      </c>
      <c r="Q185">
        <v>0</v>
      </c>
      <c r="R185">
        <v>13491568</v>
      </c>
      <c r="S185">
        <v>994106</v>
      </c>
      <c r="T185">
        <v>0</v>
      </c>
      <c r="U185">
        <v>17873350</v>
      </c>
      <c r="V185">
        <v>0</v>
      </c>
      <c r="W185">
        <v>0</v>
      </c>
      <c r="X185">
        <v>8875328</v>
      </c>
      <c r="Y185">
        <v>0</v>
      </c>
      <c r="Z185">
        <v>0</v>
      </c>
      <c r="AA185">
        <v>0</v>
      </c>
      <c r="AB185">
        <v>224573</v>
      </c>
      <c r="AC185">
        <v>0</v>
      </c>
      <c r="AD185">
        <v>0</v>
      </c>
      <c r="AE185">
        <v>0</v>
      </c>
      <c r="AF185">
        <v>0</v>
      </c>
      <c r="AG185">
        <v>25656914</v>
      </c>
      <c r="AH185">
        <v>0</v>
      </c>
      <c r="AI185">
        <v>0</v>
      </c>
      <c r="AJ185">
        <v>0</v>
      </c>
      <c r="AK185">
        <v>0</v>
      </c>
      <c r="AL185">
        <v>0</v>
      </c>
      <c r="AM185">
        <v>0</v>
      </c>
      <c r="AN185">
        <v>154116</v>
      </c>
      <c r="AO185">
        <v>0</v>
      </c>
      <c r="AP185">
        <v>0</v>
      </c>
      <c r="AQ185">
        <v>0</v>
      </c>
      <c r="AR185">
        <v>0</v>
      </c>
      <c r="AS185">
        <v>0</v>
      </c>
      <c r="AT185">
        <v>0</v>
      </c>
      <c r="AU185">
        <v>0</v>
      </c>
      <c r="AV185">
        <v>0</v>
      </c>
      <c r="AW185">
        <v>8790703</v>
      </c>
      <c r="AX185">
        <v>0</v>
      </c>
      <c r="AY185">
        <v>0</v>
      </c>
      <c r="AZ185">
        <v>5717477</v>
      </c>
      <c r="BA185">
        <v>0</v>
      </c>
      <c r="BB185">
        <v>0</v>
      </c>
      <c r="BC185">
        <v>0</v>
      </c>
      <c r="BD185">
        <v>0</v>
      </c>
      <c r="BE185">
        <v>0</v>
      </c>
      <c r="BF185">
        <v>0</v>
      </c>
      <c r="BG185">
        <v>1</v>
      </c>
      <c r="BH185">
        <v>0</v>
      </c>
      <c r="BI185">
        <v>1</v>
      </c>
      <c r="BJ185">
        <v>0</v>
      </c>
      <c r="BK185">
        <v>0</v>
      </c>
      <c r="BL185">
        <v>1</v>
      </c>
      <c r="BM185">
        <v>0</v>
      </c>
      <c r="BN185">
        <v>0</v>
      </c>
      <c r="BO185">
        <v>0</v>
      </c>
      <c r="BP185">
        <v>0</v>
      </c>
      <c r="BQ185">
        <v>0</v>
      </c>
      <c r="BR185">
        <v>0</v>
      </c>
      <c r="BS185">
        <v>0</v>
      </c>
      <c r="BT185">
        <v>0</v>
      </c>
      <c r="BU185">
        <v>0</v>
      </c>
      <c r="BV185">
        <v>24381</v>
      </c>
      <c r="BW185">
        <v>0</v>
      </c>
      <c r="BX185">
        <v>0</v>
      </c>
      <c r="BY185">
        <v>0</v>
      </c>
      <c r="BZ185">
        <v>0</v>
      </c>
      <c r="CA185">
        <v>0</v>
      </c>
      <c r="CB185">
        <v>0</v>
      </c>
      <c r="CC185">
        <v>0</v>
      </c>
      <c r="CD185">
        <v>0</v>
      </c>
      <c r="CE185">
        <v>1</v>
      </c>
    </row>
    <row r="186" spans="1:83" x14ac:dyDescent="0.25">
      <c r="A186">
        <v>536</v>
      </c>
      <c r="B186">
        <v>536</v>
      </c>
      <c r="C186" t="s">
        <v>202</v>
      </c>
      <c r="D186" t="s">
        <v>506</v>
      </c>
      <c r="E186">
        <v>0</v>
      </c>
      <c r="F186">
        <v>34379</v>
      </c>
      <c r="G186">
        <v>110789</v>
      </c>
      <c r="H186">
        <v>211409</v>
      </c>
      <c r="I186">
        <v>0</v>
      </c>
      <c r="J186">
        <v>122381</v>
      </c>
      <c r="K186">
        <v>0</v>
      </c>
      <c r="L186">
        <v>21341</v>
      </c>
      <c r="M186">
        <v>0</v>
      </c>
      <c r="N186">
        <v>1073655</v>
      </c>
      <c r="O186">
        <v>84991</v>
      </c>
      <c r="P186">
        <v>700189</v>
      </c>
      <c r="Q186">
        <v>0</v>
      </c>
      <c r="R186">
        <v>1800869</v>
      </c>
      <c r="S186">
        <v>281397</v>
      </c>
      <c r="T186">
        <v>0</v>
      </c>
      <c r="U186">
        <v>4309070</v>
      </c>
      <c r="V186">
        <v>846442</v>
      </c>
      <c r="W186">
        <v>1855858</v>
      </c>
      <c r="X186">
        <v>3070684</v>
      </c>
      <c r="Y186">
        <v>130821</v>
      </c>
      <c r="Z186">
        <v>855316</v>
      </c>
      <c r="AA186">
        <v>120108</v>
      </c>
      <c r="AB186">
        <v>1616621</v>
      </c>
      <c r="AC186">
        <v>227898</v>
      </c>
      <c r="AD186">
        <v>65892</v>
      </c>
      <c r="AE186">
        <v>0</v>
      </c>
      <c r="AF186">
        <v>256180</v>
      </c>
      <c r="AG186">
        <v>11324238</v>
      </c>
      <c r="AH186">
        <v>128919</v>
      </c>
      <c r="AI186">
        <v>54432</v>
      </c>
      <c r="AJ186">
        <v>2178618</v>
      </c>
      <c r="AK186">
        <v>154775</v>
      </c>
      <c r="AL186">
        <v>22290</v>
      </c>
      <c r="AM186">
        <v>0</v>
      </c>
      <c r="AN186">
        <v>1239889</v>
      </c>
      <c r="AO186">
        <v>0</v>
      </c>
      <c r="AP186">
        <v>0</v>
      </c>
      <c r="AQ186">
        <v>0</v>
      </c>
      <c r="AR186">
        <v>0</v>
      </c>
      <c r="AS186">
        <v>114427</v>
      </c>
      <c r="AT186">
        <v>87246</v>
      </c>
      <c r="AU186">
        <v>409381</v>
      </c>
      <c r="AV186">
        <v>0</v>
      </c>
      <c r="AW186">
        <v>1252958</v>
      </c>
      <c r="AX186">
        <v>15163</v>
      </c>
      <c r="AY186">
        <v>211142</v>
      </c>
      <c r="AZ186">
        <v>179465</v>
      </c>
      <c r="BA186">
        <v>33602</v>
      </c>
      <c r="BB186">
        <v>404404</v>
      </c>
      <c r="BC186">
        <v>0</v>
      </c>
      <c r="BD186">
        <v>0</v>
      </c>
      <c r="BE186">
        <v>801248</v>
      </c>
      <c r="BF186">
        <v>35395</v>
      </c>
      <c r="BG186">
        <v>7266</v>
      </c>
      <c r="BH186">
        <v>20190</v>
      </c>
      <c r="BI186">
        <v>0</v>
      </c>
      <c r="BJ186">
        <v>65147</v>
      </c>
      <c r="BK186">
        <v>54354</v>
      </c>
      <c r="BL186">
        <v>630</v>
      </c>
      <c r="BM186">
        <v>0</v>
      </c>
      <c r="BN186">
        <v>701</v>
      </c>
      <c r="BO186">
        <v>212600</v>
      </c>
      <c r="BP186">
        <v>84797</v>
      </c>
      <c r="BQ186">
        <v>131193</v>
      </c>
      <c r="BR186">
        <v>0</v>
      </c>
      <c r="BS186">
        <v>149467</v>
      </c>
      <c r="BT186">
        <v>377685</v>
      </c>
      <c r="BU186">
        <v>124773</v>
      </c>
      <c r="BV186">
        <v>305831</v>
      </c>
      <c r="BW186">
        <v>0</v>
      </c>
      <c r="BX186">
        <v>93896</v>
      </c>
      <c r="BY186">
        <v>408426</v>
      </c>
      <c r="BZ186">
        <v>172036</v>
      </c>
      <c r="CA186" s="708">
        <v>35587</v>
      </c>
      <c r="CB186">
        <v>14363</v>
      </c>
      <c r="CC186">
        <v>0</v>
      </c>
      <c r="CD186">
        <v>0</v>
      </c>
      <c r="CE186">
        <v>19647</v>
      </c>
    </row>
    <row r="187" spans="1:83" x14ac:dyDescent="0.25">
      <c r="A187">
        <v>537</v>
      </c>
      <c r="B187">
        <v>537</v>
      </c>
      <c r="C187" t="s">
        <v>1067</v>
      </c>
      <c r="D187" t="s">
        <v>507</v>
      </c>
      <c r="E187">
        <v>0</v>
      </c>
      <c r="F187">
        <v>2</v>
      </c>
      <c r="G187">
        <v>2</v>
      </c>
      <c r="H187">
        <v>2</v>
      </c>
      <c r="I187">
        <v>0</v>
      </c>
      <c r="J187">
        <v>0</v>
      </c>
      <c r="K187">
        <v>2</v>
      </c>
      <c r="L187">
        <v>0</v>
      </c>
      <c r="M187">
        <v>2</v>
      </c>
      <c r="N187">
        <v>2</v>
      </c>
      <c r="O187">
        <v>0</v>
      </c>
      <c r="P187">
        <v>2</v>
      </c>
      <c r="Q187">
        <v>0</v>
      </c>
      <c r="R187">
        <v>1</v>
      </c>
      <c r="S187">
        <v>2</v>
      </c>
      <c r="T187">
        <v>0</v>
      </c>
      <c r="U187">
        <v>2</v>
      </c>
      <c r="V187">
        <v>2</v>
      </c>
      <c r="W187">
        <v>1</v>
      </c>
      <c r="X187">
        <v>2</v>
      </c>
      <c r="Y187">
        <v>2</v>
      </c>
      <c r="Z187">
        <v>1</v>
      </c>
      <c r="AA187">
        <v>2</v>
      </c>
      <c r="AB187">
        <v>2</v>
      </c>
      <c r="AC187">
        <v>2</v>
      </c>
      <c r="AD187">
        <v>1</v>
      </c>
      <c r="AE187">
        <v>2</v>
      </c>
      <c r="AF187">
        <v>2</v>
      </c>
      <c r="AG187">
        <v>1</v>
      </c>
      <c r="AH187">
        <v>2</v>
      </c>
      <c r="AI187">
        <v>2</v>
      </c>
      <c r="AJ187">
        <v>2</v>
      </c>
      <c r="AK187">
        <v>2</v>
      </c>
      <c r="AL187">
        <v>2</v>
      </c>
      <c r="AM187">
        <v>0</v>
      </c>
      <c r="AN187">
        <v>1</v>
      </c>
      <c r="AO187">
        <v>0</v>
      </c>
      <c r="AP187">
        <v>0</v>
      </c>
      <c r="AQ187">
        <v>0</v>
      </c>
      <c r="AR187">
        <v>0</v>
      </c>
      <c r="AS187">
        <v>2</v>
      </c>
      <c r="AT187">
        <v>1</v>
      </c>
      <c r="AU187">
        <v>2</v>
      </c>
      <c r="AV187">
        <v>0</v>
      </c>
      <c r="AW187">
        <v>2</v>
      </c>
      <c r="AX187">
        <v>2</v>
      </c>
      <c r="AY187">
        <v>2</v>
      </c>
      <c r="AZ187">
        <v>2</v>
      </c>
      <c r="BA187">
        <v>2</v>
      </c>
      <c r="BB187">
        <v>2</v>
      </c>
      <c r="BC187">
        <v>2</v>
      </c>
      <c r="BD187">
        <v>0</v>
      </c>
      <c r="BE187">
        <v>2</v>
      </c>
      <c r="BF187">
        <v>0</v>
      </c>
      <c r="BG187">
        <v>2</v>
      </c>
      <c r="BH187">
        <v>2</v>
      </c>
      <c r="BI187">
        <v>0</v>
      </c>
      <c r="BJ187">
        <v>1</v>
      </c>
      <c r="BK187">
        <v>2</v>
      </c>
      <c r="BL187">
        <v>2</v>
      </c>
      <c r="BM187">
        <v>0</v>
      </c>
      <c r="BN187">
        <v>1</v>
      </c>
      <c r="BO187">
        <v>2</v>
      </c>
      <c r="BP187">
        <v>0</v>
      </c>
      <c r="BQ187">
        <v>2</v>
      </c>
      <c r="BR187">
        <v>2</v>
      </c>
      <c r="BS187">
        <v>2</v>
      </c>
      <c r="BT187">
        <v>2</v>
      </c>
      <c r="BU187">
        <v>2</v>
      </c>
      <c r="BV187">
        <v>2</v>
      </c>
      <c r="BW187">
        <v>2</v>
      </c>
      <c r="BX187">
        <v>2</v>
      </c>
      <c r="BY187">
        <v>1</v>
      </c>
      <c r="BZ187">
        <v>2</v>
      </c>
      <c r="CA187">
        <v>2</v>
      </c>
      <c r="CB187">
        <v>2</v>
      </c>
      <c r="CC187">
        <v>0</v>
      </c>
      <c r="CD187">
        <v>0</v>
      </c>
      <c r="CE187">
        <v>2</v>
      </c>
    </row>
    <row r="188" spans="1:83" x14ac:dyDescent="0.25">
      <c r="A188">
        <v>538</v>
      </c>
      <c r="B188">
        <v>538</v>
      </c>
      <c r="C188" t="s">
        <v>1068</v>
      </c>
      <c r="D188" t="s">
        <v>508</v>
      </c>
      <c r="E188">
        <v>0</v>
      </c>
      <c r="F188">
        <v>2</v>
      </c>
      <c r="G188">
        <v>2</v>
      </c>
      <c r="H188">
        <v>2</v>
      </c>
      <c r="I188">
        <v>0</v>
      </c>
      <c r="J188">
        <v>0</v>
      </c>
      <c r="K188">
        <v>2</v>
      </c>
      <c r="L188">
        <v>0</v>
      </c>
      <c r="M188">
        <v>2</v>
      </c>
      <c r="N188">
        <v>2</v>
      </c>
      <c r="O188">
        <v>0</v>
      </c>
      <c r="P188">
        <v>2</v>
      </c>
      <c r="Q188">
        <v>0</v>
      </c>
      <c r="R188">
        <v>1</v>
      </c>
      <c r="S188">
        <v>2</v>
      </c>
      <c r="T188">
        <v>0</v>
      </c>
      <c r="U188">
        <v>2</v>
      </c>
      <c r="V188">
        <v>2</v>
      </c>
      <c r="W188">
        <v>2</v>
      </c>
      <c r="X188">
        <v>2</v>
      </c>
      <c r="Y188">
        <v>2</v>
      </c>
      <c r="Z188">
        <v>2</v>
      </c>
      <c r="AA188">
        <v>1</v>
      </c>
      <c r="AB188">
        <v>1</v>
      </c>
      <c r="AC188">
        <v>2</v>
      </c>
      <c r="AD188">
        <v>1</v>
      </c>
      <c r="AE188">
        <v>2</v>
      </c>
      <c r="AF188">
        <v>1</v>
      </c>
      <c r="AG188">
        <v>1</v>
      </c>
      <c r="AH188">
        <v>2</v>
      </c>
      <c r="AI188">
        <v>2</v>
      </c>
      <c r="AJ188">
        <v>2</v>
      </c>
      <c r="AK188">
        <v>2</v>
      </c>
      <c r="AL188">
        <v>2</v>
      </c>
      <c r="AM188">
        <v>0</v>
      </c>
      <c r="AN188">
        <v>1</v>
      </c>
      <c r="AO188">
        <v>0</v>
      </c>
      <c r="AP188">
        <v>0</v>
      </c>
      <c r="AQ188">
        <v>0</v>
      </c>
      <c r="AR188">
        <v>0</v>
      </c>
      <c r="AS188">
        <v>2</v>
      </c>
      <c r="AT188">
        <v>2</v>
      </c>
      <c r="AU188">
        <v>2</v>
      </c>
      <c r="AV188">
        <v>0</v>
      </c>
      <c r="AW188">
        <v>2</v>
      </c>
      <c r="AX188">
        <v>2</v>
      </c>
      <c r="AY188">
        <v>2</v>
      </c>
      <c r="AZ188">
        <v>2</v>
      </c>
      <c r="BA188">
        <v>1</v>
      </c>
      <c r="BB188">
        <v>2</v>
      </c>
      <c r="BC188">
        <v>2</v>
      </c>
      <c r="BD188">
        <v>0</v>
      </c>
      <c r="BE188">
        <v>2</v>
      </c>
      <c r="BF188">
        <v>0</v>
      </c>
      <c r="BG188">
        <v>2</v>
      </c>
      <c r="BH188">
        <v>2</v>
      </c>
      <c r="BI188">
        <v>0</v>
      </c>
      <c r="BJ188">
        <v>1</v>
      </c>
      <c r="BK188">
        <v>2</v>
      </c>
      <c r="BL188">
        <v>2</v>
      </c>
      <c r="BM188">
        <v>0</v>
      </c>
      <c r="BN188">
        <v>1</v>
      </c>
      <c r="BO188">
        <v>2</v>
      </c>
      <c r="BP188">
        <v>0</v>
      </c>
      <c r="BQ188">
        <v>2</v>
      </c>
      <c r="BR188">
        <v>2</v>
      </c>
      <c r="BS188">
        <v>2</v>
      </c>
      <c r="BT188">
        <v>2</v>
      </c>
      <c r="BU188">
        <v>2</v>
      </c>
      <c r="BV188">
        <v>2</v>
      </c>
      <c r="BW188">
        <v>2</v>
      </c>
      <c r="BX188">
        <v>2</v>
      </c>
      <c r="BY188">
        <v>1</v>
      </c>
      <c r="BZ188">
        <v>2</v>
      </c>
      <c r="CA188">
        <v>2</v>
      </c>
      <c r="CB188">
        <v>2</v>
      </c>
      <c r="CC188">
        <v>0</v>
      </c>
      <c r="CD188">
        <v>0</v>
      </c>
      <c r="CE188">
        <v>2</v>
      </c>
    </row>
    <row r="189" spans="1:83" x14ac:dyDescent="0.25">
      <c r="B189">
        <v>539</v>
      </c>
      <c r="C189" t="s">
        <v>1069</v>
      </c>
      <c r="D189" t="s">
        <v>509</v>
      </c>
    </row>
    <row r="190" spans="1:83" x14ac:dyDescent="0.25">
      <c r="A190">
        <v>540</v>
      </c>
      <c r="B190">
        <v>540</v>
      </c>
      <c r="C190" t="s">
        <v>1070</v>
      </c>
      <c r="D190" t="s">
        <v>510</v>
      </c>
      <c r="E190">
        <v>0</v>
      </c>
      <c r="F190">
        <v>0</v>
      </c>
      <c r="G190">
        <v>90158</v>
      </c>
      <c r="H190">
        <v>0</v>
      </c>
      <c r="I190">
        <v>957735</v>
      </c>
      <c r="J190">
        <v>0</v>
      </c>
      <c r="K190">
        <v>0</v>
      </c>
      <c r="L190">
        <v>0</v>
      </c>
      <c r="M190">
        <v>0</v>
      </c>
      <c r="N190">
        <v>815566</v>
      </c>
      <c r="O190">
        <v>12170</v>
      </c>
      <c r="P190">
        <v>0</v>
      </c>
      <c r="Q190">
        <v>0</v>
      </c>
      <c r="R190">
        <v>2755544</v>
      </c>
      <c r="S190">
        <v>0</v>
      </c>
      <c r="T190">
        <v>0</v>
      </c>
      <c r="U190">
        <v>0</v>
      </c>
      <c r="V190">
        <v>484060</v>
      </c>
      <c r="W190">
        <v>0</v>
      </c>
      <c r="X190">
        <v>0</v>
      </c>
      <c r="Y190">
        <v>0</v>
      </c>
      <c r="Z190">
        <v>250741</v>
      </c>
      <c r="AA190">
        <v>223411</v>
      </c>
      <c r="AB190">
        <v>1233399</v>
      </c>
      <c r="AC190">
        <v>0</v>
      </c>
      <c r="AD190">
        <v>125000</v>
      </c>
      <c r="AE190">
        <v>0</v>
      </c>
      <c r="AF190">
        <v>322905</v>
      </c>
      <c r="AG190">
        <v>411332</v>
      </c>
      <c r="AH190">
        <v>120000</v>
      </c>
      <c r="AI190">
        <v>482466</v>
      </c>
      <c r="AJ190">
        <v>0</v>
      </c>
      <c r="AK190">
        <v>264125</v>
      </c>
      <c r="AL190">
        <v>0</v>
      </c>
      <c r="AM190">
        <v>0</v>
      </c>
      <c r="AN190">
        <v>316300</v>
      </c>
      <c r="AO190">
        <v>0</v>
      </c>
      <c r="AP190">
        <v>0</v>
      </c>
      <c r="AQ190">
        <v>34713</v>
      </c>
      <c r="AR190">
        <v>0</v>
      </c>
      <c r="AS190">
        <v>12737</v>
      </c>
      <c r="AT190">
        <v>0</v>
      </c>
      <c r="AU190">
        <v>301000</v>
      </c>
      <c r="AV190">
        <v>0</v>
      </c>
      <c r="AW190">
        <v>271569</v>
      </c>
      <c r="AX190">
        <v>503476</v>
      </c>
      <c r="AY190">
        <v>0</v>
      </c>
      <c r="AZ190">
        <v>0</v>
      </c>
      <c r="BA190">
        <v>0</v>
      </c>
      <c r="BB190">
        <v>0</v>
      </c>
      <c r="BC190">
        <v>0</v>
      </c>
      <c r="BD190">
        <v>0</v>
      </c>
      <c r="BE190">
        <v>538500</v>
      </c>
      <c r="BF190">
        <v>0</v>
      </c>
      <c r="BG190">
        <v>20000</v>
      </c>
      <c r="BH190">
        <v>0</v>
      </c>
      <c r="BI190">
        <v>0</v>
      </c>
      <c r="BJ190">
        <v>156572</v>
      </c>
      <c r="BK190">
        <v>10000</v>
      </c>
      <c r="BL190">
        <v>0</v>
      </c>
      <c r="BM190">
        <v>0</v>
      </c>
      <c r="BN190">
        <v>20000</v>
      </c>
      <c r="BO190">
        <v>195000</v>
      </c>
      <c r="BP190">
        <v>25000</v>
      </c>
      <c r="BQ190">
        <v>340000</v>
      </c>
      <c r="BR190">
        <v>755967</v>
      </c>
      <c r="BS190">
        <v>0</v>
      </c>
      <c r="BT190">
        <v>293185</v>
      </c>
      <c r="BU190">
        <v>0</v>
      </c>
      <c r="BV190">
        <v>14386</v>
      </c>
      <c r="BW190">
        <v>0</v>
      </c>
      <c r="BX190">
        <v>0</v>
      </c>
      <c r="BY190">
        <v>30831</v>
      </c>
      <c r="BZ190">
        <v>0</v>
      </c>
      <c r="CA190" s="708">
        <v>22369</v>
      </c>
      <c r="CB190">
        <v>0</v>
      </c>
      <c r="CC190">
        <v>0</v>
      </c>
      <c r="CD190">
        <v>0</v>
      </c>
      <c r="CE190">
        <v>0</v>
      </c>
    </row>
    <row r="191" spans="1:83" x14ac:dyDescent="0.25">
      <c r="A191">
        <v>541</v>
      </c>
      <c r="B191">
        <v>541</v>
      </c>
      <c r="C191" t="s">
        <v>1071</v>
      </c>
      <c r="D191" t="s">
        <v>511</v>
      </c>
      <c r="E191">
        <v>0</v>
      </c>
      <c r="F191">
        <v>0</v>
      </c>
      <c r="G191">
        <v>62001</v>
      </c>
      <c r="H191">
        <v>0</v>
      </c>
      <c r="I191">
        <v>0</v>
      </c>
      <c r="J191">
        <v>0</v>
      </c>
      <c r="K191">
        <v>-6988</v>
      </c>
      <c r="L191">
        <v>0</v>
      </c>
      <c r="M191">
        <v>0</v>
      </c>
      <c r="N191">
        <v>0</v>
      </c>
      <c r="O191">
        <v>0</v>
      </c>
      <c r="P191">
        <v>-43324</v>
      </c>
      <c r="Q191">
        <v>0</v>
      </c>
      <c r="R191">
        <v>4423249</v>
      </c>
      <c r="S191">
        <v>2011</v>
      </c>
      <c r="T191">
        <v>0</v>
      </c>
      <c r="U191">
        <v>2774026</v>
      </c>
      <c r="V191">
        <v>946227</v>
      </c>
      <c r="W191">
        <v>1858271</v>
      </c>
      <c r="X191">
        <v>0</v>
      </c>
      <c r="Y191">
        <v>91668</v>
      </c>
      <c r="Z191">
        <v>349654</v>
      </c>
      <c r="AA191">
        <v>131717</v>
      </c>
      <c r="AB191">
        <v>262178</v>
      </c>
      <c r="AC191">
        <v>100306</v>
      </c>
      <c r="AD191">
        <v>133241</v>
      </c>
      <c r="AE191" s="708">
        <v>-94656</v>
      </c>
      <c r="AF191">
        <v>62256</v>
      </c>
      <c r="AG191">
        <v>-45778</v>
      </c>
      <c r="AH191">
        <v>168287</v>
      </c>
      <c r="AI191">
        <v>256494</v>
      </c>
      <c r="AJ191">
        <v>2293721</v>
      </c>
      <c r="AK191">
        <v>20538</v>
      </c>
      <c r="AL191">
        <v>18054</v>
      </c>
      <c r="AM191">
        <v>0</v>
      </c>
      <c r="AN191">
        <v>-24812</v>
      </c>
      <c r="AO191">
        <v>0</v>
      </c>
      <c r="AP191">
        <v>0</v>
      </c>
      <c r="AQ191">
        <v>0</v>
      </c>
      <c r="AR191">
        <v>0</v>
      </c>
      <c r="AS191">
        <v>387307</v>
      </c>
      <c r="AT191">
        <v>2790</v>
      </c>
      <c r="AU191">
        <v>-54911</v>
      </c>
      <c r="AV191">
        <v>0</v>
      </c>
      <c r="AW191">
        <v>-5616167</v>
      </c>
      <c r="AX191">
        <v>0</v>
      </c>
      <c r="AY191">
        <v>-11392</v>
      </c>
      <c r="AZ191">
        <v>562607</v>
      </c>
      <c r="BA191">
        <v>70317</v>
      </c>
      <c r="BB191">
        <v>13112</v>
      </c>
      <c r="BC191">
        <v>0</v>
      </c>
      <c r="BD191">
        <v>0</v>
      </c>
      <c r="BE191">
        <v>2419757</v>
      </c>
      <c r="BF191">
        <v>0</v>
      </c>
      <c r="BG191">
        <v>25190</v>
      </c>
      <c r="BH191">
        <v>14033</v>
      </c>
      <c r="BI191">
        <v>0</v>
      </c>
      <c r="BJ191">
        <v>53813</v>
      </c>
      <c r="BK191">
        <v>0</v>
      </c>
      <c r="BL191">
        <v>214512</v>
      </c>
      <c r="BM191">
        <v>0</v>
      </c>
      <c r="BN191">
        <v>33674</v>
      </c>
      <c r="BO191">
        <v>140234</v>
      </c>
      <c r="BP191">
        <v>-11459</v>
      </c>
      <c r="BQ191">
        <v>125553</v>
      </c>
      <c r="BR191">
        <v>0</v>
      </c>
      <c r="BS191">
        <v>-121645</v>
      </c>
      <c r="BT191">
        <v>0</v>
      </c>
      <c r="BU191">
        <v>-53508</v>
      </c>
      <c r="BV191">
        <v>76591</v>
      </c>
      <c r="BW191">
        <v>0</v>
      </c>
      <c r="BX191">
        <v>105532</v>
      </c>
      <c r="BY191">
        <v>-65960</v>
      </c>
      <c r="BZ191">
        <v>-4237</v>
      </c>
      <c r="CA191" s="708">
        <v>-23945</v>
      </c>
      <c r="CB191">
        <v>16850</v>
      </c>
      <c r="CC191">
        <v>0</v>
      </c>
      <c r="CD191">
        <v>0</v>
      </c>
      <c r="CE191">
        <v>2601</v>
      </c>
    </row>
    <row r="192" spans="1:83" x14ac:dyDescent="0.25">
      <c r="A192">
        <v>542</v>
      </c>
      <c r="B192">
        <v>542</v>
      </c>
      <c r="C192" t="s">
        <v>1072</v>
      </c>
      <c r="D192" t="s">
        <v>512</v>
      </c>
      <c r="E192">
        <v>0</v>
      </c>
      <c r="F192">
        <v>0</v>
      </c>
      <c r="G192">
        <v>7175</v>
      </c>
      <c r="H192">
        <v>0</v>
      </c>
      <c r="I192">
        <v>0</v>
      </c>
      <c r="J192">
        <v>0</v>
      </c>
      <c r="K192">
        <v>0</v>
      </c>
      <c r="L192">
        <v>0</v>
      </c>
      <c r="M192">
        <v>0</v>
      </c>
      <c r="N192">
        <v>0</v>
      </c>
      <c r="O192">
        <v>0</v>
      </c>
      <c r="P192">
        <v>0</v>
      </c>
      <c r="Q192">
        <v>0</v>
      </c>
      <c r="R192">
        <v>700000</v>
      </c>
      <c r="S192">
        <v>0</v>
      </c>
      <c r="T192">
        <v>0</v>
      </c>
      <c r="U192">
        <v>0</v>
      </c>
      <c r="V192">
        <v>0</v>
      </c>
      <c r="W192">
        <v>0</v>
      </c>
      <c r="X192">
        <v>0</v>
      </c>
      <c r="Y192">
        <v>0</v>
      </c>
      <c r="Z192">
        <v>65340</v>
      </c>
      <c r="AA192">
        <v>73000</v>
      </c>
      <c r="AB192">
        <v>225668</v>
      </c>
      <c r="AC192">
        <v>0</v>
      </c>
      <c r="AD192">
        <v>0</v>
      </c>
      <c r="AE192">
        <v>0</v>
      </c>
      <c r="AF192">
        <v>0</v>
      </c>
      <c r="AG192">
        <v>595383</v>
      </c>
      <c r="AH192">
        <v>0</v>
      </c>
      <c r="AI192">
        <v>0</v>
      </c>
      <c r="AJ192">
        <v>0</v>
      </c>
      <c r="AK192">
        <v>0</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17357</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0</v>
      </c>
      <c r="CD192">
        <v>0</v>
      </c>
      <c r="CE192">
        <v>0</v>
      </c>
    </row>
    <row r="193" spans="1:83" x14ac:dyDescent="0.25">
      <c r="B193">
        <v>543</v>
      </c>
      <c r="C193" t="s">
        <v>1073</v>
      </c>
      <c r="D193" t="s">
        <v>513</v>
      </c>
      <c r="E193">
        <v>0</v>
      </c>
      <c r="F193">
        <v>0</v>
      </c>
      <c r="G193">
        <v>0</v>
      </c>
      <c r="H193">
        <v>0</v>
      </c>
      <c r="I193">
        <v>0</v>
      </c>
      <c r="J193">
        <v>0</v>
      </c>
      <c r="K193">
        <v>0</v>
      </c>
      <c r="L193">
        <v>0</v>
      </c>
      <c r="M193">
        <v>0</v>
      </c>
      <c r="N193">
        <v>0</v>
      </c>
      <c r="O193">
        <v>0</v>
      </c>
      <c r="P193">
        <v>0</v>
      </c>
      <c r="Q193">
        <v>0</v>
      </c>
      <c r="R193">
        <v>0</v>
      </c>
      <c r="S193">
        <v>0</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0</v>
      </c>
      <c r="BY193">
        <v>0</v>
      </c>
      <c r="BZ193">
        <v>0</v>
      </c>
      <c r="CA193">
        <v>0</v>
      </c>
      <c r="CB193">
        <v>0</v>
      </c>
      <c r="CC193">
        <v>0</v>
      </c>
      <c r="CD193">
        <v>0</v>
      </c>
      <c r="CE193">
        <v>0</v>
      </c>
    </row>
    <row r="194" spans="1:83" x14ac:dyDescent="0.25">
      <c r="A194">
        <v>544</v>
      </c>
      <c r="B194">
        <v>544</v>
      </c>
      <c r="C194" t="s">
        <v>55</v>
      </c>
      <c r="D194" t="s">
        <v>514</v>
      </c>
      <c r="E194">
        <v>0</v>
      </c>
      <c r="F194">
        <v>0</v>
      </c>
      <c r="G194">
        <v>0</v>
      </c>
      <c r="H194">
        <v>0</v>
      </c>
      <c r="I194">
        <v>0</v>
      </c>
      <c r="J194">
        <v>0</v>
      </c>
      <c r="K194">
        <v>0</v>
      </c>
      <c r="L194">
        <v>0</v>
      </c>
      <c r="M194">
        <v>0</v>
      </c>
      <c r="N194">
        <v>0</v>
      </c>
      <c r="O194">
        <v>0</v>
      </c>
      <c r="P194">
        <v>0</v>
      </c>
      <c r="Q194">
        <v>0</v>
      </c>
      <c r="R194">
        <v>0.03</v>
      </c>
      <c r="S194">
        <v>0</v>
      </c>
      <c r="T194">
        <v>0</v>
      </c>
      <c r="U194">
        <v>0</v>
      </c>
      <c r="V194">
        <v>0</v>
      </c>
      <c r="W194">
        <v>0.04</v>
      </c>
      <c r="X194">
        <v>0</v>
      </c>
      <c r="Y194">
        <v>0</v>
      </c>
      <c r="Z194">
        <v>0.12</v>
      </c>
      <c r="AA194">
        <v>0</v>
      </c>
      <c r="AB194">
        <v>0</v>
      </c>
      <c r="AC194">
        <v>0.05</v>
      </c>
      <c r="AD194">
        <v>0</v>
      </c>
      <c r="AE194">
        <v>0</v>
      </c>
      <c r="AF194">
        <v>0</v>
      </c>
      <c r="AG194">
        <v>0.01</v>
      </c>
      <c r="AH194">
        <v>0.02</v>
      </c>
      <c r="AI194">
        <v>0</v>
      </c>
      <c r="AJ194">
        <v>0</v>
      </c>
      <c r="AK194">
        <v>0</v>
      </c>
      <c r="AL194">
        <v>0</v>
      </c>
      <c r="AM194">
        <v>0</v>
      </c>
      <c r="AN194">
        <v>0</v>
      </c>
      <c r="AO194">
        <v>0</v>
      </c>
      <c r="AP194">
        <v>0</v>
      </c>
      <c r="AQ194">
        <v>0</v>
      </c>
      <c r="AR194">
        <v>0</v>
      </c>
      <c r="AS194">
        <v>0</v>
      </c>
      <c r="AT194">
        <v>0</v>
      </c>
      <c r="AU194">
        <v>0</v>
      </c>
      <c r="AV194">
        <v>0</v>
      </c>
      <c r="AW194">
        <v>0.03</v>
      </c>
      <c r="AX194">
        <v>0</v>
      </c>
      <c r="AY194">
        <v>0</v>
      </c>
      <c r="AZ194">
        <v>0</v>
      </c>
      <c r="BA194">
        <v>0</v>
      </c>
      <c r="BB194">
        <v>0</v>
      </c>
      <c r="BC194">
        <v>0</v>
      </c>
      <c r="BD194">
        <v>0</v>
      </c>
      <c r="BE194">
        <v>0</v>
      </c>
      <c r="BF194">
        <v>0</v>
      </c>
      <c r="BG194">
        <v>0</v>
      </c>
      <c r="BH194">
        <v>0</v>
      </c>
      <c r="BI194">
        <v>0.15</v>
      </c>
      <c r="BJ194">
        <v>0</v>
      </c>
      <c r="BK194">
        <v>0</v>
      </c>
      <c r="BL194">
        <v>0</v>
      </c>
      <c r="BM194">
        <v>0</v>
      </c>
      <c r="BN194">
        <v>0</v>
      </c>
      <c r="BO194">
        <v>0</v>
      </c>
      <c r="BP194">
        <v>0</v>
      </c>
      <c r="BQ194">
        <v>0</v>
      </c>
      <c r="BR194">
        <v>0</v>
      </c>
      <c r="BS194">
        <v>0</v>
      </c>
      <c r="BT194">
        <v>0</v>
      </c>
      <c r="BU194">
        <v>0</v>
      </c>
      <c r="BV194">
        <v>0</v>
      </c>
      <c r="BW194">
        <v>0</v>
      </c>
      <c r="BX194">
        <v>0</v>
      </c>
      <c r="BY194">
        <v>0</v>
      </c>
      <c r="BZ194">
        <v>0</v>
      </c>
      <c r="CA194">
        <v>0</v>
      </c>
      <c r="CB194">
        <v>0</v>
      </c>
      <c r="CC194">
        <v>0</v>
      </c>
      <c r="CD194">
        <v>0</v>
      </c>
      <c r="CE194">
        <v>0</v>
      </c>
    </row>
    <row r="195" spans="1:83" x14ac:dyDescent="0.25">
      <c r="A195">
        <v>545</v>
      </c>
      <c r="B195">
        <v>545</v>
      </c>
      <c r="C195" t="s">
        <v>56</v>
      </c>
      <c r="D195" t="s">
        <v>515</v>
      </c>
      <c r="E195">
        <v>0</v>
      </c>
      <c r="F195">
        <v>0</v>
      </c>
      <c r="G195">
        <v>0</v>
      </c>
      <c r="H195">
        <v>0.02</v>
      </c>
      <c r="I195">
        <v>0</v>
      </c>
      <c r="J195">
        <v>0.01</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0.01</v>
      </c>
      <c r="AH195">
        <v>0</v>
      </c>
      <c r="AI195">
        <v>0</v>
      </c>
      <c r="AJ195">
        <v>0.02</v>
      </c>
      <c r="AK195">
        <v>0</v>
      </c>
      <c r="AL195">
        <v>0</v>
      </c>
      <c r="AM195">
        <v>0</v>
      </c>
      <c r="AN195">
        <v>0</v>
      </c>
      <c r="AO195">
        <v>0</v>
      </c>
      <c r="AP195">
        <v>0</v>
      </c>
      <c r="AQ195">
        <v>0</v>
      </c>
      <c r="AR195">
        <v>0.06</v>
      </c>
      <c r="AS195">
        <v>0</v>
      </c>
      <c r="AT195">
        <v>0</v>
      </c>
      <c r="AU195">
        <v>0</v>
      </c>
      <c r="AV195">
        <v>0</v>
      </c>
      <c r="AW195">
        <v>0</v>
      </c>
      <c r="AX195">
        <v>0</v>
      </c>
      <c r="AY195">
        <v>0</v>
      </c>
      <c r="AZ195">
        <v>0</v>
      </c>
      <c r="BA195">
        <v>0</v>
      </c>
      <c r="BB195">
        <v>0</v>
      </c>
      <c r="BC195">
        <v>0</v>
      </c>
      <c r="BD195">
        <v>0</v>
      </c>
      <c r="BE195">
        <v>0</v>
      </c>
      <c r="BF195">
        <v>0</v>
      </c>
      <c r="BG195">
        <v>0</v>
      </c>
      <c r="BH195">
        <v>0</v>
      </c>
      <c r="BI195">
        <v>0</v>
      </c>
      <c r="BJ195">
        <v>0</v>
      </c>
      <c r="BK195">
        <v>0</v>
      </c>
      <c r="BL195">
        <v>0</v>
      </c>
      <c r="BM195">
        <v>0</v>
      </c>
      <c r="BN195">
        <v>0</v>
      </c>
      <c r="BO195">
        <v>0</v>
      </c>
      <c r="BP195">
        <v>0</v>
      </c>
      <c r="BQ195">
        <v>0</v>
      </c>
      <c r="BR195">
        <v>0.5</v>
      </c>
      <c r="BS195">
        <v>0</v>
      </c>
      <c r="BT195">
        <v>0</v>
      </c>
      <c r="BU195">
        <v>0</v>
      </c>
      <c r="BV195">
        <v>0</v>
      </c>
      <c r="BW195">
        <v>0</v>
      </c>
      <c r="BX195">
        <v>0</v>
      </c>
      <c r="BY195">
        <v>0</v>
      </c>
      <c r="BZ195">
        <v>0</v>
      </c>
      <c r="CA195">
        <v>0</v>
      </c>
      <c r="CB195">
        <v>0</v>
      </c>
      <c r="CC195">
        <v>0</v>
      </c>
      <c r="CD195">
        <v>0</v>
      </c>
      <c r="CE195">
        <v>0</v>
      </c>
    </row>
    <row r="196" spans="1:83" x14ac:dyDescent="0.25">
      <c r="B196">
        <v>546</v>
      </c>
      <c r="C196" t="s">
        <v>1074</v>
      </c>
      <c r="D196" t="s">
        <v>516</v>
      </c>
    </row>
    <row r="197" spans="1:83" x14ac:dyDescent="0.25">
      <c r="A197">
        <v>547</v>
      </c>
      <c r="B197">
        <v>547</v>
      </c>
      <c r="C197" t="s">
        <v>1075</v>
      </c>
      <c r="D197" t="s">
        <v>517</v>
      </c>
      <c r="E197">
        <v>0</v>
      </c>
      <c r="F197">
        <v>2</v>
      </c>
      <c r="G197">
        <v>2</v>
      </c>
      <c r="H197">
        <v>2</v>
      </c>
      <c r="I197">
        <v>2</v>
      </c>
      <c r="J197">
        <v>2</v>
      </c>
      <c r="K197">
        <v>2</v>
      </c>
      <c r="L197">
        <v>2</v>
      </c>
      <c r="M197">
        <v>2</v>
      </c>
      <c r="N197">
        <v>3</v>
      </c>
      <c r="O197">
        <v>2</v>
      </c>
      <c r="P197">
        <v>3</v>
      </c>
      <c r="Q197">
        <v>2</v>
      </c>
      <c r="R197">
        <v>3</v>
      </c>
      <c r="S197">
        <v>2</v>
      </c>
      <c r="T197">
        <v>2</v>
      </c>
      <c r="U197">
        <v>3</v>
      </c>
      <c r="V197">
        <v>3</v>
      </c>
      <c r="W197">
        <v>3</v>
      </c>
      <c r="X197">
        <v>3</v>
      </c>
      <c r="Y197">
        <v>2</v>
      </c>
      <c r="Z197">
        <v>2</v>
      </c>
      <c r="AA197">
        <v>2</v>
      </c>
      <c r="AB197">
        <v>3</v>
      </c>
      <c r="AC197">
        <v>2</v>
      </c>
      <c r="AD197">
        <v>3</v>
      </c>
      <c r="AE197">
        <v>2</v>
      </c>
      <c r="AF197">
        <v>2</v>
      </c>
      <c r="AG197">
        <v>3</v>
      </c>
      <c r="AH197">
        <v>3</v>
      </c>
      <c r="AI197">
        <v>2</v>
      </c>
      <c r="AJ197">
        <v>3</v>
      </c>
      <c r="AK197">
        <v>2</v>
      </c>
      <c r="AL197">
        <v>2</v>
      </c>
      <c r="AM197">
        <v>0</v>
      </c>
      <c r="AN197">
        <v>3</v>
      </c>
      <c r="AO197">
        <v>0</v>
      </c>
      <c r="AP197">
        <v>0</v>
      </c>
      <c r="AQ197">
        <v>2</v>
      </c>
      <c r="AR197">
        <v>2</v>
      </c>
      <c r="AS197">
        <v>3</v>
      </c>
      <c r="AT197">
        <v>2</v>
      </c>
      <c r="AU197">
        <v>3</v>
      </c>
      <c r="AV197">
        <v>0</v>
      </c>
      <c r="AW197">
        <v>3</v>
      </c>
      <c r="AX197">
        <v>2</v>
      </c>
      <c r="AY197">
        <v>2</v>
      </c>
      <c r="AZ197">
        <v>2</v>
      </c>
      <c r="BA197">
        <v>2</v>
      </c>
      <c r="BB197">
        <v>2</v>
      </c>
      <c r="BC197">
        <v>2</v>
      </c>
      <c r="BD197">
        <v>0</v>
      </c>
      <c r="BE197">
        <v>3</v>
      </c>
      <c r="BF197">
        <v>2</v>
      </c>
      <c r="BG197">
        <v>2</v>
      </c>
      <c r="BH197">
        <v>2</v>
      </c>
      <c r="BI197">
        <v>2</v>
      </c>
      <c r="BJ197">
        <v>2</v>
      </c>
      <c r="BK197">
        <v>2</v>
      </c>
      <c r="BL197">
        <v>3</v>
      </c>
      <c r="BM197">
        <v>0</v>
      </c>
      <c r="BN197">
        <v>3</v>
      </c>
      <c r="BO197">
        <v>2</v>
      </c>
      <c r="BP197">
        <v>2</v>
      </c>
      <c r="BQ197">
        <v>2</v>
      </c>
      <c r="BR197">
        <v>2</v>
      </c>
      <c r="BS197">
        <v>3</v>
      </c>
      <c r="BT197">
        <v>3</v>
      </c>
      <c r="BU197">
        <v>3</v>
      </c>
      <c r="BV197">
        <v>3</v>
      </c>
      <c r="BW197">
        <v>2</v>
      </c>
      <c r="BX197">
        <v>2</v>
      </c>
      <c r="BY197">
        <v>3</v>
      </c>
      <c r="BZ197">
        <v>2</v>
      </c>
      <c r="CA197">
        <v>2</v>
      </c>
      <c r="CB197">
        <v>2</v>
      </c>
      <c r="CC197">
        <v>0</v>
      </c>
      <c r="CD197">
        <v>0</v>
      </c>
      <c r="CE197">
        <v>2</v>
      </c>
    </row>
    <row r="198" spans="1:83" x14ac:dyDescent="0.25">
      <c r="B198">
        <v>548</v>
      </c>
      <c r="C198" t="s">
        <v>543</v>
      </c>
      <c r="D198" t="s">
        <v>574</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row>
    <row r="199" spans="1:83" x14ac:dyDescent="0.25">
      <c r="B199">
        <v>549</v>
      </c>
      <c r="C199" t="s">
        <v>1076</v>
      </c>
      <c r="D199" t="s">
        <v>575</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row>
    <row r="200" spans="1:83" x14ac:dyDescent="0.25">
      <c r="B200">
        <v>550</v>
      </c>
      <c r="C200" t="s">
        <v>576</v>
      </c>
      <c r="D200" t="s">
        <v>577</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row>
    <row r="201" spans="1:83" x14ac:dyDescent="0.25">
      <c r="B201">
        <v>551</v>
      </c>
      <c r="C201" t="s">
        <v>1077</v>
      </c>
      <c r="D201" t="s">
        <v>578</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0</v>
      </c>
      <c r="BN201">
        <v>0</v>
      </c>
      <c r="BO201">
        <v>0</v>
      </c>
      <c r="BP201">
        <v>0</v>
      </c>
      <c r="BQ201">
        <v>0</v>
      </c>
      <c r="BR201">
        <v>0</v>
      </c>
      <c r="BS201">
        <v>0</v>
      </c>
      <c r="BT201">
        <v>0</v>
      </c>
      <c r="BU201">
        <v>0</v>
      </c>
      <c r="BV201">
        <v>0</v>
      </c>
      <c r="BW201">
        <v>0</v>
      </c>
      <c r="BX201">
        <v>0</v>
      </c>
      <c r="BY201">
        <v>0</v>
      </c>
      <c r="BZ201">
        <v>0</v>
      </c>
      <c r="CA201">
        <v>0</v>
      </c>
      <c r="CB201">
        <v>0</v>
      </c>
      <c r="CC201">
        <v>0</v>
      </c>
      <c r="CD201">
        <v>0</v>
      </c>
      <c r="CE201">
        <v>0</v>
      </c>
    </row>
    <row r="202" spans="1:83" x14ac:dyDescent="0.25">
      <c r="B202">
        <v>552</v>
      </c>
      <c r="C202" t="s">
        <v>545</v>
      </c>
      <c r="D202" t="s">
        <v>579</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0</v>
      </c>
    </row>
    <row r="203" spans="1:83" x14ac:dyDescent="0.25">
      <c r="B203">
        <v>553</v>
      </c>
      <c r="C203" t="s">
        <v>580</v>
      </c>
      <c r="D203" t="s">
        <v>581</v>
      </c>
    </row>
    <row r="204" spans="1:83" x14ac:dyDescent="0.25">
      <c r="A204">
        <v>554</v>
      </c>
      <c r="B204">
        <v>554</v>
      </c>
      <c r="C204" t="s">
        <v>582</v>
      </c>
      <c r="D204" t="s">
        <v>583</v>
      </c>
      <c r="E204">
        <v>0</v>
      </c>
      <c r="F204">
        <v>0</v>
      </c>
      <c r="G204">
        <v>0</v>
      </c>
      <c r="H204">
        <v>0</v>
      </c>
      <c r="I204">
        <v>0</v>
      </c>
      <c r="J204">
        <v>0</v>
      </c>
      <c r="K204">
        <v>0</v>
      </c>
      <c r="L204">
        <v>0</v>
      </c>
      <c r="M204">
        <v>0</v>
      </c>
      <c r="N204">
        <v>0</v>
      </c>
      <c r="O204">
        <v>0</v>
      </c>
      <c r="P204">
        <v>0</v>
      </c>
      <c r="Q204">
        <v>0</v>
      </c>
      <c r="R204">
        <v>1512421</v>
      </c>
      <c r="S204">
        <v>0</v>
      </c>
      <c r="T204">
        <v>0</v>
      </c>
      <c r="U204">
        <v>1491399</v>
      </c>
      <c r="V204">
        <v>0</v>
      </c>
      <c r="W204">
        <v>247972</v>
      </c>
      <c r="X204">
        <v>757529</v>
      </c>
      <c r="Y204">
        <v>0</v>
      </c>
      <c r="Z204">
        <v>0</v>
      </c>
      <c r="AA204">
        <v>0</v>
      </c>
      <c r="AB204">
        <v>0</v>
      </c>
      <c r="AC204">
        <v>1145032</v>
      </c>
      <c r="AD204">
        <v>0</v>
      </c>
      <c r="AE204">
        <v>0</v>
      </c>
      <c r="AF204">
        <v>188693</v>
      </c>
      <c r="AG204">
        <v>6504990</v>
      </c>
      <c r="AH204">
        <v>0</v>
      </c>
      <c r="AI204">
        <v>0</v>
      </c>
      <c r="AJ204">
        <v>899809</v>
      </c>
      <c r="AK204">
        <v>0</v>
      </c>
      <c r="AL204">
        <v>0</v>
      </c>
      <c r="AM204">
        <v>0</v>
      </c>
      <c r="AN204">
        <v>262058</v>
      </c>
      <c r="AO204">
        <v>0</v>
      </c>
      <c r="AP204">
        <v>0</v>
      </c>
      <c r="AQ204">
        <v>0</v>
      </c>
      <c r="AR204">
        <v>1717577</v>
      </c>
      <c r="AS204">
        <v>0</v>
      </c>
      <c r="AT204">
        <v>0</v>
      </c>
      <c r="AU204">
        <v>0</v>
      </c>
      <c r="AV204">
        <v>0</v>
      </c>
      <c r="AW204">
        <v>1826557</v>
      </c>
      <c r="AX204">
        <v>0</v>
      </c>
      <c r="AY204">
        <v>0</v>
      </c>
      <c r="AZ204">
        <v>0</v>
      </c>
      <c r="BA204">
        <v>0</v>
      </c>
      <c r="BB204">
        <v>0</v>
      </c>
      <c r="BC204">
        <v>0</v>
      </c>
      <c r="BD204">
        <v>0</v>
      </c>
      <c r="BE204">
        <v>2275985</v>
      </c>
      <c r="BF204">
        <v>0</v>
      </c>
      <c r="BG204">
        <v>0</v>
      </c>
      <c r="BH204">
        <v>0</v>
      </c>
      <c r="BI204">
        <v>0</v>
      </c>
      <c r="BJ204">
        <v>0</v>
      </c>
      <c r="BK204">
        <v>0</v>
      </c>
      <c r="BL204">
        <v>121234</v>
      </c>
      <c r="BM204">
        <v>0</v>
      </c>
      <c r="BN204">
        <v>0</v>
      </c>
      <c r="BO204">
        <v>934232</v>
      </c>
      <c r="BP204">
        <v>0</v>
      </c>
      <c r="BQ204">
        <v>0</v>
      </c>
      <c r="BR204">
        <v>256204</v>
      </c>
      <c r="BS204">
        <v>0</v>
      </c>
      <c r="BT204">
        <v>0</v>
      </c>
      <c r="BU204">
        <v>0</v>
      </c>
      <c r="BV204">
        <v>0</v>
      </c>
      <c r="BW204">
        <v>0</v>
      </c>
      <c r="BX204">
        <v>0</v>
      </c>
      <c r="BY204">
        <v>0</v>
      </c>
      <c r="BZ204">
        <v>0</v>
      </c>
      <c r="CA204">
        <v>0</v>
      </c>
      <c r="CB204">
        <v>0</v>
      </c>
      <c r="CC204">
        <v>0</v>
      </c>
      <c r="CD204">
        <v>0</v>
      </c>
      <c r="CE204">
        <v>0</v>
      </c>
    </row>
    <row r="205" spans="1:83" x14ac:dyDescent="0.25">
      <c r="A205">
        <v>555</v>
      </c>
      <c r="B205">
        <v>555</v>
      </c>
      <c r="C205" t="s">
        <v>584</v>
      </c>
      <c r="D205" t="s">
        <v>585</v>
      </c>
      <c r="E205">
        <v>0</v>
      </c>
      <c r="F205">
        <v>0</v>
      </c>
      <c r="G205">
        <v>0</v>
      </c>
      <c r="H205">
        <v>0</v>
      </c>
      <c r="I205">
        <v>0</v>
      </c>
      <c r="J205">
        <v>0</v>
      </c>
      <c r="K205">
        <v>0</v>
      </c>
      <c r="L205">
        <v>0</v>
      </c>
      <c r="M205">
        <v>0</v>
      </c>
      <c r="N205">
        <v>0</v>
      </c>
      <c r="O205">
        <v>0</v>
      </c>
      <c r="P205">
        <v>0</v>
      </c>
      <c r="Q205">
        <v>0</v>
      </c>
      <c r="R205">
        <v>867506</v>
      </c>
      <c r="S205">
        <v>0</v>
      </c>
      <c r="T205">
        <v>0</v>
      </c>
      <c r="U205">
        <v>799321</v>
      </c>
      <c r="V205">
        <v>0</v>
      </c>
      <c r="W205">
        <v>0</v>
      </c>
      <c r="X205">
        <v>751123</v>
      </c>
      <c r="Y205">
        <v>0</v>
      </c>
      <c r="Z205">
        <v>0</v>
      </c>
      <c r="AA205">
        <v>0</v>
      </c>
      <c r="AB205">
        <v>0</v>
      </c>
      <c r="AC205">
        <v>896169</v>
      </c>
      <c r="AD205">
        <v>0</v>
      </c>
      <c r="AE205">
        <v>0</v>
      </c>
      <c r="AF205">
        <v>0</v>
      </c>
      <c r="AG205">
        <v>6492439</v>
      </c>
      <c r="AH205">
        <v>0</v>
      </c>
      <c r="AI205">
        <v>0</v>
      </c>
      <c r="AJ205">
        <v>655877</v>
      </c>
      <c r="AK205">
        <v>0</v>
      </c>
      <c r="AL205">
        <v>0</v>
      </c>
      <c r="AM205">
        <v>0</v>
      </c>
      <c r="AN205">
        <v>0</v>
      </c>
      <c r="AO205">
        <v>0</v>
      </c>
      <c r="AP205">
        <v>0</v>
      </c>
      <c r="AQ205">
        <v>0</v>
      </c>
      <c r="AR205">
        <v>1717577</v>
      </c>
      <c r="AS205">
        <v>0</v>
      </c>
      <c r="AT205">
        <v>0</v>
      </c>
      <c r="AU205">
        <v>0</v>
      </c>
      <c r="AV205">
        <v>0</v>
      </c>
      <c r="AW205">
        <v>1826557</v>
      </c>
      <c r="AX205">
        <v>0</v>
      </c>
      <c r="AY205">
        <v>0</v>
      </c>
      <c r="AZ205">
        <v>0</v>
      </c>
      <c r="BA205">
        <v>0</v>
      </c>
      <c r="BB205">
        <v>0</v>
      </c>
      <c r="BC205">
        <v>0</v>
      </c>
      <c r="BD205">
        <v>0</v>
      </c>
      <c r="BE205">
        <v>2242181</v>
      </c>
      <c r="BF205">
        <v>0</v>
      </c>
      <c r="BG205">
        <v>0</v>
      </c>
      <c r="BH205">
        <v>0</v>
      </c>
      <c r="BI205">
        <v>0</v>
      </c>
      <c r="BJ205">
        <v>0</v>
      </c>
      <c r="BK205">
        <v>0</v>
      </c>
      <c r="BL205">
        <v>0</v>
      </c>
      <c r="BM205">
        <v>0</v>
      </c>
      <c r="BN205">
        <v>0</v>
      </c>
      <c r="BO205">
        <v>934232</v>
      </c>
      <c r="BP205">
        <v>0</v>
      </c>
      <c r="BQ205">
        <v>0</v>
      </c>
      <c r="BR205">
        <v>0</v>
      </c>
      <c r="BS205">
        <v>0</v>
      </c>
      <c r="BT205">
        <v>0</v>
      </c>
      <c r="BU205">
        <v>0</v>
      </c>
      <c r="BV205">
        <v>0</v>
      </c>
      <c r="BW205">
        <v>0</v>
      </c>
      <c r="BX205">
        <v>0</v>
      </c>
      <c r="BY205">
        <v>0</v>
      </c>
      <c r="BZ205">
        <v>0</v>
      </c>
      <c r="CA205">
        <v>0</v>
      </c>
      <c r="CB205">
        <v>0</v>
      </c>
      <c r="CC205">
        <v>0</v>
      </c>
      <c r="CD205">
        <v>0</v>
      </c>
      <c r="CE205">
        <v>0</v>
      </c>
    </row>
    <row r="206" spans="1:83" x14ac:dyDescent="0.25">
      <c r="A206">
        <v>556</v>
      </c>
      <c r="B206">
        <v>556</v>
      </c>
      <c r="C206" t="s">
        <v>586</v>
      </c>
      <c r="D206" t="s">
        <v>587</v>
      </c>
      <c r="E206">
        <v>0</v>
      </c>
      <c r="F206">
        <v>0</v>
      </c>
      <c r="G206">
        <v>0</v>
      </c>
      <c r="H206">
        <v>0</v>
      </c>
      <c r="I206">
        <v>0</v>
      </c>
      <c r="J206">
        <v>0</v>
      </c>
      <c r="K206">
        <v>0</v>
      </c>
      <c r="L206">
        <v>0</v>
      </c>
      <c r="M206">
        <v>0</v>
      </c>
      <c r="N206">
        <v>594238</v>
      </c>
      <c r="O206">
        <v>0</v>
      </c>
      <c r="P206">
        <v>0</v>
      </c>
      <c r="Q206">
        <v>0</v>
      </c>
      <c r="R206">
        <v>1420722</v>
      </c>
      <c r="S206">
        <v>0</v>
      </c>
      <c r="T206">
        <v>0</v>
      </c>
      <c r="U206">
        <v>1124331</v>
      </c>
      <c r="V206">
        <v>0</v>
      </c>
      <c r="W206">
        <v>1948177</v>
      </c>
      <c r="X206">
        <v>0</v>
      </c>
      <c r="Y206">
        <v>0</v>
      </c>
      <c r="Z206">
        <v>0</v>
      </c>
      <c r="AA206">
        <v>0</v>
      </c>
      <c r="AB206">
        <v>0</v>
      </c>
      <c r="AC206">
        <v>295340</v>
      </c>
      <c r="AD206">
        <v>0</v>
      </c>
      <c r="AE206">
        <v>0</v>
      </c>
      <c r="AF206">
        <v>1579932</v>
      </c>
      <c r="AG206">
        <v>2565388</v>
      </c>
      <c r="AH206">
        <v>0</v>
      </c>
      <c r="AI206">
        <v>0</v>
      </c>
      <c r="AJ206">
        <v>904940</v>
      </c>
      <c r="AK206">
        <v>0</v>
      </c>
      <c r="AL206">
        <v>0</v>
      </c>
      <c r="AM206">
        <v>0</v>
      </c>
      <c r="AN206">
        <v>660358</v>
      </c>
      <c r="AO206">
        <v>0</v>
      </c>
      <c r="AP206">
        <v>0</v>
      </c>
      <c r="AQ206">
        <v>0</v>
      </c>
      <c r="AR206">
        <v>2646009</v>
      </c>
      <c r="AS206">
        <v>0</v>
      </c>
      <c r="AT206">
        <v>0</v>
      </c>
      <c r="AU206">
        <v>0</v>
      </c>
      <c r="AV206">
        <v>0</v>
      </c>
      <c r="AW206">
        <v>955572</v>
      </c>
      <c r="AX206">
        <v>0</v>
      </c>
      <c r="AY206">
        <v>0</v>
      </c>
      <c r="AZ206">
        <v>0</v>
      </c>
      <c r="BA206">
        <v>0</v>
      </c>
      <c r="BB206">
        <v>0</v>
      </c>
      <c r="BC206">
        <v>0</v>
      </c>
      <c r="BD206">
        <v>0</v>
      </c>
      <c r="BE206">
        <v>2621621</v>
      </c>
      <c r="BF206">
        <v>0</v>
      </c>
      <c r="BG206">
        <v>0</v>
      </c>
      <c r="BH206">
        <v>0</v>
      </c>
      <c r="BI206">
        <v>0</v>
      </c>
      <c r="BJ206">
        <v>0</v>
      </c>
      <c r="BK206">
        <v>0</v>
      </c>
      <c r="BL206">
        <v>1070966</v>
      </c>
      <c r="BM206">
        <v>0</v>
      </c>
      <c r="BN206">
        <v>0</v>
      </c>
      <c r="BO206">
        <v>330642</v>
      </c>
      <c r="BP206">
        <v>0</v>
      </c>
      <c r="BQ206">
        <v>0</v>
      </c>
      <c r="BR206">
        <v>577575</v>
      </c>
      <c r="BS206">
        <v>0</v>
      </c>
      <c r="BT206">
        <v>0</v>
      </c>
      <c r="BU206">
        <v>0</v>
      </c>
      <c r="BV206">
        <v>0</v>
      </c>
      <c r="BW206">
        <v>0</v>
      </c>
      <c r="BX206">
        <v>0</v>
      </c>
      <c r="BY206">
        <v>0</v>
      </c>
      <c r="BZ206">
        <v>0</v>
      </c>
      <c r="CA206">
        <v>0</v>
      </c>
      <c r="CB206">
        <v>0</v>
      </c>
      <c r="CC206">
        <v>0</v>
      </c>
      <c r="CD206">
        <v>0</v>
      </c>
      <c r="CE206">
        <v>0</v>
      </c>
    </row>
    <row r="207" spans="1:83" x14ac:dyDescent="0.25">
      <c r="A207">
        <v>557</v>
      </c>
      <c r="B207">
        <v>557</v>
      </c>
      <c r="C207" t="s">
        <v>588</v>
      </c>
      <c r="D207" t="s">
        <v>589</v>
      </c>
      <c r="E207">
        <v>0</v>
      </c>
      <c r="F207">
        <v>0</v>
      </c>
      <c r="G207">
        <v>0</v>
      </c>
      <c r="H207">
        <v>0</v>
      </c>
      <c r="I207">
        <v>0</v>
      </c>
      <c r="J207">
        <v>0</v>
      </c>
      <c r="K207">
        <v>0</v>
      </c>
      <c r="L207">
        <v>0</v>
      </c>
      <c r="M207">
        <v>0</v>
      </c>
      <c r="N207">
        <v>594238</v>
      </c>
      <c r="O207">
        <v>0</v>
      </c>
      <c r="P207">
        <v>0</v>
      </c>
      <c r="Q207">
        <v>0</v>
      </c>
      <c r="R207">
        <v>1345532</v>
      </c>
      <c r="S207">
        <v>0</v>
      </c>
      <c r="T207">
        <v>0</v>
      </c>
      <c r="U207">
        <v>1098955</v>
      </c>
      <c r="V207">
        <v>0</v>
      </c>
      <c r="W207">
        <v>1517589</v>
      </c>
      <c r="X207">
        <v>0</v>
      </c>
      <c r="Y207">
        <v>0</v>
      </c>
      <c r="Z207">
        <v>0</v>
      </c>
      <c r="AA207">
        <v>0</v>
      </c>
      <c r="AB207">
        <v>0</v>
      </c>
      <c r="AC207">
        <v>0</v>
      </c>
      <c r="AD207">
        <v>0</v>
      </c>
      <c r="AE207">
        <v>0</v>
      </c>
      <c r="AF207">
        <v>1183771</v>
      </c>
      <c r="AG207">
        <v>2164146</v>
      </c>
      <c r="AH207">
        <v>0</v>
      </c>
      <c r="AI207">
        <v>0</v>
      </c>
      <c r="AJ207">
        <v>865707</v>
      </c>
      <c r="AK207">
        <v>0</v>
      </c>
      <c r="AL207">
        <v>0</v>
      </c>
      <c r="AM207">
        <v>0</v>
      </c>
      <c r="AN207">
        <v>300058</v>
      </c>
      <c r="AO207">
        <v>0</v>
      </c>
      <c r="AP207">
        <v>0</v>
      </c>
      <c r="AQ207">
        <v>0</v>
      </c>
      <c r="AR207">
        <v>2567526</v>
      </c>
      <c r="AS207">
        <v>0</v>
      </c>
      <c r="AT207">
        <v>0</v>
      </c>
      <c r="AU207">
        <v>0</v>
      </c>
      <c r="AV207">
        <v>0</v>
      </c>
      <c r="AW207">
        <v>693366</v>
      </c>
      <c r="AX207">
        <v>0</v>
      </c>
      <c r="AY207">
        <v>0</v>
      </c>
      <c r="AZ207">
        <v>0</v>
      </c>
      <c r="BA207">
        <v>0</v>
      </c>
      <c r="BB207">
        <v>0</v>
      </c>
      <c r="BC207">
        <v>0</v>
      </c>
      <c r="BD207">
        <v>0</v>
      </c>
      <c r="BE207">
        <v>2380287</v>
      </c>
      <c r="BF207">
        <v>0</v>
      </c>
      <c r="BG207">
        <v>0</v>
      </c>
      <c r="BH207">
        <v>0</v>
      </c>
      <c r="BI207">
        <v>0</v>
      </c>
      <c r="BJ207">
        <v>0</v>
      </c>
      <c r="BK207">
        <v>0</v>
      </c>
      <c r="BL207">
        <v>757280</v>
      </c>
      <c r="BM207">
        <v>0</v>
      </c>
      <c r="BN207">
        <v>0</v>
      </c>
      <c r="BO207">
        <v>0</v>
      </c>
      <c r="BP207">
        <v>0</v>
      </c>
      <c r="BQ207">
        <v>0</v>
      </c>
      <c r="BR207">
        <v>498488</v>
      </c>
      <c r="BS207">
        <v>0</v>
      </c>
      <c r="BT207">
        <v>0</v>
      </c>
      <c r="BU207">
        <v>0</v>
      </c>
      <c r="BV207">
        <v>0</v>
      </c>
      <c r="BW207">
        <v>0</v>
      </c>
      <c r="BX207">
        <v>0</v>
      </c>
      <c r="BY207">
        <v>0</v>
      </c>
      <c r="BZ207">
        <v>0</v>
      </c>
      <c r="CA207">
        <v>0</v>
      </c>
      <c r="CB207">
        <v>0</v>
      </c>
      <c r="CC207">
        <v>0</v>
      </c>
      <c r="CD207">
        <v>0</v>
      </c>
      <c r="CE207">
        <v>0</v>
      </c>
    </row>
    <row r="208" spans="1:83" x14ac:dyDescent="0.25">
      <c r="B208">
        <v>558</v>
      </c>
      <c r="D208" t="s">
        <v>590</v>
      </c>
    </row>
    <row r="209" spans="2:4" x14ac:dyDescent="0.25">
      <c r="B209">
        <v>559</v>
      </c>
      <c r="D209" t="s">
        <v>591</v>
      </c>
    </row>
    <row r="210" spans="2:4" x14ac:dyDescent="0.25">
      <c r="B210">
        <v>560</v>
      </c>
      <c r="D210" t="s">
        <v>592</v>
      </c>
    </row>
    <row r="211" spans="2:4" x14ac:dyDescent="0.25">
      <c r="B211">
        <v>561</v>
      </c>
      <c r="D211" t="s">
        <v>593</v>
      </c>
    </row>
    <row r="212" spans="2:4" x14ac:dyDescent="0.25">
      <c r="B212">
        <v>562</v>
      </c>
      <c r="D212" t="s">
        <v>594</v>
      </c>
    </row>
    <row r="213" spans="2:4" x14ac:dyDescent="0.25">
      <c r="B213">
        <v>563</v>
      </c>
      <c r="D213" t="s">
        <v>595</v>
      </c>
    </row>
    <row r="214" spans="2:4" x14ac:dyDescent="0.25">
      <c r="B214">
        <v>564</v>
      </c>
      <c r="D214" t="s">
        <v>596</v>
      </c>
    </row>
    <row r="215" spans="2:4" x14ac:dyDescent="0.25">
      <c r="B215">
        <v>565</v>
      </c>
      <c r="D215" t="s">
        <v>597</v>
      </c>
    </row>
    <row r="216" spans="2:4" x14ac:dyDescent="0.25">
      <c r="B216">
        <v>566</v>
      </c>
      <c r="D216" t="s">
        <v>598</v>
      </c>
    </row>
    <row r="217" spans="2:4" x14ac:dyDescent="0.25">
      <c r="B217">
        <v>567</v>
      </c>
      <c r="D217" t="s">
        <v>599</v>
      </c>
    </row>
    <row r="218" spans="2:4" x14ac:dyDescent="0.25">
      <c r="B218">
        <v>568</v>
      </c>
      <c r="D218" t="s">
        <v>600</v>
      </c>
    </row>
    <row r="219" spans="2:4" x14ac:dyDescent="0.25">
      <c r="B219">
        <v>569</v>
      </c>
      <c r="D219" t="s">
        <v>601</v>
      </c>
    </row>
    <row r="220" spans="2:4" x14ac:dyDescent="0.25">
      <c r="B220">
        <v>570</v>
      </c>
      <c r="D220" t="s">
        <v>602</v>
      </c>
    </row>
    <row r="221" spans="2:4" x14ac:dyDescent="0.25">
      <c r="B221">
        <v>571</v>
      </c>
      <c r="D221" t="s">
        <v>603</v>
      </c>
    </row>
    <row r="222" spans="2:4" x14ac:dyDescent="0.25">
      <c r="B222">
        <v>572</v>
      </c>
      <c r="D222" t="s">
        <v>604</v>
      </c>
    </row>
    <row r="223" spans="2:4" x14ac:dyDescent="0.25">
      <c r="B223">
        <v>573</v>
      </c>
      <c r="D223" t="s">
        <v>605</v>
      </c>
    </row>
    <row r="224" spans="2:4" x14ac:dyDescent="0.25">
      <c r="B224">
        <v>574</v>
      </c>
      <c r="D224" t="s">
        <v>606</v>
      </c>
    </row>
    <row r="225" spans="1:83" x14ac:dyDescent="0.25">
      <c r="A225">
        <v>575</v>
      </c>
      <c r="B225">
        <v>575</v>
      </c>
      <c r="C225" t="s">
        <v>550</v>
      </c>
      <c r="D225" t="s">
        <v>647</v>
      </c>
      <c r="E225">
        <v>0</v>
      </c>
      <c r="F225">
        <v>0</v>
      </c>
      <c r="G225">
        <v>0</v>
      </c>
      <c r="H225">
        <v>0</v>
      </c>
      <c r="I225">
        <v>0</v>
      </c>
      <c r="J225">
        <v>0</v>
      </c>
      <c r="K225">
        <v>0</v>
      </c>
      <c r="L225">
        <v>0</v>
      </c>
      <c r="M225">
        <v>0</v>
      </c>
      <c r="N225">
        <v>0</v>
      </c>
      <c r="O225">
        <v>0</v>
      </c>
      <c r="P225">
        <v>50000</v>
      </c>
      <c r="Q225">
        <v>0</v>
      </c>
      <c r="R225">
        <v>0</v>
      </c>
      <c r="S225">
        <v>0</v>
      </c>
      <c r="T225">
        <v>0</v>
      </c>
      <c r="U225">
        <v>0</v>
      </c>
      <c r="V225">
        <v>0</v>
      </c>
      <c r="W225">
        <v>0</v>
      </c>
      <c r="X225">
        <v>0</v>
      </c>
      <c r="Y225">
        <v>10997</v>
      </c>
      <c r="Z225">
        <v>0</v>
      </c>
      <c r="AA225">
        <v>0</v>
      </c>
      <c r="AB225">
        <v>0</v>
      </c>
      <c r="AC225">
        <v>397669</v>
      </c>
      <c r="AD225">
        <v>0</v>
      </c>
      <c r="AE225" s="708">
        <v>35719</v>
      </c>
      <c r="AF225">
        <v>0</v>
      </c>
      <c r="AG225">
        <v>0</v>
      </c>
      <c r="AH225">
        <v>0</v>
      </c>
      <c r="AI225">
        <v>0</v>
      </c>
      <c r="AJ225">
        <v>1500000</v>
      </c>
      <c r="AK225">
        <v>0</v>
      </c>
      <c r="AL225">
        <v>0</v>
      </c>
      <c r="AM225">
        <v>0</v>
      </c>
      <c r="AN225">
        <v>0</v>
      </c>
      <c r="AO225">
        <v>0</v>
      </c>
      <c r="AP225">
        <v>0</v>
      </c>
      <c r="AQ225">
        <v>0</v>
      </c>
      <c r="AR225">
        <v>0</v>
      </c>
      <c r="AS225">
        <v>358903</v>
      </c>
      <c r="AT225">
        <v>42000</v>
      </c>
      <c r="AU225">
        <v>73061</v>
      </c>
      <c r="AV225">
        <v>0</v>
      </c>
      <c r="AW225">
        <v>0</v>
      </c>
      <c r="AX225">
        <v>0</v>
      </c>
      <c r="AY225">
        <v>0</v>
      </c>
      <c r="AZ225">
        <v>67034</v>
      </c>
      <c r="BA225">
        <v>0</v>
      </c>
      <c r="BB225">
        <v>0</v>
      </c>
      <c r="BC225">
        <v>0</v>
      </c>
      <c r="BD225">
        <v>0</v>
      </c>
      <c r="BE225">
        <v>0</v>
      </c>
      <c r="BF225">
        <v>0</v>
      </c>
      <c r="BG225">
        <v>73172</v>
      </c>
      <c r="BH225">
        <v>0</v>
      </c>
      <c r="BI225">
        <v>0</v>
      </c>
      <c r="BJ225">
        <v>0</v>
      </c>
      <c r="BK225">
        <v>0</v>
      </c>
      <c r="BL225">
        <v>0</v>
      </c>
      <c r="BM225">
        <v>0</v>
      </c>
      <c r="BN225">
        <v>445566</v>
      </c>
      <c r="BO225">
        <v>0</v>
      </c>
      <c r="BP225">
        <v>0</v>
      </c>
      <c r="BQ225">
        <v>0</v>
      </c>
      <c r="BR225">
        <v>0</v>
      </c>
      <c r="BS225">
        <v>0</v>
      </c>
      <c r="BT225">
        <v>0</v>
      </c>
      <c r="BU225">
        <v>4694</v>
      </c>
      <c r="BV225">
        <v>0</v>
      </c>
      <c r="BW225">
        <v>0</v>
      </c>
      <c r="BX225">
        <v>45437</v>
      </c>
      <c r="BY225">
        <v>0</v>
      </c>
      <c r="BZ225">
        <v>8936</v>
      </c>
      <c r="CA225" s="708">
        <v>18767</v>
      </c>
      <c r="CB225">
        <v>0</v>
      </c>
      <c r="CC225">
        <v>0</v>
      </c>
      <c r="CD225">
        <v>0</v>
      </c>
      <c r="CE225">
        <v>237</v>
      </c>
    </row>
    <row r="226" spans="1:83" x14ac:dyDescent="0.25">
      <c r="A226">
        <v>576</v>
      </c>
      <c r="B226">
        <v>576</v>
      </c>
      <c r="C226" t="s">
        <v>551</v>
      </c>
      <c r="D226" t="s">
        <v>648</v>
      </c>
      <c r="E226">
        <v>0</v>
      </c>
      <c r="F226">
        <v>0</v>
      </c>
      <c r="G226">
        <v>0</v>
      </c>
      <c r="H226">
        <v>0</v>
      </c>
      <c r="I226">
        <v>0</v>
      </c>
      <c r="J226">
        <v>0</v>
      </c>
      <c r="K226">
        <v>0</v>
      </c>
      <c r="L226">
        <v>0</v>
      </c>
      <c r="M226">
        <v>0</v>
      </c>
      <c r="N226">
        <v>0</v>
      </c>
      <c r="O226">
        <v>0</v>
      </c>
      <c r="P226">
        <v>0</v>
      </c>
      <c r="Q226">
        <v>0</v>
      </c>
      <c r="R226">
        <v>105343</v>
      </c>
      <c r="S226">
        <v>0</v>
      </c>
      <c r="T226">
        <v>0</v>
      </c>
      <c r="U226">
        <v>0</v>
      </c>
      <c r="V226">
        <v>0</v>
      </c>
      <c r="W226">
        <v>0</v>
      </c>
      <c r="X226">
        <v>0</v>
      </c>
      <c r="Y226">
        <v>0</v>
      </c>
      <c r="Z226">
        <v>108560</v>
      </c>
      <c r="AA226">
        <v>0</v>
      </c>
      <c r="AB226">
        <v>0</v>
      </c>
      <c r="AC226">
        <v>0</v>
      </c>
      <c r="AD226">
        <v>3908</v>
      </c>
      <c r="AE226">
        <v>0</v>
      </c>
      <c r="AF226">
        <v>10135</v>
      </c>
      <c r="AG226">
        <v>0</v>
      </c>
      <c r="AH226">
        <v>33481</v>
      </c>
      <c r="AI226">
        <v>0</v>
      </c>
      <c r="AJ226">
        <v>993965</v>
      </c>
      <c r="AK226">
        <v>0</v>
      </c>
      <c r="AL226">
        <v>0</v>
      </c>
      <c r="AM226">
        <v>0</v>
      </c>
      <c r="AN226">
        <v>352561</v>
      </c>
      <c r="AO226">
        <v>0</v>
      </c>
      <c r="AP226">
        <v>0</v>
      </c>
      <c r="AQ226">
        <v>0</v>
      </c>
      <c r="AR226">
        <v>0</v>
      </c>
      <c r="AS226">
        <v>7570</v>
      </c>
      <c r="AT226">
        <v>0</v>
      </c>
      <c r="AU226">
        <v>0</v>
      </c>
      <c r="AV226">
        <v>0</v>
      </c>
      <c r="AW226">
        <v>0</v>
      </c>
      <c r="AX226">
        <v>0</v>
      </c>
      <c r="AY226">
        <v>0</v>
      </c>
      <c r="AZ226">
        <v>0</v>
      </c>
      <c r="BA226">
        <v>0</v>
      </c>
      <c r="BB226">
        <v>0</v>
      </c>
      <c r="BC226">
        <v>0</v>
      </c>
      <c r="BD226">
        <v>0</v>
      </c>
      <c r="BE226">
        <v>0</v>
      </c>
      <c r="BF226">
        <v>0</v>
      </c>
      <c r="BG226">
        <v>0</v>
      </c>
      <c r="BH226">
        <v>13361</v>
      </c>
      <c r="BI226">
        <v>0</v>
      </c>
      <c r="BJ226">
        <v>0</v>
      </c>
      <c r="BK226">
        <v>0</v>
      </c>
      <c r="BL226">
        <v>0</v>
      </c>
      <c r="BM226">
        <v>0</v>
      </c>
      <c r="BN226">
        <v>0</v>
      </c>
      <c r="BO226">
        <v>0</v>
      </c>
      <c r="BP226">
        <v>0</v>
      </c>
      <c r="BQ226">
        <v>0</v>
      </c>
      <c r="BR226">
        <v>0</v>
      </c>
      <c r="BS226">
        <v>32063</v>
      </c>
      <c r="BT226">
        <v>0</v>
      </c>
      <c r="BU226">
        <v>0</v>
      </c>
      <c r="BV226">
        <v>0</v>
      </c>
      <c r="BW226">
        <v>0</v>
      </c>
      <c r="BX226">
        <v>0</v>
      </c>
      <c r="BY226">
        <v>0</v>
      </c>
      <c r="BZ226">
        <v>0</v>
      </c>
      <c r="CA226">
        <v>0</v>
      </c>
      <c r="CB226">
        <v>0</v>
      </c>
      <c r="CC226">
        <v>0</v>
      </c>
      <c r="CD226">
        <v>0</v>
      </c>
      <c r="CE226">
        <v>0</v>
      </c>
    </row>
    <row r="227" spans="1:83" x14ac:dyDescent="0.25">
      <c r="A227">
        <v>577</v>
      </c>
      <c r="B227">
        <v>577</v>
      </c>
      <c r="C227" t="s">
        <v>649</v>
      </c>
      <c r="D227" t="s">
        <v>650</v>
      </c>
      <c r="E227">
        <v>0</v>
      </c>
      <c r="F227">
        <v>2</v>
      </c>
      <c r="G227">
        <v>2</v>
      </c>
      <c r="H227">
        <v>2</v>
      </c>
      <c r="I227">
        <v>2</v>
      </c>
      <c r="J227">
        <v>2</v>
      </c>
      <c r="K227">
        <v>2</v>
      </c>
      <c r="L227">
        <v>0</v>
      </c>
      <c r="M227">
        <v>2</v>
      </c>
      <c r="N227">
        <v>2</v>
      </c>
      <c r="O227">
        <v>2</v>
      </c>
      <c r="P227">
        <v>2</v>
      </c>
      <c r="Q227">
        <v>0</v>
      </c>
      <c r="R227">
        <v>2</v>
      </c>
      <c r="S227">
        <v>2</v>
      </c>
      <c r="T227">
        <v>2</v>
      </c>
      <c r="U227">
        <v>2</v>
      </c>
      <c r="V227">
        <v>2</v>
      </c>
      <c r="W227">
        <v>2</v>
      </c>
      <c r="X227">
        <v>2</v>
      </c>
      <c r="Y227">
        <v>2</v>
      </c>
      <c r="Z227">
        <v>1</v>
      </c>
      <c r="AA227">
        <v>2</v>
      </c>
      <c r="AB227">
        <v>1</v>
      </c>
      <c r="AC227">
        <v>2</v>
      </c>
      <c r="AD227">
        <v>2</v>
      </c>
      <c r="AE227">
        <v>0</v>
      </c>
      <c r="AF227">
        <v>2</v>
      </c>
      <c r="AG227">
        <v>2</v>
      </c>
      <c r="AH227">
        <v>0</v>
      </c>
      <c r="AI227">
        <v>2</v>
      </c>
      <c r="AJ227">
        <v>2</v>
      </c>
      <c r="AK227">
        <v>2</v>
      </c>
      <c r="AL227">
        <v>2</v>
      </c>
      <c r="AM227">
        <v>0</v>
      </c>
      <c r="AN227">
        <v>2</v>
      </c>
      <c r="AO227">
        <v>0</v>
      </c>
      <c r="AP227">
        <v>0</v>
      </c>
      <c r="AQ227">
        <v>2</v>
      </c>
      <c r="AR227">
        <v>2</v>
      </c>
      <c r="AS227">
        <v>2</v>
      </c>
      <c r="AT227">
        <v>2</v>
      </c>
      <c r="AU227">
        <v>2</v>
      </c>
      <c r="AV227">
        <v>0</v>
      </c>
      <c r="AW227">
        <v>2</v>
      </c>
      <c r="AX227">
        <v>2</v>
      </c>
      <c r="AY227">
        <v>2</v>
      </c>
      <c r="AZ227">
        <v>2</v>
      </c>
      <c r="BA227">
        <v>2</v>
      </c>
      <c r="BB227">
        <v>2</v>
      </c>
      <c r="BC227">
        <v>2</v>
      </c>
      <c r="BD227">
        <v>0</v>
      </c>
      <c r="BE227">
        <v>2</v>
      </c>
      <c r="BF227">
        <v>2</v>
      </c>
      <c r="BG227">
        <v>2</v>
      </c>
      <c r="BH227">
        <v>0</v>
      </c>
      <c r="BI227">
        <v>2</v>
      </c>
      <c r="BJ227">
        <v>2</v>
      </c>
      <c r="BK227">
        <v>2</v>
      </c>
      <c r="BL227">
        <v>2</v>
      </c>
      <c r="BM227">
        <v>0</v>
      </c>
      <c r="BN227">
        <v>2</v>
      </c>
      <c r="BO227">
        <v>2</v>
      </c>
      <c r="BP227">
        <v>2</v>
      </c>
      <c r="BQ227">
        <v>0</v>
      </c>
      <c r="BR227">
        <v>2</v>
      </c>
      <c r="BS227">
        <v>0</v>
      </c>
      <c r="BT227">
        <v>2</v>
      </c>
      <c r="BU227">
        <v>2</v>
      </c>
      <c r="BV227">
        <v>2</v>
      </c>
      <c r="BW227">
        <v>2</v>
      </c>
      <c r="BX227">
        <v>2</v>
      </c>
      <c r="BY227">
        <v>2</v>
      </c>
      <c r="BZ227">
        <v>2</v>
      </c>
      <c r="CA227">
        <v>2</v>
      </c>
      <c r="CB227">
        <v>2</v>
      </c>
      <c r="CC227">
        <v>0</v>
      </c>
      <c r="CD227">
        <v>0</v>
      </c>
      <c r="CE227">
        <v>2</v>
      </c>
    </row>
    <row r="228" spans="1:83" x14ac:dyDescent="0.25">
      <c r="A228">
        <v>578</v>
      </c>
      <c r="B228">
        <v>578</v>
      </c>
      <c r="C228" t="s">
        <v>651</v>
      </c>
      <c r="D228" t="s">
        <v>652</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10997</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row>
    <row r="229" spans="1:83" x14ac:dyDescent="0.25">
      <c r="A229">
        <v>579</v>
      </c>
      <c r="B229">
        <v>579</v>
      </c>
      <c r="C229" t="s">
        <v>653</v>
      </c>
      <c r="D229" t="s">
        <v>654</v>
      </c>
      <c r="E229">
        <v>0</v>
      </c>
      <c r="F229">
        <v>0</v>
      </c>
      <c r="G229">
        <v>0</v>
      </c>
      <c r="H229">
        <v>0</v>
      </c>
      <c r="I229">
        <v>0</v>
      </c>
      <c r="J229">
        <v>0</v>
      </c>
      <c r="K229">
        <v>0</v>
      </c>
      <c r="L229">
        <v>0</v>
      </c>
      <c r="M229">
        <v>0</v>
      </c>
      <c r="N229">
        <v>0</v>
      </c>
      <c r="O229">
        <v>0</v>
      </c>
      <c r="P229">
        <v>0</v>
      </c>
      <c r="Q229">
        <v>0</v>
      </c>
      <c r="R229">
        <v>0</v>
      </c>
      <c r="S229">
        <v>0</v>
      </c>
      <c r="T229">
        <v>0</v>
      </c>
      <c r="U229">
        <v>0</v>
      </c>
      <c r="V229">
        <v>0</v>
      </c>
      <c r="W229">
        <v>2411884</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row>
    <row r="230" spans="1:83" x14ac:dyDescent="0.25">
      <c r="A230">
        <v>580</v>
      </c>
      <c r="B230">
        <v>580</v>
      </c>
      <c r="C230" t="s">
        <v>655</v>
      </c>
      <c r="D230" t="s">
        <v>656</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0</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0</v>
      </c>
    </row>
    <row r="231" spans="1:83" x14ac:dyDescent="0.25">
      <c r="A231">
        <v>581</v>
      </c>
      <c r="B231">
        <v>581</v>
      </c>
      <c r="C231" t="s">
        <v>657</v>
      </c>
      <c r="D231" t="s">
        <v>658</v>
      </c>
      <c r="E231">
        <v>0</v>
      </c>
      <c r="F231">
        <v>0</v>
      </c>
      <c r="G231">
        <v>0</v>
      </c>
      <c r="H231">
        <v>0</v>
      </c>
      <c r="I231">
        <v>0</v>
      </c>
      <c r="J231">
        <v>0</v>
      </c>
      <c r="K231">
        <v>0</v>
      </c>
      <c r="L231">
        <v>0</v>
      </c>
      <c r="M231">
        <v>0</v>
      </c>
      <c r="N231">
        <v>0</v>
      </c>
      <c r="O231">
        <v>0</v>
      </c>
      <c r="P231">
        <v>0</v>
      </c>
      <c r="Q231">
        <v>0</v>
      </c>
      <c r="R231">
        <v>2051647</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row>
    <row r="232" spans="1:83" x14ac:dyDescent="0.25">
      <c r="B232">
        <v>582</v>
      </c>
      <c r="C232" t="s">
        <v>659</v>
      </c>
      <c r="D232" t="s">
        <v>660</v>
      </c>
    </row>
    <row r="233" spans="1:83" x14ac:dyDescent="0.25">
      <c r="B233">
        <v>583</v>
      </c>
      <c r="C233" t="s">
        <v>661</v>
      </c>
      <c r="D233" t="s">
        <v>662</v>
      </c>
    </row>
    <row r="234" spans="1:83" x14ac:dyDescent="0.25">
      <c r="B234">
        <v>584</v>
      </c>
      <c r="C234" t="s">
        <v>663</v>
      </c>
      <c r="D234" t="s">
        <v>664</v>
      </c>
    </row>
    <row r="235" spans="1:83" x14ac:dyDescent="0.25">
      <c r="B235">
        <v>585</v>
      </c>
      <c r="C235" t="s">
        <v>665</v>
      </c>
      <c r="D235" t="s">
        <v>666</v>
      </c>
    </row>
    <row r="236" spans="1:83" x14ac:dyDescent="0.25">
      <c r="A236">
        <v>586</v>
      </c>
      <c r="B236">
        <v>586</v>
      </c>
      <c r="C236" t="s">
        <v>667</v>
      </c>
      <c r="D236" t="s">
        <v>668</v>
      </c>
      <c r="E236">
        <v>0</v>
      </c>
      <c r="F236">
        <v>0</v>
      </c>
      <c r="G236">
        <v>0</v>
      </c>
      <c r="H236">
        <v>0</v>
      </c>
      <c r="I236">
        <v>0</v>
      </c>
      <c r="J236">
        <v>0</v>
      </c>
      <c r="K236">
        <v>0</v>
      </c>
      <c r="L236">
        <v>0</v>
      </c>
      <c r="M236">
        <v>0</v>
      </c>
      <c r="N236">
        <v>0</v>
      </c>
      <c r="O236">
        <v>0</v>
      </c>
      <c r="P236">
        <v>1154477</v>
      </c>
      <c r="Q236">
        <v>0</v>
      </c>
      <c r="R236">
        <v>0</v>
      </c>
      <c r="S236">
        <v>0</v>
      </c>
      <c r="T236">
        <v>0</v>
      </c>
      <c r="U236">
        <v>0</v>
      </c>
      <c r="V236">
        <v>0</v>
      </c>
      <c r="W236">
        <v>0</v>
      </c>
      <c r="X236">
        <v>0</v>
      </c>
      <c r="Y236">
        <v>14327</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0</v>
      </c>
      <c r="BW236">
        <v>0</v>
      </c>
      <c r="BX236">
        <v>0</v>
      </c>
      <c r="BY236">
        <v>0</v>
      </c>
      <c r="BZ236">
        <v>0</v>
      </c>
      <c r="CA236">
        <v>0</v>
      </c>
      <c r="CB236">
        <v>0</v>
      </c>
      <c r="CC236">
        <v>0</v>
      </c>
      <c r="CD236">
        <v>0</v>
      </c>
      <c r="CE236">
        <v>0</v>
      </c>
    </row>
    <row r="237" spans="1:83" x14ac:dyDescent="0.25">
      <c r="B237">
        <v>587</v>
      </c>
      <c r="C237" t="s">
        <v>669</v>
      </c>
      <c r="D237" t="s">
        <v>670</v>
      </c>
    </row>
    <row r="238" spans="1:83" x14ac:dyDescent="0.25">
      <c r="B238">
        <v>588</v>
      </c>
      <c r="C238" t="s">
        <v>671</v>
      </c>
      <c r="D238" t="s">
        <v>672</v>
      </c>
    </row>
    <row r="239" spans="1:83" x14ac:dyDescent="0.25">
      <c r="B239">
        <v>589</v>
      </c>
      <c r="C239" t="s">
        <v>673</v>
      </c>
      <c r="D239" t="s">
        <v>674</v>
      </c>
    </row>
    <row r="240" spans="1:83" x14ac:dyDescent="0.25">
      <c r="B240">
        <v>590</v>
      </c>
      <c r="C240" t="s">
        <v>675</v>
      </c>
      <c r="D240" t="s">
        <v>676</v>
      </c>
    </row>
    <row r="241" spans="1:83" x14ac:dyDescent="0.25">
      <c r="B241">
        <v>992</v>
      </c>
      <c r="D241" t="s">
        <v>607</v>
      </c>
    </row>
    <row r="242" spans="1:83" x14ac:dyDescent="0.25">
      <c r="B242">
        <v>993</v>
      </c>
      <c r="C242" t="s">
        <v>518</v>
      </c>
      <c r="D242" t="s">
        <v>519</v>
      </c>
    </row>
    <row r="243" spans="1:83" x14ac:dyDescent="0.25">
      <c r="B243">
        <v>994</v>
      </c>
      <c r="C243" t="s">
        <v>520</v>
      </c>
      <c r="D243" t="s">
        <v>521</v>
      </c>
    </row>
    <row r="244" spans="1:83" x14ac:dyDescent="0.25">
      <c r="A244">
        <v>995</v>
      </c>
      <c r="B244">
        <v>995</v>
      </c>
      <c r="C244" t="s">
        <v>522</v>
      </c>
      <c r="D244" t="s">
        <v>523</v>
      </c>
      <c r="E244">
        <v>0</v>
      </c>
      <c r="F244">
        <v>0</v>
      </c>
      <c r="G244">
        <v>0</v>
      </c>
      <c r="H244">
        <v>0</v>
      </c>
      <c r="I244">
        <v>0</v>
      </c>
      <c r="J244">
        <v>0</v>
      </c>
      <c r="K244">
        <v>0</v>
      </c>
      <c r="L244">
        <v>0</v>
      </c>
      <c r="M244">
        <v>0</v>
      </c>
      <c r="N244">
        <v>0</v>
      </c>
      <c r="O244">
        <v>0</v>
      </c>
      <c r="P244">
        <v>0</v>
      </c>
      <c r="Q244">
        <v>0</v>
      </c>
      <c r="R244">
        <v>7.0000000000000007E-2</v>
      </c>
      <c r="S244">
        <v>0</v>
      </c>
      <c r="T244">
        <v>0</v>
      </c>
      <c r="U244">
        <v>0</v>
      </c>
      <c r="V244">
        <v>0</v>
      </c>
      <c r="W244">
        <v>7.0000000000000007E-2</v>
      </c>
      <c r="X244">
        <v>0</v>
      </c>
      <c r="Y244">
        <v>0</v>
      </c>
      <c r="Z244">
        <v>0</v>
      </c>
      <c r="AA244">
        <v>0</v>
      </c>
      <c r="AB244">
        <v>0</v>
      </c>
      <c r="AC244">
        <v>0</v>
      </c>
      <c r="AD244">
        <v>0</v>
      </c>
      <c r="AE244">
        <v>0</v>
      </c>
      <c r="AF244">
        <v>0</v>
      </c>
      <c r="AG244">
        <v>0</v>
      </c>
      <c r="AH244">
        <v>0</v>
      </c>
      <c r="AI244">
        <v>0</v>
      </c>
      <c r="AJ244">
        <v>0.08</v>
      </c>
      <c r="AK244">
        <v>0</v>
      </c>
      <c r="AL244">
        <v>0</v>
      </c>
      <c r="AM244">
        <v>0</v>
      </c>
      <c r="AN244">
        <v>7.0000000000000007E-2</v>
      </c>
      <c r="AO244">
        <v>0</v>
      </c>
      <c r="AP244">
        <v>0</v>
      </c>
      <c r="AQ244">
        <v>0</v>
      </c>
      <c r="AR244">
        <v>0</v>
      </c>
      <c r="AS244">
        <v>0</v>
      </c>
      <c r="AT244">
        <v>0</v>
      </c>
      <c r="AU244">
        <v>0</v>
      </c>
      <c r="AV244">
        <v>0.09</v>
      </c>
      <c r="AW244">
        <v>0</v>
      </c>
      <c r="AX244">
        <v>0</v>
      </c>
      <c r="AY244">
        <v>0</v>
      </c>
      <c r="AZ244">
        <v>0</v>
      </c>
      <c r="BA244">
        <v>0</v>
      </c>
      <c r="BB244">
        <v>0</v>
      </c>
      <c r="BC244">
        <v>0</v>
      </c>
      <c r="BD244">
        <v>0</v>
      </c>
      <c r="BE244">
        <v>0</v>
      </c>
      <c r="BF244">
        <v>0</v>
      </c>
      <c r="BG244">
        <v>0</v>
      </c>
      <c r="BH244">
        <v>0</v>
      </c>
      <c r="BI244">
        <v>0</v>
      </c>
      <c r="BJ244">
        <v>0</v>
      </c>
      <c r="BK244">
        <v>0</v>
      </c>
      <c r="BL244">
        <v>0</v>
      </c>
      <c r="BM244">
        <v>0.08</v>
      </c>
      <c r="BN244">
        <v>0</v>
      </c>
      <c r="BO244">
        <v>0</v>
      </c>
      <c r="BP244">
        <v>0</v>
      </c>
      <c r="BQ244">
        <v>0</v>
      </c>
      <c r="BR244">
        <v>0</v>
      </c>
      <c r="BS244">
        <v>0.09</v>
      </c>
      <c r="BT244">
        <v>7.0000000000000007E-2</v>
      </c>
      <c r="BU244">
        <v>0</v>
      </c>
      <c r="BV244">
        <v>0</v>
      </c>
      <c r="BW244">
        <v>0</v>
      </c>
      <c r="BX244">
        <v>0</v>
      </c>
      <c r="BY244">
        <v>0</v>
      </c>
      <c r="BZ244">
        <v>0</v>
      </c>
      <c r="CA244">
        <v>0</v>
      </c>
      <c r="CB244">
        <v>0</v>
      </c>
      <c r="CC244">
        <v>0</v>
      </c>
      <c r="CD244">
        <v>0</v>
      </c>
      <c r="CE244">
        <v>0</v>
      </c>
    </row>
    <row r="245" spans="1:83" x14ac:dyDescent="0.25">
      <c r="A245">
        <v>996</v>
      </c>
      <c r="B245">
        <v>996</v>
      </c>
      <c r="C245" t="s">
        <v>524</v>
      </c>
      <c r="D245" t="s">
        <v>525</v>
      </c>
      <c r="E245">
        <v>0.01</v>
      </c>
      <c r="F245">
        <v>0</v>
      </c>
      <c r="G245">
        <v>0.01</v>
      </c>
      <c r="H245">
        <v>0</v>
      </c>
      <c r="I245">
        <v>0</v>
      </c>
      <c r="J245">
        <v>0</v>
      </c>
      <c r="K245">
        <v>0.01</v>
      </c>
      <c r="L245">
        <v>0</v>
      </c>
      <c r="M245">
        <v>0</v>
      </c>
      <c r="N245">
        <v>0</v>
      </c>
      <c r="O245">
        <v>0</v>
      </c>
      <c r="P245">
        <v>0.01</v>
      </c>
      <c r="Q245">
        <v>0</v>
      </c>
      <c r="R245">
        <v>0.01</v>
      </c>
      <c r="S245">
        <v>0.01</v>
      </c>
      <c r="T245">
        <v>0</v>
      </c>
      <c r="U245">
        <v>0.01</v>
      </c>
      <c r="V245">
        <v>0.01</v>
      </c>
      <c r="W245">
        <v>0.01</v>
      </c>
      <c r="X245">
        <v>0</v>
      </c>
      <c r="Y245">
        <v>0.01</v>
      </c>
      <c r="Z245">
        <v>0.01</v>
      </c>
      <c r="AA245">
        <v>0.01</v>
      </c>
      <c r="AB245">
        <v>0.01</v>
      </c>
      <c r="AC245">
        <v>0.01</v>
      </c>
      <c r="AD245">
        <v>0.01</v>
      </c>
      <c r="AE245">
        <v>0.01</v>
      </c>
      <c r="AF245">
        <v>0.01</v>
      </c>
      <c r="AG245">
        <v>0.01</v>
      </c>
      <c r="AH245">
        <v>0.01</v>
      </c>
      <c r="AI245">
        <v>0.01</v>
      </c>
      <c r="AJ245">
        <v>0.01</v>
      </c>
      <c r="AK245">
        <v>0.01</v>
      </c>
      <c r="AL245">
        <v>0.01</v>
      </c>
      <c r="AM245">
        <v>0.01</v>
      </c>
      <c r="AN245">
        <v>0.01</v>
      </c>
      <c r="AO245">
        <v>0.01</v>
      </c>
      <c r="AP245">
        <v>0.01</v>
      </c>
      <c r="AQ245">
        <v>0</v>
      </c>
      <c r="AR245">
        <v>0</v>
      </c>
      <c r="AS245">
        <v>0.01</v>
      </c>
      <c r="AT245">
        <v>0.01</v>
      </c>
      <c r="AU245">
        <v>0.01</v>
      </c>
      <c r="AV245">
        <v>0</v>
      </c>
      <c r="AW245">
        <v>0.01</v>
      </c>
      <c r="AX245">
        <v>0</v>
      </c>
      <c r="AY245">
        <v>0.01</v>
      </c>
      <c r="AZ245">
        <v>0.01</v>
      </c>
      <c r="BA245">
        <v>0.01</v>
      </c>
      <c r="BB245">
        <v>0.01</v>
      </c>
      <c r="BC245">
        <v>0</v>
      </c>
      <c r="BD245">
        <v>0.01</v>
      </c>
      <c r="BE245">
        <v>0.01</v>
      </c>
      <c r="BF245">
        <v>0</v>
      </c>
      <c r="BG245">
        <v>0.01</v>
      </c>
      <c r="BH245">
        <v>0.01</v>
      </c>
      <c r="BI245">
        <v>0</v>
      </c>
      <c r="BJ245">
        <v>0.01</v>
      </c>
      <c r="BK245">
        <v>0</v>
      </c>
      <c r="BL245">
        <v>0.01</v>
      </c>
      <c r="BM245">
        <v>0.01</v>
      </c>
      <c r="BN245">
        <v>0.01</v>
      </c>
      <c r="BO245">
        <v>0.01</v>
      </c>
      <c r="BP245">
        <v>0.01</v>
      </c>
      <c r="BQ245">
        <v>0.01</v>
      </c>
      <c r="BR245">
        <v>0</v>
      </c>
      <c r="BS245">
        <v>0.01</v>
      </c>
      <c r="BT245">
        <v>0</v>
      </c>
      <c r="BU245">
        <v>0.01</v>
      </c>
      <c r="BV245">
        <v>0.01</v>
      </c>
      <c r="BW245">
        <v>0</v>
      </c>
      <c r="BX245">
        <v>0.01</v>
      </c>
      <c r="BY245">
        <v>0.01</v>
      </c>
      <c r="BZ245">
        <v>0.01</v>
      </c>
      <c r="CA245">
        <v>0.01</v>
      </c>
      <c r="CB245">
        <v>0.01</v>
      </c>
      <c r="CC245">
        <v>0.01</v>
      </c>
      <c r="CD245">
        <v>0</v>
      </c>
      <c r="CE245">
        <v>0.01</v>
      </c>
    </row>
    <row r="246" spans="1:83" x14ac:dyDescent="0.25">
      <c r="A246">
        <v>997</v>
      </c>
      <c r="B246">
        <v>997</v>
      </c>
    </row>
    <row r="247" spans="1:83" x14ac:dyDescent="0.25">
      <c r="A247">
        <v>998</v>
      </c>
      <c r="B247">
        <v>998</v>
      </c>
      <c r="C247" t="s">
        <v>295</v>
      </c>
      <c r="D247" t="s">
        <v>526</v>
      </c>
      <c r="E247">
        <v>50</v>
      </c>
      <c r="F247">
        <v>50</v>
      </c>
      <c r="G247">
        <v>50</v>
      </c>
      <c r="H247">
        <v>50</v>
      </c>
      <c r="I247">
        <v>50</v>
      </c>
      <c r="J247">
        <v>50</v>
      </c>
      <c r="K247">
        <v>50</v>
      </c>
      <c r="L247">
        <v>50</v>
      </c>
      <c r="M247">
        <v>50</v>
      </c>
      <c r="N247">
        <v>50</v>
      </c>
      <c r="O247">
        <v>50</v>
      </c>
      <c r="P247">
        <v>50</v>
      </c>
      <c r="Q247">
        <v>50</v>
      </c>
      <c r="R247">
        <v>50</v>
      </c>
      <c r="S247">
        <v>50</v>
      </c>
      <c r="T247">
        <v>50</v>
      </c>
      <c r="U247">
        <v>50</v>
      </c>
      <c r="V247">
        <v>50</v>
      </c>
      <c r="W247">
        <v>50</v>
      </c>
      <c r="X247">
        <v>50</v>
      </c>
      <c r="Y247">
        <v>50</v>
      </c>
      <c r="Z247">
        <v>50</v>
      </c>
      <c r="AA247">
        <v>50</v>
      </c>
      <c r="AB247">
        <v>50</v>
      </c>
      <c r="AC247">
        <v>50</v>
      </c>
      <c r="AD247">
        <v>50</v>
      </c>
      <c r="AE247">
        <v>50</v>
      </c>
      <c r="AF247">
        <v>50</v>
      </c>
      <c r="AG247">
        <v>50</v>
      </c>
      <c r="AH247">
        <v>50</v>
      </c>
      <c r="AI247">
        <v>50</v>
      </c>
      <c r="AJ247">
        <v>50</v>
      </c>
      <c r="AK247">
        <v>50</v>
      </c>
      <c r="AL247">
        <v>50</v>
      </c>
      <c r="AM247">
        <v>50</v>
      </c>
      <c r="AN247">
        <v>50</v>
      </c>
      <c r="AO247">
        <v>50</v>
      </c>
      <c r="AP247">
        <v>50</v>
      </c>
      <c r="AQ247">
        <v>50</v>
      </c>
      <c r="AR247">
        <v>50</v>
      </c>
      <c r="AS247">
        <v>50</v>
      </c>
      <c r="AT247">
        <v>50</v>
      </c>
      <c r="AU247">
        <v>50</v>
      </c>
      <c r="AV247">
        <v>50</v>
      </c>
      <c r="AW247">
        <v>50</v>
      </c>
      <c r="AX247">
        <v>50</v>
      </c>
      <c r="AY247">
        <v>50</v>
      </c>
      <c r="AZ247">
        <v>50</v>
      </c>
      <c r="BA247">
        <v>50</v>
      </c>
      <c r="BB247">
        <v>50</v>
      </c>
      <c r="BC247">
        <v>50</v>
      </c>
      <c r="BD247">
        <v>50</v>
      </c>
      <c r="BE247">
        <v>50</v>
      </c>
      <c r="BF247">
        <v>50</v>
      </c>
      <c r="BG247">
        <v>50</v>
      </c>
      <c r="BH247">
        <v>50</v>
      </c>
      <c r="BI247">
        <v>50</v>
      </c>
      <c r="BJ247">
        <v>50</v>
      </c>
      <c r="BK247">
        <v>50</v>
      </c>
      <c r="BL247">
        <v>50</v>
      </c>
      <c r="BM247">
        <v>50</v>
      </c>
      <c r="BN247">
        <v>50</v>
      </c>
      <c r="BO247">
        <v>50</v>
      </c>
      <c r="BP247">
        <v>50</v>
      </c>
      <c r="BQ247">
        <v>50</v>
      </c>
      <c r="BR247">
        <v>50</v>
      </c>
      <c r="BS247">
        <v>50</v>
      </c>
      <c r="BT247">
        <v>50</v>
      </c>
      <c r="BU247">
        <v>50</v>
      </c>
      <c r="BV247">
        <v>50</v>
      </c>
      <c r="BW247">
        <v>50</v>
      </c>
      <c r="BX247">
        <v>50</v>
      </c>
      <c r="BY247">
        <v>50</v>
      </c>
      <c r="BZ247">
        <v>50</v>
      </c>
      <c r="CA247">
        <v>50</v>
      </c>
      <c r="CB247">
        <v>50</v>
      </c>
      <c r="CC247">
        <v>50</v>
      </c>
      <c r="CD247">
        <v>50</v>
      </c>
      <c r="CE247">
        <v>50</v>
      </c>
    </row>
    <row r="248" spans="1:83" x14ac:dyDescent="0.25">
      <c r="A248">
        <v>999</v>
      </c>
      <c r="B248">
        <v>999</v>
      </c>
      <c r="C248" t="s">
        <v>296</v>
      </c>
      <c r="D248" t="s">
        <v>527</v>
      </c>
      <c r="E248">
        <v>50254</v>
      </c>
      <c r="F248">
        <v>50255</v>
      </c>
      <c r="G248">
        <v>50256</v>
      </c>
      <c r="H248">
        <v>50558</v>
      </c>
      <c r="I248">
        <v>50566</v>
      </c>
      <c r="J248">
        <v>50562</v>
      </c>
      <c r="K248">
        <v>50257</v>
      </c>
      <c r="L248">
        <v>50555</v>
      </c>
      <c r="M248">
        <v>50445</v>
      </c>
      <c r="N248">
        <v>50452</v>
      </c>
      <c r="O248">
        <v>50563</v>
      </c>
      <c r="P248">
        <v>50258</v>
      </c>
      <c r="Q248">
        <v>50523</v>
      </c>
      <c r="R248">
        <v>50259</v>
      </c>
      <c r="S248">
        <v>50260</v>
      </c>
      <c r="T248">
        <v>50487</v>
      </c>
      <c r="U248">
        <v>50261</v>
      </c>
      <c r="V248">
        <v>50262</v>
      </c>
      <c r="W248">
        <v>50263</v>
      </c>
      <c r="X248">
        <v>50264</v>
      </c>
      <c r="Y248">
        <v>50265</v>
      </c>
      <c r="Z248">
        <v>50266</v>
      </c>
      <c r="AA248">
        <v>50267</v>
      </c>
      <c r="AB248">
        <v>50268</v>
      </c>
      <c r="AC248">
        <v>50269</v>
      </c>
      <c r="AD248">
        <v>50270</v>
      </c>
      <c r="AE248">
        <v>50271</v>
      </c>
      <c r="AF248">
        <v>50272</v>
      </c>
      <c r="AG248">
        <v>50273</v>
      </c>
      <c r="AH248">
        <v>50274</v>
      </c>
      <c r="AI248">
        <v>50480</v>
      </c>
      <c r="AJ248">
        <v>50275</v>
      </c>
      <c r="AK248">
        <v>50277</v>
      </c>
      <c r="AL248">
        <v>50276</v>
      </c>
      <c r="AM248">
        <v>50278</v>
      </c>
      <c r="AN248">
        <v>50279</v>
      </c>
      <c r="AO248">
        <v>50280</v>
      </c>
      <c r="AP248">
        <v>50281</v>
      </c>
      <c r="AQ248">
        <v>50478</v>
      </c>
      <c r="AR248">
        <v>50524</v>
      </c>
      <c r="AS248">
        <v>50282</v>
      </c>
      <c r="AT248">
        <v>50525</v>
      </c>
      <c r="AU248">
        <v>50283</v>
      </c>
      <c r="AV248">
        <v>50285</v>
      </c>
      <c r="AW248">
        <v>50553</v>
      </c>
      <c r="AX248">
        <v>50548</v>
      </c>
      <c r="AY248">
        <v>50284</v>
      </c>
      <c r="AZ248">
        <v>50286</v>
      </c>
      <c r="BA248">
        <v>50287</v>
      </c>
      <c r="BB248">
        <v>50288</v>
      </c>
      <c r="BC248">
        <v>50290</v>
      </c>
      <c r="BD248">
        <v>50564</v>
      </c>
      <c r="BE248">
        <v>50289</v>
      </c>
      <c r="BF248">
        <v>50291</v>
      </c>
      <c r="BG248">
        <v>50292</v>
      </c>
      <c r="BH248">
        <v>50293</v>
      </c>
      <c r="BI248">
        <v>50463</v>
      </c>
      <c r="BJ248">
        <v>50294</v>
      </c>
      <c r="BK248">
        <v>50538</v>
      </c>
      <c r="BL248">
        <v>50295</v>
      </c>
      <c r="BM248">
        <v>50296</v>
      </c>
      <c r="BN248">
        <v>50297</v>
      </c>
      <c r="BO248">
        <v>50449</v>
      </c>
      <c r="BP248">
        <v>50300</v>
      </c>
      <c r="BQ248">
        <v>50298</v>
      </c>
      <c r="BR248">
        <v>50299</v>
      </c>
      <c r="BS248">
        <v>50301</v>
      </c>
      <c r="BT248">
        <v>50302</v>
      </c>
      <c r="BU248">
        <v>50303</v>
      </c>
      <c r="BV248">
        <v>50304</v>
      </c>
      <c r="BW248">
        <v>50540</v>
      </c>
      <c r="BX248">
        <v>50305</v>
      </c>
      <c r="BY248">
        <v>50306</v>
      </c>
      <c r="BZ248">
        <v>50479</v>
      </c>
      <c r="CA248">
        <v>50307</v>
      </c>
      <c r="CB248">
        <v>50308</v>
      </c>
      <c r="CC248">
        <v>50309</v>
      </c>
      <c r="CD248">
        <v>50310</v>
      </c>
      <c r="CE248">
        <v>50311</v>
      </c>
    </row>
    <row r="249" spans="1:83" x14ac:dyDescent="0.25">
      <c r="B249">
        <v>1000</v>
      </c>
      <c r="E249" t="s">
        <v>1078</v>
      </c>
      <c r="F249" t="s">
        <v>711</v>
      </c>
      <c r="G249" t="s">
        <v>1078</v>
      </c>
      <c r="H249" t="s">
        <v>711</v>
      </c>
      <c r="I249" t="s">
        <v>711</v>
      </c>
      <c r="J249" t="s">
        <v>711</v>
      </c>
      <c r="K249" t="s">
        <v>1078</v>
      </c>
      <c r="L249" t="s">
        <v>711</v>
      </c>
      <c r="M249" t="s">
        <v>711</v>
      </c>
      <c r="N249" t="s">
        <v>711</v>
      </c>
      <c r="O249" t="s">
        <v>711</v>
      </c>
      <c r="P249" t="s">
        <v>1078</v>
      </c>
      <c r="Q249" t="s">
        <v>711</v>
      </c>
      <c r="R249" t="s">
        <v>1078</v>
      </c>
      <c r="S249" t="s">
        <v>1078</v>
      </c>
      <c r="T249" t="s">
        <v>711</v>
      </c>
      <c r="U249" t="s">
        <v>1078</v>
      </c>
      <c r="V249" t="s">
        <v>1078</v>
      </c>
      <c r="W249" t="s">
        <v>1078</v>
      </c>
      <c r="X249" t="s">
        <v>711</v>
      </c>
      <c r="Y249" t="s">
        <v>1078</v>
      </c>
      <c r="Z249" t="s">
        <v>1078</v>
      </c>
      <c r="AA249" t="s">
        <v>1078</v>
      </c>
      <c r="AB249" t="s">
        <v>1078</v>
      </c>
      <c r="AC249" t="s">
        <v>1078</v>
      </c>
      <c r="AD249" t="s">
        <v>1078</v>
      </c>
      <c r="AE249" t="s">
        <v>1078</v>
      </c>
      <c r="AF249" t="s">
        <v>1078</v>
      </c>
      <c r="AG249" t="s">
        <v>1078</v>
      </c>
      <c r="AH249" t="s">
        <v>1078</v>
      </c>
      <c r="AI249" t="s">
        <v>1078</v>
      </c>
      <c r="AJ249" t="s">
        <v>1078</v>
      </c>
      <c r="AK249" t="s">
        <v>1078</v>
      </c>
      <c r="AL249" t="s">
        <v>1078</v>
      </c>
      <c r="AM249" t="s">
        <v>1078</v>
      </c>
      <c r="AN249" t="s">
        <v>1078</v>
      </c>
      <c r="AO249" t="s">
        <v>1078</v>
      </c>
      <c r="AP249" t="s">
        <v>1078</v>
      </c>
      <c r="AQ249" t="s">
        <v>711</v>
      </c>
      <c r="AR249" t="s">
        <v>711</v>
      </c>
      <c r="AS249" t="s">
        <v>1078</v>
      </c>
      <c r="AT249" t="s">
        <v>1078</v>
      </c>
      <c r="AU249" t="s">
        <v>1078</v>
      </c>
      <c r="AV249" t="s">
        <v>711</v>
      </c>
      <c r="AW249" t="s">
        <v>1078</v>
      </c>
      <c r="AX249" t="s">
        <v>711</v>
      </c>
      <c r="AY249" t="s">
        <v>1078</v>
      </c>
      <c r="AZ249" t="s">
        <v>1078</v>
      </c>
      <c r="BA249" t="s">
        <v>1078</v>
      </c>
      <c r="BB249" t="s">
        <v>1078</v>
      </c>
      <c r="BC249" t="s">
        <v>711</v>
      </c>
      <c r="BD249" t="s">
        <v>1078</v>
      </c>
      <c r="BE249" t="s">
        <v>1078</v>
      </c>
      <c r="BF249" t="s">
        <v>711</v>
      </c>
      <c r="BG249" t="s">
        <v>1078</v>
      </c>
      <c r="BH249" t="s">
        <v>1078</v>
      </c>
      <c r="BI249" t="s">
        <v>711</v>
      </c>
      <c r="BJ249" t="s">
        <v>1078</v>
      </c>
      <c r="BK249" t="s">
        <v>711</v>
      </c>
      <c r="BL249" t="s">
        <v>1078</v>
      </c>
      <c r="BM249" t="s">
        <v>1078</v>
      </c>
      <c r="BN249" t="s">
        <v>1078</v>
      </c>
      <c r="BO249" t="s">
        <v>1078</v>
      </c>
      <c r="BP249" t="s">
        <v>1078</v>
      </c>
      <c r="BQ249" t="s">
        <v>1078</v>
      </c>
      <c r="BR249" t="s">
        <v>711</v>
      </c>
      <c r="BS249" t="s">
        <v>1078</v>
      </c>
      <c r="BT249" t="s">
        <v>711</v>
      </c>
      <c r="BU249" t="s">
        <v>1078</v>
      </c>
      <c r="BV249" t="s">
        <v>1078</v>
      </c>
      <c r="BW249" t="s">
        <v>711</v>
      </c>
      <c r="BX249" t="s">
        <v>1078</v>
      </c>
      <c r="BY249" t="s">
        <v>1078</v>
      </c>
      <c r="BZ249" t="s">
        <v>1078</v>
      </c>
      <c r="CA249" t="s">
        <v>1078</v>
      </c>
      <c r="CB249" t="s">
        <v>1078</v>
      </c>
      <c r="CC249" t="s">
        <v>1078</v>
      </c>
      <c r="CD249" t="s">
        <v>711</v>
      </c>
      <c r="CE249" t="s">
        <v>1078</v>
      </c>
    </row>
    <row r="250" spans="1:83" x14ac:dyDescent="0.25">
      <c r="B250">
        <v>537</v>
      </c>
      <c r="E250" t="s">
        <v>711</v>
      </c>
      <c r="F250" t="s">
        <v>54</v>
      </c>
      <c r="G250" t="s">
        <v>54</v>
      </c>
      <c r="H250" t="s">
        <v>54</v>
      </c>
      <c r="I250" t="s">
        <v>711</v>
      </c>
      <c r="J250" t="s">
        <v>711</v>
      </c>
      <c r="K250" t="s">
        <v>54</v>
      </c>
      <c r="L250" t="s">
        <v>711</v>
      </c>
      <c r="M250" t="s">
        <v>54</v>
      </c>
      <c r="N250" t="s">
        <v>54</v>
      </c>
      <c r="O250" t="s">
        <v>711</v>
      </c>
      <c r="P250" t="s">
        <v>54</v>
      </c>
      <c r="Q250" t="s">
        <v>711</v>
      </c>
      <c r="R250" t="s">
        <v>53</v>
      </c>
      <c r="S250" t="s">
        <v>54</v>
      </c>
      <c r="T250" t="s">
        <v>711</v>
      </c>
      <c r="U250" t="s">
        <v>54</v>
      </c>
      <c r="V250" t="s">
        <v>54</v>
      </c>
      <c r="W250" t="s">
        <v>53</v>
      </c>
      <c r="X250" t="s">
        <v>54</v>
      </c>
      <c r="Y250" t="s">
        <v>54</v>
      </c>
      <c r="Z250" t="s">
        <v>53</v>
      </c>
      <c r="AA250" t="s">
        <v>54</v>
      </c>
      <c r="AB250" t="s">
        <v>54</v>
      </c>
      <c r="AC250" t="s">
        <v>54</v>
      </c>
      <c r="AD250" t="s">
        <v>53</v>
      </c>
      <c r="AE250" t="s">
        <v>54</v>
      </c>
      <c r="AF250" t="s">
        <v>54</v>
      </c>
      <c r="AG250" t="s">
        <v>53</v>
      </c>
      <c r="AH250" t="s">
        <v>54</v>
      </c>
      <c r="AI250" t="s">
        <v>54</v>
      </c>
      <c r="AJ250" t="s">
        <v>54</v>
      </c>
      <c r="AK250" t="s">
        <v>54</v>
      </c>
      <c r="AL250" t="s">
        <v>54</v>
      </c>
      <c r="AM250" t="s">
        <v>711</v>
      </c>
      <c r="AN250" t="s">
        <v>53</v>
      </c>
      <c r="AO250" t="s">
        <v>711</v>
      </c>
      <c r="AP250" t="s">
        <v>711</v>
      </c>
      <c r="AQ250" t="s">
        <v>711</v>
      </c>
      <c r="AR250" t="s">
        <v>711</v>
      </c>
      <c r="AS250" t="s">
        <v>54</v>
      </c>
      <c r="AT250" t="s">
        <v>53</v>
      </c>
      <c r="AU250" t="s">
        <v>54</v>
      </c>
      <c r="AV250" t="s">
        <v>711</v>
      </c>
      <c r="AW250" t="s">
        <v>54</v>
      </c>
      <c r="AX250" t="s">
        <v>54</v>
      </c>
      <c r="AY250" t="s">
        <v>54</v>
      </c>
      <c r="AZ250" t="s">
        <v>54</v>
      </c>
      <c r="BA250" t="s">
        <v>54</v>
      </c>
      <c r="BB250" t="s">
        <v>54</v>
      </c>
      <c r="BC250" t="s">
        <v>54</v>
      </c>
      <c r="BD250" t="s">
        <v>711</v>
      </c>
      <c r="BE250" t="s">
        <v>54</v>
      </c>
      <c r="BF250" t="s">
        <v>711</v>
      </c>
      <c r="BG250" t="s">
        <v>54</v>
      </c>
      <c r="BH250" t="s">
        <v>54</v>
      </c>
      <c r="BI250" t="s">
        <v>711</v>
      </c>
      <c r="BJ250" t="s">
        <v>53</v>
      </c>
      <c r="BK250" t="s">
        <v>54</v>
      </c>
      <c r="BL250" t="s">
        <v>54</v>
      </c>
      <c r="BM250" t="s">
        <v>711</v>
      </c>
      <c r="BN250" t="s">
        <v>53</v>
      </c>
      <c r="BO250" t="s">
        <v>54</v>
      </c>
      <c r="BP250" t="s">
        <v>711</v>
      </c>
      <c r="BQ250" t="s">
        <v>54</v>
      </c>
      <c r="BR250" t="s">
        <v>54</v>
      </c>
      <c r="BS250" t="s">
        <v>54</v>
      </c>
      <c r="BT250" t="s">
        <v>54</v>
      </c>
      <c r="BU250" t="s">
        <v>54</v>
      </c>
      <c r="BV250" t="s">
        <v>54</v>
      </c>
      <c r="BW250" t="s">
        <v>54</v>
      </c>
      <c r="BX250" t="s">
        <v>54</v>
      </c>
      <c r="BY250" t="s">
        <v>53</v>
      </c>
      <c r="BZ250" t="s">
        <v>54</v>
      </c>
      <c r="CA250" t="s">
        <v>54</v>
      </c>
      <c r="CB250" t="s">
        <v>54</v>
      </c>
      <c r="CC250" t="s">
        <v>711</v>
      </c>
      <c r="CD250" t="s">
        <v>711</v>
      </c>
      <c r="CE250" t="s">
        <v>54</v>
      </c>
    </row>
    <row r="251" spans="1:83" x14ac:dyDescent="0.25">
      <c r="B251">
        <v>538</v>
      </c>
      <c r="E251" t="s">
        <v>711</v>
      </c>
      <c r="F251" t="s">
        <v>54</v>
      </c>
      <c r="G251" t="s">
        <v>54</v>
      </c>
      <c r="H251" t="s">
        <v>54</v>
      </c>
      <c r="I251" t="s">
        <v>711</v>
      </c>
      <c r="J251" t="s">
        <v>711</v>
      </c>
      <c r="K251" t="s">
        <v>54</v>
      </c>
      <c r="L251" t="s">
        <v>711</v>
      </c>
      <c r="M251" t="s">
        <v>54</v>
      </c>
      <c r="N251" t="s">
        <v>54</v>
      </c>
      <c r="O251" t="s">
        <v>711</v>
      </c>
      <c r="P251" t="s">
        <v>54</v>
      </c>
      <c r="Q251" t="s">
        <v>711</v>
      </c>
      <c r="R251" t="s">
        <v>53</v>
      </c>
      <c r="S251" t="s">
        <v>54</v>
      </c>
      <c r="T251" t="s">
        <v>711</v>
      </c>
      <c r="U251" t="s">
        <v>54</v>
      </c>
      <c r="V251" t="s">
        <v>54</v>
      </c>
      <c r="W251" t="s">
        <v>54</v>
      </c>
      <c r="X251" t="s">
        <v>54</v>
      </c>
      <c r="Y251" t="s">
        <v>54</v>
      </c>
      <c r="Z251" t="s">
        <v>54</v>
      </c>
      <c r="AA251" t="s">
        <v>53</v>
      </c>
      <c r="AB251" t="s">
        <v>53</v>
      </c>
      <c r="AC251" t="s">
        <v>54</v>
      </c>
      <c r="AD251" t="s">
        <v>53</v>
      </c>
      <c r="AE251" t="s">
        <v>54</v>
      </c>
      <c r="AF251" t="s">
        <v>53</v>
      </c>
      <c r="AG251" t="s">
        <v>53</v>
      </c>
      <c r="AH251" t="s">
        <v>54</v>
      </c>
      <c r="AI251" t="s">
        <v>54</v>
      </c>
      <c r="AJ251" t="s">
        <v>54</v>
      </c>
      <c r="AK251" t="s">
        <v>54</v>
      </c>
      <c r="AL251" t="s">
        <v>54</v>
      </c>
      <c r="AM251" t="s">
        <v>711</v>
      </c>
      <c r="AN251" t="s">
        <v>53</v>
      </c>
      <c r="AO251" t="s">
        <v>711</v>
      </c>
      <c r="AP251" t="s">
        <v>711</v>
      </c>
      <c r="AQ251" t="s">
        <v>711</v>
      </c>
      <c r="AR251" t="s">
        <v>711</v>
      </c>
      <c r="AS251" t="s">
        <v>54</v>
      </c>
      <c r="AT251" t="s">
        <v>54</v>
      </c>
      <c r="AU251" t="s">
        <v>54</v>
      </c>
      <c r="AV251" t="s">
        <v>711</v>
      </c>
      <c r="AW251" t="s">
        <v>54</v>
      </c>
      <c r="AX251" t="s">
        <v>54</v>
      </c>
      <c r="AY251" t="s">
        <v>54</v>
      </c>
      <c r="AZ251" t="s">
        <v>54</v>
      </c>
      <c r="BA251" t="s">
        <v>53</v>
      </c>
      <c r="BB251" t="s">
        <v>54</v>
      </c>
      <c r="BC251" t="s">
        <v>54</v>
      </c>
      <c r="BD251" t="s">
        <v>711</v>
      </c>
      <c r="BE251" t="s">
        <v>54</v>
      </c>
      <c r="BF251" t="s">
        <v>711</v>
      </c>
      <c r="BG251" t="s">
        <v>54</v>
      </c>
      <c r="BH251" t="s">
        <v>54</v>
      </c>
      <c r="BI251" t="s">
        <v>711</v>
      </c>
      <c r="BJ251" t="s">
        <v>53</v>
      </c>
      <c r="BK251" t="s">
        <v>54</v>
      </c>
      <c r="BL251" t="s">
        <v>54</v>
      </c>
      <c r="BM251" t="s">
        <v>711</v>
      </c>
      <c r="BN251" t="s">
        <v>53</v>
      </c>
      <c r="BO251" t="s">
        <v>54</v>
      </c>
      <c r="BP251" t="s">
        <v>711</v>
      </c>
      <c r="BQ251" t="s">
        <v>54</v>
      </c>
      <c r="BR251" t="s">
        <v>54</v>
      </c>
      <c r="BS251" t="s">
        <v>54</v>
      </c>
      <c r="BT251" t="s">
        <v>54</v>
      </c>
      <c r="BU251" t="s">
        <v>54</v>
      </c>
      <c r="BV251" t="s">
        <v>54</v>
      </c>
      <c r="BW251" t="s">
        <v>54</v>
      </c>
      <c r="BX251" t="s">
        <v>54</v>
      </c>
      <c r="BY251" t="s">
        <v>53</v>
      </c>
      <c r="BZ251" t="s">
        <v>54</v>
      </c>
      <c r="CA251" t="s">
        <v>54</v>
      </c>
      <c r="CB251" t="s">
        <v>54</v>
      </c>
      <c r="CC251" t="s">
        <v>711</v>
      </c>
      <c r="CD251" t="s">
        <v>711</v>
      </c>
      <c r="CE251" t="s">
        <v>54</v>
      </c>
    </row>
    <row r="252" spans="1:83" x14ac:dyDescent="0.25">
      <c r="A252">
        <v>591</v>
      </c>
      <c r="C252" t="s">
        <v>614</v>
      </c>
      <c r="E252">
        <v>0</v>
      </c>
      <c r="F252">
        <v>0</v>
      </c>
      <c r="G252">
        <v>630604</v>
      </c>
      <c r="H252">
        <v>0</v>
      </c>
      <c r="I252">
        <v>0</v>
      </c>
      <c r="J252">
        <v>0</v>
      </c>
      <c r="K252">
        <v>172141</v>
      </c>
      <c r="L252">
        <v>0</v>
      </c>
      <c r="M252">
        <v>0</v>
      </c>
      <c r="N252">
        <v>0</v>
      </c>
      <c r="O252">
        <v>0</v>
      </c>
      <c r="P252">
        <v>5009071</v>
      </c>
      <c r="Q252">
        <v>0</v>
      </c>
      <c r="R252">
        <v>94399423</v>
      </c>
      <c r="S252">
        <v>313067</v>
      </c>
      <c r="T252">
        <v>0</v>
      </c>
      <c r="U252">
        <v>21263224</v>
      </c>
      <c r="V252">
        <v>8358989</v>
      </c>
      <c r="W252">
        <v>43642165</v>
      </c>
      <c r="X252">
        <v>526434</v>
      </c>
      <c r="Y252">
        <v>325755</v>
      </c>
      <c r="Z252">
        <v>5901186</v>
      </c>
      <c r="AA252">
        <v>1358566</v>
      </c>
      <c r="AB252">
        <v>6853282</v>
      </c>
      <c r="AC252">
        <v>3528504</v>
      </c>
      <c r="AD252">
        <v>950820</v>
      </c>
      <c r="AE252">
        <v>1324937</v>
      </c>
      <c r="AF252">
        <v>2943619</v>
      </c>
      <c r="AG252">
        <v>3382034</v>
      </c>
      <c r="AH252">
        <v>4125530</v>
      </c>
      <c r="AI252">
        <v>656884</v>
      </c>
      <c r="AJ252">
        <v>71009990</v>
      </c>
      <c r="AK252">
        <v>294106</v>
      </c>
      <c r="AL252">
        <v>669108</v>
      </c>
      <c r="AM252">
        <v>0</v>
      </c>
      <c r="AN252">
        <v>23531041</v>
      </c>
      <c r="AO252">
        <v>0</v>
      </c>
      <c r="AP252">
        <v>0</v>
      </c>
      <c r="AQ252">
        <v>0</v>
      </c>
      <c r="AR252">
        <v>0</v>
      </c>
      <c r="AS252">
        <v>2787204</v>
      </c>
      <c r="AT252">
        <v>410129</v>
      </c>
      <c r="AU252">
        <v>1520879</v>
      </c>
      <c r="AV252">
        <v>0</v>
      </c>
      <c r="AW252">
        <v>18936116</v>
      </c>
      <c r="AX252">
        <v>0</v>
      </c>
      <c r="AY252">
        <v>1026424</v>
      </c>
      <c r="AZ252">
        <v>2515064</v>
      </c>
      <c r="BA252">
        <v>849126</v>
      </c>
      <c r="BB252">
        <v>363966</v>
      </c>
      <c r="BC252">
        <v>0</v>
      </c>
      <c r="BD252">
        <v>0</v>
      </c>
      <c r="BE252">
        <v>4984225</v>
      </c>
      <c r="BF252">
        <v>0</v>
      </c>
      <c r="BG252">
        <v>260755</v>
      </c>
      <c r="BH252">
        <v>169151</v>
      </c>
      <c r="BI252">
        <v>0</v>
      </c>
      <c r="BJ252">
        <v>196304</v>
      </c>
      <c r="BK252">
        <v>0</v>
      </c>
      <c r="BL252">
        <v>2973497</v>
      </c>
      <c r="BM252">
        <v>0</v>
      </c>
      <c r="BN252">
        <v>1174325</v>
      </c>
      <c r="BO252">
        <v>695035</v>
      </c>
      <c r="BP252">
        <v>938301</v>
      </c>
      <c r="BQ252">
        <v>352957</v>
      </c>
      <c r="BR252">
        <v>0</v>
      </c>
      <c r="BS252">
        <v>3229776</v>
      </c>
      <c r="BT252">
        <v>14047198</v>
      </c>
      <c r="BU252">
        <v>825902</v>
      </c>
      <c r="BV252">
        <v>3276307</v>
      </c>
      <c r="BW252">
        <v>0</v>
      </c>
      <c r="BX252">
        <v>2645042</v>
      </c>
      <c r="BY252">
        <v>422812</v>
      </c>
      <c r="BZ252">
        <v>32938</v>
      </c>
      <c r="CA252">
        <v>663733</v>
      </c>
      <c r="CB252">
        <v>321317</v>
      </c>
      <c r="CC252">
        <v>0</v>
      </c>
      <c r="CD252">
        <v>0</v>
      </c>
      <c r="CE252">
        <v>49794</v>
      </c>
    </row>
    <row r="253" spans="1:83" x14ac:dyDescent="0.25">
      <c r="A253">
        <v>592</v>
      </c>
      <c r="C253" t="s">
        <v>615</v>
      </c>
      <c r="E253">
        <v>0</v>
      </c>
      <c r="F253">
        <v>0</v>
      </c>
      <c r="G253">
        <v>-24308</v>
      </c>
      <c r="H253">
        <v>0</v>
      </c>
      <c r="I253">
        <v>0</v>
      </c>
      <c r="J253">
        <v>0</v>
      </c>
      <c r="K253">
        <v>52976</v>
      </c>
      <c r="L253">
        <v>0</v>
      </c>
      <c r="M253">
        <v>0</v>
      </c>
      <c r="N253">
        <v>0</v>
      </c>
      <c r="O253">
        <v>0</v>
      </c>
      <c r="P253">
        <v>146240</v>
      </c>
      <c r="Q253">
        <v>0</v>
      </c>
      <c r="R253">
        <v>27988460</v>
      </c>
      <c r="S253">
        <v>33908</v>
      </c>
      <c r="T253">
        <v>0</v>
      </c>
      <c r="U253">
        <v>10894557</v>
      </c>
      <c r="V253">
        <v>-34911</v>
      </c>
      <c r="W253">
        <v>5559986</v>
      </c>
      <c r="X253">
        <v>270908</v>
      </c>
      <c r="Y253">
        <v>33475</v>
      </c>
      <c r="Z253">
        <v>288141</v>
      </c>
      <c r="AA253">
        <v>-225043</v>
      </c>
      <c r="AB253">
        <v>1536754</v>
      </c>
      <c r="AC253">
        <v>558407</v>
      </c>
      <c r="AD253">
        <v>202393</v>
      </c>
      <c r="AE253">
        <v>16386</v>
      </c>
      <c r="AF253">
        <v>635441</v>
      </c>
      <c r="AG253">
        <v>-152305</v>
      </c>
      <c r="AH253">
        <v>-88047</v>
      </c>
      <c r="AI253">
        <v>142171</v>
      </c>
      <c r="AJ253">
        <v>6966618</v>
      </c>
      <c r="AK253">
        <v>-33718</v>
      </c>
      <c r="AL253">
        <v>-166544</v>
      </c>
      <c r="AM253">
        <v>0</v>
      </c>
      <c r="AN253">
        <v>1639822</v>
      </c>
      <c r="AO253">
        <v>0</v>
      </c>
      <c r="AP253">
        <v>0</v>
      </c>
      <c r="AQ253">
        <v>0</v>
      </c>
      <c r="AR253">
        <v>0</v>
      </c>
      <c r="AS253">
        <v>-956233</v>
      </c>
      <c r="AT253">
        <v>-110316</v>
      </c>
      <c r="AU253">
        <v>-119062</v>
      </c>
      <c r="AV253">
        <v>0</v>
      </c>
      <c r="AW253">
        <v>6230429</v>
      </c>
      <c r="AX253">
        <v>0</v>
      </c>
      <c r="AY253">
        <v>39773</v>
      </c>
      <c r="AZ253">
        <v>466353</v>
      </c>
      <c r="BA253">
        <v>-74804</v>
      </c>
      <c r="BB253">
        <v>-60398</v>
      </c>
      <c r="BC253">
        <v>0</v>
      </c>
      <c r="BD253">
        <v>0</v>
      </c>
      <c r="BE253">
        <v>2340955</v>
      </c>
      <c r="BF253">
        <v>0</v>
      </c>
      <c r="BG253">
        <v>88408</v>
      </c>
      <c r="BH253">
        <v>-60087</v>
      </c>
      <c r="BI253">
        <v>0</v>
      </c>
      <c r="BJ253">
        <v>-31726</v>
      </c>
      <c r="BK253">
        <v>0</v>
      </c>
      <c r="BL253">
        <v>1002476</v>
      </c>
      <c r="BM253">
        <v>0</v>
      </c>
      <c r="BN253">
        <v>-59006</v>
      </c>
      <c r="BO253">
        <v>163717</v>
      </c>
      <c r="BP253">
        <v>-62196</v>
      </c>
      <c r="BQ253">
        <v>123162</v>
      </c>
      <c r="BR253">
        <v>0</v>
      </c>
      <c r="BS253">
        <v>249543</v>
      </c>
      <c r="BT253">
        <v>427017</v>
      </c>
      <c r="BU253">
        <v>-127648</v>
      </c>
      <c r="BV253">
        <v>-261943</v>
      </c>
      <c r="BW253">
        <v>0</v>
      </c>
      <c r="BX253">
        <v>292760</v>
      </c>
      <c r="BY253">
        <v>46418</v>
      </c>
      <c r="BZ253">
        <v>-22452</v>
      </c>
      <c r="CA253">
        <v>-66121</v>
      </c>
      <c r="CB253">
        <v>-134499</v>
      </c>
      <c r="CC253">
        <v>0</v>
      </c>
      <c r="CD253">
        <v>0</v>
      </c>
      <c r="CE253">
        <v>-27419</v>
      </c>
    </row>
    <row r="254" spans="1:83" x14ac:dyDescent="0.25">
      <c r="C254" t="s">
        <v>688</v>
      </c>
    </row>
    <row r="255" spans="1:83" x14ac:dyDescent="0.25">
      <c r="A255">
        <v>596</v>
      </c>
      <c r="C255" t="s">
        <v>621</v>
      </c>
      <c r="E255">
        <v>0</v>
      </c>
      <c r="F255">
        <v>52</v>
      </c>
      <c r="G255">
        <v>52</v>
      </c>
      <c r="H255">
        <v>52</v>
      </c>
      <c r="I255">
        <v>0</v>
      </c>
      <c r="J255">
        <v>0</v>
      </c>
      <c r="K255">
        <v>52</v>
      </c>
      <c r="L255">
        <v>0</v>
      </c>
      <c r="M255">
        <v>52</v>
      </c>
      <c r="N255">
        <v>52</v>
      </c>
      <c r="O255">
        <v>52</v>
      </c>
      <c r="P255">
        <v>52</v>
      </c>
      <c r="Q255">
        <v>52</v>
      </c>
      <c r="R255">
        <v>52</v>
      </c>
      <c r="S255">
        <v>52</v>
      </c>
      <c r="T255">
        <v>0</v>
      </c>
      <c r="U255">
        <v>52</v>
      </c>
      <c r="V255">
        <v>52</v>
      </c>
      <c r="W255">
        <v>52</v>
      </c>
      <c r="X255">
        <v>52</v>
      </c>
      <c r="Y255">
        <v>52</v>
      </c>
      <c r="Z255">
        <v>52</v>
      </c>
      <c r="AA255">
        <v>52</v>
      </c>
      <c r="AB255">
        <v>52</v>
      </c>
      <c r="AC255">
        <v>52</v>
      </c>
      <c r="AD255">
        <v>52</v>
      </c>
      <c r="AE255">
        <v>52</v>
      </c>
      <c r="AF255">
        <v>52</v>
      </c>
      <c r="AG255">
        <v>52</v>
      </c>
      <c r="AH255">
        <v>52</v>
      </c>
      <c r="AI255">
        <v>52</v>
      </c>
      <c r="AJ255">
        <v>52</v>
      </c>
      <c r="AK255">
        <v>52</v>
      </c>
      <c r="AL255">
        <v>52</v>
      </c>
      <c r="AM255">
        <v>0</v>
      </c>
      <c r="AN255">
        <v>52</v>
      </c>
      <c r="AO255">
        <v>0</v>
      </c>
      <c r="AP255">
        <v>0</v>
      </c>
      <c r="AQ255">
        <v>52</v>
      </c>
      <c r="AR255">
        <v>52</v>
      </c>
      <c r="AS255">
        <v>52</v>
      </c>
      <c r="AT255">
        <v>52</v>
      </c>
      <c r="AU255">
        <v>52</v>
      </c>
      <c r="AV255">
        <v>0</v>
      </c>
      <c r="AW255">
        <v>52</v>
      </c>
      <c r="AX255">
        <v>52</v>
      </c>
      <c r="AY255">
        <v>52</v>
      </c>
      <c r="AZ255">
        <v>52</v>
      </c>
      <c r="BA255">
        <v>52</v>
      </c>
      <c r="BB255">
        <v>52</v>
      </c>
      <c r="BC255">
        <v>0</v>
      </c>
      <c r="BD255">
        <v>0</v>
      </c>
      <c r="BE255">
        <v>52</v>
      </c>
      <c r="BF255">
        <v>52</v>
      </c>
      <c r="BG255">
        <v>52</v>
      </c>
      <c r="BH255">
        <v>52</v>
      </c>
      <c r="BI255">
        <v>0</v>
      </c>
      <c r="BJ255">
        <v>52</v>
      </c>
      <c r="BK255">
        <v>52</v>
      </c>
      <c r="BL255">
        <v>52</v>
      </c>
      <c r="BM255">
        <v>0</v>
      </c>
      <c r="BN255">
        <v>52</v>
      </c>
      <c r="BO255">
        <v>52</v>
      </c>
      <c r="BP255">
        <v>52</v>
      </c>
      <c r="BQ255">
        <v>52</v>
      </c>
      <c r="BR255">
        <v>52</v>
      </c>
      <c r="BS255">
        <v>52</v>
      </c>
      <c r="BT255">
        <v>52</v>
      </c>
      <c r="BU255">
        <v>52</v>
      </c>
      <c r="BV255">
        <v>52</v>
      </c>
      <c r="BW255">
        <v>52</v>
      </c>
      <c r="BX255">
        <v>52</v>
      </c>
      <c r="BY255">
        <v>52</v>
      </c>
      <c r="BZ255">
        <v>52</v>
      </c>
      <c r="CA255">
        <v>52</v>
      </c>
      <c r="CB255">
        <v>52</v>
      </c>
      <c r="CC255">
        <v>0</v>
      </c>
      <c r="CD255">
        <v>0</v>
      </c>
      <c r="CE255">
        <v>52</v>
      </c>
    </row>
    <row r="256" spans="1:83" x14ac:dyDescent="0.25">
      <c r="A256">
        <v>597</v>
      </c>
      <c r="C256" t="s">
        <v>689</v>
      </c>
      <c r="E256">
        <v>0</v>
      </c>
      <c r="F256">
        <v>1</v>
      </c>
      <c r="G256">
        <v>8380</v>
      </c>
      <c r="H256">
        <v>40897</v>
      </c>
      <c r="I256">
        <v>66420</v>
      </c>
      <c r="J256">
        <v>84011</v>
      </c>
      <c r="K256">
        <v>1616</v>
      </c>
      <c r="L256">
        <v>9329</v>
      </c>
      <c r="M256">
        <v>8064</v>
      </c>
      <c r="N256">
        <v>554508</v>
      </c>
      <c r="O256">
        <v>12583</v>
      </c>
      <c r="P256">
        <v>22399</v>
      </c>
      <c r="Q256">
        <v>3946</v>
      </c>
      <c r="R256">
        <v>11420552</v>
      </c>
      <c r="S256">
        <v>4584</v>
      </c>
      <c r="T256">
        <v>870</v>
      </c>
      <c r="U256">
        <v>2048249</v>
      </c>
      <c r="V256">
        <v>419185</v>
      </c>
      <c r="W256">
        <v>944348</v>
      </c>
      <c r="X256">
        <v>1185625</v>
      </c>
      <c r="Y256">
        <v>7900</v>
      </c>
      <c r="Z256">
        <v>391764</v>
      </c>
      <c r="AA256">
        <v>1829</v>
      </c>
      <c r="AB256">
        <v>539803</v>
      </c>
      <c r="AC256">
        <v>7470</v>
      </c>
      <c r="AD256">
        <v>12965</v>
      </c>
      <c r="AE256">
        <v>11749</v>
      </c>
      <c r="AF256">
        <v>22188</v>
      </c>
      <c r="AG256">
        <v>1011735</v>
      </c>
      <c r="AH256">
        <v>100098</v>
      </c>
      <c r="AI256">
        <v>4311</v>
      </c>
      <c r="AJ256">
        <v>1217327</v>
      </c>
      <c r="AK256">
        <v>20482</v>
      </c>
      <c r="AL256">
        <v>4211</v>
      </c>
      <c r="AM256">
        <v>0</v>
      </c>
      <c r="AN256">
        <v>368011</v>
      </c>
      <c r="AO256">
        <v>0</v>
      </c>
      <c r="AP256">
        <v>0</v>
      </c>
      <c r="AQ256">
        <v>178</v>
      </c>
      <c r="AR256">
        <v>160772</v>
      </c>
      <c r="AS256">
        <v>469453</v>
      </c>
      <c r="AT256">
        <v>2286</v>
      </c>
      <c r="AU256">
        <v>38865</v>
      </c>
      <c r="AV256">
        <v>0</v>
      </c>
      <c r="AW256">
        <v>276691</v>
      </c>
      <c r="AX256">
        <v>31045</v>
      </c>
      <c r="AY256">
        <v>43296</v>
      </c>
      <c r="AZ256">
        <v>217548</v>
      </c>
      <c r="BA256">
        <v>19466</v>
      </c>
      <c r="BB256">
        <v>6508</v>
      </c>
      <c r="BC256">
        <v>0</v>
      </c>
      <c r="BD256">
        <v>0</v>
      </c>
      <c r="BE256">
        <v>241657</v>
      </c>
      <c r="BF256">
        <v>3498</v>
      </c>
      <c r="BG256">
        <v>4501</v>
      </c>
      <c r="BH256">
        <v>27</v>
      </c>
      <c r="BI256">
        <v>2681</v>
      </c>
      <c r="BJ256">
        <v>6569</v>
      </c>
      <c r="BK256">
        <v>97</v>
      </c>
      <c r="BL256">
        <v>44705</v>
      </c>
      <c r="BM256">
        <v>0</v>
      </c>
      <c r="BN256">
        <v>6988</v>
      </c>
      <c r="BO256">
        <v>116249</v>
      </c>
      <c r="BP256">
        <v>-558</v>
      </c>
      <c r="BQ256">
        <v>1646</v>
      </c>
      <c r="BR256">
        <v>261291</v>
      </c>
      <c r="BS256">
        <v>6096</v>
      </c>
      <c r="BT256">
        <v>519584</v>
      </c>
      <c r="BU256">
        <v>1209</v>
      </c>
      <c r="BV256">
        <v>7377</v>
      </c>
      <c r="BW256">
        <v>14285</v>
      </c>
      <c r="BX256">
        <v>28253</v>
      </c>
      <c r="BY256">
        <v>12391</v>
      </c>
      <c r="BZ256">
        <v>810</v>
      </c>
      <c r="CA256">
        <v>3252</v>
      </c>
      <c r="CB256">
        <v>2394</v>
      </c>
      <c r="CC256">
        <v>0</v>
      </c>
      <c r="CD256">
        <v>0</v>
      </c>
      <c r="CE256">
        <v>737</v>
      </c>
    </row>
    <row r="257" spans="1:83" x14ac:dyDescent="0.25">
      <c r="E257" t="s">
        <v>1078</v>
      </c>
    </row>
    <row r="258" spans="1:83" x14ac:dyDescent="0.25">
      <c r="A258">
        <v>598</v>
      </c>
      <c r="B258">
        <v>598</v>
      </c>
      <c r="C258" t="s">
        <v>683</v>
      </c>
      <c r="E258">
        <v>0</v>
      </c>
      <c r="F258">
        <v>0</v>
      </c>
      <c r="G258">
        <v>0</v>
      </c>
      <c r="H258">
        <v>0</v>
      </c>
      <c r="I258">
        <v>0</v>
      </c>
      <c r="J258">
        <v>0</v>
      </c>
      <c r="K258">
        <v>0</v>
      </c>
      <c r="L258">
        <v>0</v>
      </c>
      <c r="M258">
        <v>0</v>
      </c>
      <c r="N258">
        <v>0</v>
      </c>
      <c r="O258">
        <v>0</v>
      </c>
      <c r="P258">
        <v>7381</v>
      </c>
      <c r="Q258">
        <v>0</v>
      </c>
      <c r="R258">
        <v>172953</v>
      </c>
      <c r="S258">
        <v>33430</v>
      </c>
      <c r="T258">
        <v>0</v>
      </c>
      <c r="U258">
        <v>66245</v>
      </c>
      <c r="V258">
        <v>78824</v>
      </c>
      <c r="W258">
        <v>218192</v>
      </c>
      <c r="X258">
        <v>43582</v>
      </c>
      <c r="Y258">
        <v>0</v>
      </c>
      <c r="Z258">
        <v>87880</v>
      </c>
      <c r="AA258">
        <v>0</v>
      </c>
      <c r="AB258">
        <v>47360</v>
      </c>
      <c r="AC258">
        <v>23752</v>
      </c>
      <c r="AD258">
        <v>0</v>
      </c>
      <c r="AE258">
        <v>36983</v>
      </c>
      <c r="AF258">
        <v>0</v>
      </c>
      <c r="AG258">
        <v>48080</v>
      </c>
      <c r="AH258">
        <v>0</v>
      </c>
      <c r="AI258">
        <v>0</v>
      </c>
      <c r="AJ258">
        <v>199125</v>
      </c>
      <c r="AK258">
        <v>0</v>
      </c>
      <c r="AL258">
        <v>0</v>
      </c>
      <c r="AM258">
        <v>0</v>
      </c>
      <c r="AN258">
        <v>59267</v>
      </c>
      <c r="AO258">
        <v>0</v>
      </c>
      <c r="AP258">
        <v>0</v>
      </c>
      <c r="AQ258">
        <v>0</v>
      </c>
      <c r="AR258">
        <v>22334</v>
      </c>
      <c r="AS258">
        <v>37323</v>
      </c>
      <c r="AT258">
        <v>0</v>
      </c>
      <c r="AU258">
        <v>13499</v>
      </c>
      <c r="AV258">
        <v>0</v>
      </c>
      <c r="AW258">
        <v>35690</v>
      </c>
      <c r="AX258">
        <v>0</v>
      </c>
      <c r="AY258">
        <v>11660</v>
      </c>
      <c r="AZ258">
        <v>22567</v>
      </c>
      <c r="BA258">
        <v>0</v>
      </c>
      <c r="BB258">
        <v>0</v>
      </c>
      <c r="BC258">
        <v>0</v>
      </c>
      <c r="BD258">
        <v>0</v>
      </c>
      <c r="BE258">
        <v>56041</v>
      </c>
      <c r="BF258">
        <v>0</v>
      </c>
      <c r="BG258">
        <v>0</v>
      </c>
      <c r="BH258">
        <v>0</v>
      </c>
      <c r="BI258">
        <v>0</v>
      </c>
      <c r="BJ258">
        <v>0</v>
      </c>
      <c r="BK258">
        <v>0</v>
      </c>
      <c r="BL258">
        <v>18311</v>
      </c>
      <c r="BM258">
        <v>0</v>
      </c>
      <c r="BN258">
        <v>16149</v>
      </c>
      <c r="BO258">
        <v>3395</v>
      </c>
      <c r="BP258">
        <v>0</v>
      </c>
      <c r="BQ258">
        <v>0</v>
      </c>
      <c r="BR258">
        <v>43281</v>
      </c>
      <c r="BS258">
        <v>0</v>
      </c>
      <c r="BT258">
        <v>38232</v>
      </c>
      <c r="BU258">
        <v>0</v>
      </c>
      <c r="BV258">
        <v>16533</v>
      </c>
      <c r="BW258">
        <v>0</v>
      </c>
      <c r="BX258">
        <v>0</v>
      </c>
      <c r="BY258">
        <v>0</v>
      </c>
      <c r="BZ258">
        <v>0</v>
      </c>
      <c r="CA258">
        <v>0</v>
      </c>
      <c r="CB258">
        <v>0</v>
      </c>
      <c r="CC258">
        <v>0</v>
      </c>
      <c r="CD258">
        <v>0</v>
      </c>
      <c r="CE258">
        <v>0</v>
      </c>
    </row>
    <row r="259" spans="1:83" x14ac:dyDescent="0.25">
      <c r="A259">
        <v>599</v>
      </c>
      <c r="B259">
        <v>599</v>
      </c>
      <c r="C259" t="s">
        <v>684</v>
      </c>
      <c r="E259">
        <v>0</v>
      </c>
      <c r="F259">
        <v>0</v>
      </c>
      <c r="G259">
        <v>25407</v>
      </c>
      <c r="H259">
        <v>0</v>
      </c>
      <c r="I259">
        <v>0</v>
      </c>
      <c r="J259">
        <v>0</v>
      </c>
      <c r="K259">
        <v>0</v>
      </c>
      <c r="L259">
        <v>0</v>
      </c>
      <c r="M259">
        <v>0</v>
      </c>
      <c r="N259">
        <v>587250</v>
      </c>
      <c r="O259">
        <v>44028</v>
      </c>
      <c r="P259">
        <v>211377</v>
      </c>
      <c r="Q259">
        <v>0</v>
      </c>
      <c r="R259">
        <v>4156173</v>
      </c>
      <c r="S259">
        <v>154885</v>
      </c>
      <c r="T259">
        <v>0</v>
      </c>
      <c r="U259">
        <v>3109557</v>
      </c>
      <c r="V259">
        <v>1087472</v>
      </c>
      <c r="W259">
        <v>2380218</v>
      </c>
      <c r="X259">
        <v>1260670</v>
      </c>
      <c r="Y259">
        <v>0</v>
      </c>
      <c r="Z259">
        <v>1449127</v>
      </c>
      <c r="AA259">
        <v>16276</v>
      </c>
      <c r="AB259">
        <v>1066535</v>
      </c>
      <c r="AC259">
        <v>349450</v>
      </c>
      <c r="AD259">
        <v>0</v>
      </c>
      <c r="AE259">
        <v>407129</v>
      </c>
      <c r="AF259">
        <v>180144</v>
      </c>
      <c r="AG259">
        <v>910087</v>
      </c>
      <c r="AH259">
        <v>142095</v>
      </c>
      <c r="AI259">
        <v>13779</v>
      </c>
      <c r="AJ259">
        <v>2383204</v>
      </c>
      <c r="AK259">
        <v>0</v>
      </c>
      <c r="AL259">
        <v>78994</v>
      </c>
      <c r="AM259">
        <v>0</v>
      </c>
      <c r="AN259">
        <v>1127545</v>
      </c>
      <c r="AO259">
        <v>0</v>
      </c>
      <c r="AP259">
        <v>0</v>
      </c>
      <c r="AQ259">
        <v>0</v>
      </c>
      <c r="AR259">
        <v>360852</v>
      </c>
      <c r="AS259">
        <v>674450</v>
      </c>
      <c r="AT259">
        <v>24066</v>
      </c>
      <c r="AU259">
        <v>142502</v>
      </c>
      <c r="AV259">
        <v>0</v>
      </c>
      <c r="AW259">
        <v>724322</v>
      </c>
      <c r="AX259">
        <v>0</v>
      </c>
      <c r="AY259">
        <v>69580</v>
      </c>
      <c r="AZ259">
        <v>176149</v>
      </c>
      <c r="BA259">
        <v>60424</v>
      </c>
      <c r="BB259">
        <v>0</v>
      </c>
      <c r="BC259">
        <v>0</v>
      </c>
      <c r="BD259">
        <v>0</v>
      </c>
      <c r="BE259">
        <v>874356</v>
      </c>
      <c r="BF259">
        <v>0</v>
      </c>
      <c r="BG259">
        <v>0</v>
      </c>
      <c r="BH259">
        <v>0</v>
      </c>
      <c r="BI259">
        <v>0</v>
      </c>
      <c r="BJ259">
        <v>0</v>
      </c>
      <c r="BK259">
        <v>0</v>
      </c>
      <c r="BL259">
        <v>267571</v>
      </c>
      <c r="BM259">
        <v>0</v>
      </c>
      <c r="BN259">
        <v>149332</v>
      </c>
      <c r="BO259">
        <v>105096</v>
      </c>
      <c r="BP259">
        <v>141173</v>
      </c>
      <c r="BQ259">
        <v>79391</v>
      </c>
      <c r="BR259">
        <v>1025925</v>
      </c>
      <c r="BS259">
        <v>50403</v>
      </c>
      <c r="BT259">
        <v>1176798</v>
      </c>
      <c r="BU259">
        <v>66527</v>
      </c>
      <c r="BV259">
        <v>490157</v>
      </c>
      <c r="BW259">
        <v>0</v>
      </c>
      <c r="BX259">
        <v>67765</v>
      </c>
      <c r="BY259">
        <v>14418</v>
      </c>
      <c r="BZ259">
        <v>0</v>
      </c>
      <c r="CA259">
        <v>0</v>
      </c>
      <c r="CB259">
        <v>0</v>
      </c>
      <c r="CC259">
        <v>0</v>
      </c>
      <c r="CD259">
        <v>0</v>
      </c>
      <c r="CE259">
        <v>0</v>
      </c>
    </row>
    <row r="260" spans="1:83" x14ac:dyDescent="0.25">
      <c r="B260">
        <v>600</v>
      </c>
      <c r="C260" t="s">
        <v>1079</v>
      </c>
    </row>
    <row r="261" spans="1:83" x14ac:dyDescent="0.25">
      <c r="B261">
        <v>601</v>
      </c>
      <c r="C261" t="s">
        <v>1080</v>
      </c>
    </row>
    <row r="262" spans="1:83" x14ac:dyDescent="0.25">
      <c r="A262">
        <v>602</v>
      </c>
      <c r="B262">
        <v>602</v>
      </c>
      <c r="C262" t="s">
        <v>712</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0</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row>
    <row r="263" spans="1:83" x14ac:dyDescent="0.25">
      <c r="A263">
        <v>603</v>
      </c>
      <c r="B263">
        <v>603</v>
      </c>
      <c r="C263" t="s">
        <v>699</v>
      </c>
      <c r="E263">
        <v>0</v>
      </c>
      <c r="F263">
        <v>2</v>
      </c>
      <c r="G263">
        <v>1</v>
      </c>
      <c r="H263">
        <v>2</v>
      </c>
      <c r="I263">
        <v>2</v>
      </c>
      <c r="J263">
        <v>1</v>
      </c>
      <c r="K263">
        <v>2</v>
      </c>
      <c r="L263">
        <v>1</v>
      </c>
      <c r="M263">
        <v>1</v>
      </c>
      <c r="N263">
        <v>1</v>
      </c>
      <c r="O263">
        <v>1</v>
      </c>
      <c r="P263">
        <v>1</v>
      </c>
      <c r="Q263">
        <v>2</v>
      </c>
      <c r="R263">
        <v>1</v>
      </c>
      <c r="S263">
        <v>4</v>
      </c>
      <c r="T263">
        <v>4</v>
      </c>
      <c r="U263">
        <v>1</v>
      </c>
      <c r="V263">
        <v>2</v>
      </c>
      <c r="W263">
        <v>1</v>
      </c>
      <c r="X263">
        <v>1</v>
      </c>
      <c r="Y263">
        <v>5</v>
      </c>
      <c r="Z263">
        <v>2</v>
      </c>
      <c r="AA263">
        <v>2</v>
      </c>
      <c r="AB263">
        <v>1</v>
      </c>
      <c r="AC263">
        <v>4</v>
      </c>
      <c r="AD263">
        <v>2</v>
      </c>
      <c r="AE263">
        <v>4</v>
      </c>
      <c r="AF263">
        <v>1</v>
      </c>
      <c r="AG263">
        <v>1</v>
      </c>
      <c r="AH263">
        <v>5</v>
      </c>
      <c r="AI263">
        <v>4</v>
      </c>
      <c r="AJ263">
        <v>2</v>
      </c>
      <c r="AK263">
        <v>1</v>
      </c>
      <c r="AL263">
        <v>2</v>
      </c>
      <c r="AM263">
        <v>0</v>
      </c>
      <c r="AN263">
        <v>1</v>
      </c>
      <c r="AO263">
        <v>0</v>
      </c>
      <c r="AP263">
        <v>0</v>
      </c>
      <c r="AQ263">
        <v>2</v>
      </c>
      <c r="AR263">
        <v>1</v>
      </c>
      <c r="AS263">
        <v>1</v>
      </c>
      <c r="AT263">
        <v>4</v>
      </c>
      <c r="AU263">
        <v>5</v>
      </c>
      <c r="AV263">
        <v>0</v>
      </c>
      <c r="AW263">
        <v>2</v>
      </c>
      <c r="AX263">
        <v>4</v>
      </c>
      <c r="AY263">
        <v>1</v>
      </c>
      <c r="AZ263">
        <v>1</v>
      </c>
      <c r="BA263">
        <v>2</v>
      </c>
      <c r="BB263">
        <v>2</v>
      </c>
      <c r="BC263">
        <v>2</v>
      </c>
      <c r="BD263">
        <v>0</v>
      </c>
      <c r="BE263">
        <v>2</v>
      </c>
      <c r="BF263">
        <v>1</v>
      </c>
      <c r="BG263">
        <v>1</v>
      </c>
      <c r="BH263">
        <v>4</v>
      </c>
      <c r="BI263">
        <v>2</v>
      </c>
      <c r="BJ263">
        <v>2</v>
      </c>
      <c r="BK263">
        <v>2</v>
      </c>
      <c r="BL263">
        <v>1</v>
      </c>
      <c r="BM263">
        <v>0</v>
      </c>
      <c r="BN263">
        <v>1</v>
      </c>
      <c r="BO263">
        <v>2</v>
      </c>
      <c r="BP263">
        <v>2</v>
      </c>
      <c r="BQ263">
        <v>1</v>
      </c>
      <c r="BR263">
        <v>1</v>
      </c>
      <c r="BS263">
        <v>1</v>
      </c>
      <c r="BT263">
        <v>1</v>
      </c>
      <c r="BU263">
        <v>2</v>
      </c>
      <c r="BV263">
        <v>2</v>
      </c>
      <c r="BW263">
        <v>1</v>
      </c>
      <c r="BX263">
        <v>1</v>
      </c>
      <c r="BY263">
        <v>2</v>
      </c>
      <c r="BZ263">
        <v>4</v>
      </c>
      <c r="CA263">
        <v>5</v>
      </c>
      <c r="CB263">
        <v>6</v>
      </c>
      <c r="CC263">
        <v>0</v>
      </c>
      <c r="CD263">
        <v>0</v>
      </c>
      <c r="CE263">
        <v>3</v>
      </c>
    </row>
    <row r="264" spans="1:83" x14ac:dyDescent="0.25">
      <c r="B264">
        <v>604</v>
      </c>
      <c r="C264" t="s">
        <v>700</v>
      </c>
    </row>
    <row r="265" spans="1:83" x14ac:dyDescent="0.25">
      <c r="A265">
        <v>605</v>
      </c>
      <c r="B265">
        <v>605</v>
      </c>
      <c r="C265" t="s">
        <v>702</v>
      </c>
      <c r="E265">
        <v>0</v>
      </c>
      <c r="F265">
        <v>1</v>
      </c>
      <c r="G265">
        <v>1</v>
      </c>
      <c r="H265">
        <v>1</v>
      </c>
      <c r="I265">
        <v>1</v>
      </c>
      <c r="J265">
        <v>1</v>
      </c>
      <c r="K265">
        <v>1</v>
      </c>
      <c r="L265">
        <v>1</v>
      </c>
      <c r="M265">
        <v>1</v>
      </c>
      <c r="N265">
        <v>1</v>
      </c>
      <c r="O265">
        <v>1</v>
      </c>
      <c r="P265">
        <v>1</v>
      </c>
      <c r="Q265">
        <v>1</v>
      </c>
      <c r="R265">
        <v>1</v>
      </c>
      <c r="S265">
        <v>1</v>
      </c>
      <c r="T265">
        <v>1</v>
      </c>
      <c r="U265">
        <v>1</v>
      </c>
      <c r="V265">
        <v>1</v>
      </c>
      <c r="W265">
        <v>1</v>
      </c>
      <c r="X265">
        <v>1</v>
      </c>
      <c r="Y265">
        <v>1</v>
      </c>
      <c r="Z265">
        <v>1</v>
      </c>
      <c r="AA265">
        <v>1</v>
      </c>
      <c r="AB265">
        <v>1</v>
      </c>
      <c r="AC265">
        <v>1</v>
      </c>
      <c r="AD265">
        <v>1</v>
      </c>
      <c r="AE265">
        <v>1</v>
      </c>
      <c r="AF265">
        <v>1</v>
      </c>
      <c r="AG265">
        <v>1</v>
      </c>
      <c r="AH265">
        <v>1</v>
      </c>
      <c r="AI265">
        <v>1</v>
      </c>
      <c r="AJ265">
        <v>1</v>
      </c>
      <c r="AK265">
        <v>1</v>
      </c>
      <c r="AL265">
        <v>1</v>
      </c>
      <c r="AM265">
        <v>0</v>
      </c>
      <c r="AN265">
        <v>1</v>
      </c>
      <c r="AO265">
        <v>0</v>
      </c>
      <c r="AP265">
        <v>0</v>
      </c>
      <c r="AQ265">
        <v>1</v>
      </c>
      <c r="AR265">
        <v>1</v>
      </c>
      <c r="AS265">
        <v>1</v>
      </c>
      <c r="AT265">
        <v>1</v>
      </c>
      <c r="AU265">
        <v>1</v>
      </c>
      <c r="AV265">
        <v>0</v>
      </c>
      <c r="AW265">
        <v>1</v>
      </c>
      <c r="AX265">
        <v>1</v>
      </c>
      <c r="AY265">
        <v>1</v>
      </c>
      <c r="AZ265">
        <v>1</v>
      </c>
      <c r="BA265">
        <v>1</v>
      </c>
      <c r="BB265">
        <v>1</v>
      </c>
      <c r="BC265">
        <v>1</v>
      </c>
      <c r="BD265">
        <v>0</v>
      </c>
      <c r="BE265">
        <v>1</v>
      </c>
      <c r="BF265">
        <v>1</v>
      </c>
      <c r="BG265">
        <v>1</v>
      </c>
      <c r="BH265">
        <v>1</v>
      </c>
      <c r="BI265">
        <v>1</v>
      </c>
      <c r="BJ265">
        <v>1</v>
      </c>
      <c r="BK265">
        <v>1</v>
      </c>
      <c r="BL265">
        <v>1</v>
      </c>
      <c r="BM265">
        <v>0</v>
      </c>
      <c r="BN265">
        <v>1</v>
      </c>
      <c r="BO265">
        <v>1</v>
      </c>
      <c r="BP265">
        <v>1</v>
      </c>
      <c r="BQ265">
        <v>1</v>
      </c>
      <c r="BR265">
        <v>1</v>
      </c>
      <c r="BS265">
        <v>1</v>
      </c>
      <c r="BT265">
        <v>1</v>
      </c>
      <c r="BU265">
        <v>1</v>
      </c>
      <c r="BV265">
        <v>1</v>
      </c>
      <c r="BW265">
        <v>1</v>
      </c>
      <c r="BX265">
        <v>1</v>
      </c>
      <c r="BY265">
        <v>1</v>
      </c>
      <c r="BZ265">
        <v>1</v>
      </c>
      <c r="CA265">
        <v>2</v>
      </c>
      <c r="CB265">
        <v>1</v>
      </c>
      <c r="CC265">
        <v>0</v>
      </c>
      <c r="CD265">
        <v>0</v>
      </c>
      <c r="CE265">
        <v>1</v>
      </c>
    </row>
    <row r="266" spans="1:83" x14ac:dyDescent="0.25">
      <c r="A266">
        <v>606</v>
      </c>
      <c r="B266">
        <v>606</v>
      </c>
      <c r="C266" t="s">
        <v>720</v>
      </c>
      <c r="E266">
        <v>0</v>
      </c>
      <c r="F266">
        <v>0</v>
      </c>
      <c r="G266">
        <v>0</v>
      </c>
      <c r="H266">
        <v>0</v>
      </c>
      <c r="I266">
        <v>0</v>
      </c>
      <c r="J266">
        <v>0</v>
      </c>
      <c r="K266">
        <v>0</v>
      </c>
      <c r="L266">
        <v>0</v>
      </c>
      <c r="M266">
        <v>0</v>
      </c>
      <c r="N266">
        <v>1</v>
      </c>
      <c r="O266">
        <v>0</v>
      </c>
      <c r="P266">
        <v>0</v>
      </c>
      <c r="Q266">
        <v>0</v>
      </c>
      <c r="R266">
        <v>1</v>
      </c>
      <c r="S266">
        <v>0</v>
      </c>
      <c r="T266">
        <v>0</v>
      </c>
      <c r="U266">
        <v>1</v>
      </c>
      <c r="V266">
        <v>0</v>
      </c>
      <c r="W266">
        <v>1</v>
      </c>
      <c r="X266">
        <v>1</v>
      </c>
      <c r="Y266">
        <v>0</v>
      </c>
      <c r="Z266">
        <v>0</v>
      </c>
      <c r="AA266">
        <v>0</v>
      </c>
      <c r="AB266">
        <v>0</v>
      </c>
      <c r="AC266">
        <v>1</v>
      </c>
      <c r="AD266">
        <v>0</v>
      </c>
      <c r="AE266">
        <v>0</v>
      </c>
      <c r="AF266">
        <v>1</v>
      </c>
      <c r="AG266">
        <v>1</v>
      </c>
      <c r="AH266">
        <v>0</v>
      </c>
      <c r="AI266">
        <v>0</v>
      </c>
      <c r="AJ266">
        <v>1</v>
      </c>
      <c r="AK266">
        <v>0</v>
      </c>
      <c r="AL266">
        <v>0</v>
      </c>
      <c r="AM266">
        <v>0</v>
      </c>
      <c r="AN266">
        <v>1</v>
      </c>
      <c r="AO266">
        <v>0</v>
      </c>
      <c r="AP266">
        <v>0</v>
      </c>
      <c r="AQ266">
        <v>0</v>
      </c>
      <c r="AR266">
        <v>1</v>
      </c>
      <c r="AS266">
        <v>0</v>
      </c>
      <c r="AT266">
        <v>0</v>
      </c>
      <c r="AU266">
        <v>0</v>
      </c>
      <c r="AV266">
        <v>0</v>
      </c>
      <c r="AW266">
        <v>1</v>
      </c>
      <c r="AX266">
        <v>0</v>
      </c>
      <c r="AY266">
        <v>0</v>
      </c>
      <c r="AZ266">
        <v>0</v>
      </c>
      <c r="BA266">
        <v>0</v>
      </c>
      <c r="BB266">
        <v>0</v>
      </c>
      <c r="BC266">
        <v>0</v>
      </c>
      <c r="BD266">
        <v>0</v>
      </c>
      <c r="BE266">
        <v>1</v>
      </c>
      <c r="BF266">
        <v>0</v>
      </c>
      <c r="BG266">
        <v>0</v>
      </c>
      <c r="BH266">
        <v>0</v>
      </c>
      <c r="BI266">
        <v>0</v>
      </c>
      <c r="BJ266">
        <v>0</v>
      </c>
      <c r="BK266">
        <v>0</v>
      </c>
      <c r="BL266">
        <v>1</v>
      </c>
      <c r="BM266">
        <v>0</v>
      </c>
      <c r="BN266">
        <v>0</v>
      </c>
      <c r="BO266">
        <v>1</v>
      </c>
      <c r="BP266">
        <v>0</v>
      </c>
      <c r="BQ266">
        <v>0</v>
      </c>
      <c r="BR266">
        <v>1</v>
      </c>
      <c r="BS266">
        <v>0</v>
      </c>
      <c r="BT266">
        <v>0</v>
      </c>
      <c r="BU266">
        <v>0</v>
      </c>
      <c r="BV266">
        <v>0</v>
      </c>
      <c r="BW266">
        <v>0</v>
      </c>
      <c r="BX266">
        <v>0</v>
      </c>
      <c r="BY266">
        <v>0</v>
      </c>
      <c r="BZ266">
        <v>0</v>
      </c>
      <c r="CA266">
        <v>0</v>
      </c>
      <c r="CB266">
        <v>0</v>
      </c>
      <c r="CC266">
        <v>0</v>
      </c>
      <c r="CD266">
        <v>0</v>
      </c>
      <c r="CE266">
        <v>0</v>
      </c>
    </row>
    <row r="267" spans="1:83" x14ac:dyDescent="0.25">
      <c r="A267">
        <v>607</v>
      </c>
      <c r="B267">
        <v>607</v>
      </c>
      <c r="C267" t="s">
        <v>692</v>
      </c>
      <c r="E267">
        <v>0</v>
      </c>
      <c r="F267">
        <v>0</v>
      </c>
      <c r="G267">
        <v>0</v>
      </c>
      <c r="H267">
        <v>0</v>
      </c>
      <c r="I267">
        <v>0</v>
      </c>
      <c r="J267">
        <v>0</v>
      </c>
      <c r="K267">
        <v>0</v>
      </c>
      <c r="L267">
        <v>0</v>
      </c>
      <c r="M267">
        <v>0</v>
      </c>
      <c r="N267">
        <v>3061223</v>
      </c>
      <c r="O267">
        <v>0</v>
      </c>
      <c r="P267">
        <v>666085</v>
      </c>
      <c r="Q267">
        <v>0</v>
      </c>
      <c r="R267">
        <v>41698862</v>
      </c>
      <c r="S267">
        <v>0</v>
      </c>
      <c r="T267">
        <v>0</v>
      </c>
      <c r="U267">
        <v>45353437</v>
      </c>
      <c r="V267">
        <v>2536141</v>
      </c>
      <c r="W267">
        <v>18868774</v>
      </c>
      <c r="X267">
        <v>4905085</v>
      </c>
      <c r="Y267">
        <v>0</v>
      </c>
      <c r="Z267">
        <v>0</v>
      </c>
      <c r="AA267">
        <v>0</v>
      </c>
      <c r="AB267">
        <v>1108342</v>
      </c>
      <c r="AC267">
        <v>0</v>
      </c>
      <c r="AD267">
        <v>12906</v>
      </c>
      <c r="AE267">
        <v>0</v>
      </c>
      <c r="AF267">
        <v>0</v>
      </c>
      <c r="AG267">
        <v>4318678</v>
      </c>
      <c r="AH267">
        <v>807790</v>
      </c>
      <c r="AI267">
        <v>0</v>
      </c>
      <c r="AJ267">
        <v>31590758</v>
      </c>
      <c r="AK267">
        <v>0</v>
      </c>
      <c r="AL267">
        <v>0</v>
      </c>
      <c r="AM267">
        <v>0</v>
      </c>
      <c r="AN267">
        <v>1164764</v>
      </c>
      <c r="AO267">
        <v>0</v>
      </c>
      <c r="AP267">
        <v>0</v>
      </c>
      <c r="AQ267">
        <v>0</v>
      </c>
      <c r="AR267">
        <v>0</v>
      </c>
      <c r="AS267">
        <v>1738149</v>
      </c>
      <c r="AT267">
        <v>0</v>
      </c>
      <c r="AU267">
        <v>282869</v>
      </c>
      <c r="AV267">
        <v>0</v>
      </c>
      <c r="AW267">
        <v>3740356</v>
      </c>
      <c r="AX267">
        <v>0</v>
      </c>
      <c r="AY267">
        <v>0</v>
      </c>
      <c r="AZ267">
        <v>0</v>
      </c>
      <c r="BA267">
        <v>0</v>
      </c>
      <c r="BB267">
        <v>0</v>
      </c>
      <c r="BC267">
        <v>0</v>
      </c>
      <c r="BD267">
        <v>0</v>
      </c>
      <c r="BE267">
        <v>6278019</v>
      </c>
      <c r="BF267">
        <v>0</v>
      </c>
      <c r="BG267">
        <v>0</v>
      </c>
      <c r="BH267">
        <v>0</v>
      </c>
      <c r="BI267">
        <v>0</v>
      </c>
      <c r="BJ267">
        <v>0</v>
      </c>
      <c r="BK267">
        <v>0</v>
      </c>
      <c r="BL267">
        <v>2010163</v>
      </c>
      <c r="BM267">
        <v>0</v>
      </c>
      <c r="BN267">
        <v>25478</v>
      </c>
      <c r="BO267">
        <v>0</v>
      </c>
      <c r="BP267">
        <v>0</v>
      </c>
      <c r="BQ267">
        <v>0</v>
      </c>
      <c r="BR267">
        <v>0</v>
      </c>
      <c r="BS267">
        <v>30753</v>
      </c>
      <c r="BT267">
        <v>4371403</v>
      </c>
      <c r="BU267">
        <v>81799</v>
      </c>
      <c r="BV267">
        <v>1089292</v>
      </c>
      <c r="BW267">
        <v>0</v>
      </c>
      <c r="BX267">
        <v>0</v>
      </c>
      <c r="BY267">
        <v>507896</v>
      </c>
      <c r="BZ267">
        <v>0</v>
      </c>
      <c r="CA267">
        <v>0</v>
      </c>
      <c r="CB267">
        <v>0</v>
      </c>
      <c r="CC267">
        <v>0</v>
      </c>
      <c r="CD267">
        <v>0</v>
      </c>
      <c r="CE267">
        <v>0</v>
      </c>
    </row>
    <row r="268" spans="1:83" x14ac:dyDescent="0.25">
      <c r="A268">
        <v>608</v>
      </c>
      <c r="B268">
        <v>608</v>
      </c>
      <c r="C268" t="s">
        <v>693</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row>
    <row r="269" spans="1:83" x14ac:dyDescent="0.25">
      <c r="A269">
        <v>609</v>
      </c>
      <c r="B269">
        <v>609</v>
      </c>
      <c r="C269" t="s">
        <v>713</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0</v>
      </c>
      <c r="AW269">
        <v>0</v>
      </c>
      <c r="AX269">
        <v>0</v>
      </c>
      <c r="AY269">
        <v>0</v>
      </c>
      <c r="AZ269">
        <v>0</v>
      </c>
      <c r="BA269">
        <v>0</v>
      </c>
      <c r="BB269">
        <v>0</v>
      </c>
      <c r="BC269">
        <v>0</v>
      </c>
      <c r="BD269">
        <v>0</v>
      </c>
      <c r="BE269">
        <v>0</v>
      </c>
      <c r="BF269">
        <v>0</v>
      </c>
      <c r="BG269">
        <v>0</v>
      </c>
      <c r="BH269">
        <v>0</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row>
    <row r="270" spans="1:83" x14ac:dyDescent="0.25">
      <c r="A270">
        <v>610</v>
      </c>
      <c r="B270">
        <v>610</v>
      </c>
      <c r="C270" t="s">
        <v>694</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0</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row>
    <row r="271" spans="1:83" x14ac:dyDescent="0.25">
      <c r="A271">
        <v>611</v>
      </c>
      <c r="B271">
        <v>611</v>
      </c>
      <c r="C271" t="s">
        <v>695</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0</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row>
    <row r="272" spans="1:83" x14ac:dyDescent="0.25">
      <c r="A272">
        <v>612</v>
      </c>
      <c r="B272">
        <v>612</v>
      </c>
      <c r="C272" t="s">
        <v>714</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row>
    <row r="273" spans="1:83" x14ac:dyDescent="0.25">
      <c r="A273">
        <v>613</v>
      </c>
      <c r="B273">
        <v>613</v>
      </c>
      <c r="C273" t="s">
        <v>703</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row>
    <row r="274" spans="1:83" x14ac:dyDescent="0.25">
      <c r="A274">
        <v>614</v>
      </c>
      <c r="B274">
        <v>614</v>
      </c>
      <c r="C274" t="s">
        <v>696</v>
      </c>
      <c r="E274">
        <v>0</v>
      </c>
      <c r="F274">
        <v>0</v>
      </c>
      <c r="G274">
        <v>0</v>
      </c>
      <c r="H274">
        <v>0</v>
      </c>
      <c r="I274">
        <v>0</v>
      </c>
      <c r="J274">
        <v>0</v>
      </c>
      <c r="K274">
        <v>0</v>
      </c>
      <c r="L274">
        <v>0</v>
      </c>
      <c r="M274">
        <v>0</v>
      </c>
      <c r="N274">
        <v>0</v>
      </c>
      <c r="O274">
        <v>0</v>
      </c>
      <c r="P274">
        <v>0</v>
      </c>
      <c r="Q274">
        <v>0</v>
      </c>
      <c r="R274">
        <v>0</v>
      </c>
      <c r="S274">
        <v>0</v>
      </c>
      <c r="T274">
        <v>0</v>
      </c>
      <c r="U274">
        <v>0</v>
      </c>
      <c r="V274">
        <v>0</v>
      </c>
      <c r="W274">
        <v>0</v>
      </c>
      <c r="X274">
        <v>0</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row>
    <row r="275" spans="1:83" x14ac:dyDescent="0.25">
      <c r="A275">
        <v>615</v>
      </c>
      <c r="B275">
        <v>615</v>
      </c>
      <c r="C275" t="s">
        <v>715</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c r="CE275">
        <v>0</v>
      </c>
    </row>
    <row r="276" spans="1:83" x14ac:dyDescent="0.25">
      <c r="A276">
        <v>616</v>
      </c>
      <c r="B276">
        <v>616</v>
      </c>
      <c r="C276" t="s">
        <v>697</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0</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row>
    <row r="277" spans="1:83" x14ac:dyDescent="0.25">
      <c r="A277">
        <v>617</v>
      </c>
      <c r="B277">
        <v>617</v>
      </c>
      <c r="C277" t="s">
        <v>698</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0</v>
      </c>
      <c r="BY277">
        <v>0</v>
      </c>
      <c r="BZ277">
        <v>0</v>
      </c>
      <c r="CA277">
        <v>0</v>
      </c>
      <c r="CB277">
        <v>0</v>
      </c>
      <c r="CC277">
        <v>0</v>
      </c>
      <c r="CD277">
        <v>0</v>
      </c>
      <c r="CE277">
        <v>0</v>
      </c>
    </row>
    <row r="278" spans="1:83" x14ac:dyDescent="0.25">
      <c r="A278">
        <v>618</v>
      </c>
      <c r="B278">
        <v>618</v>
      </c>
      <c r="C278" t="s">
        <v>716</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0</v>
      </c>
      <c r="BY278">
        <v>0</v>
      </c>
      <c r="BZ278">
        <v>0</v>
      </c>
      <c r="CA278">
        <v>0</v>
      </c>
      <c r="CB278">
        <v>0</v>
      </c>
      <c r="CC278">
        <v>0</v>
      </c>
      <c r="CD278">
        <v>0</v>
      </c>
      <c r="CE278">
        <v>0</v>
      </c>
    </row>
    <row r="279" spans="1:83" x14ac:dyDescent="0.25">
      <c r="A279">
        <v>619</v>
      </c>
      <c r="B279">
        <v>619</v>
      </c>
      <c r="C279" t="s">
        <v>718</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0</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row>
    <row r="280" spans="1:83" x14ac:dyDescent="0.25">
      <c r="A280">
        <v>620</v>
      </c>
      <c r="B280">
        <v>620</v>
      </c>
      <c r="C280" t="s">
        <v>707</v>
      </c>
      <c r="E280">
        <v>0</v>
      </c>
      <c r="F280">
        <v>2</v>
      </c>
      <c r="G280">
        <v>2</v>
      </c>
      <c r="H280">
        <v>2</v>
      </c>
      <c r="I280">
        <v>2</v>
      </c>
      <c r="J280">
        <v>2</v>
      </c>
      <c r="K280">
        <v>2</v>
      </c>
      <c r="L280">
        <v>2</v>
      </c>
      <c r="M280">
        <v>2</v>
      </c>
      <c r="N280">
        <v>2</v>
      </c>
      <c r="O280">
        <v>2</v>
      </c>
      <c r="P280">
        <v>2</v>
      </c>
      <c r="Q280">
        <v>2</v>
      </c>
      <c r="R280">
        <v>1</v>
      </c>
      <c r="S280">
        <v>2</v>
      </c>
      <c r="T280">
        <v>2</v>
      </c>
      <c r="U280">
        <v>1</v>
      </c>
      <c r="V280">
        <v>1</v>
      </c>
      <c r="W280">
        <v>2</v>
      </c>
      <c r="X280">
        <v>2</v>
      </c>
      <c r="Y280">
        <v>2</v>
      </c>
      <c r="Z280">
        <v>1</v>
      </c>
      <c r="AA280">
        <v>1</v>
      </c>
      <c r="AB280">
        <v>1</v>
      </c>
      <c r="AC280">
        <v>2</v>
      </c>
      <c r="AD280">
        <v>1</v>
      </c>
      <c r="AE280">
        <v>1</v>
      </c>
      <c r="AF280">
        <v>2</v>
      </c>
      <c r="AG280">
        <v>1</v>
      </c>
      <c r="AH280">
        <v>2</v>
      </c>
      <c r="AI280">
        <v>2</v>
      </c>
      <c r="AJ280">
        <v>1</v>
      </c>
      <c r="AK280">
        <v>2</v>
      </c>
      <c r="AL280">
        <v>2</v>
      </c>
      <c r="AM280">
        <v>0</v>
      </c>
      <c r="AN280">
        <v>1</v>
      </c>
      <c r="AO280">
        <v>0</v>
      </c>
      <c r="AP280">
        <v>0</v>
      </c>
      <c r="AQ280">
        <v>2</v>
      </c>
      <c r="AR280">
        <v>2</v>
      </c>
      <c r="AS280">
        <v>2</v>
      </c>
      <c r="AT280">
        <v>2</v>
      </c>
      <c r="AU280">
        <v>2</v>
      </c>
      <c r="AV280">
        <v>0</v>
      </c>
      <c r="AW280">
        <v>2</v>
      </c>
      <c r="AX280">
        <v>2</v>
      </c>
      <c r="AY280">
        <v>2</v>
      </c>
      <c r="AZ280">
        <v>2</v>
      </c>
      <c r="BA280">
        <v>2</v>
      </c>
      <c r="BB280">
        <v>2</v>
      </c>
      <c r="BC280">
        <v>2</v>
      </c>
      <c r="BD280">
        <v>0</v>
      </c>
      <c r="BE280">
        <v>2</v>
      </c>
      <c r="BF280">
        <v>2</v>
      </c>
      <c r="BG280">
        <v>2</v>
      </c>
      <c r="BH280">
        <v>2</v>
      </c>
      <c r="BI280">
        <v>2</v>
      </c>
      <c r="BJ280">
        <v>2</v>
      </c>
      <c r="BK280">
        <v>2</v>
      </c>
      <c r="BL280">
        <v>2</v>
      </c>
      <c r="BM280">
        <v>0</v>
      </c>
      <c r="BN280">
        <v>2</v>
      </c>
      <c r="BO280">
        <v>2</v>
      </c>
      <c r="BP280">
        <v>2</v>
      </c>
      <c r="BQ280">
        <v>2</v>
      </c>
      <c r="BR280">
        <v>2</v>
      </c>
      <c r="BS280">
        <v>1</v>
      </c>
      <c r="BT280">
        <v>1</v>
      </c>
      <c r="BU280">
        <v>2</v>
      </c>
      <c r="BV280">
        <v>1</v>
      </c>
      <c r="BW280">
        <v>2</v>
      </c>
      <c r="BX280">
        <v>1</v>
      </c>
      <c r="BY280">
        <v>2</v>
      </c>
      <c r="BZ280">
        <v>2</v>
      </c>
      <c r="CA280">
        <v>2</v>
      </c>
      <c r="CB280">
        <v>2</v>
      </c>
      <c r="CC280">
        <v>0</v>
      </c>
      <c r="CD280">
        <v>0</v>
      </c>
      <c r="CE280">
        <v>2</v>
      </c>
    </row>
    <row r="281" spans="1:83" x14ac:dyDescent="0.25">
      <c r="A281">
        <v>621</v>
      </c>
      <c r="B281">
        <v>621</v>
      </c>
      <c r="C281" t="s">
        <v>723</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0</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row>
    <row r="282" spans="1:83" x14ac:dyDescent="0.25">
      <c r="A282">
        <v>622</v>
      </c>
      <c r="E282">
        <v>0</v>
      </c>
      <c r="F282">
        <v>0</v>
      </c>
      <c r="G282">
        <v>72594</v>
      </c>
      <c r="H282">
        <v>57885</v>
      </c>
      <c r="I282">
        <v>10201</v>
      </c>
      <c r="J282">
        <v>116719</v>
      </c>
      <c r="K282">
        <v>0</v>
      </c>
      <c r="L282">
        <v>23485</v>
      </c>
      <c r="M282">
        <v>0</v>
      </c>
      <c r="N282">
        <v>2020524</v>
      </c>
      <c r="O282">
        <v>98689</v>
      </c>
      <c r="P282">
        <v>654766</v>
      </c>
      <c r="Q282">
        <v>0</v>
      </c>
      <c r="R282">
        <v>9172662</v>
      </c>
      <c r="S282">
        <v>189076</v>
      </c>
      <c r="T282">
        <v>0</v>
      </c>
      <c r="U282">
        <v>9316424</v>
      </c>
      <c r="V282">
        <v>3497779</v>
      </c>
      <c r="W282">
        <v>4395238</v>
      </c>
      <c r="X282">
        <v>4122419</v>
      </c>
      <c r="Y282">
        <v>13285</v>
      </c>
      <c r="Z282">
        <v>2428804</v>
      </c>
      <c r="AA282">
        <v>239844</v>
      </c>
      <c r="AB282">
        <v>2457272</v>
      </c>
      <c r="AC282">
        <v>887256</v>
      </c>
      <c r="AD282">
        <v>108890</v>
      </c>
      <c r="AE282">
        <v>247910</v>
      </c>
      <c r="AF282">
        <v>454541</v>
      </c>
      <c r="AG282">
        <v>2299037</v>
      </c>
      <c r="AH282">
        <v>1017260</v>
      </c>
      <c r="AI282">
        <v>108179</v>
      </c>
      <c r="AJ282">
        <v>7888037</v>
      </c>
      <c r="AK282">
        <v>14471</v>
      </c>
      <c r="AL282">
        <v>155863</v>
      </c>
      <c r="AM282">
        <v>0</v>
      </c>
      <c r="AN282">
        <v>3135998</v>
      </c>
      <c r="AO282">
        <v>0</v>
      </c>
      <c r="AP282">
        <v>0</v>
      </c>
      <c r="AQ282">
        <v>0</v>
      </c>
      <c r="AR282">
        <v>662358</v>
      </c>
      <c r="AS282">
        <v>1058539</v>
      </c>
      <c r="AT282">
        <v>33687</v>
      </c>
      <c r="AU282">
        <v>251468</v>
      </c>
      <c r="AV282">
        <v>0</v>
      </c>
      <c r="AW282">
        <v>2087901</v>
      </c>
      <c r="AX282">
        <v>83032</v>
      </c>
      <c r="AY282">
        <v>258585</v>
      </c>
      <c r="AZ282">
        <v>867565</v>
      </c>
      <c r="BA282">
        <v>118143</v>
      </c>
      <c r="BB282">
        <v>161556</v>
      </c>
      <c r="BC282">
        <v>0</v>
      </c>
      <c r="BD282">
        <v>0</v>
      </c>
      <c r="BE282">
        <v>1542260</v>
      </c>
      <c r="BF282">
        <v>0</v>
      </c>
      <c r="BG282">
        <v>28468</v>
      </c>
      <c r="BH282">
        <v>0</v>
      </c>
      <c r="BI282">
        <v>0</v>
      </c>
      <c r="BJ282">
        <v>17793</v>
      </c>
      <c r="BK282">
        <v>0</v>
      </c>
      <c r="BL282">
        <v>658325</v>
      </c>
      <c r="BM282">
        <v>0</v>
      </c>
      <c r="BN282">
        <v>271159</v>
      </c>
      <c r="BO282">
        <v>629146</v>
      </c>
      <c r="BP282">
        <v>164987</v>
      </c>
      <c r="BQ282">
        <v>117194</v>
      </c>
      <c r="BR282">
        <v>2480521</v>
      </c>
      <c r="BS282">
        <v>289426</v>
      </c>
      <c r="BT282">
        <v>1749837</v>
      </c>
      <c r="BU282">
        <v>90861</v>
      </c>
      <c r="BV282">
        <v>845028</v>
      </c>
      <c r="BW282">
        <v>0</v>
      </c>
      <c r="BX282">
        <v>408992</v>
      </c>
      <c r="BY282">
        <v>106993</v>
      </c>
      <c r="BZ282">
        <v>0</v>
      </c>
      <c r="CA282">
        <v>13048</v>
      </c>
      <c r="CB282">
        <v>0</v>
      </c>
      <c r="CC282">
        <v>0</v>
      </c>
      <c r="CD282">
        <v>0</v>
      </c>
      <c r="CE282">
        <v>0</v>
      </c>
    </row>
    <row r="283" spans="1:83" x14ac:dyDescent="0.25">
      <c r="A283">
        <v>624</v>
      </c>
      <c r="E283">
        <v>0</v>
      </c>
      <c r="F283">
        <v>1</v>
      </c>
      <c r="G283">
        <v>1</v>
      </c>
      <c r="H283">
        <v>1</v>
      </c>
      <c r="I283">
        <v>1</v>
      </c>
      <c r="J283">
        <v>2</v>
      </c>
      <c r="K283">
        <v>1</v>
      </c>
      <c r="L283">
        <v>1</v>
      </c>
      <c r="M283">
        <v>2</v>
      </c>
      <c r="N283">
        <v>1</v>
      </c>
      <c r="O283">
        <v>1</v>
      </c>
      <c r="P283">
        <v>1</v>
      </c>
      <c r="Q283">
        <v>1</v>
      </c>
      <c r="R283">
        <v>2</v>
      </c>
      <c r="S283">
        <v>1</v>
      </c>
      <c r="T283">
        <v>2</v>
      </c>
      <c r="U283">
        <v>1</v>
      </c>
      <c r="V283">
        <v>2</v>
      </c>
      <c r="W283">
        <v>2</v>
      </c>
      <c r="X283">
        <v>1</v>
      </c>
      <c r="Y283">
        <v>1</v>
      </c>
      <c r="Z283">
        <v>2</v>
      </c>
      <c r="AA283">
        <v>1</v>
      </c>
      <c r="AB283">
        <v>1</v>
      </c>
      <c r="AC283">
        <v>1</v>
      </c>
      <c r="AD283">
        <v>1</v>
      </c>
      <c r="AE283">
        <v>1</v>
      </c>
      <c r="AF283">
        <v>2</v>
      </c>
      <c r="AG283">
        <v>2</v>
      </c>
      <c r="AH283">
        <v>2</v>
      </c>
      <c r="AI283">
        <v>2</v>
      </c>
      <c r="AJ283">
        <v>2</v>
      </c>
      <c r="AK283">
        <v>1</v>
      </c>
      <c r="AL283">
        <v>1</v>
      </c>
      <c r="AM283">
        <v>0</v>
      </c>
      <c r="AN283">
        <v>1</v>
      </c>
      <c r="AO283">
        <v>0</v>
      </c>
      <c r="AP283">
        <v>0</v>
      </c>
      <c r="AQ283">
        <v>1</v>
      </c>
      <c r="AR283">
        <v>2</v>
      </c>
      <c r="AS283">
        <v>1</v>
      </c>
      <c r="AT283">
        <v>1</v>
      </c>
      <c r="AU283">
        <v>2</v>
      </c>
      <c r="AV283">
        <v>0</v>
      </c>
      <c r="AW283">
        <v>2</v>
      </c>
      <c r="AX283">
        <v>1</v>
      </c>
      <c r="AY283">
        <v>1</v>
      </c>
      <c r="AZ283">
        <v>2</v>
      </c>
      <c r="BA283">
        <v>2</v>
      </c>
      <c r="BB283">
        <v>2</v>
      </c>
      <c r="BC283">
        <v>2</v>
      </c>
      <c r="BD283">
        <v>0</v>
      </c>
      <c r="BE283">
        <v>1</v>
      </c>
      <c r="BF283">
        <v>2</v>
      </c>
      <c r="BG283">
        <v>1</v>
      </c>
      <c r="BH283">
        <v>1</v>
      </c>
      <c r="BI283">
        <v>1</v>
      </c>
      <c r="BJ283">
        <v>1</v>
      </c>
      <c r="BK283">
        <v>1</v>
      </c>
      <c r="BL283">
        <v>2</v>
      </c>
      <c r="BM283">
        <v>0</v>
      </c>
      <c r="BN283">
        <v>1</v>
      </c>
      <c r="BO283">
        <v>2</v>
      </c>
      <c r="BP283">
        <v>1</v>
      </c>
      <c r="BQ283">
        <v>1</v>
      </c>
      <c r="BR283">
        <v>1</v>
      </c>
      <c r="BS283">
        <v>2</v>
      </c>
      <c r="BT283">
        <v>1</v>
      </c>
      <c r="BU283">
        <v>1</v>
      </c>
      <c r="BV283">
        <v>1</v>
      </c>
      <c r="BW283">
        <v>1</v>
      </c>
      <c r="BX283">
        <v>1</v>
      </c>
      <c r="BY283">
        <v>1</v>
      </c>
      <c r="BZ283">
        <v>1</v>
      </c>
      <c r="CA283">
        <v>2</v>
      </c>
      <c r="CB283">
        <v>1</v>
      </c>
      <c r="CC283">
        <v>0</v>
      </c>
      <c r="CD283">
        <v>0</v>
      </c>
      <c r="CE283">
        <v>1</v>
      </c>
    </row>
    <row r="284" spans="1:83" x14ac:dyDescent="0.25">
      <c r="A284">
        <v>625</v>
      </c>
      <c r="E284">
        <v>0</v>
      </c>
      <c r="F284">
        <v>1</v>
      </c>
      <c r="G284">
        <v>1</v>
      </c>
      <c r="H284">
        <v>1</v>
      </c>
      <c r="I284">
        <v>1</v>
      </c>
      <c r="J284">
        <v>1</v>
      </c>
      <c r="K284">
        <v>4</v>
      </c>
      <c r="L284">
        <v>1</v>
      </c>
      <c r="M284">
        <v>1</v>
      </c>
      <c r="N284">
        <v>1</v>
      </c>
      <c r="O284">
        <v>1</v>
      </c>
      <c r="P284">
        <v>1</v>
      </c>
      <c r="Q284">
        <v>1</v>
      </c>
      <c r="R284">
        <v>1</v>
      </c>
      <c r="S284">
        <v>3</v>
      </c>
      <c r="T284">
        <v>3</v>
      </c>
      <c r="U284">
        <v>1</v>
      </c>
      <c r="V284">
        <v>1</v>
      </c>
      <c r="W284">
        <v>1</v>
      </c>
      <c r="X284">
        <v>1</v>
      </c>
      <c r="Y284">
        <v>4</v>
      </c>
      <c r="Z284">
        <v>1</v>
      </c>
      <c r="AA284">
        <v>1</v>
      </c>
      <c r="AB284">
        <v>1</v>
      </c>
      <c r="AC284">
        <v>3</v>
      </c>
      <c r="AD284">
        <v>1</v>
      </c>
      <c r="AE284">
        <v>4</v>
      </c>
      <c r="AF284">
        <v>1</v>
      </c>
      <c r="AG284">
        <v>1</v>
      </c>
      <c r="AH284">
        <v>4</v>
      </c>
      <c r="AI284">
        <v>3</v>
      </c>
      <c r="AJ284">
        <v>4</v>
      </c>
      <c r="AK284">
        <v>1</v>
      </c>
      <c r="AL284">
        <v>1</v>
      </c>
      <c r="AM284">
        <v>0</v>
      </c>
      <c r="AN284">
        <v>1</v>
      </c>
      <c r="AO284">
        <v>0</v>
      </c>
      <c r="AP284">
        <v>0</v>
      </c>
      <c r="AQ284">
        <v>1</v>
      </c>
      <c r="AR284">
        <v>1</v>
      </c>
      <c r="AS284">
        <v>1</v>
      </c>
      <c r="AT284">
        <v>4</v>
      </c>
      <c r="AU284">
        <v>4</v>
      </c>
      <c r="AV284">
        <v>0</v>
      </c>
      <c r="AW284">
        <v>1</v>
      </c>
      <c r="AX284">
        <v>3</v>
      </c>
      <c r="AY284">
        <v>1</v>
      </c>
      <c r="AZ284">
        <v>1</v>
      </c>
      <c r="BA284">
        <v>3</v>
      </c>
      <c r="BB284">
        <v>1</v>
      </c>
      <c r="BC284">
        <v>1</v>
      </c>
      <c r="BD284">
        <v>0</v>
      </c>
      <c r="BE284">
        <v>1</v>
      </c>
      <c r="BF284">
        <v>1</v>
      </c>
      <c r="BG284">
        <v>1</v>
      </c>
      <c r="BH284">
        <v>3</v>
      </c>
      <c r="BI284">
        <v>3</v>
      </c>
      <c r="BJ284">
        <v>1</v>
      </c>
      <c r="BK284">
        <v>1</v>
      </c>
      <c r="BL284">
        <v>1</v>
      </c>
      <c r="BM284">
        <v>0</v>
      </c>
      <c r="BN284">
        <v>4</v>
      </c>
      <c r="BO284">
        <v>1</v>
      </c>
      <c r="BP284">
        <v>1</v>
      </c>
      <c r="BQ284">
        <v>1</v>
      </c>
      <c r="BR284">
        <v>1</v>
      </c>
      <c r="BS284">
        <v>4</v>
      </c>
      <c r="BT284">
        <v>1</v>
      </c>
      <c r="BU284">
        <v>3</v>
      </c>
      <c r="BV284">
        <v>1</v>
      </c>
      <c r="BW284">
        <v>1</v>
      </c>
      <c r="BX284">
        <v>1</v>
      </c>
      <c r="BY284">
        <v>3</v>
      </c>
      <c r="BZ284">
        <v>3</v>
      </c>
      <c r="CA284">
        <v>2</v>
      </c>
      <c r="CB284">
        <v>1</v>
      </c>
      <c r="CC284">
        <v>0</v>
      </c>
      <c r="CD284">
        <v>0</v>
      </c>
      <c r="CE284">
        <v>2</v>
      </c>
    </row>
    <row r="288" spans="1:83" s="281" customFormat="1" x14ac:dyDescent="0.25">
      <c r="A288" s="392"/>
      <c r="B288" s="392"/>
      <c r="C288" s="390"/>
      <c r="D288" s="389"/>
      <c r="E288" s="294"/>
      <c r="F288" s="294"/>
      <c r="G288" s="294"/>
      <c r="H288" s="294"/>
      <c r="I288" s="294"/>
      <c r="J288" s="294"/>
      <c r="K288" s="294"/>
      <c r="L288" s="294"/>
      <c r="M288" s="294"/>
      <c r="N288" s="294"/>
      <c r="O288" s="294"/>
      <c r="P288" s="294"/>
      <c r="Q288" s="294"/>
      <c r="R288" s="294"/>
      <c r="S288" s="294"/>
      <c r="T288" s="294"/>
      <c r="U288" s="294"/>
      <c r="V288" s="294"/>
      <c r="W288" s="294"/>
      <c r="X288" s="294"/>
      <c r="Y288" s="294"/>
      <c r="Z288" s="294"/>
      <c r="AA288" s="294"/>
      <c r="AB288" s="294"/>
      <c r="AC288" s="294"/>
      <c r="AD288" s="294"/>
      <c r="AE288" s="294"/>
      <c r="AF288" s="294"/>
      <c r="AG288" s="294"/>
      <c r="AH288" s="294"/>
      <c r="AI288" s="294"/>
      <c r="AJ288" s="294"/>
      <c r="AK288" s="294"/>
      <c r="AL288" s="294"/>
      <c r="AM288" s="294"/>
      <c r="AN288" s="294"/>
      <c r="AP288" s="294"/>
      <c r="AQ288" s="294"/>
      <c r="AR288" s="294"/>
      <c r="AS288" s="294"/>
      <c r="AT288" s="294"/>
      <c r="AU288" s="294"/>
      <c r="AV288" s="294"/>
      <c r="AW288" s="294"/>
      <c r="AX288" s="294"/>
      <c r="AY288" s="294"/>
      <c r="AZ288" s="294"/>
      <c r="BA288" s="294"/>
      <c r="BB288" s="294"/>
      <c r="BC288" s="294"/>
      <c r="BD288" s="294"/>
      <c r="BE288" s="294"/>
      <c r="BF288" s="294"/>
      <c r="BG288" s="294"/>
      <c r="BH288" s="294"/>
      <c r="BI288" s="294"/>
      <c r="BJ288" s="294"/>
      <c r="BK288" s="294"/>
      <c r="BL288" s="294"/>
      <c r="BM288" s="294"/>
      <c r="BN288" s="294"/>
      <c r="BO288" s="294"/>
      <c r="BP288" s="294"/>
      <c r="BQ288" s="294"/>
      <c r="BR288" s="294"/>
      <c r="BS288" s="294"/>
    </row>
    <row r="289" spans="1:83" ht="28.5" x14ac:dyDescent="0.25">
      <c r="A289" s="392">
        <v>647</v>
      </c>
      <c r="B289" s="392">
        <v>647</v>
      </c>
      <c r="C289" s="390" t="s">
        <v>830</v>
      </c>
      <c r="D289" s="389"/>
      <c r="E289" s="294">
        <v>0</v>
      </c>
      <c r="F289" s="294">
        <v>0</v>
      </c>
      <c r="G289" s="294">
        <v>0</v>
      </c>
      <c r="H289" s="294">
        <v>0</v>
      </c>
      <c r="I289" s="294">
        <v>0</v>
      </c>
      <c r="J289" s="294">
        <v>0</v>
      </c>
      <c r="K289" s="294">
        <v>0</v>
      </c>
      <c r="L289" s="294">
        <v>0</v>
      </c>
      <c r="M289" s="294">
        <v>0</v>
      </c>
      <c r="N289" s="294">
        <v>0</v>
      </c>
      <c r="O289" s="294">
        <v>0</v>
      </c>
      <c r="P289" s="294">
        <v>0</v>
      </c>
      <c r="Q289" s="294">
        <v>0</v>
      </c>
      <c r="R289" s="294">
        <v>0</v>
      </c>
      <c r="S289" s="294">
        <v>0</v>
      </c>
      <c r="T289" s="294">
        <v>0</v>
      </c>
      <c r="U289" s="294">
        <v>0</v>
      </c>
      <c r="V289" s="294">
        <v>0</v>
      </c>
      <c r="W289" s="294">
        <v>0</v>
      </c>
      <c r="X289" s="294">
        <v>0</v>
      </c>
      <c r="Y289" s="294">
        <v>0</v>
      </c>
      <c r="Z289" s="294">
        <v>0</v>
      </c>
      <c r="AA289" s="294">
        <v>0</v>
      </c>
      <c r="AB289" s="294">
        <v>0</v>
      </c>
      <c r="AC289" s="294">
        <v>0</v>
      </c>
      <c r="AD289" s="294">
        <v>0</v>
      </c>
      <c r="AE289" s="294">
        <v>0</v>
      </c>
      <c r="AF289" s="294">
        <v>0</v>
      </c>
      <c r="AG289" s="294">
        <v>0</v>
      </c>
      <c r="AH289" s="294">
        <v>0</v>
      </c>
      <c r="AI289" s="294">
        <v>0</v>
      </c>
      <c r="AJ289" s="294">
        <v>0</v>
      </c>
      <c r="AK289" s="294">
        <v>0</v>
      </c>
      <c r="AL289" s="294">
        <v>0</v>
      </c>
      <c r="AM289" s="294">
        <v>0</v>
      </c>
      <c r="AN289" s="294">
        <v>0</v>
      </c>
      <c r="AO289" s="294">
        <v>0</v>
      </c>
      <c r="AP289" s="294">
        <v>0</v>
      </c>
      <c r="AQ289" s="294">
        <v>0</v>
      </c>
      <c r="AR289" s="294">
        <v>0</v>
      </c>
      <c r="AS289" s="294">
        <v>0</v>
      </c>
      <c r="AT289" s="294">
        <v>0</v>
      </c>
      <c r="AU289" s="294">
        <v>0</v>
      </c>
      <c r="AV289" s="294">
        <v>0</v>
      </c>
      <c r="AW289" s="294">
        <v>0</v>
      </c>
      <c r="AX289" s="294">
        <v>0</v>
      </c>
      <c r="AY289" s="294">
        <v>0</v>
      </c>
      <c r="AZ289" s="294">
        <v>0</v>
      </c>
      <c r="BA289" s="294">
        <v>0</v>
      </c>
      <c r="BB289" s="294">
        <v>0</v>
      </c>
      <c r="BC289" s="294">
        <v>0</v>
      </c>
      <c r="BD289" s="294">
        <v>0</v>
      </c>
      <c r="BE289" s="294">
        <v>0</v>
      </c>
      <c r="BF289" s="294">
        <v>0</v>
      </c>
      <c r="BG289" s="294">
        <v>0</v>
      </c>
      <c r="BH289" s="294">
        <v>0</v>
      </c>
      <c r="BI289" s="294">
        <v>0</v>
      </c>
      <c r="BJ289" s="294">
        <v>0</v>
      </c>
      <c r="BK289" s="294">
        <v>0</v>
      </c>
      <c r="BL289" s="294">
        <v>0</v>
      </c>
      <c r="BM289" s="294">
        <v>0</v>
      </c>
      <c r="BN289" s="294">
        <v>0</v>
      </c>
      <c r="BO289" s="294">
        <v>0</v>
      </c>
      <c r="BP289" s="294">
        <v>0</v>
      </c>
      <c r="BQ289" s="294">
        <v>0</v>
      </c>
      <c r="BR289" s="294">
        <v>0</v>
      </c>
      <c r="BS289" s="294">
        <v>0</v>
      </c>
      <c r="BT289" s="294">
        <v>0</v>
      </c>
      <c r="BU289" s="294">
        <v>0</v>
      </c>
      <c r="BV289" s="294">
        <v>0</v>
      </c>
      <c r="BW289" s="294">
        <v>0</v>
      </c>
      <c r="BX289" s="294">
        <v>0</v>
      </c>
      <c r="BY289" s="294">
        <v>0</v>
      </c>
      <c r="BZ289" s="294">
        <v>0</v>
      </c>
      <c r="CA289" s="294">
        <v>0</v>
      </c>
      <c r="CB289" s="294">
        <v>0</v>
      </c>
      <c r="CC289" s="294">
        <v>0</v>
      </c>
      <c r="CD289" s="294">
        <v>0</v>
      </c>
      <c r="CE289" s="294">
        <v>0</v>
      </c>
    </row>
    <row r="290" spans="1:83" x14ac:dyDescent="0.25">
      <c r="A290" s="398" t="s">
        <v>831</v>
      </c>
      <c r="B290" s="388"/>
      <c r="C290" s="388" t="s">
        <v>835</v>
      </c>
      <c r="D290" s="388"/>
      <c r="E290" s="380">
        <f t="shared" ref="E290:AJ290" si="0">E156+E186-E3-E4-E5+E289</f>
        <v>0</v>
      </c>
      <c r="F290" s="380">
        <f t="shared" si="0"/>
        <v>136842</v>
      </c>
      <c r="G290" s="380">
        <f t="shared" si="0"/>
        <v>859962</v>
      </c>
      <c r="H290" s="380">
        <f t="shared" si="0"/>
        <v>3731909</v>
      </c>
      <c r="I290" s="380">
        <f t="shared" si="0"/>
        <v>4998736</v>
      </c>
      <c r="J290" s="380">
        <f t="shared" si="0"/>
        <v>4809264</v>
      </c>
      <c r="K290" s="380">
        <f t="shared" si="0"/>
        <v>105117</v>
      </c>
      <c r="L290" s="380">
        <f t="shared" si="0"/>
        <v>824068</v>
      </c>
      <c r="M290" s="380">
        <f t="shared" si="0"/>
        <v>954072</v>
      </c>
      <c r="N290" s="380">
        <f t="shared" si="0"/>
        <v>6459558</v>
      </c>
      <c r="O290" s="380">
        <f t="shared" si="0"/>
        <v>573210</v>
      </c>
      <c r="P290" s="380">
        <f t="shared" si="0"/>
        <v>5387413</v>
      </c>
      <c r="Q290" s="380">
        <f t="shared" si="0"/>
        <v>277147</v>
      </c>
      <c r="R290" s="380">
        <f t="shared" si="0"/>
        <v>26141070</v>
      </c>
      <c r="S290" s="380">
        <f t="shared" si="0"/>
        <v>1635576</v>
      </c>
      <c r="T290" s="380">
        <f t="shared" si="0"/>
        <v>206623</v>
      </c>
      <c r="U290" s="380">
        <f t="shared" si="0"/>
        <v>32233624</v>
      </c>
      <c r="V290" s="380">
        <f t="shared" si="0"/>
        <v>7642370</v>
      </c>
      <c r="W290" s="380">
        <f t="shared" si="0"/>
        <v>16689583</v>
      </c>
      <c r="X290" s="380">
        <f t="shared" si="0"/>
        <v>25293040</v>
      </c>
      <c r="Y290" s="380">
        <f t="shared" si="0"/>
        <v>238771</v>
      </c>
      <c r="Z290" s="380">
        <f t="shared" si="0"/>
        <v>9326225</v>
      </c>
      <c r="AA290" s="380">
        <f t="shared" si="0"/>
        <v>1413606</v>
      </c>
      <c r="AB290" s="380">
        <f t="shared" si="0"/>
        <v>12200017</v>
      </c>
      <c r="AC290" s="380">
        <f t="shared" si="0"/>
        <v>596917</v>
      </c>
      <c r="AD290" s="380">
        <f t="shared" si="0"/>
        <v>1671794</v>
      </c>
      <c r="AE290" s="380">
        <f t="shared" si="0"/>
        <v>1014501</v>
      </c>
      <c r="AF290" s="380">
        <f t="shared" si="0"/>
        <v>3247222</v>
      </c>
      <c r="AG290" s="380">
        <f t="shared" si="0"/>
        <v>16351933</v>
      </c>
      <c r="AH290" s="380">
        <f t="shared" si="0"/>
        <v>5205531</v>
      </c>
      <c r="AI290" s="380">
        <f t="shared" si="0"/>
        <v>753200</v>
      </c>
      <c r="AJ290" s="380">
        <f t="shared" si="0"/>
        <v>3617272</v>
      </c>
      <c r="AK290" s="380">
        <f t="shared" ref="AK290:BP290" si="1">AK156+AK186-AK3-AK4-AK5+AK289</f>
        <v>3188040</v>
      </c>
      <c r="AL290" s="380">
        <f t="shared" si="1"/>
        <v>653645</v>
      </c>
      <c r="AM290" s="380">
        <f t="shared" si="1"/>
        <v>0</v>
      </c>
      <c r="AN290" s="380">
        <f t="shared" si="1"/>
        <v>7447880</v>
      </c>
      <c r="AO290" s="380">
        <f t="shared" si="1"/>
        <v>0</v>
      </c>
      <c r="AP290" s="380">
        <f t="shared" si="1"/>
        <v>0</v>
      </c>
      <c r="AQ290" s="380">
        <f t="shared" si="1"/>
        <v>90008</v>
      </c>
      <c r="AR290" s="380">
        <f t="shared" si="1"/>
        <v>2968692</v>
      </c>
      <c r="AS290" s="380">
        <f t="shared" si="1"/>
        <v>3313208</v>
      </c>
      <c r="AT290" s="380">
        <f t="shared" si="1"/>
        <v>593723</v>
      </c>
      <c r="AU290" s="380">
        <f t="shared" si="1"/>
        <v>1393686</v>
      </c>
      <c r="AV290" s="380">
        <f t="shared" si="1"/>
        <v>0</v>
      </c>
      <c r="AW290" s="380">
        <f t="shared" si="1"/>
        <v>13176445</v>
      </c>
      <c r="AX290" s="380">
        <f t="shared" si="1"/>
        <v>3478759</v>
      </c>
      <c r="AY290" s="380">
        <f t="shared" si="1"/>
        <v>846818</v>
      </c>
      <c r="AZ290" s="380">
        <f t="shared" si="1"/>
        <v>17668859</v>
      </c>
      <c r="BA290" s="380">
        <f t="shared" si="1"/>
        <v>1887722</v>
      </c>
      <c r="BB290" s="380">
        <f t="shared" si="1"/>
        <v>890756</v>
      </c>
      <c r="BC290" s="380">
        <f t="shared" si="1"/>
        <v>101867</v>
      </c>
      <c r="BD290" s="380">
        <f t="shared" si="1"/>
        <v>0</v>
      </c>
      <c r="BE290" s="380">
        <f t="shared" si="1"/>
        <v>5686461</v>
      </c>
      <c r="BF290" s="380">
        <f t="shared" si="1"/>
        <v>511306</v>
      </c>
      <c r="BG290" s="380">
        <f t="shared" si="1"/>
        <v>664153</v>
      </c>
      <c r="BH290" s="380">
        <f t="shared" si="1"/>
        <v>141922</v>
      </c>
      <c r="BI290" s="380">
        <f t="shared" si="1"/>
        <v>292274</v>
      </c>
      <c r="BJ290" s="380">
        <f t="shared" si="1"/>
        <v>518570</v>
      </c>
      <c r="BK290" s="380">
        <f t="shared" si="1"/>
        <v>257883</v>
      </c>
      <c r="BL290" s="380">
        <f t="shared" si="1"/>
        <v>1500223</v>
      </c>
      <c r="BM290" s="380">
        <f t="shared" si="1"/>
        <v>0</v>
      </c>
      <c r="BN290" s="380">
        <f t="shared" si="1"/>
        <v>-181587</v>
      </c>
      <c r="BO290" s="380">
        <f t="shared" si="1"/>
        <v>2696272</v>
      </c>
      <c r="BP290" s="380">
        <f t="shared" si="1"/>
        <v>829278</v>
      </c>
      <c r="BQ290" s="380">
        <f t="shared" ref="BQ290:BS290" si="2">BQ156+BQ186-BQ3-BQ4-BQ5+BQ289</f>
        <v>1728543</v>
      </c>
      <c r="BR290" s="380">
        <f t="shared" si="2"/>
        <v>5852949</v>
      </c>
      <c r="BS290" s="380">
        <f t="shared" si="2"/>
        <v>413190</v>
      </c>
      <c r="BT290" s="380">
        <f t="shared" ref="BT290:CE290" si="3">BT156+BT186-BT3-BT4-BT5+BT289</f>
        <v>18970008</v>
      </c>
      <c r="BU290" s="380">
        <f t="shared" si="3"/>
        <v>668017</v>
      </c>
      <c r="BV290" s="380">
        <f t="shared" si="3"/>
        <v>2959931</v>
      </c>
      <c r="BW290" s="380">
        <f t="shared" si="3"/>
        <v>970727</v>
      </c>
      <c r="BX290" s="380">
        <f t="shared" si="3"/>
        <v>995401</v>
      </c>
      <c r="BY290" s="380">
        <f t="shared" si="3"/>
        <v>2016408</v>
      </c>
      <c r="BZ290" s="380">
        <f t="shared" si="3"/>
        <v>365188</v>
      </c>
      <c r="CA290" s="380">
        <f t="shared" si="3"/>
        <v>537572</v>
      </c>
      <c r="CB290" s="380">
        <f t="shared" si="3"/>
        <v>165868</v>
      </c>
      <c r="CC290" s="380">
        <f t="shared" si="3"/>
        <v>0</v>
      </c>
      <c r="CD290" s="380">
        <f t="shared" si="3"/>
        <v>0</v>
      </c>
      <c r="CE290" s="380">
        <f t="shared" si="3"/>
        <v>366424</v>
      </c>
    </row>
    <row r="291" spans="1:83" x14ac:dyDescent="0.25">
      <c r="A291" s="398" t="s">
        <v>832</v>
      </c>
      <c r="B291" s="388"/>
      <c r="C291" s="388" t="s">
        <v>842</v>
      </c>
      <c r="D291" s="388"/>
      <c r="E291" s="380">
        <f>E182+E159+E15-E183-E158</f>
        <v>0</v>
      </c>
      <c r="F291" s="380">
        <f t="shared" ref="F291:BQ291" si="4">F182+F159+F15-F183-F158</f>
        <v>49367</v>
      </c>
      <c r="G291" s="380">
        <f t="shared" si="4"/>
        <v>814933</v>
      </c>
      <c r="H291" s="380">
        <f t="shared" si="4"/>
        <v>1710700</v>
      </c>
      <c r="I291" s="380">
        <f t="shared" si="4"/>
        <v>912078</v>
      </c>
      <c r="J291" s="380">
        <f t="shared" si="4"/>
        <v>3019414</v>
      </c>
      <c r="K291" s="380">
        <f t="shared" si="4"/>
        <v>176236</v>
      </c>
      <c r="L291" s="380">
        <f t="shared" si="4"/>
        <v>286422</v>
      </c>
      <c r="M291" s="380">
        <f t="shared" si="4"/>
        <v>140943</v>
      </c>
      <c r="N291" s="380">
        <f t="shared" si="4"/>
        <v>14443032</v>
      </c>
      <c r="O291" s="380">
        <f t="shared" si="4"/>
        <v>461624</v>
      </c>
      <c r="P291" s="380">
        <f t="shared" si="4"/>
        <v>6591794</v>
      </c>
      <c r="Q291" s="380">
        <f t="shared" si="4"/>
        <v>57300</v>
      </c>
      <c r="R291" s="380">
        <f t="shared" si="4"/>
        <v>38272115</v>
      </c>
      <c r="S291" s="380">
        <f t="shared" si="4"/>
        <v>1811387</v>
      </c>
      <c r="T291" s="380">
        <f t="shared" si="4"/>
        <v>34899</v>
      </c>
      <c r="U291" s="380">
        <f t="shared" si="4"/>
        <v>66444159</v>
      </c>
      <c r="V291" s="380">
        <f t="shared" si="4"/>
        <v>14326731</v>
      </c>
      <c r="W291" s="380">
        <f t="shared" si="4"/>
        <v>19990695</v>
      </c>
      <c r="X291" s="380">
        <f t="shared" si="4"/>
        <v>29063885</v>
      </c>
      <c r="Y291" s="380">
        <f t="shared" si="4"/>
        <v>250349</v>
      </c>
      <c r="Z291" s="380">
        <f t="shared" si="4"/>
        <v>13802260</v>
      </c>
      <c r="AA291" s="380">
        <f t="shared" si="4"/>
        <v>1147409</v>
      </c>
      <c r="AB291" s="380">
        <f t="shared" si="4"/>
        <v>13365559</v>
      </c>
      <c r="AC291" s="380">
        <f t="shared" si="4"/>
        <v>4804402</v>
      </c>
      <c r="AD291" s="380">
        <f t="shared" si="4"/>
        <v>1661487</v>
      </c>
      <c r="AE291" s="380">
        <f t="shared" si="4"/>
        <v>1923979</v>
      </c>
      <c r="AF291" s="380">
        <f t="shared" si="4"/>
        <v>2064663</v>
      </c>
      <c r="AG291" s="380">
        <f t="shared" si="4"/>
        <v>15584489</v>
      </c>
      <c r="AH291" s="380">
        <f t="shared" si="4"/>
        <v>5285381</v>
      </c>
      <c r="AI291" s="380">
        <f t="shared" si="4"/>
        <v>1321731</v>
      </c>
      <c r="AJ291" s="380">
        <f t="shared" si="4"/>
        <v>28049823</v>
      </c>
      <c r="AK291" s="380">
        <f t="shared" si="4"/>
        <v>338552</v>
      </c>
      <c r="AL291" s="380">
        <f t="shared" si="4"/>
        <v>851500</v>
      </c>
      <c r="AM291" s="380">
        <f t="shared" si="4"/>
        <v>0</v>
      </c>
      <c r="AN291" s="380">
        <f t="shared" si="4"/>
        <v>14405613</v>
      </c>
      <c r="AO291" s="380">
        <f t="shared" si="4"/>
        <v>0</v>
      </c>
      <c r="AP291" s="380">
        <f t="shared" si="4"/>
        <v>0</v>
      </c>
      <c r="AQ291" s="380">
        <f t="shared" si="4"/>
        <v>34769</v>
      </c>
      <c r="AR291" s="380">
        <f t="shared" si="4"/>
        <v>4457436</v>
      </c>
      <c r="AS291" s="380">
        <f t="shared" si="4"/>
        <v>5996194</v>
      </c>
      <c r="AT291" s="380">
        <f t="shared" si="4"/>
        <v>459943</v>
      </c>
      <c r="AU291" s="380">
        <f t="shared" si="4"/>
        <v>2310188</v>
      </c>
      <c r="AV291" s="380">
        <f t="shared" si="4"/>
        <v>0</v>
      </c>
      <c r="AW291" s="380">
        <f t="shared" si="4"/>
        <v>15556605</v>
      </c>
      <c r="AX291" s="380">
        <f t="shared" si="4"/>
        <v>1792724</v>
      </c>
      <c r="AY291" s="380">
        <f t="shared" si="4"/>
        <v>1633977</v>
      </c>
      <c r="AZ291" s="380">
        <f t="shared" si="4"/>
        <v>5559255</v>
      </c>
      <c r="BA291" s="380">
        <f t="shared" si="4"/>
        <v>882693</v>
      </c>
      <c r="BB291" s="380">
        <f t="shared" si="4"/>
        <v>1324452</v>
      </c>
      <c r="BC291" s="380">
        <f t="shared" si="4"/>
        <v>16570</v>
      </c>
      <c r="BD291" s="380">
        <f t="shared" si="4"/>
        <v>0</v>
      </c>
      <c r="BE291" s="380">
        <f t="shared" si="4"/>
        <v>8817374</v>
      </c>
      <c r="BF291" s="380">
        <f t="shared" si="4"/>
        <v>99808</v>
      </c>
      <c r="BG291" s="380">
        <f t="shared" si="4"/>
        <v>527026</v>
      </c>
      <c r="BH291" s="380">
        <f t="shared" si="4"/>
        <v>136253</v>
      </c>
      <c r="BI291" s="380">
        <f t="shared" si="4"/>
        <v>86860</v>
      </c>
      <c r="BJ291" s="380">
        <f t="shared" si="4"/>
        <v>230133</v>
      </c>
      <c r="BK291" s="380">
        <f t="shared" si="4"/>
        <v>144758</v>
      </c>
      <c r="BL291" s="380">
        <f t="shared" si="4"/>
        <v>3325911</v>
      </c>
      <c r="BM291" s="380">
        <f t="shared" si="4"/>
        <v>0</v>
      </c>
      <c r="BN291" s="380">
        <f t="shared" si="4"/>
        <v>1900750</v>
      </c>
      <c r="BO291" s="380">
        <f t="shared" si="4"/>
        <v>5209975</v>
      </c>
      <c r="BP291" s="380">
        <f t="shared" si="4"/>
        <v>1209090</v>
      </c>
      <c r="BQ291" s="380">
        <f t="shared" si="4"/>
        <v>1785123</v>
      </c>
      <c r="BR291" s="380">
        <f>BR182+BR159+BR15-BR183-BR158</f>
        <v>22096058</v>
      </c>
      <c r="BS291" s="380">
        <f>BS182+BS159+BS15-BS183-BS158</f>
        <v>1325462</v>
      </c>
      <c r="BT291" s="380">
        <f t="shared" ref="BT291:CE291" si="5">BT182+BT159+BT15-BT183-BT158</f>
        <v>12394954</v>
      </c>
      <c r="BU291" s="380">
        <f t="shared" si="5"/>
        <v>647489</v>
      </c>
      <c r="BV291" s="380">
        <f t="shared" si="5"/>
        <v>6465198</v>
      </c>
      <c r="BW291" s="380">
        <f t="shared" si="5"/>
        <v>697659</v>
      </c>
      <c r="BX291" s="380">
        <f t="shared" si="5"/>
        <v>2137511</v>
      </c>
      <c r="BY291" s="380">
        <f t="shared" si="5"/>
        <v>876179</v>
      </c>
      <c r="BZ291" s="380">
        <f t="shared" si="5"/>
        <v>80047</v>
      </c>
      <c r="CA291" s="380">
        <f t="shared" si="5"/>
        <v>311666</v>
      </c>
      <c r="CB291" s="380">
        <f t="shared" si="5"/>
        <v>122165</v>
      </c>
      <c r="CC291" s="380">
        <f t="shared" si="5"/>
        <v>0</v>
      </c>
      <c r="CD291" s="380">
        <f t="shared" si="5"/>
        <v>0</v>
      </c>
      <c r="CE291" s="380">
        <f t="shared" si="5"/>
        <v>60299</v>
      </c>
    </row>
    <row r="292" spans="1:83" x14ac:dyDescent="0.25">
      <c r="A292" s="398" t="s">
        <v>833</v>
      </c>
      <c r="B292" s="388"/>
      <c r="C292" s="394" t="s">
        <v>841</v>
      </c>
      <c r="D292" s="388"/>
      <c r="E292" s="395" t="e">
        <f>E290/E291</f>
        <v>#DIV/0!</v>
      </c>
      <c r="F292" s="395">
        <f t="shared" ref="F292:BQ292" si="6">F290/F291</f>
        <v>2.7719326675714546</v>
      </c>
      <c r="G292" s="395">
        <f t="shared" si="6"/>
        <v>1.0552548491716498</v>
      </c>
      <c r="H292" s="395">
        <f t="shared" si="6"/>
        <v>2.1815099082247031</v>
      </c>
      <c r="I292" s="395">
        <f t="shared" si="6"/>
        <v>5.4806014397891412</v>
      </c>
      <c r="J292" s="395">
        <f t="shared" si="6"/>
        <v>1.5927805859017676</v>
      </c>
      <c r="K292" s="395">
        <f t="shared" si="6"/>
        <v>0.59645588869470478</v>
      </c>
      <c r="L292" s="395">
        <f t="shared" si="6"/>
        <v>2.8771113950744005</v>
      </c>
      <c r="M292" s="395">
        <f t="shared" si="6"/>
        <v>6.7692045720610459</v>
      </c>
      <c r="N292" s="395">
        <f t="shared" si="6"/>
        <v>0.44724390280378801</v>
      </c>
      <c r="O292" s="395">
        <f t="shared" si="6"/>
        <v>1.2417248669913177</v>
      </c>
      <c r="P292" s="395">
        <f t="shared" si="6"/>
        <v>0.81729086194137746</v>
      </c>
      <c r="Q292" s="395">
        <f t="shared" si="6"/>
        <v>4.8367713787085513</v>
      </c>
      <c r="R292" s="395">
        <f t="shared" si="6"/>
        <v>0.6830317582396479</v>
      </c>
      <c r="S292" s="395">
        <f t="shared" si="6"/>
        <v>0.90294122680575717</v>
      </c>
      <c r="T292" s="395">
        <f t="shared" si="6"/>
        <v>5.9205994441101462</v>
      </c>
      <c r="U292" s="395">
        <f t="shared" si="6"/>
        <v>0.48512351552225985</v>
      </c>
      <c r="V292" s="395">
        <f t="shared" si="6"/>
        <v>0.5334343193852108</v>
      </c>
      <c r="W292" s="395">
        <f t="shared" si="6"/>
        <v>0.83486757213793716</v>
      </c>
      <c r="X292" s="395">
        <f t="shared" si="6"/>
        <v>0.8702566776602646</v>
      </c>
      <c r="Y292" s="395">
        <f t="shared" si="6"/>
        <v>0.9537525614242518</v>
      </c>
      <c r="Z292" s="395">
        <f t="shared" si="6"/>
        <v>0.67570274723125057</v>
      </c>
      <c r="AA292" s="395">
        <f t="shared" si="6"/>
        <v>1.2319983545536073</v>
      </c>
      <c r="AB292" s="395">
        <f t="shared" si="6"/>
        <v>0.91279511766024901</v>
      </c>
      <c r="AC292" s="395">
        <f t="shared" si="6"/>
        <v>0.12424376644585527</v>
      </c>
      <c r="AD292" s="395">
        <f t="shared" si="6"/>
        <v>1.0062034791725725</v>
      </c>
      <c r="AE292" s="395">
        <f t="shared" si="6"/>
        <v>0.52729317731638448</v>
      </c>
      <c r="AF292" s="395">
        <f t="shared" si="6"/>
        <v>1.5727612690303454</v>
      </c>
      <c r="AG292" s="395">
        <f t="shared" si="6"/>
        <v>1.0492440913526264</v>
      </c>
      <c r="AH292" s="395">
        <f t="shared" si="6"/>
        <v>0.98489229064092065</v>
      </c>
      <c r="AI292" s="395">
        <f t="shared" si="6"/>
        <v>0.56985876853913542</v>
      </c>
      <c r="AJ292" s="395">
        <f t="shared" si="6"/>
        <v>0.12895881731588824</v>
      </c>
      <c r="AK292" s="395">
        <f t="shared" si="6"/>
        <v>9.416692265885299</v>
      </c>
      <c r="AL292" s="395">
        <f t="shared" si="6"/>
        <v>0.76763945977686432</v>
      </c>
      <c r="AM292" s="395" t="e">
        <f t="shared" si="6"/>
        <v>#DIV/0!</v>
      </c>
      <c r="AN292" s="395">
        <f t="shared" si="6"/>
        <v>0.51701236177870391</v>
      </c>
      <c r="AO292" s="395" t="e">
        <f t="shared" si="6"/>
        <v>#DIV/0!</v>
      </c>
      <c r="AP292" s="395" t="e">
        <f t="shared" si="6"/>
        <v>#DIV/0!</v>
      </c>
      <c r="AQ292" s="395">
        <f t="shared" si="6"/>
        <v>2.5887428456383561</v>
      </c>
      <c r="AR292" s="395">
        <f t="shared" si="6"/>
        <v>0.66600888941534997</v>
      </c>
      <c r="AS292" s="395">
        <f t="shared" si="6"/>
        <v>0.55255183538090991</v>
      </c>
      <c r="AT292" s="395">
        <f t="shared" si="6"/>
        <v>1.2908621285681052</v>
      </c>
      <c r="AU292" s="395">
        <f t="shared" si="6"/>
        <v>0.60327817476326606</v>
      </c>
      <c r="AV292" s="395" t="e">
        <f t="shared" si="6"/>
        <v>#DIV/0!</v>
      </c>
      <c r="AW292" s="395">
        <f t="shared" si="6"/>
        <v>0.84700003631897836</v>
      </c>
      <c r="AX292" s="395">
        <f t="shared" si="6"/>
        <v>1.9404877716815305</v>
      </c>
      <c r="AY292" s="395">
        <f t="shared" si="6"/>
        <v>0.51825576492202763</v>
      </c>
      <c r="AZ292" s="395">
        <f t="shared" si="6"/>
        <v>3.1782782045435942</v>
      </c>
      <c r="BA292" s="395">
        <f t="shared" si="6"/>
        <v>2.1385940525188261</v>
      </c>
      <c r="BB292" s="395">
        <f t="shared" si="6"/>
        <v>0.67254683446436714</v>
      </c>
      <c r="BC292" s="395">
        <f t="shared" si="6"/>
        <v>6.1476765238382622</v>
      </c>
      <c r="BD292" s="395" t="e">
        <f t="shared" si="6"/>
        <v>#DIV/0!</v>
      </c>
      <c r="BE292" s="395">
        <f t="shared" si="6"/>
        <v>0.64491548163886436</v>
      </c>
      <c r="BF292" s="395">
        <f t="shared" si="6"/>
        <v>5.1228959602436674</v>
      </c>
      <c r="BG292" s="395">
        <f t="shared" si="6"/>
        <v>1.2601901993450038</v>
      </c>
      <c r="BH292" s="395">
        <f t="shared" si="6"/>
        <v>1.041606423344807</v>
      </c>
      <c r="BI292" s="395">
        <f t="shared" si="6"/>
        <v>3.3648860234860694</v>
      </c>
      <c r="BJ292" s="395">
        <f t="shared" si="6"/>
        <v>2.253349150273972</v>
      </c>
      <c r="BK292" s="395">
        <f t="shared" si="6"/>
        <v>1.7814766714102157</v>
      </c>
      <c r="BL292" s="395">
        <f t="shared" si="6"/>
        <v>0.45107130046474486</v>
      </c>
      <c r="BM292" s="395" t="e">
        <f t="shared" si="6"/>
        <v>#DIV/0!</v>
      </c>
      <c r="BN292" s="395">
        <f t="shared" si="6"/>
        <v>-9.5534394318032359E-2</v>
      </c>
      <c r="BO292" s="395">
        <f t="shared" si="6"/>
        <v>0.51752110134885487</v>
      </c>
      <c r="BP292" s="395">
        <f t="shared" si="6"/>
        <v>0.68586953824777308</v>
      </c>
      <c r="BQ292" s="395">
        <f t="shared" si="6"/>
        <v>0.96830470505393751</v>
      </c>
      <c r="BR292" s="395">
        <f>BR290/BR291</f>
        <v>0.26488656936001886</v>
      </c>
      <c r="BS292" s="395">
        <f>BS290/BS291</f>
        <v>0.31173281467141267</v>
      </c>
      <c r="BT292" s="395">
        <f t="shared" ref="BT292:CE292" si="7">BT290/BT291</f>
        <v>1.5304621541959735</v>
      </c>
      <c r="BU292" s="395">
        <f t="shared" si="7"/>
        <v>1.0317040135044766</v>
      </c>
      <c r="BV292" s="395">
        <f t="shared" si="7"/>
        <v>0.45782526691371245</v>
      </c>
      <c r="BW292" s="395">
        <f t="shared" si="7"/>
        <v>1.3914061167418466</v>
      </c>
      <c r="BX292" s="395">
        <f t="shared" si="7"/>
        <v>0.46568228186895883</v>
      </c>
      <c r="BY292" s="395">
        <f t="shared" si="7"/>
        <v>2.3013653602745556</v>
      </c>
      <c r="BZ292" s="395">
        <f t="shared" si="7"/>
        <v>4.5621697252863944</v>
      </c>
      <c r="CA292" s="395">
        <f t="shared" si="7"/>
        <v>1.7248336360077776</v>
      </c>
      <c r="CB292" s="395">
        <f t="shared" si="7"/>
        <v>1.3577374861867146</v>
      </c>
      <c r="CC292" s="395" t="e">
        <f t="shared" si="7"/>
        <v>#DIV/0!</v>
      </c>
      <c r="CD292" s="395" t="e">
        <f t="shared" si="7"/>
        <v>#DIV/0!</v>
      </c>
      <c r="CE292" s="395">
        <f t="shared" si="7"/>
        <v>6.0767840262690926</v>
      </c>
    </row>
    <row r="293" spans="1:83" x14ac:dyDescent="0.25">
      <c r="A293" s="398" t="s">
        <v>836</v>
      </c>
      <c r="B293" s="388"/>
      <c r="C293" s="396"/>
      <c r="D293" s="388"/>
      <c r="E293" s="529">
        <f>E97+E51</f>
        <v>0</v>
      </c>
      <c r="F293" s="529">
        <f t="shared" ref="F293:BQ293" si="8">F97+F51</f>
        <v>0</v>
      </c>
      <c r="G293" s="529">
        <f t="shared" si="8"/>
        <v>65269</v>
      </c>
      <c r="H293" s="529">
        <f t="shared" si="8"/>
        <v>0</v>
      </c>
      <c r="I293" s="529">
        <f t="shared" si="8"/>
        <v>0</v>
      </c>
      <c r="J293" s="529">
        <f t="shared" si="8"/>
        <v>0</v>
      </c>
      <c r="K293" s="529">
        <f t="shared" si="8"/>
        <v>20678</v>
      </c>
      <c r="L293" s="529">
        <f t="shared" si="8"/>
        <v>0</v>
      </c>
      <c r="M293" s="529">
        <f t="shared" si="8"/>
        <v>0</v>
      </c>
      <c r="N293" s="529">
        <f t="shared" si="8"/>
        <v>0</v>
      </c>
      <c r="O293" s="529">
        <f t="shared" si="8"/>
        <v>0</v>
      </c>
      <c r="P293" s="529">
        <f t="shared" si="8"/>
        <v>0</v>
      </c>
      <c r="Q293" s="529">
        <f t="shared" si="8"/>
        <v>0</v>
      </c>
      <c r="R293" s="529">
        <f t="shared" si="8"/>
        <v>2242449</v>
      </c>
      <c r="S293" s="529">
        <f t="shared" si="8"/>
        <v>79162</v>
      </c>
      <c r="T293" s="529">
        <f t="shared" si="8"/>
        <v>0</v>
      </c>
      <c r="U293" s="529">
        <f t="shared" si="8"/>
        <v>6656291</v>
      </c>
      <c r="V293" s="529">
        <f t="shared" si="8"/>
        <v>1970333</v>
      </c>
      <c r="W293" s="529">
        <f t="shared" si="8"/>
        <v>2168191</v>
      </c>
      <c r="X293" s="529">
        <f t="shared" si="8"/>
        <v>0</v>
      </c>
      <c r="Y293" s="529">
        <f t="shared" si="8"/>
        <v>0</v>
      </c>
      <c r="Z293" s="529">
        <f t="shared" si="8"/>
        <v>1441987</v>
      </c>
      <c r="AA293" s="529">
        <f t="shared" si="8"/>
        <v>66741</v>
      </c>
      <c r="AB293" s="529">
        <f t="shared" si="8"/>
        <v>408210</v>
      </c>
      <c r="AC293" s="529">
        <f t="shared" si="8"/>
        <v>1272281</v>
      </c>
      <c r="AD293" s="529">
        <f t="shared" si="8"/>
        <v>179053</v>
      </c>
      <c r="AE293" s="529">
        <f t="shared" si="8"/>
        <v>341925</v>
      </c>
      <c r="AF293" s="529">
        <f t="shared" si="8"/>
        <v>32920</v>
      </c>
      <c r="AG293" s="529">
        <f t="shared" si="8"/>
        <v>115074</v>
      </c>
      <c r="AH293" s="529">
        <f t="shared" si="8"/>
        <v>49234</v>
      </c>
      <c r="AI293" s="529">
        <f t="shared" si="8"/>
        <v>45127</v>
      </c>
      <c r="AJ293" s="529">
        <f t="shared" si="8"/>
        <v>5517387</v>
      </c>
      <c r="AK293" s="529">
        <f t="shared" si="8"/>
        <v>0</v>
      </c>
      <c r="AL293" s="529">
        <f t="shared" si="8"/>
        <v>78945</v>
      </c>
      <c r="AM293" s="529">
        <f t="shared" si="8"/>
        <v>0</v>
      </c>
      <c r="AN293" s="529">
        <f t="shared" si="8"/>
        <v>1785503</v>
      </c>
      <c r="AO293" s="529">
        <f t="shared" si="8"/>
        <v>0</v>
      </c>
      <c r="AP293" s="529">
        <f t="shared" si="8"/>
        <v>0</v>
      </c>
      <c r="AQ293" s="529">
        <f t="shared" si="8"/>
        <v>0</v>
      </c>
      <c r="AR293" s="529">
        <f t="shared" si="8"/>
        <v>0</v>
      </c>
      <c r="AS293" s="529">
        <f t="shared" si="8"/>
        <v>574542</v>
      </c>
      <c r="AT293" s="529">
        <f t="shared" si="8"/>
        <v>87845</v>
      </c>
      <c r="AU293" s="529">
        <f t="shared" si="8"/>
        <v>228599</v>
      </c>
      <c r="AV293" s="529">
        <f t="shared" si="8"/>
        <v>0</v>
      </c>
      <c r="AW293" s="529">
        <f t="shared" si="8"/>
        <v>7019070</v>
      </c>
      <c r="AX293" s="529">
        <f t="shared" si="8"/>
        <v>0</v>
      </c>
      <c r="AY293" s="529">
        <f t="shared" si="8"/>
        <v>70376</v>
      </c>
      <c r="AZ293" s="529">
        <f t="shared" si="8"/>
        <v>0</v>
      </c>
      <c r="BA293" s="529">
        <f t="shared" si="8"/>
        <v>64764</v>
      </c>
      <c r="BB293" s="529">
        <f t="shared" si="8"/>
        <v>0</v>
      </c>
      <c r="BC293" s="529">
        <f t="shared" si="8"/>
        <v>0</v>
      </c>
      <c r="BD293" s="529">
        <f t="shared" si="8"/>
        <v>0</v>
      </c>
      <c r="BE293" s="529">
        <f t="shared" si="8"/>
        <v>813657</v>
      </c>
      <c r="BF293" s="529">
        <f t="shared" si="8"/>
        <v>0</v>
      </c>
      <c r="BG293" s="529">
        <f t="shared" si="8"/>
        <v>27891</v>
      </c>
      <c r="BH293" s="529">
        <f t="shared" si="8"/>
        <v>0</v>
      </c>
      <c r="BI293" s="529">
        <f t="shared" si="8"/>
        <v>0</v>
      </c>
      <c r="BJ293" s="529">
        <f t="shared" si="8"/>
        <v>5557</v>
      </c>
      <c r="BK293" s="529">
        <f t="shared" si="8"/>
        <v>0</v>
      </c>
      <c r="BL293" s="529">
        <f t="shared" si="8"/>
        <v>175681</v>
      </c>
      <c r="BM293" s="529">
        <f t="shared" si="8"/>
        <v>0</v>
      </c>
      <c r="BN293" s="529">
        <f t="shared" si="8"/>
        <v>131679</v>
      </c>
      <c r="BO293" s="529">
        <f t="shared" si="8"/>
        <v>285378</v>
      </c>
      <c r="BP293" s="529">
        <f t="shared" si="8"/>
        <v>81664</v>
      </c>
      <c r="BQ293" s="529">
        <f t="shared" si="8"/>
        <v>14661</v>
      </c>
      <c r="BR293" s="529">
        <f>BR97+BR51</f>
        <v>0</v>
      </c>
      <c r="BS293" s="529">
        <f>BS97+BS51</f>
        <v>0</v>
      </c>
      <c r="BT293" s="529">
        <f t="shared" ref="BT293:CE293" si="9">BT97+BT51</f>
        <v>0</v>
      </c>
      <c r="BU293" s="529">
        <f t="shared" si="9"/>
        <v>46079</v>
      </c>
      <c r="BV293" s="529">
        <f t="shared" si="9"/>
        <v>162583</v>
      </c>
      <c r="BW293" s="529">
        <f t="shared" si="9"/>
        <v>0</v>
      </c>
      <c r="BX293" s="529">
        <f t="shared" si="9"/>
        <v>182485</v>
      </c>
      <c r="BY293" s="529">
        <f t="shared" si="9"/>
        <v>0</v>
      </c>
      <c r="BZ293" s="529">
        <f t="shared" si="9"/>
        <v>0</v>
      </c>
      <c r="CA293" s="529">
        <f t="shared" si="9"/>
        <v>64301</v>
      </c>
      <c r="CB293" s="529">
        <f t="shared" si="9"/>
        <v>16690</v>
      </c>
      <c r="CC293" s="529">
        <f t="shared" si="9"/>
        <v>0</v>
      </c>
      <c r="CD293" s="529">
        <f t="shared" si="9"/>
        <v>0</v>
      </c>
      <c r="CE293" s="529">
        <f t="shared" si="9"/>
        <v>0</v>
      </c>
    </row>
    <row r="294" spans="1:83" x14ac:dyDescent="0.25">
      <c r="A294" s="398" t="s">
        <v>834</v>
      </c>
      <c r="B294" s="388"/>
      <c r="C294" s="388"/>
      <c r="D294" s="388"/>
      <c r="E294" s="529">
        <f>E60+E58</f>
        <v>0</v>
      </c>
      <c r="F294" s="529">
        <f t="shared" ref="F294:BQ294" si="10">F60+F58</f>
        <v>0</v>
      </c>
      <c r="G294" s="529">
        <f t="shared" si="10"/>
        <v>0</v>
      </c>
      <c r="H294" s="529">
        <f t="shared" si="10"/>
        <v>0</v>
      </c>
      <c r="I294" s="529">
        <f t="shared" si="10"/>
        <v>0</v>
      </c>
      <c r="J294" s="529">
        <f t="shared" si="10"/>
        <v>0</v>
      </c>
      <c r="K294" s="529">
        <f t="shared" si="10"/>
        <v>0</v>
      </c>
      <c r="L294" s="529">
        <f t="shared" si="10"/>
        <v>0</v>
      </c>
      <c r="M294" s="529">
        <f t="shared" si="10"/>
        <v>0</v>
      </c>
      <c r="N294" s="529">
        <f t="shared" si="10"/>
        <v>0</v>
      </c>
      <c r="O294" s="529">
        <f t="shared" si="10"/>
        <v>0</v>
      </c>
      <c r="P294" s="529">
        <f t="shared" si="10"/>
        <v>0</v>
      </c>
      <c r="Q294" s="529">
        <f t="shared" si="10"/>
        <v>0</v>
      </c>
      <c r="R294" s="529">
        <f t="shared" si="10"/>
        <v>1678443</v>
      </c>
      <c r="S294" s="529">
        <f t="shared" si="10"/>
        <v>0</v>
      </c>
      <c r="T294" s="529">
        <f t="shared" si="10"/>
        <v>0</v>
      </c>
      <c r="U294" s="529">
        <f t="shared" si="10"/>
        <v>0</v>
      </c>
      <c r="V294" s="529">
        <f t="shared" si="10"/>
        <v>0</v>
      </c>
      <c r="W294" s="529">
        <f t="shared" si="10"/>
        <v>175364</v>
      </c>
      <c r="X294" s="529">
        <f t="shared" si="10"/>
        <v>0</v>
      </c>
      <c r="Y294" s="529">
        <f t="shared" si="10"/>
        <v>0</v>
      </c>
      <c r="Z294" s="529">
        <f t="shared" si="10"/>
        <v>0</v>
      </c>
      <c r="AA294" s="529">
        <f t="shared" si="10"/>
        <v>0</v>
      </c>
      <c r="AB294" s="529">
        <f t="shared" si="10"/>
        <v>0</v>
      </c>
      <c r="AC294" s="529">
        <f t="shared" si="10"/>
        <v>0</v>
      </c>
      <c r="AD294" s="529">
        <f t="shared" si="10"/>
        <v>0</v>
      </c>
      <c r="AE294" s="529">
        <f t="shared" si="10"/>
        <v>0</v>
      </c>
      <c r="AF294" s="529">
        <f t="shared" si="10"/>
        <v>0</v>
      </c>
      <c r="AG294" s="529">
        <f t="shared" si="10"/>
        <v>0</v>
      </c>
      <c r="AH294" s="529">
        <f t="shared" si="10"/>
        <v>0</v>
      </c>
      <c r="AI294" s="529">
        <f t="shared" si="10"/>
        <v>0</v>
      </c>
      <c r="AJ294" s="529">
        <f t="shared" si="10"/>
        <v>1997390</v>
      </c>
      <c r="AK294" s="529">
        <f t="shared" si="10"/>
        <v>0</v>
      </c>
      <c r="AL294" s="529">
        <f t="shared" si="10"/>
        <v>0</v>
      </c>
      <c r="AM294" s="529">
        <f t="shared" si="10"/>
        <v>0</v>
      </c>
      <c r="AN294" s="529">
        <f t="shared" si="10"/>
        <v>965330</v>
      </c>
      <c r="AO294" s="529">
        <f t="shared" si="10"/>
        <v>0</v>
      </c>
      <c r="AP294" s="529">
        <f t="shared" si="10"/>
        <v>0</v>
      </c>
      <c r="AQ294" s="529">
        <f t="shared" si="10"/>
        <v>0</v>
      </c>
      <c r="AR294" s="529">
        <f t="shared" si="10"/>
        <v>0</v>
      </c>
      <c r="AS294" s="529">
        <f t="shared" si="10"/>
        <v>0</v>
      </c>
      <c r="AT294" s="529">
        <f t="shared" si="10"/>
        <v>0</v>
      </c>
      <c r="AU294" s="529">
        <f t="shared" si="10"/>
        <v>0</v>
      </c>
      <c r="AV294" s="529">
        <f t="shared" si="10"/>
        <v>0</v>
      </c>
      <c r="AW294" s="529">
        <f t="shared" si="10"/>
        <v>0</v>
      </c>
      <c r="AX294" s="529">
        <f t="shared" si="10"/>
        <v>0</v>
      </c>
      <c r="AY294" s="529">
        <f t="shared" si="10"/>
        <v>0</v>
      </c>
      <c r="AZ294" s="529">
        <f t="shared" si="10"/>
        <v>0</v>
      </c>
      <c r="BA294" s="529">
        <f t="shared" si="10"/>
        <v>0</v>
      </c>
      <c r="BB294" s="529">
        <f t="shared" si="10"/>
        <v>0</v>
      </c>
      <c r="BC294" s="529">
        <f t="shared" si="10"/>
        <v>0</v>
      </c>
      <c r="BD294" s="529">
        <f t="shared" si="10"/>
        <v>0</v>
      </c>
      <c r="BE294" s="529">
        <f t="shared" si="10"/>
        <v>0</v>
      </c>
      <c r="BF294" s="529">
        <f t="shared" si="10"/>
        <v>0</v>
      </c>
      <c r="BG294" s="529">
        <f t="shared" si="10"/>
        <v>0</v>
      </c>
      <c r="BH294" s="529">
        <f t="shared" si="10"/>
        <v>0</v>
      </c>
      <c r="BI294" s="529">
        <f t="shared" si="10"/>
        <v>0</v>
      </c>
      <c r="BJ294" s="529">
        <f t="shared" si="10"/>
        <v>0</v>
      </c>
      <c r="BK294" s="529">
        <f t="shared" si="10"/>
        <v>0</v>
      </c>
      <c r="BL294" s="529">
        <f t="shared" si="10"/>
        <v>0</v>
      </c>
      <c r="BM294" s="529">
        <f t="shared" si="10"/>
        <v>0</v>
      </c>
      <c r="BN294" s="529">
        <f t="shared" si="10"/>
        <v>0</v>
      </c>
      <c r="BO294" s="529">
        <f t="shared" si="10"/>
        <v>0</v>
      </c>
      <c r="BP294" s="529">
        <f t="shared" si="10"/>
        <v>0</v>
      </c>
      <c r="BQ294" s="529">
        <f t="shared" si="10"/>
        <v>0</v>
      </c>
      <c r="BR294" s="529">
        <f>BR60+BR58</f>
        <v>0</v>
      </c>
      <c r="BS294" s="529">
        <f>BS60+BS58</f>
        <v>1498</v>
      </c>
      <c r="BT294" s="529">
        <f t="shared" ref="BT294:CE294" si="11">BT60+BT58</f>
        <v>0</v>
      </c>
      <c r="BU294" s="529">
        <f t="shared" si="11"/>
        <v>0</v>
      </c>
      <c r="BV294" s="529">
        <f t="shared" si="11"/>
        <v>0</v>
      </c>
      <c r="BW294" s="529">
        <f t="shared" si="11"/>
        <v>0</v>
      </c>
      <c r="BX294" s="529">
        <f t="shared" si="11"/>
        <v>0</v>
      </c>
      <c r="BY294" s="529">
        <f t="shared" si="11"/>
        <v>0</v>
      </c>
      <c r="BZ294" s="529">
        <f t="shared" si="11"/>
        <v>0</v>
      </c>
      <c r="CA294" s="529">
        <f t="shared" si="11"/>
        <v>0</v>
      </c>
      <c r="CB294" s="529">
        <f t="shared" si="11"/>
        <v>0</v>
      </c>
      <c r="CC294" s="529">
        <f t="shared" si="11"/>
        <v>0</v>
      </c>
      <c r="CD294" s="529">
        <f t="shared" si="11"/>
        <v>0</v>
      </c>
      <c r="CE294" s="529">
        <f t="shared" si="11"/>
        <v>0</v>
      </c>
    </row>
    <row r="295" spans="1:83" x14ac:dyDescent="0.25">
      <c r="A295" s="398" t="s">
        <v>840</v>
      </c>
      <c r="B295" s="515"/>
      <c r="C295" s="391" t="s">
        <v>839</v>
      </c>
      <c r="D295" s="515"/>
      <c r="E295" s="397">
        <f>E31-E160</f>
        <v>0</v>
      </c>
      <c r="F295" s="397">
        <f t="shared" ref="F295:BQ295" si="12">F31-F160</f>
        <v>0</v>
      </c>
      <c r="G295" s="397">
        <f t="shared" si="12"/>
        <v>637632</v>
      </c>
      <c r="H295" s="397">
        <f t="shared" si="12"/>
        <v>0</v>
      </c>
      <c r="I295" s="397">
        <f t="shared" si="12"/>
        <v>0</v>
      </c>
      <c r="J295" s="397">
        <f t="shared" si="12"/>
        <v>0</v>
      </c>
      <c r="K295" s="397">
        <f t="shared" si="12"/>
        <v>32937</v>
      </c>
      <c r="L295" s="397">
        <f t="shared" si="12"/>
        <v>0</v>
      </c>
      <c r="M295" s="397">
        <f t="shared" si="12"/>
        <v>0</v>
      </c>
      <c r="N295" s="397">
        <f t="shared" si="12"/>
        <v>0</v>
      </c>
      <c r="O295" s="397">
        <f t="shared" si="12"/>
        <v>0</v>
      </c>
      <c r="P295" s="397">
        <f t="shared" si="12"/>
        <v>1093642</v>
      </c>
      <c r="Q295" s="397">
        <f t="shared" si="12"/>
        <v>0</v>
      </c>
      <c r="R295" s="397">
        <f t="shared" si="12"/>
        <v>41934796</v>
      </c>
      <c r="S295" s="397">
        <f t="shared" si="12"/>
        <v>871374</v>
      </c>
      <c r="T295" s="397">
        <f t="shared" si="12"/>
        <v>0</v>
      </c>
      <c r="U295" s="397">
        <f t="shared" si="12"/>
        <v>40857023</v>
      </c>
      <c r="V295" s="397">
        <f t="shared" si="12"/>
        <v>13712159</v>
      </c>
      <c r="W295" s="397">
        <f t="shared" si="12"/>
        <v>15942157</v>
      </c>
      <c r="X295" s="397">
        <f t="shared" si="12"/>
        <v>0</v>
      </c>
      <c r="Y295" s="397">
        <f t="shared" si="12"/>
        <v>361090</v>
      </c>
      <c r="Z295" s="397">
        <f t="shared" si="12"/>
        <v>5826619</v>
      </c>
      <c r="AA295" s="397">
        <f t="shared" si="12"/>
        <v>1392301</v>
      </c>
      <c r="AB295" s="397">
        <f t="shared" si="12"/>
        <v>13238555</v>
      </c>
      <c r="AC295" s="397">
        <f t="shared" si="12"/>
        <v>509752</v>
      </c>
      <c r="AD295" s="397">
        <f t="shared" si="12"/>
        <v>866783</v>
      </c>
      <c r="AE295" s="397">
        <f t="shared" si="12"/>
        <v>867464</v>
      </c>
      <c r="AF295" s="397">
        <f t="shared" si="12"/>
        <v>2465500</v>
      </c>
      <c r="AG295" s="397">
        <f t="shared" si="12"/>
        <v>3623066</v>
      </c>
      <c r="AH295" s="397">
        <f t="shared" si="12"/>
        <v>2297888</v>
      </c>
      <c r="AI295" s="397">
        <f t="shared" si="12"/>
        <v>200140</v>
      </c>
      <c r="AJ295" s="397">
        <f t="shared" si="12"/>
        <v>16907809</v>
      </c>
      <c r="AK295" s="397">
        <f t="shared" si="12"/>
        <v>804662</v>
      </c>
      <c r="AL295" s="397">
        <f t="shared" si="12"/>
        <v>411966</v>
      </c>
      <c r="AM295" s="397">
        <f t="shared" si="12"/>
        <v>0</v>
      </c>
      <c r="AN295" s="397">
        <f t="shared" si="12"/>
        <v>3648833</v>
      </c>
      <c r="AO295" s="397">
        <f t="shared" si="12"/>
        <v>0</v>
      </c>
      <c r="AP295" s="397">
        <f t="shared" si="12"/>
        <v>0</v>
      </c>
      <c r="AQ295" s="397">
        <f t="shared" si="12"/>
        <v>0</v>
      </c>
      <c r="AR295" s="397">
        <f t="shared" si="12"/>
        <v>0</v>
      </c>
      <c r="AS295" s="397">
        <f t="shared" si="12"/>
        <v>4056469</v>
      </c>
      <c r="AT295" s="397">
        <f t="shared" si="12"/>
        <v>221820</v>
      </c>
      <c r="AU295" s="397">
        <f t="shared" si="12"/>
        <v>853560</v>
      </c>
      <c r="AV295" s="397">
        <f t="shared" si="12"/>
        <v>0</v>
      </c>
      <c r="AW295" s="397">
        <f t="shared" si="12"/>
        <v>32010926</v>
      </c>
      <c r="AX295" s="397">
        <f t="shared" si="12"/>
        <v>0</v>
      </c>
      <c r="AY295" s="397">
        <f t="shared" si="12"/>
        <v>2079067</v>
      </c>
      <c r="AZ295" s="397">
        <f t="shared" si="12"/>
        <v>6106756</v>
      </c>
      <c r="BA295" s="397">
        <f t="shared" si="12"/>
        <v>979399</v>
      </c>
      <c r="BB295" s="397">
        <f t="shared" si="12"/>
        <v>171889</v>
      </c>
      <c r="BC295" s="397">
        <f t="shared" si="12"/>
        <v>0</v>
      </c>
      <c r="BD295" s="397">
        <f t="shared" si="12"/>
        <v>0</v>
      </c>
      <c r="BE295" s="397">
        <f t="shared" si="12"/>
        <v>8945762</v>
      </c>
      <c r="BF295" s="397">
        <f t="shared" si="12"/>
        <v>0</v>
      </c>
      <c r="BG295" s="397">
        <f t="shared" si="12"/>
        <v>218657</v>
      </c>
      <c r="BH295" s="397">
        <f t="shared" si="12"/>
        <v>124403</v>
      </c>
      <c r="BI295" s="397">
        <f t="shared" si="12"/>
        <v>0</v>
      </c>
      <c r="BJ295" s="397">
        <f t="shared" si="12"/>
        <v>227536</v>
      </c>
      <c r="BK295" s="397">
        <f t="shared" si="12"/>
        <v>0</v>
      </c>
      <c r="BL295" s="397">
        <f t="shared" si="12"/>
        <v>2733713</v>
      </c>
      <c r="BM295" s="397">
        <f t="shared" si="12"/>
        <v>0</v>
      </c>
      <c r="BN295" s="397">
        <f t="shared" si="12"/>
        <v>387621</v>
      </c>
      <c r="BO295" s="397">
        <f t="shared" si="12"/>
        <v>1030801</v>
      </c>
      <c r="BP295" s="397">
        <f t="shared" si="12"/>
        <v>569877</v>
      </c>
      <c r="BQ295" s="397">
        <f t="shared" si="12"/>
        <v>903072</v>
      </c>
      <c r="BR295" s="397">
        <f>BR31-BR160</f>
        <v>0</v>
      </c>
      <c r="BS295" s="397">
        <f>BS31-BS160</f>
        <v>235701</v>
      </c>
      <c r="BT295" s="397">
        <f t="shared" ref="BT295:CE295" si="13">BT31-BT160</f>
        <v>0</v>
      </c>
      <c r="BU295" s="397">
        <f t="shared" si="13"/>
        <v>670680</v>
      </c>
      <c r="BV295" s="397">
        <f t="shared" si="13"/>
        <v>3837122</v>
      </c>
      <c r="BW295" s="397">
        <f t="shared" si="13"/>
        <v>0</v>
      </c>
      <c r="BX295" s="397">
        <f t="shared" si="13"/>
        <v>1686667</v>
      </c>
      <c r="BY295" s="397">
        <f t="shared" si="13"/>
        <v>1094450</v>
      </c>
      <c r="BZ295" s="397">
        <f t="shared" si="13"/>
        <v>3980</v>
      </c>
      <c r="CA295" s="397">
        <f t="shared" si="13"/>
        <v>296176</v>
      </c>
      <c r="CB295" s="397">
        <f t="shared" si="13"/>
        <v>14120</v>
      </c>
      <c r="CC295" s="397">
        <f t="shared" si="13"/>
        <v>0</v>
      </c>
      <c r="CD295" s="397">
        <f t="shared" si="13"/>
        <v>0</v>
      </c>
      <c r="CE295" s="397">
        <f t="shared" si="13"/>
        <v>7036</v>
      </c>
    </row>
    <row r="296" spans="1:83" x14ac:dyDescent="0.25">
      <c r="A296" s="398" t="s">
        <v>845</v>
      </c>
      <c r="B296" s="515"/>
      <c r="C296" s="391" t="s">
        <v>847</v>
      </c>
      <c r="D296" s="515"/>
      <c r="E296" s="310" t="e">
        <f>E45*365/E50</f>
        <v>#DIV/0!</v>
      </c>
      <c r="F296" s="310" t="e">
        <f t="shared" ref="F296:BQ296" si="14">F45*365/F50</f>
        <v>#DIV/0!</v>
      </c>
      <c r="G296" s="310">
        <f t="shared" si="14"/>
        <v>33.277951273028279</v>
      </c>
      <c r="H296" s="310" t="e">
        <f t="shared" si="14"/>
        <v>#DIV/0!</v>
      </c>
      <c r="I296" s="310" t="e">
        <f t="shared" si="14"/>
        <v>#DIV/0!</v>
      </c>
      <c r="J296" s="310" t="e">
        <f t="shared" si="14"/>
        <v>#DIV/0!</v>
      </c>
      <c r="K296" s="310">
        <f t="shared" si="14"/>
        <v>80.819807316215901</v>
      </c>
      <c r="L296" s="310" t="e">
        <f t="shared" si="14"/>
        <v>#DIV/0!</v>
      </c>
      <c r="M296" s="310" t="e">
        <f t="shared" si="14"/>
        <v>#DIV/0!</v>
      </c>
      <c r="N296" s="310" t="e">
        <f t="shared" si="14"/>
        <v>#DIV/0!</v>
      </c>
      <c r="O296" s="310" t="e">
        <f t="shared" si="14"/>
        <v>#DIV/0!</v>
      </c>
      <c r="P296" s="310">
        <f t="shared" si="14"/>
        <v>37.654910244371614</v>
      </c>
      <c r="Q296" s="310" t="e">
        <f t="shared" si="14"/>
        <v>#DIV/0!</v>
      </c>
      <c r="R296" s="310">
        <f t="shared" si="14"/>
        <v>58.318813388702871</v>
      </c>
      <c r="S296" s="310">
        <f t="shared" si="14"/>
        <v>61.286500860849259</v>
      </c>
      <c r="T296" s="310" t="e">
        <f t="shared" si="14"/>
        <v>#DIV/0!</v>
      </c>
      <c r="U296" s="310">
        <f t="shared" si="14"/>
        <v>61.823131241868381</v>
      </c>
      <c r="V296" s="310">
        <f t="shared" si="14"/>
        <v>66.48533540230197</v>
      </c>
      <c r="W296" s="310">
        <f t="shared" si="14"/>
        <v>36.177629874369622</v>
      </c>
      <c r="X296" s="310" t="e">
        <f t="shared" si="14"/>
        <v>#DIV/0!</v>
      </c>
      <c r="Y296" s="310">
        <f t="shared" si="14"/>
        <v>45.835705958839618</v>
      </c>
      <c r="Z296" s="310">
        <f t="shared" si="14"/>
        <v>47.124877244038359</v>
      </c>
      <c r="AA296" s="310">
        <f t="shared" si="14"/>
        <v>47.178466649214187</v>
      </c>
      <c r="AB296" s="310">
        <f t="shared" si="14"/>
        <v>72.730055092555418</v>
      </c>
      <c r="AC296" s="310">
        <f t="shared" si="14"/>
        <v>43.107541059209119</v>
      </c>
      <c r="AD296" s="310">
        <f t="shared" si="14"/>
        <v>46.524809367740176</v>
      </c>
      <c r="AE296" s="310">
        <f t="shared" si="14"/>
        <v>28.527926781082755</v>
      </c>
      <c r="AF296" s="310">
        <f t="shared" si="14"/>
        <v>36.10720255768458</v>
      </c>
      <c r="AG296" s="310">
        <f t="shared" si="14"/>
        <v>72.77489591965427</v>
      </c>
      <c r="AH296" s="310">
        <f t="shared" si="14"/>
        <v>27.911493604801617</v>
      </c>
      <c r="AI296" s="310">
        <f t="shared" si="14"/>
        <v>79.829260049182423</v>
      </c>
      <c r="AJ296" s="310">
        <f t="shared" si="14"/>
        <v>44.452884602123319</v>
      </c>
      <c r="AK296" s="310">
        <f t="shared" si="14"/>
        <v>28.339875701527117</v>
      </c>
      <c r="AL296" s="310">
        <f t="shared" si="14"/>
        <v>44.832421245070336</v>
      </c>
      <c r="AM296" s="310" t="e">
        <f t="shared" si="14"/>
        <v>#DIV/0!</v>
      </c>
      <c r="AN296" s="310">
        <f t="shared" si="14"/>
        <v>55.85001003939113</v>
      </c>
      <c r="AO296" s="310" t="e">
        <f t="shared" si="14"/>
        <v>#DIV/0!</v>
      </c>
      <c r="AP296" s="310" t="e">
        <f t="shared" si="14"/>
        <v>#DIV/0!</v>
      </c>
      <c r="AQ296" s="310" t="e">
        <f t="shared" si="14"/>
        <v>#DIV/0!</v>
      </c>
      <c r="AR296" s="310" t="e">
        <f t="shared" si="14"/>
        <v>#DIV/0!</v>
      </c>
      <c r="AS296" s="310">
        <f t="shared" si="14"/>
        <v>60.98520506997405</v>
      </c>
      <c r="AT296" s="310">
        <f t="shared" si="14"/>
        <v>70.852130535164775</v>
      </c>
      <c r="AU296" s="310">
        <f t="shared" si="14"/>
        <v>43.880040280021205</v>
      </c>
      <c r="AV296" s="310" t="e">
        <f t="shared" si="14"/>
        <v>#DIV/0!</v>
      </c>
      <c r="AW296" s="310">
        <f t="shared" si="14"/>
        <v>58.841744295048706</v>
      </c>
      <c r="AX296" s="310" t="e">
        <f t="shared" si="14"/>
        <v>#DIV/0!</v>
      </c>
      <c r="AY296" s="310">
        <f t="shared" si="14"/>
        <v>50.557787643955436</v>
      </c>
      <c r="AZ296" s="310">
        <f t="shared" si="14"/>
        <v>87.054780326729642</v>
      </c>
      <c r="BA296" s="310">
        <f t="shared" si="14"/>
        <v>25.857616471819927</v>
      </c>
      <c r="BB296" s="310">
        <f t="shared" si="14"/>
        <v>35.430783289367056</v>
      </c>
      <c r="BC296" s="310" t="e">
        <f t="shared" si="14"/>
        <v>#DIV/0!</v>
      </c>
      <c r="BD296" s="310" t="e">
        <f t="shared" si="14"/>
        <v>#DIV/0!</v>
      </c>
      <c r="BE296" s="310">
        <f t="shared" si="14"/>
        <v>96.252701158440331</v>
      </c>
      <c r="BF296" s="310" t="e">
        <f t="shared" si="14"/>
        <v>#DIV/0!</v>
      </c>
      <c r="BG296" s="310">
        <f t="shared" si="14"/>
        <v>47.440606141285052</v>
      </c>
      <c r="BH296" s="310">
        <f t="shared" si="14"/>
        <v>11.038488703803925</v>
      </c>
      <c r="BI296" s="310" t="e">
        <f t="shared" si="14"/>
        <v>#DIV/0!</v>
      </c>
      <c r="BJ296" s="310">
        <f t="shared" si="14"/>
        <v>43.525852886575976</v>
      </c>
      <c r="BK296" s="310" t="e">
        <f t="shared" si="14"/>
        <v>#DIV/0!</v>
      </c>
      <c r="BL296" s="310">
        <f t="shared" si="14"/>
        <v>14.904360414615786</v>
      </c>
      <c r="BM296" s="310" t="e">
        <f t="shared" si="14"/>
        <v>#DIV/0!</v>
      </c>
      <c r="BN296" s="310">
        <f t="shared" si="14"/>
        <v>68.722169322969691</v>
      </c>
      <c r="BO296" s="310">
        <f t="shared" si="14"/>
        <v>105.06990799980457</v>
      </c>
      <c r="BP296" s="310">
        <f t="shared" si="14"/>
        <v>48.23715554683708</v>
      </c>
      <c r="BQ296" s="310">
        <f t="shared" si="14"/>
        <v>11.110795119402734</v>
      </c>
      <c r="BR296" s="310" t="e">
        <f>BR45*365/BR50</f>
        <v>#DIV/0!</v>
      </c>
      <c r="BS296" s="310">
        <f>BS45*365/BS50</f>
        <v>79.680361604949951</v>
      </c>
      <c r="BT296" s="310" t="e">
        <f t="shared" ref="BT296:CE296" si="15">BT45*365/BT50</f>
        <v>#DIV/0!</v>
      </c>
      <c r="BU296" s="310">
        <f t="shared" si="15"/>
        <v>50.678609476329861</v>
      </c>
      <c r="BV296" s="310">
        <f t="shared" si="15"/>
        <v>44.239142543012008</v>
      </c>
      <c r="BW296" s="310" t="e">
        <f t="shared" si="15"/>
        <v>#DIV/0!</v>
      </c>
      <c r="BX296" s="310">
        <f t="shared" si="15"/>
        <v>83.285212318182843</v>
      </c>
      <c r="BY296" s="310">
        <f t="shared" si="15"/>
        <v>41.750665682284982</v>
      </c>
      <c r="BZ296" s="310">
        <f t="shared" si="15"/>
        <v>29.621876788098415</v>
      </c>
      <c r="CA296" s="310">
        <f t="shared" si="15"/>
        <v>32.566323422889504</v>
      </c>
      <c r="CB296" s="310">
        <f t="shared" si="15"/>
        <v>26.776525136115648</v>
      </c>
      <c r="CC296" s="310" t="e">
        <f t="shared" si="15"/>
        <v>#DIV/0!</v>
      </c>
      <c r="CD296" s="310" t="e">
        <f t="shared" si="15"/>
        <v>#DIV/0!</v>
      </c>
      <c r="CE296" s="310">
        <f t="shared" si="15"/>
        <v>0</v>
      </c>
    </row>
    <row r="297" spans="1:83" x14ac:dyDescent="0.25">
      <c r="A297" s="398" t="s">
        <v>846</v>
      </c>
      <c r="B297" s="515"/>
      <c r="C297" s="391" t="s">
        <v>848</v>
      </c>
      <c r="D297" s="515"/>
      <c r="E297" s="310" t="e">
        <f>E53*365/E57</f>
        <v>#DIV/0!</v>
      </c>
      <c r="F297" s="310" t="e">
        <f t="shared" ref="F297:BQ297" si="16">F53*365/F57</f>
        <v>#DIV/0!</v>
      </c>
      <c r="G297" s="310" t="e">
        <f t="shared" si="16"/>
        <v>#DIV/0!</v>
      </c>
      <c r="H297" s="310" t="e">
        <f t="shared" si="16"/>
        <v>#DIV/0!</v>
      </c>
      <c r="I297" s="310" t="e">
        <f t="shared" si="16"/>
        <v>#DIV/0!</v>
      </c>
      <c r="J297" s="310" t="e">
        <f t="shared" si="16"/>
        <v>#DIV/0!</v>
      </c>
      <c r="K297" s="310" t="e">
        <f t="shared" si="16"/>
        <v>#DIV/0!</v>
      </c>
      <c r="L297" s="310" t="e">
        <f t="shared" si="16"/>
        <v>#DIV/0!</v>
      </c>
      <c r="M297" s="310" t="e">
        <f t="shared" si="16"/>
        <v>#DIV/0!</v>
      </c>
      <c r="N297" s="310" t="e">
        <f t="shared" si="16"/>
        <v>#DIV/0!</v>
      </c>
      <c r="O297" s="310" t="e">
        <f t="shared" si="16"/>
        <v>#DIV/0!</v>
      </c>
      <c r="P297" s="310" t="e">
        <f t="shared" si="16"/>
        <v>#DIV/0!</v>
      </c>
      <c r="Q297" s="310" t="e">
        <f t="shared" si="16"/>
        <v>#DIV/0!</v>
      </c>
      <c r="R297" s="310">
        <f t="shared" si="16"/>
        <v>52.661845108481032</v>
      </c>
      <c r="S297" s="310" t="e">
        <f t="shared" si="16"/>
        <v>#DIV/0!</v>
      </c>
      <c r="T297" s="310" t="e">
        <f t="shared" si="16"/>
        <v>#DIV/0!</v>
      </c>
      <c r="U297" s="310" t="e">
        <f t="shared" si="16"/>
        <v>#DIV/0!</v>
      </c>
      <c r="V297" s="310" t="e">
        <f t="shared" si="16"/>
        <v>#DIV/0!</v>
      </c>
      <c r="W297" s="310">
        <f t="shared" si="16"/>
        <v>47.242467839288416</v>
      </c>
      <c r="X297" s="310" t="e">
        <f t="shared" si="16"/>
        <v>#DIV/0!</v>
      </c>
      <c r="Y297" s="310" t="e">
        <f t="shared" si="16"/>
        <v>#DIV/0!</v>
      </c>
      <c r="Z297" s="310" t="e">
        <f t="shared" si="16"/>
        <v>#DIV/0!</v>
      </c>
      <c r="AA297" s="310" t="e">
        <f t="shared" si="16"/>
        <v>#DIV/0!</v>
      </c>
      <c r="AB297" s="310" t="e">
        <f t="shared" si="16"/>
        <v>#DIV/0!</v>
      </c>
      <c r="AC297" s="310" t="e">
        <f t="shared" si="16"/>
        <v>#DIV/0!</v>
      </c>
      <c r="AD297" s="310" t="e">
        <f t="shared" si="16"/>
        <v>#DIV/0!</v>
      </c>
      <c r="AE297" s="310" t="e">
        <f t="shared" si="16"/>
        <v>#DIV/0!</v>
      </c>
      <c r="AF297" s="310" t="e">
        <f t="shared" si="16"/>
        <v>#DIV/0!</v>
      </c>
      <c r="AG297" s="310" t="e">
        <f t="shared" si="16"/>
        <v>#DIV/0!</v>
      </c>
      <c r="AH297" s="310" t="e">
        <f t="shared" si="16"/>
        <v>#DIV/0!</v>
      </c>
      <c r="AI297" s="310" t="e">
        <f t="shared" si="16"/>
        <v>#DIV/0!</v>
      </c>
      <c r="AJ297" s="310">
        <f t="shared" si="16"/>
        <v>48.700392831145216</v>
      </c>
      <c r="AK297" s="310" t="e">
        <f t="shared" si="16"/>
        <v>#DIV/0!</v>
      </c>
      <c r="AL297" s="310" t="e">
        <f t="shared" si="16"/>
        <v>#DIV/0!</v>
      </c>
      <c r="AM297" s="310" t="e">
        <f t="shared" si="16"/>
        <v>#DIV/0!</v>
      </c>
      <c r="AN297" s="310">
        <f t="shared" si="16"/>
        <v>36.781681364945243</v>
      </c>
      <c r="AO297" s="310" t="e">
        <f t="shared" si="16"/>
        <v>#DIV/0!</v>
      </c>
      <c r="AP297" s="310" t="e">
        <f t="shared" si="16"/>
        <v>#DIV/0!</v>
      </c>
      <c r="AQ297" s="310" t="e">
        <f t="shared" si="16"/>
        <v>#DIV/0!</v>
      </c>
      <c r="AR297" s="310" t="e">
        <f t="shared" si="16"/>
        <v>#DIV/0!</v>
      </c>
      <c r="AS297" s="310" t="e">
        <f t="shared" si="16"/>
        <v>#DIV/0!</v>
      </c>
      <c r="AT297" s="310" t="e">
        <f t="shared" si="16"/>
        <v>#DIV/0!</v>
      </c>
      <c r="AU297" s="310" t="e">
        <f t="shared" si="16"/>
        <v>#DIV/0!</v>
      </c>
      <c r="AV297" s="310" t="e">
        <f t="shared" si="16"/>
        <v>#DIV/0!</v>
      </c>
      <c r="AW297" s="310" t="e">
        <f t="shared" si="16"/>
        <v>#DIV/0!</v>
      </c>
      <c r="AX297" s="310" t="e">
        <f t="shared" si="16"/>
        <v>#DIV/0!</v>
      </c>
      <c r="AY297" s="310" t="e">
        <f t="shared" si="16"/>
        <v>#DIV/0!</v>
      </c>
      <c r="AZ297" s="310" t="e">
        <f t="shared" si="16"/>
        <v>#DIV/0!</v>
      </c>
      <c r="BA297" s="310" t="e">
        <f t="shared" si="16"/>
        <v>#DIV/0!</v>
      </c>
      <c r="BB297" s="310" t="e">
        <f t="shared" si="16"/>
        <v>#DIV/0!</v>
      </c>
      <c r="BC297" s="310" t="e">
        <f t="shared" si="16"/>
        <v>#DIV/0!</v>
      </c>
      <c r="BD297" s="310" t="e">
        <f t="shared" si="16"/>
        <v>#DIV/0!</v>
      </c>
      <c r="BE297" s="310" t="e">
        <f t="shared" si="16"/>
        <v>#DIV/0!</v>
      </c>
      <c r="BF297" s="310" t="e">
        <f t="shared" si="16"/>
        <v>#DIV/0!</v>
      </c>
      <c r="BG297" s="310" t="e">
        <f t="shared" si="16"/>
        <v>#DIV/0!</v>
      </c>
      <c r="BH297" s="310" t="e">
        <f t="shared" si="16"/>
        <v>#DIV/0!</v>
      </c>
      <c r="BI297" s="310" t="e">
        <f t="shared" si="16"/>
        <v>#DIV/0!</v>
      </c>
      <c r="BJ297" s="310" t="e">
        <f t="shared" si="16"/>
        <v>#DIV/0!</v>
      </c>
      <c r="BK297" s="310" t="e">
        <f t="shared" si="16"/>
        <v>#DIV/0!</v>
      </c>
      <c r="BL297" s="310" t="e">
        <f t="shared" si="16"/>
        <v>#DIV/0!</v>
      </c>
      <c r="BM297" s="310" t="e">
        <f t="shared" si="16"/>
        <v>#DIV/0!</v>
      </c>
      <c r="BN297" s="310" t="e">
        <f t="shared" si="16"/>
        <v>#DIV/0!</v>
      </c>
      <c r="BO297" s="310" t="e">
        <f t="shared" si="16"/>
        <v>#DIV/0!</v>
      </c>
      <c r="BP297" s="310" t="e">
        <f t="shared" si="16"/>
        <v>#DIV/0!</v>
      </c>
      <c r="BQ297" s="310" t="e">
        <f t="shared" si="16"/>
        <v>#DIV/0!</v>
      </c>
      <c r="BR297" s="310" t="e">
        <f>BR53*365/BR57</f>
        <v>#DIV/0!</v>
      </c>
      <c r="BS297" s="310">
        <f>BS53*365/BS57</f>
        <v>22.175888621542537</v>
      </c>
      <c r="BT297" s="310">
        <f t="shared" ref="BT297:CE297" si="17">BT53*365/BT57</f>
        <v>55.871916379344569</v>
      </c>
      <c r="BU297" s="310" t="e">
        <f t="shared" si="17"/>
        <v>#DIV/0!</v>
      </c>
      <c r="BV297" s="310" t="e">
        <f t="shared" si="17"/>
        <v>#DIV/0!</v>
      </c>
      <c r="BW297" s="310" t="e">
        <f t="shared" si="17"/>
        <v>#DIV/0!</v>
      </c>
      <c r="BX297" s="310" t="e">
        <f t="shared" si="17"/>
        <v>#DIV/0!</v>
      </c>
      <c r="BY297" s="310" t="e">
        <f t="shared" si="17"/>
        <v>#DIV/0!</v>
      </c>
      <c r="BZ297" s="310" t="e">
        <f t="shared" si="17"/>
        <v>#DIV/0!</v>
      </c>
      <c r="CA297" s="310" t="e">
        <f t="shared" si="17"/>
        <v>#DIV/0!</v>
      </c>
      <c r="CB297" s="310" t="e">
        <f t="shared" si="17"/>
        <v>#DIV/0!</v>
      </c>
      <c r="CC297" s="310" t="e">
        <f t="shared" si="17"/>
        <v>#DIV/0!</v>
      </c>
      <c r="CD297" s="310" t="e">
        <f t="shared" si="17"/>
        <v>#DIV/0!</v>
      </c>
      <c r="CE297" s="310" t="e">
        <f t="shared" si="17"/>
        <v>#DIV/0!</v>
      </c>
    </row>
    <row r="298" spans="1:83" x14ac:dyDescent="0.25">
      <c r="A298" s="515"/>
      <c r="B298" s="515"/>
      <c r="C298" s="390"/>
      <c r="D298" s="515"/>
      <c r="E298" s="310"/>
      <c r="F298" s="310"/>
      <c r="G298" s="310"/>
      <c r="H298" s="310"/>
      <c r="I298" s="310"/>
      <c r="J298" s="310"/>
      <c r="K298" s="310"/>
      <c r="L298" s="310"/>
      <c r="M298" s="310"/>
      <c r="N298" s="310"/>
      <c r="O298" s="310"/>
      <c r="P298" s="310"/>
      <c r="Q298" s="310"/>
      <c r="R298" s="310"/>
      <c r="S298" s="310"/>
      <c r="T298" s="310"/>
      <c r="U298" s="310"/>
      <c r="V298" s="310"/>
      <c r="W298" s="310"/>
      <c r="X298" s="310"/>
      <c r="Y298" s="310"/>
      <c r="Z298" s="310"/>
      <c r="AA298" s="310"/>
      <c r="AB298" s="310"/>
      <c r="AC298" s="310"/>
      <c r="AD298" s="310"/>
      <c r="AE298" s="310"/>
      <c r="AF298" s="310"/>
      <c r="AG298" s="310"/>
      <c r="AH298" s="310"/>
      <c r="AI298" s="310"/>
      <c r="AJ298" s="310"/>
      <c r="AK298" s="310"/>
      <c r="AL298" s="310"/>
      <c r="AM298" s="310"/>
      <c r="AN298" s="310"/>
      <c r="AO298" s="310"/>
      <c r="AP298" s="310"/>
      <c r="AQ298" s="310"/>
      <c r="AR298" s="310"/>
      <c r="AS298" s="310"/>
      <c r="AT298" s="310"/>
      <c r="AU298" s="310"/>
      <c r="AV298" s="310"/>
      <c r="AW298" s="310"/>
      <c r="AX298" s="310"/>
      <c r="AY298" s="310"/>
      <c r="AZ298" s="310"/>
      <c r="BA298" s="310"/>
      <c r="BB298" s="310"/>
      <c r="BC298" s="310"/>
      <c r="BD298" s="310"/>
      <c r="BE298" s="310"/>
      <c r="BF298" s="310"/>
      <c r="BG298" s="310"/>
      <c r="BH298" s="310"/>
      <c r="BI298" s="310"/>
      <c r="BJ298" s="310"/>
      <c r="BK298" s="310"/>
      <c r="BL298" s="310"/>
      <c r="BM298" s="310"/>
      <c r="BN298" s="310"/>
      <c r="BO298" s="310"/>
      <c r="BP298" s="310"/>
      <c r="BQ298" s="310"/>
      <c r="BR298" s="310"/>
      <c r="BS298" s="310"/>
    </row>
  </sheetData>
  <sheetProtection password="CEAA" sheet="1" objects="1" scenarios="1"/>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E308"/>
  <sheetViews>
    <sheetView workbookViewId="0">
      <pane xSplit="4" ySplit="1" topLeftCell="E2" activePane="bottomRight" state="frozen"/>
      <selection pane="topRight" activeCell="E1" sqref="E1"/>
      <selection pane="bottomLeft" activeCell="A2" sqref="A2"/>
      <selection pane="bottomRight" activeCell="E2" sqref="E2"/>
    </sheetView>
  </sheetViews>
  <sheetFormatPr defaultRowHeight="15" x14ac:dyDescent="0.25"/>
  <cols>
    <col min="1" max="2" width="9.140625" style="225"/>
    <col min="3" max="3" width="48.140625" style="225" customWidth="1"/>
    <col min="4" max="4" width="10.28515625" style="225" customWidth="1"/>
    <col min="5" max="71" width="18.5703125" style="225" customWidth="1"/>
    <col min="72" max="83" width="17.28515625" style="225" customWidth="1"/>
    <col min="84" max="16384" width="9.140625" style="225"/>
  </cols>
  <sheetData>
    <row r="1" spans="1:83" ht="45" x14ac:dyDescent="0.25">
      <c r="A1" s="535" t="s">
        <v>1064</v>
      </c>
      <c r="B1" s="535" t="s">
        <v>571</v>
      </c>
      <c r="C1" s="701"/>
      <c r="D1" s="535" t="s">
        <v>571</v>
      </c>
      <c r="E1" s="629" t="s">
        <v>985</v>
      </c>
      <c r="F1" s="629" t="s">
        <v>986</v>
      </c>
      <c r="G1" s="629" t="s">
        <v>987</v>
      </c>
      <c r="H1" s="629" t="s">
        <v>988</v>
      </c>
      <c r="I1" s="629" t="s">
        <v>989</v>
      </c>
      <c r="J1" s="629" t="s">
        <v>990</v>
      </c>
      <c r="K1" s="629" t="s">
        <v>991</v>
      </c>
      <c r="L1" s="629" t="s">
        <v>992</v>
      </c>
      <c r="M1" s="629" t="s">
        <v>993</v>
      </c>
      <c r="N1" s="629" t="s">
        <v>994</v>
      </c>
      <c r="O1" s="629" t="s">
        <v>995</v>
      </c>
      <c r="P1" s="629" t="s">
        <v>996</v>
      </c>
      <c r="Q1" s="629" t="s">
        <v>997</v>
      </c>
      <c r="R1" s="629" t="s">
        <v>998</v>
      </c>
      <c r="S1" s="629" t="s">
        <v>999</v>
      </c>
      <c r="T1" s="629" t="s">
        <v>1000</v>
      </c>
      <c r="U1" s="629" t="s">
        <v>1001</v>
      </c>
      <c r="V1" s="629" t="s">
        <v>1002</v>
      </c>
      <c r="W1" s="629" t="s">
        <v>1003</v>
      </c>
      <c r="X1" s="629" t="s">
        <v>1004</v>
      </c>
      <c r="Y1" s="629" t="s">
        <v>1005</v>
      </c>
      <c r="Z1" s="629" t="s">
        <v>1006</v>
      </c>
      <c r="AA1" s="629" t="s">
        <v>1007</v>
      </c>
      <c r="AB1" s="629" t="e">
        <v>#VALUE!</v>
      </c>
      <c r="AC1" s="629" t="s">
        <v>1009</v>
      </c>
      <c r="AD1" s="629" t="e">
        <v>#VALUE!</v>
      </c>
      <c r="AE1" s="629" t="s">
        <v>1011</v>
      </c>
      <c r="AF1" s="629" t="s">
        <v>1012</v>
      </c>
      <c r="AG1" s="629" t="s">
        <v>1013</v>
      </c>
      <c r="AH1" s="629" t="s">
        <v>1014</v>
      </c>
      <c r="AI1" s="629" t="s">
        <v>1015</v>
      </c>
      <c r="AJ1" s="629" t="s">
        <v>1016</v>
      </c>
      <c r="AK1" s="629" t="s">
        <v>1017</v>
      </c>
      <c r="AL1" s="629" t="s">
        <v>1018</v>
      </c>
      <c r="AM1" s="629" t="s">
        <v>1019</v>
      </c>
      <c r="AN1" s="629" t="s">
        <v>1020</v>
      </c>
      <c r="AO1" s="629" t="s">
        <v>1021</v>
      </c>
      <c r="AP1" s="629" t="s">
        <v>1022</v>
      </c>
      <c r="AQ1" s="629" t="s">
        <v>1023</v>
      </c>
      <c r="AR1" s="629" t="s">
        <v>1024</v>
      </c>
      <c r="AS1" s="629" t="s">
        <v>1025</v>
      </c>
      <c r="AT1" s="629" t="s">
        <v>1026</v>
      </c>
      <c r="AU1" s="629" t="s">
        <v>1027</v>
      </c>
      <c r="AV1" s="629" t="s">
        <v>1028</v>
      </c>
      <c r="AW1" s="629" t="s">
        <v>1029</v>
      </c>
      <c r="AX1" s="629" t="s">
        <v>1030</v>
      </c>
      <c r="AY1" s="629" t="s">
        <v>1031</v>
      </c>
      <c r="AZ1" s="629" t="s">
        <v>1032</v>
      </c>
      <c r="BA1" s="629" t="s">
        <v>1033</v>
      </c>
      <c r="BB1" s="629" t="s">
        <v>1034</v>
      </c>
      <c r="BC1" s="629" t="s">
        <v>1035</v>
      </c>
      <c r="BD1" s="629" t="s">
        <v>1036</v>
      </c>
      <c r="BE1" s="629" t="s">
        <v>1037</v>
      </c>
      <c r="BF1" s="629" t="s">
        <v>1038</v>
      </c>
      <c r="BG1" s="629" t="s">
        <v>1039</v>
      </c>
      <c r="BH1" s="629" t="s">
        <v>1040</v>
      </c>
      <c r="BI1" s="629" t="s">
        <v>1041</v>
      </c>
      <c r="BJ1" s="629" t="s">
        <v>1042</v>
      </c>
      <c r="BK1" s="629" t="s">
        <v>1043</v>
      </c>
      <c r="BL1" s="629" t="s">
        <v>1044</v>
      </c>
      <c r="BM1" s="629" t="s">
        <v>1045</v>
      </c>
      <c r="BN1" s="629" t="s">
        <v>1046</v>
      </c>
      <c r="BO1" s="629" t="s">
        <v>1047</v>
      </c>
      <c r="BP1" s="629" t="s">
        <v>1048</v>
      </c>
      <c r="BQ1" s="629" t="s">
        <v>1049</v>
      </c>
      <c r="BR1" s="629" t="s">
        <v>1050</v>
      </c>
      <c r="BS1" s="629" t="s">
        <v>1051</v>
      </c>
      <c r="BT1" s="629" t="s">
        <v>1052</v>
      </c>
      <c r="BU1" s="629" t="s">
        <v>1053</v>
      </c>
      <c r="BV1" s="629" t="s">
        <v>1054</v>
      </c>
      <c r="BW1" s="629" t="s">
        <v>1055</v>
      </c>
      <c r="BX1" s="629" t="s">
        <v>1056</v>
      </c>
      <c r="BY1" s="629" t="s">
        <v>1057</v>
      </c>
      <c r="BZ1" s="629" t="s">
        <v>1058</v>
      </c>
      <c r="CA1" s="629" t="s">
        <v>1059</v>
      </c>
      <c r="CB1" s="629" t="s">
        <v>1060</v>
      </c>
      <c r="CC1" s="629" t="s">
        <v>1061</v>
      </c>
      <c r="CD1" s="629" t="s">
        <v>1062</v>
      </c>
      <c r="CE1" s="629" t="s">
        <v>1063</v>
      </c>
    </row>
    <row r="2" spans="1:83" x14ac:dyDescent="0.25">
      <c r="A2" s="661"/>
      <c r="B2" s="661"/>
      <c r="C2" s="661"/>
      <c r="D2" s="674" t="s">
        <v>300</v>
      </c>
      <c r="E2" s="689">
        <v>50254</v>
      </c>
      <c r="F2" s="657">
        <v>50255</v>
      </c>
      <c r="G2" s="657">
        <v>50256</v>
      </c>
      <c r="H2" s="657">
        <v>50558</v>
      </c>
      <c r="I2" s="657">
        <v>50566</v>
      </c>
      <c r="J2" s="657">
        <v>50562</v>
      </c>
      <c r="K2" s="689">
        <v>50257</v>
      </c>
      <c r="L2" s="661">
        <v>50555</v>
      </c>
      <c r="M2" s="661">
        <v>50445</v>
      </c>
      <c r="N2" s="691">
        <v>50452</v>
      </c>
      <c r="O2" s="661">
        <v>50563</v>
      </c>
      <c r="P2" s="661">
        <v>50258</v>
      </c>
      <c r="Q2" s="661">
        <v>50523</v>
      </c>
      <c r="R2" s="661">
        <v>50259</v>
      </c>
      <c r="S2" s="661">
        <v>50260</v>
      </c>
      <c r="T2" s="661">
        <v>50487</v>
      </c>
      <c r="U2" s="661">
        <v>50261</v>
      </c>
      <c r="V2" s="661">
        <v>50262</v>
      </c>
      <c r="W2" s="661">
        <v>50263</v>
      </c>
      <c r="X2" s="661">
        <v>50264</v>
      </c>
      <c r="Y2" s="661">
        <v>50265</v>
      </c>
      <c r="Z2" s="661">
        <v>50266</v>
      </c>
      <c r="AA2" s="661">
        <v>50267</v>
      </c>
      <c r="AB2" s="691" t="e">
        <v>#VALUE!</v>
      </c>
      <c r="AC2" s="691">
        <v>50269</v>
      </c>
      <c r="AD2" s="691" t="e">
        <v>#VALUE!</v>
      </c>
      <c r="AE2" s="691">
        <v>50271</v>
      </c>
      <c r="AF2" s="691">
        <v>50272</v>
      </c>
      <c r="AG2" s="691">
        <v>50273</v>
      </c>
      <c r="AH2" s="691">
        <v>50274</v>
      </c>
      <c r="AI2" s="691">
        <v>50480</v>
      </c>
      <c r="AJ2" s="691">
        <v>50275</v>
      </c>
      <c r="AK2" s="691">
        <v>50277</v>
      </c>
      <c r="AL2" s="691">
        <v>50276</v>
      </c>
      <c r="AM2" s="691">
        <v>50278</v>
      </c>
      <c r="AN2" s="691">
        <v>50279</v>
      </c>
      <c r="AO2" s="691">
        <v>50280</v>
      </c>
      <c r="AP2" s="691">
        <v>50281</v>
      </c>
      <c r="AQ2" s="691">
        <v>50478</v>
      </c>
      <c r="AR2" s="691">
        <v>50524</v>
      </c>
      <c r="AS2" s="691">
        <v>50282</v>
      </c>
      <c r="AT2" s="691">
        <v>50525</v>
      </c>
      <c r="AU2" s="691">
        <v>50283</v>
      </c>
      <c r="AV2" s="691">
        <v>50285</v>
      </c>
      <c r="AW2" s="691">
        <v>50553</v>
      </c>
      <c r="AX2" s="691">
        <v>50548</v>
      </c>
      <c r="AY2" s="691">
        <v>50284</v>
      </c>
      <c r="AZ2" s="691">
        <v>50286</v>
      </c>
      <c r="BA2" s="691">
        <v>50287</v>
      </c>
      <c r="BB2" s="691">
        <v>50288</v>
      </c>
      <c r="BC2" s="691">
        <v>50290</v>
      </c>
      <c r="BD2" s="691">
        <v>50564</v>
      </c>
      <c r="BE2" s="691">
        <v>50289</v>
      </c>
      <c r="BF2" s="691">
        <v>50291</v>
      </c>
      <c r="BG2" s="691">
        <v>50292</v>
      </c>
      <c r="BH2" s="691">
        <v>50293</v>
      </c>
      <c r="BI2" s="691">
        <v>50463</v>
      </c>
      <c r="BJ2" s="691">
        <v>50294</v>
      </c>
      <c r="BK2" s="691">
        <v>50538</v>
      </c>
      <c r="BL2" s="691">
        <v>50295</v>
      </c>
      <c r="BM2" s="691">
        <v>50296</v>
      </c>
      <c r="BN2" s="691">
        <v>50297</v>
      </c>
      <c r="BO2" s="691">
        <v>50449</v>
      </c>
      <c r="BP2" s="691">
        <v>50300</v>
      </c>
      <c r="BQ2" s="691">
        <v>50298</v>
      </c>
      <c r="BR2" s="691">
        <v>50299</v>
      </c>
      <c r="BS2" s="691">
        <v>50301</v>
      </c>
      <c r="BT2" s="691">
        <v>50302</v>
      </c>
      <c r="BU2" s="691">
        <v>50303</v>
      </c>
      <c r="BV2" s="691">
        <v>50304</v>
      </c>
      <c r="BW2" s="691">
        <v>50540</v>
      </c>
      <c r="BX2" s="691">
        <v>50305</v>
      </c>
      <c r="BY2" s="691">
        <v>50306</v>
      </c>
      <c r="BZ2" s="691">
        <v>50479</v>
      </c>
      <c r="CA2" s="691">
        <v>50307</v>
      </c>
      <c r="CB2" s="691">
        <v>50308</v>
      </c>
      <c r="CC2" s="691">
        <v>50309</v>
      </c>
      <c r="CD2" s="691">
        <v>50310</v>
      </c>
      <c r="CE2" s="691">
        <v>50311</v>
      </c>
    </row>
    <row r="3" spans="1:83" x14ac:dyDescent="0.25">
      <c r="A3" s="622">
        <v>4</v>
      </c>
      <c r="B3" s="629">
        <v>4</v>
      </c>
      <c r="C3" s="653" t="s">
        <v>622</v>
      </c>
      <c r="D3" s="701" t="s">
        <v>301</v>
      </c>
      <c r="E3" s="638">
        <v>23599</v>
      </c>
      <c r="F3" s="621">
        <v>459</v>
      </c>
      <c r="G3" s="621">
        <v>2959</v>
      </c>
      <c r="H3" s="621">
        <v>59607</v>
      </c>
      <c r="I3" s="621">
        <v>38594</v>
      </c>
      <c r="J3" s="621">
        <v>72435</v>
      </c>
      <c r="K3" s="672">
        <v>630</v>
      </c>
      <c r="L3" s="686">
        <v>22887</v>
      </c>
      <c r="M3" s="686">
        <v>7165</v>
      </c>
      <c r="N3" s="636">
        <v>472372</v>
      </c>
      <c r="O3" s="636">
        <v>26786</v>
      </c>
      <c r="P3" s="636">
        <v>80719</v>
      </c>
      <c r="Q3" s="636">
        <v>892</v>
      </c>
      <c r="R3" s="636">
        <v>2694045</v>
      </c>
      <c r="S3" s="636">
        <v>68397</v>
      </c>
      <c r="T3" s="636">
        <v>3092</v>
      </c>
      <c r="U3" s="636">
        <v>3485464</v>
      </c>
      <c r="V3" s="636">
        <v>626827</v>
      </c>
      <c r="W3" s="636">
        <v>1235893</v>
      </c>
      <c r="X3" s="636">
        <v>1734722</v>
      </c>
      <c r="Y3" s="636">
        <v>10487</v>
      </c>
      <c r="Z3" s="636">
        <v>1317037</v>
      </c>
      <c r="AA3" s="636">
        <v>49125</v>
      </c>
      <c r="AB3" s="686" t="e">
        <v>#VALUE!</v>
      </c>
      <c r="AC3" s="686">
        <v>85348</v>
      </c>
      <c r="AD3" s="686" t="e">
        <v>#VALUE!</v>
      </c>
      <c r="AE3" s="686">
        <v>233294</v>
      </c>
      <c r="AF3" s="686">
        <v>15778</v>
      </c>
      <c r="AG3" s="686">
        <v>534421</v>
      </c>
      <c r="AH3" s="686">
        <v>120764</v>
      </c>
      <c r="AI3" s="686">
        <v>6331</v>
      </c>
      <c r="AJ3" s="686">
        <v>2210464</v>
      </c>
      <c r="AK3" s="686">
        <v>7138</v>
      </c>
      <c r="AL3" s="686">
        <v>17582</v>
      </c>
      <c r="AM3" s="686">
        <v>76535</v>
      </c>
      <c r="AN3" s="686">
        <v>525711</v>
      </c>
      <c r="AO3" s="686">
        <v>8697</v>
      </c>
      <c r="AP3" s="686">
        <v>24430</v>
      </c>
      <c r="AQ3" s="686">
        <v>623</v>
      </c>
      <c r="AR3" s="686">
        <v>108371</v>
      </c>
      <c r="AS3" s="686">
        <v>153275</v>
      </c>
      <c r="AT3" s="686">
        <v>30177</v>
      </c>
      <c r="AU3" s="686">
        <v>116432</v>
      </c>
      <c r="AV3" s="686">
        <v>12904</v>
      </c>
      <c r="AW3" s="686">
        <v>275240</v>
      </c>
      <c r="AX3" s="686">
        <v>66304</v>
      </c>
      <c r="AY3" s="686">
        <v>136678</v>
      </c>
      <c r="AZ3" s="686">
        <v>241531</v>
      </c>
      <c r="BA3" s="686">
        <v>41221</v>
      </c>
      <c r="BB3" s="686">
        <v>42664</v>
      </c>
      <c r="BC3" s="686">
        <v>0</v>
      </c>
      <c r="BD3" s="686">
        <v>9278</v>
      </c>
      <c r="BE3" s="686">
        <v>334811</v>
      </c>
      <c r="BF3" s="686">
        <v>1434</v>
      </c>
      <c r="BG3" s="686">
        <v>7100</v>
      </c>
      <c r="BH3" s="686">
        <v>13361</v>
      </c>
      <c r="BI3" s="686">
        <v>1381</v>
      </c>
      <c r="BJ3" s="686">
        <v>7129</v>
      </c>
      <c r="BK3" s="686">
        <v>1946</v>
      </c>
      <c r="BL3" s="686">
        <v>116187</v>
      </c>
      <c r="BM3" s="686">
        <v>16543</v>
      </c>
      <c r="BN3" s="686">
        <v>285609</v>
      </c>
      <c r="BO3" s="686">
        <v>202913</v>
      </c>
      <c r="BP3" s="686">
        <v>28774</v>
      </c>
      <c r="BQ3" s="686">
        <v>0</v>
      </c>
      <c r="BR3" s="686">
        <v>978377</v>
      </c>
      <c r="BS3" s="686">
        <v>41709</v>
      </c>
      <c r="BT3" s="686">
        <v>889977</v>
      </c>
      <c r="BU3" s="686">
        <v>8599</v>
      </c>
      <c r="BV3" s="686">
        <v>139484</v>
      </c>
      <c r="BW3" s="686">
        <v>21307</v>
      </c>
      <c r="BX3" s="686">
        <v>110226</v>
      </c>
      <c r="BY3" s="686">
        <v>34752</v>
      </c>
      <c r="BZ3" s="686">
        <v>4756</v>
      </c>
      <c r="CA3" s="686">
        <v>4004</v>
      </c>
      <c r="CB3" s="686">
        <v>1212</v>
      </c>
      <c r="CC3" s="686">
        <v>41917</v>
      </c>
      <c r="CD3" s="686">
        <v>0</v>
      </c>
      <c r="CE3" s="686">
        <v>1017</v>
      </c>
    </row>
    <row r="4" spans="1:83" ht="30" x14ac:dyDescent="0.25">
      <c r="A4" s="622">
        <v>5</v>
      </c>
      <c r="B4" s="629">
        <v>5</v>
      </c>
      <c r="C4" s="653" t="s">
        <v>122</v>
      </c>
      <c r="D4" s="701" t="s">
        <v>302</v>
      </c>
      <c r="E4" s="638">
        <v>0</v>
      </c>
      <c r="F4" s="621">
        <v>0</v>
      </c>
      <c r="G4" s="621">
        <v>0</v>
      </c>
      <c r="H4" s="621">
        <v>0</v>
      </c>
      <c r="I4" s="621">
        <v>0</v>
      </c>
      <c r="J4" s="621">
        <v>8815</v>
      </c>
      <c r="K4" s="672">
        <v>0</v>
      </c>
      <c r="L4" s="686">
        <v>0</v>
      </c>
      <c r="M4" s="686">
        <v>0</v>
      </c>
      <c r="N4" s="636">
        <v>48973</v>
      </c>
      <c r="O4" s="636">
        <v>0</v>
      </c>
      <c r="P4" s="636">
        <v>0</v>
      </c>
      <c r="Q4" s="636">
        <v>0</v>
      </c>
      <c r="R4" s="636">
        <v>5697</v>
      </c>
      <c r="S4" s="636">
        <v>1500</v>
      </c>
      <c r="T4" s="636">
        <v>0</v>
      </c>
      <c r="U4" s="636">
        <v>57155</v>
      </c>
      <c r="V4" s="636">
        <v>112323</v>
      </c>
      <c r="W4" s="636">
        <v>22375</v>
      </c>
      <c r="X4" s="636">
        <v>9683</v>
      </c>
      <c r="Y4" s="636">
        <v>0</v>
      </c>
      <c r="Z4" s="636">
        <v>24913</v>
      </c>
      <c r="AA4" s="636">
        <v>0</v>
      </c>
      <c r="AB4" s="686" t="e">
        <v>#VALUE!</v>
      </c>
      <c r="AC4" s="686">
        <v>0</v>
      </c>
      <c r="AD4" s="686" t="e">
        <v>#VALUE!</v>
      </c>
      <c r="AE4" s="686">
        <v>0</v>
      </c>
      <c r="AF4" s="686">
        <v>16809</v>
      </c>
      <c r="AG4" s="686">
        <v>0</v>
      </c>
      <c r="AH4" s="686">
        <v>592</v>
      </c>
      <c r="AI4" s="686">
        <v>0</v>
      </c>
      <c r="AJ4" s="686">
        <v>0</v>
      </c>
      <c r="AK4" s="686">
        <v>0</v>
      </c>
      <c r="AL4" s="686">
        <v>0</v>
      </c>
      <c r="AM4" s="686">
        <v>0</v>
      </c>
      <c r="AN4" s="686">
        <v>9535</v>
      </c>
      <c r="AO4" s="686">
        <v>1396</v>
      </c>
      <c r="AP4" s="686">
        <v>0</v>
      </c>
      <c r="AQ4" s="686">
        <v>0</v>
      </c>
      <c r="AR4" s="686">
        <v>0</v>
      </c>
      <c r="AS4" s="686">
        <v>14500000</v>
      </c>
      <c r="AT4" s="686">
        <v>0</v>
      </c>
      <c r="AU4" s="686">
        <v>0</v>
      </c>
      <c r="AV4" s="686">
        <v>0</v>
      </c>
      <c r="AW4" s="686">
        <v>0</v>
      </c>
      <c r="AX4" s="686">
        <v>0</v>
      </c>
      <c r="AY4" s="686">
        <v>0</v>
      </c>
      <c r="AZ4" s="686">
        <v>0</v>
      </c>
      <c r="BA4" s="686">
        <v>0</v>
      </c>
      <c r="BB4" s="686">
        <v>0</v>
      </c>
      <c r="BC4" s="686">
        <v>0</v>
      </c>
      <c r="BD4" s="686">
        <v>0</v>
      </c>
      <c r="BE4" s="686">
        <v>0</v>
      </c>
      <c r="BF4" s="686">
        <v>0</v>
      </c>
      <c r="BG4" s="686">
        <v>0</v>
      </c>
      <c r="BH4" s="686">
        <v>0</v>
      </c>
      <c r="BI4" s="686">
        <v>0</v>
      </c>
      <c r="BJ4" s="686">
        <v>0</v>
      </c>
      <c r="BK4" s="686">
        <v>0</v>
      </c>
      <c r="BL4" s="686">
        <v>0</v>
      </c>
      <c r="BM4" s="686">
        <v>0</v>
      </c>
      <c r="BN4" s="686">
        <v>0</v>
      </c>
      <c r="BO4" s="686">
        <v>53950</v>
      </c>
      <c r="BP4" s="686">
        <v>0</v>
      </c>
      <c r="BQ4" s="686">
        <v>0</v>
      </c>
      <c r="BR4" s="686">
        <v>0</v>
      </c>
      <c r="BS4" s="686">
        <v>0</v>
      </c>
      <c r="BT4" s="686">
        <v>0</v>
      </c>
      <c r="BU4" s="686">
        <v>1</v>
      </c>
      <c r="BV4" s="686">
        <v>469311</v>
      </c>
      <c r="BW4" s="686">
        <v>0</v>
      </c>
      <c r="BX4" s="686">
        <v>2591</v>
      </c>
      <c r="BY4" s="686">
        <v>0</v>
      </c>
      <c r="BZ4" s="686">
        <v>0</v>
      </c>
      <c r="CA4" s="686">
        <v>17169</v>
      </c>
      <c r="CB4" s="686">
        <v>395</v>
      </c>
      <c r="CC4" s="686">
        <v>0</v>
      </c>
      <c r="CD4" s="686">
        <v>0</v>
      </c>
      <c r="CE4" s="686">
        <v>0</v>
      </c>
    </row>
    <row r="5" spans="1:83" x14ac:dyDescent="0.25">
      <c r="A5" s="622">
        <v>6</v>
      </c>
      <c r="B5" s="629">
        <v>6</v>
      </c>
      <c r="C5" s="653" t="s">
        <v>268</v>
      </c>
      <c r="D5" s="701" t="s">
        <v>303</v>
      </c>
      <c r="E5" s="638">
        <v>0</v>
      </c>
      <c r="F5" s="621">
        <v>0</v>
      </c>
      <c r="G5" s="621">
        <v>0</v>
      </c>
      <c r="H5" s="621">
        <v>0</v>
      </c>
      <c r="I5" s="621">
        <v>0</v>
      </c>
      <c r="J5" s="621">
        <v>0</v>
      </c>
      <c r="K5" s="672">
        <v>0</v>
      </c>
      <c r="L5" s="686">
        <v>0</v>
      </c>
      <c r="M5" s="686">
        <v>0</v>
      </c>
      <c r="N5" s="636">
        <v>0</v>
      </c>
      <c r="O5" s="636">
        <v>0</v>
      </c>
      <c r="P5" s="636">
        <v>0</v>
      </c>
      <c r="Q5" s="636">
        <v>0</v>
      </c>
      <c r="R5" s="636">
        <v>1934027</v>
      </c>
      <c r="S5" s="636">
        <v>0</v>
      </c>
      <c r="T5" s="636">
        <v>0</v>
      </c>
      <c r="U5" s="636">
        <v>596548</v>
      </c>
      <c r="V5" s="636">
        <v>0</v>
      </c>
      <c r="W5" s="636">
        <v>1172813</v>
      </c>
      <c r="X5" s="636">
        <v>2154895</v>
      </c>
      <c r="Y5" s="636">
        <v>0</v>
      </c>
      <c r="Z5" s="636">
        <v>228732</v>
      </c>
      <c r="AA5" s="636">
        <v>0</v>
      </c>
      <c r="AB5" s="686" t="e">
        <v>#VALUE!</v>
      </c>
      <c r="AC5" s="686">
        <v>0</v>
      </c>
      <c r="AD5" s="686" t="e">
        <v>#VALUE!</v>
      </c>
      <c r="AE5" s="686">
        <v>0</v>
      </c>
      <c r="AF5" s="686">
        <v>0</v>
      </c>
      <c r="AG5" s="686">
        <v>1212510</v>
      </c>
      <c r="AH5" s="686">
        <v>0</v>
      </c>
      <c r="AI5" s="686">
        <v>0</v>
      </c>
      <c r="AJ5" s="686">
        <v>867849</v>
      </c>
      <c r="AK5" s="686">
        <v>6410</v>
      </c>
      <c r="AL5" s="686">
        <v>0</v>
      </c>
      <c r="AM5" s="686">
        <v>0</v>
      </c>
      <c r="AN5" s="686">
        <v>383269</v>
      </c>
      <c r="AO5" s="686">
        <v>0</v>
      </c>
      <c r="AP5" s="686">
        <v>0</v>
      </c>
      <c r="AQ5" s="686">
        <v>0</v>
      </c>
      <c r="AR5" s="686">
        <v>0</v>
      </c>
      <c r="AS5" s="686">
        <v>0</v>
      </c>
      <c r="AT5" s="686">
        <v>0</v>
      </c>
      <c r="AU5" s="686">
        <v>0</v>
      </c>
      <c r="AV5" s="686">
        <v>0</v>
      </c>
      <c r="AW5" s="686">
        <v>0</v>
      </c>
      <c r="AX5" s="686">
        <v>0</v>
      </c>
      <c r="AY5" s="686">
        <v>0</v>
      </c>
      <c r="AZ5" s="686">
        <v>0</v>
      </c>
      <c r="BA5" s="686">
        <v>0</v>
      </c>
      <c r="BB5" s="686">
        <v>0</v>
      </c>
      <c r="BC5" s="686">
        <v>0</v>
      </c>
      <c r="BD5" s="686">
        <v>0</v>
      </c>
      <c r="BE5" s="686">
        <v>0</v>
      </c>
      <c r="BF5" s="686">
        <v>0</v>
      </c>
      <c r="BG5" s="686">
        <v>0</v>
      </c>
      <c r="BH5" s="686">
        <v>0</v>
      </c>
      <c r="BI5" s="686">
        <v>0</v>
      </c>
      <c r="BJ5" s="686">
        <v>0</v>
      </c>
      <c r="BK5" s="686">
        <v>0</v>
      </c>
      <c r="BL5" s="686">
        <v>0</v>
      </c>
      <c r="BM5" s="686">
        <v>0</v>
      </c>
      <c r="BN5" s="686">
        <v>0</v>
      </c>
      <c r="BO5" s="686">
        <v>0</v>
      </c>
      <c r="BP5" s="686">
        <v>0</v>
      </c>
      <c r="BQ5" s="686">
        <v>0</v>
      </c>
      <c r="BR5" s="686">
        <v>244196</v>
      </c>
      <c r="BS5" s="686">
        <v>0</v>
      </c>
      <c r="BT5" s="686">
        <v>0</v>
      </c>
      <c r="BU5" s="686">
        <v>0</v>
      </c>
      <c r="BV5" s="686">
        <v>0</v>
      </c>
      <c r="BW5" s="686">
        <v>0</v>
      </c>
      <c r="BX5" s="686">
        <v>0</v>
      </c>
      <c r="BY5" s="686">
        <v>0</v>
      </c>
      <c r="BZ5" s="686">
        <v>0</v>
      </c>
      <c r="CA5" s="686">
        <v>0</v>
      </c>
      <c r="CB5" s="686">
        <v>0</v>
      </c>
      <c r="CC5" s="686">
        <v>0</v>
      </c>
      <c r="CD5" s="686">
        <v>0</v>
      </c>
      <c r="CE5" s="686">
        <v>0</v>
      </c>
    </row>
    <row r="6" spans="1:83" x14ac:dyDescent="0.25">
      <c r="A6" s="622">
        <v>7</v>
      </c>
      <c r="B6" s="629">
        <v>7</v>
      </c>
      <c r="C6" s="653" t="s">
        <v>205</v>
      </c>
      <c r="D6" s="701" t="s">
        <v>304</v>
      </c>
      <c r="E6" s="638">
        <v>0</v>
      </c>
      <c r="F6" s="621">
        <v>0</v>
      </c>
      <c r="G6" s="621">
        <v>0</v>
      </c>
      <c r="H6" s="621">
        <v>0</v>
      </c>
      <c r="I6" s="621">
        <v>0</v>
      </c>
      <c r="J6" s="621">
        <v>0</v>
      </c>
      <c r="K6" s="672">
        <v>0</v>
      </c>
      <c r="L6" s="686">
        <v>0</v>
      </c>
      <c r="M6" s="686">
        <v>0</v>
      </c>
      <c r="N6" s="636">
        <v>0</v>
      </c>
      <c r="O6" s="636">
        <v>0</v>
      </c>
      <c r="P6" s="636">
        <v>0</v>
      </c>
      <c r="Q6" s="636">
        <v>0</v>
      </c>
      <c r="R6" s="636">
        <v>826975</v>
      </c>
      <c r="S6" s="636">
        <v>2688</v>
      </c>
      <c r="T6" s="636">
        <v>5293</v>
      </c>
      <c r="U6" s="636">
        <v>197569</v>
      </c>
      <c r="V6" s="636">
        <v>31805</v>
      </c>
      <c r="W6" s="636">
        <v>170285</v>
      </c>
      <c r="X6" s="636">
        <v>13990</v>
      </c>
      <c r="Y6" s="636">
        <v>0</v>
      </c>
      <c r="Z6" s="636">
        <v>106555</v>
      </c>
      <c r="AA6" s="636">
        <v>8263</v>
      </c>
      <c r="AB6" s="686" t="e">
        <v>#VALUE!</v>
      </c>
      <c r="AC6" s="686">
        <v>0</v>
      </c>
      <c r="AD6" s="686" t="e">
        <v>#VALUE!</v>
      </c>
      <c r="AE6" s="686">
        <v>35307</v>
      </c>
      <c r="AF6" s="686">
        <v>0</v>
      </c>
      <c r="AG6" s="686">
        <v>66336</v>
      </c>
      <c r="AH6" s="686">
        <v>6675</v>
      </c>
      <c r="AI6" s="686">
        <v>0</v>
      </c>
      <c r="AJ6" s="686">
        <v>132738</v>
      </c>
      <c r="AK6" s="686">
        <v>0</v>
      </c>
      <c r="AL6" s="686">
        <v>6157</v>
      </c>
      <c r="AM6" s="686">
        <v>0</v>
      </c>
      <c r="AN6" s="686">
        <v>49037</v>
      </c>
      <c r="AO6" s="686">
        <v>0</v>
      </c>
      <c r="AP6" s="686">
        <v>0</v>
      </c>
      <c r="AQ6" s="686">
        <v>0</v>
      </c>
      <c r="AR6" s="686">
        <v>0</v>
      </c>
      <c r="AS6" s="686">
        <v>502819</v>
      </c>
      <c r="AT6" s="686">
        <v>0</v>
      </c>
      <c r="AU6" s="686">
        <v>0</v>
      </c>
      <c r="AV6" s="686">
        <v>0</v>
      </c>
      <c r="AW6" s="686">
        <v>49548</v>
      </c>
      <c r="AX6" s="686">
        <v>0</v>
      </c>
      <c r="AY6" s="686">
        <v>0</v>
      </c>
      <c r="AZ6" s="686">
        <v>0</v>
      </c>
      <c r="BA6" s="686">
        <v>0</v>
      </c>
      <c r="BB6" s="686">
        <v>0</v>
      </c>
      <c r="BC6" s="686">
        <v>0</v>
      </c>
      <c r="BD6" s="686">
        <v>0</v>
      </c>
      <c r="BE6" s="686">
        <v>5153</v>
      </c>
      <c r="BF6" s="686">
        <v>4932</v>
      </c>
      <c r="BG6" s="686">
        <v>0</v>
      </c>
      <c r="BH6" s="686">
        <v>0</v>
      </c>
      <c r="BI6" s="686">
        <v>0</v>
      </c>
      <c r="BJ6" s="686">
        <v>0</v>
      </c>
      <c r="BK6" s="686">
        <v>0</v>
      </c>
      <c r="BL6" s="686">
        <v>0</v>
      </c>
      <c r="BM6" s="686">
        <v>2028</v>
      </c>
      <c r="BN6" s="686">
        <v>0</v>
      </c>
      <c r="BO6" s="686">
        <v>52904</v>
      </c>
      <c r="BP6" s="686">
        <v>6056</v>
      </c>
      <c r="BQ6" s="686">
        <v>0</v>
      </c>
      <c r="BR6" s="686">
        <v>59871</v>
      </c>
      <c r="BS6" s="686">
        <v>0</v>
      </c>
      <c r="BT6" s="686">
        <v>6127</v>
      </c>
      <c r="BU6" s="686">
        <v>0</v>
      </c>
      <c r="BV6" s="686">
        <v>0</v>
      </c>
      <c r="BW6" s="686">
        <v>350</v>
      </c>
      <c r="BX6" s="686">
        <v>0</v>
      </c>
      <c r="BY6" s="686">
        <v>0</v>
      </c>
      <c r="BZ6" s="686">
        <v>12876</v>
      </c>
      <c r="CA6" s="686">
        <v>0</v>
      </c>
      <c r="CB6" s="686">
        <v>0</v>
      </c>
      <c r="CC6" s="686">
        <v>980</v>
      </c>
      <c r="CD6" s="686">
        <v>0</v>
      </c>
      <c r="CE6" s="686">
        <v>0</v>
      </c>
    </row>
    <row r="7" spans="1:83" x14ac:dyDescent="0.25">
      <c r="A7" s="622">
        <v>9</v>
      </c>
      <c r="B7" s="629">
        <v>9</v>
      </c>
      <c r="C7" s="653" t="s">
        <v>207</v>
      </c>
      <c r="D7" s="701" t="s">
        <v>305</v>
      </c>
      <c r="E7" s="638">
        <v>177587</v>
      </c>
      <c r="F7" s="621">
        <v>120890</v>
      </c>
      <c r="G7" s="621">
        <v>851681</v>
      </c>
      <c r="H7" s="621">
        <v>3989338</v>
      </c>
      <c r="I7" s="621">
        <v>4476596</v>
      </c>
      <c r="J7" s="621">
        <v>4506715</v>
      </c>
      <c r="K7" s="672">
        <v>209770</v>
      </c>
      <c r="L7" s="686">
        <v>808753</v>
      </c>
      <c r="M7" s="686">
        <v>883797</v>
      </c>
      <c r="N7" s="636">
        <v>8583029</v>
      </c>
      <c r="O7" s="636">
        <v>600221</v>
      </c>
      <c r="P7" s="636">
        <v>7964680</v>
      </c>
      <c r="Q7" s="636">
        <v>260541</v>
      </c>
      <c r="R7" s="636">
        <v>28563016</v>
      </c>
      <c r="S7" s="636">
        <v>1762860</v>
      </c>
      <c r="T7" s="636">
        <v>211833</v>
      </c>
      <c r="U7" s="636">
        <v>32210633</v>
      </c>
      <c r="V7" s="636">
        <v>9766577</v>
      </c>
      <c r="W7" s="636">
        <v>18333205</v>
      </c>
      <c r="X7" s="636">
        <v>30079849</v>
      </c>
      <c r="Y7" s="636">
        <v>246721</v>
      </c>
      <c r="Z7" s="636">
        <v>12693548</v>
      </c>
      <c r="AA7" s="636">
        <v>1564995</v>
      </c>
      <c r="AB7" s="686" t="e">
        <v>#VALUE!</v>
      </c>
      <c r="AC7" s="686">
        <v>1114986</v>
      </c>
      <c r="AD7" s="686" t="e">
        <v>#VALUE!</v>
      </c>
      <c r="AE7" s="686">
        <v>1091634</v>
      </c>
      <c r="AF7" s="686">
        <v>2975581</v>
      </c>
      <c r="AG7" s="686">
        <v>17178816</v>
      </c>
      <c r="AH7" s="686">
        <v>4798594</v>
      </c>
      <c r="AI7" s="686">
        <v>1140439</v>
      </c>
      <c r="AJ7" s="686">
        <v>19571904</v>
      </c>
      <c r="AK7" s="686">
        <v>2957676</v>
      </c>
      <c r="AL7" s="686">
        <v>676037</v>
      </c>
      <c r="AM7" s="686">
        <v>1812497</v>
      </c>
      <c r="AN7" s="686">
        <v>9359014</v>
      </c>
      <c r="AO7" s="686">
        <v>769719</v>
      </c>
      <c r="AP7" s="686">
        <v>337140</v>
      </c>
      <c r="AQ7" s="686">
        <v>86996</v>
      </c>
      <c r="AR7" s="686">
        <v>1846428</v>
      </c>
      <c r="AS7" s="686">
        <v>3491801</v>
      </c>
      <c r="AT7" s="686">
        <v>645106</v>
      </c>
      <c r="AU7" s="686">
        <v>1738696</v>
      </c>
      <c r="AV7" s="686">
        <v>386497</v>
      </c>
      <c r="AW7" s="686">
        <v>14713200</v>
      </c>
      <c r="AX7" s="686">
        <v>3685021</v>
      </c>
      <c r="AY7" s="686">
        <v>1720366</v>
      </c>
      <c r="AZ7" s="686">
        <v>14116928</v>
      </c>
      <c r="BA7" s="686">
        <v>1903166</v>
      </c>
      <c r="BB7" s="686">
        <v>1138904</v>
      </c>
      <c r="BC7" s="686">
        <v>88430</v>
      </c>
      <c r="BD7" s="686">
        <v>442603</v>
      </c>
      <c r="BE7" s="686">
        <v>5608672</v>
      </c>
      <c r="BF7" s="686">
        <v>495287</v>
      </c>
      <c r="BG7" s="686">
        <v>866303</v>
      </c>
      <c r="BH7" s="686">
        <v>124888</v>
      </c>
      <c r="BI7" s="686">
        <v>269293</v>
      </c>
      <c r="BJ7" s="686">
        <v>536143</v>
      </c>
      <c r="BK7" s="686">
        <v>283716</v>
      </c>
      <c r="BL7" s="686">
        <v>1534356</v>
      </c>
      <c r="BM7" s="686">
        <v>426086</v>
      </c>
      <c r="BN7" s="686">
        <v>847115</v>
      </c>
      <c r="BO7" s="686">
        <v>2815121</v>
      </c>
      <c r="BP7" s="686">
        <v>967930</v>
      </c>
      <c r="BQ7" s="686">
        <v>2053800</v>
      </c>
      <c r="BR7" s="686">
        <v>10641838</v>
      </c>
      <c r="BS7" s="686">
        <v>666505</v>
      </c>
      <c r="BT7" s="686">
        <v>18243308</v>
      </c>
      <c r="BU7" s="686">
        <v>742709</v>
      </c>
      <c r="BV7" s="686">
        <v>4792529</v>
      </c>
      <c r="BW7" s="686">
        <v>1105119</v>
      </c>
      <c r="BX7" s="686">
        <v>1344517</v>
      </c>
      <c r="BY7" s="686">
        <v>2030059</v>
      </c>
      <c r="BZ7" s="686">
        <v>335277</v>
      </c>
      <c r="CA7" s="686">
        <v>247388</v>
      </c>
      <c r="CB7" s="686">
        <v>119027</v>
      </c>
      <c r="CC7" s="686">
        <v>368566</v>
      </c>
      <c r="CD7" s="686">
        <v>0</v>
      </c>
      <c r="CE7" s="686">
        <v>370445</v>
      </c>
    </row>
    <row r="8" spans="1:83" x14ac:dyDescent="0.25">
      <c r="A8" s="622">
        <v>11</v>
      </c>
      <c r="B8" s="629">
        <v>11</v>
      </c>
      <c r="C8" s="653" t="s">
        <v>206</v>
      </c>
      <c r="D8" s="701" t="s">
        <v>306</v>
      </c>
      <c r="E8" s="638">
        <v>48258</v>
      </c>
      <c r="F8" s="621">
        <v>33882</v>
      </c>
      <c r="G8" s="621">
        <v>85731</v>
      </c>
      <c r="H8" s="621">
        <v>239355</v>
      </c>
      <c r="I8" s="621">
        <v>0</v>
      </c>
      <c r="J8" s="621">
        <v>0</v>
      </c>
      <c r="K8" s="672">
        <v>0</v>
      </c>
      <c r="L8" s="686">
        <v>0</v>
      </c>
      <c r="M8" s="686">
        <v>0</v>
      </c>
      <c r="N8" s="636">
        <v>277928</v>
      </c>
      <c r="O8" s="636">
        <v>70937</v>
      </c>
      <c r="P8" s="636">
        <v>0</v>
      </c>
      <c r="Q8" s="636">
        <v>0</v>
      </c>
      <c r="R8" s="636">
        <v>1250760</v>
      </c>
      <c r="S8" s="636">
        <v>272809</v>
      </c>
      <c r="T8" s="636">
        <v>0</v>
      </c>
      <c r="U8" s="636">
        <v>862828</v>
      </c>
      <c r="V8" s="636">
        <v>645025</v>
      </c>
      <c r="W8" s="636">
        <v>595665</v>
      </c>
      <c r="X8" s="636">
        <v>2191782</v>
      </c>
      <c r="Y8" s="636">
        <v>115162</v>
      </c>
      <c r="Z8" s="636">
        <v>622942</v>
      </c>
      <c r="AA8" s="636">
        <v>127335</v>
      </c>
      <c r="AB8" s="686" t="e">
        <v>#VALUE!</v>
      </c>
      <c r="AC8" s="686">
        <v>257555</v>
      </c>
      <c r="AD8" s="686" t="e">
        <v>#VALUE!</v>
      </c>
      <c r="AE8" s="686">
        <v>0</v>
      </c>
      <c r="AF8" s="686">
        <v>95445</v>
      </c>
      <c r="AG8" s="686">
        <v>106824</v>
      </c>
      <c r="AH8" s="686">
        <v>198701</v>
      </c>
      <c r="AI8" s="686">
        <v>50710</v>
      </c>
      <c r="AJ8" s="686">
        <v>0</v>
      </c>
      <c r="AK8" s="686">
        <v>151418</v>
      </c>
      <c r="AL8" s="686">
        <v>24969</v>
      </c>
      <c r="AM8" s="686">
        <v>248830</v>
      </c>
      <c r="AN8" s="686">
        <v>233047</v>
      </c>
      <c r="AO8" s="686">
        <v>173145</v>
      </c>
      <c r="AP8" s="686">
        <v>78267</v>
      </c>
      <c r="AQ8" s="686">
        <v>0</v>
      </c>
      <c r="AR8" s="686">
        <v>0</v>
      </c>
      <c r="AS8" s="686">
        <v>0</v>
      </c>
      <c r="AT8" s="686">
        <v>51737</v>
      </c>
      <c r="AU8" s="686">
        <v>535921</v>
      </c>
      <c r="AV8" s="686">
        <v>41033</v>
      </c>
      <c r="AW8" s="686">
        <v>887206</v>
      </c>
      <c r="AX8" s="686">
        <v>0</v>
      </c>
      <c r="AY8" s="686">
        <v>111943</v>
      </c>
      <c r="AZ8" s="686">
        <v>14701</v>
      </c>
      <c r="BA8" s="686">
        <v>4186</v>
      </c>
      <c r="BB8" s="686">
        <v>125429</v>
      </c>
      <c r="BC8" s="686">
        <v>0</v>
      </c>
      <c r="BD8" s="686">
        <v>0</v>
      </c>
      <c r="BE8" s="686">
        <v>637869</v>
      </c>
      <c r="BF8" s="686">
        <v>41195</v>
      </c>
      <c r="BG8" s="686">
        <v>63485</v>
      </c>
      <c r="BH8" s="686">
        <v>25685</v>
      </c>
      <c r="BI8" s="686">
        <v>0</v>
      </c>
      <c r="BJ8" s="686">
        <v>66253</v>
      </c>
      <c r="BK8" s="686">
        <v>44653</v>
      </c>
      <c r="BL8" s="686">
        <v>1676</v>
      </c>
      <c r="BM8" s="686">
        <v>96969</v>
      </c>
      <c r="BN8" s="686">
        <v>139035</v>
      </c>
      <c r="BO8" s="686">
        <v>81571</v>
      </c>
      <c r="BP8" s="686">
        <v>187204</v>
      </c>
      <c r="BQ8" s="686">
        <v>23979</v>
      </c>
      <c r="BR8" s="686">
        <v>0</v>
      </c>
      <c r="BS8" s="686">
        <v>203597</v>
      </c>
      <c r="BT8" s="686">
        <v>367237</v>
      </c>
      <c r="BU8" s="686">
        <v>18514</v>
      </c>
      <c r="BV8" s="686">
        <v>108204</v>
      </c>
      <c r="BW8" s="686">
        <v>0</v>
      </c>
      <c r="BX8" s="686">
        <v>191105</v>
      </c>
      <c r="BY8" s="686">
        <v>352813</v>
      </c>
      <c r="BZ8" s="686">
        <v>158253</v>
      </c>
      <c r="CA8" s="686">
        <v>30266</v>
      </c>
      <c r="CB8" s="686">
        <v>7179</v>
      </c>
      <c r="CC8" s="686">
        <v>26673</v>
      </c>
      <c r="CD8" s="686">
        <v>0</v>
      </c>
      <c r="CE8" s="686">
        <v>22460</v>
      </c>
    </row>
    <row r="9" spans="1:83" ht="30" x14ac:dyDescent="0.25">
      <c r="A9" s="622"/>
      <c r="B9" s="629">
        <v>12</v>
      </c>
      <c r="C9" s="653" t="s">
        <v>623</v>
      </c>
      <c r="D9" s="701" t="s">
        <v>307</v>
      </c>
      <c r="E9" s="638">
        <v>0</v>
      </c>
      <c r="F9" s="621">
        <v>0</v>
      </c>
      <c r="G9" s="621">
        <v>0</v>
      </c>
      <c r="H9" s="621">
        <v>0</v>
      </c>
      <c r="I9" s="621">
        <v>0</v>
      </c>
      <c r="J9" s="621">
        <v>0</v>
      </c>
      <c r="K9" s="672">
        <v>0</v>
      </c>
      <c r="L9" s="686">
        <v>0</v>
      </c>
      <c r="M9" s="686">
        <v>0</v>
      </c>
      <c r="N9" s="636">
        <v>0</v>
      </c>
      <c r="O9" s="636">
        <v>0</v>
      </c>
      <c r="P9" s="636">
        <v>0</v>
      </c>
      <c r="Q9" s="636">
        <v>0</v>
      </c>
      <c r="R9" s="636">
        <v>0</v>
      </c>
      <c r="S9" s="636">
        <v>0</v>
      </c>
      <c r="T9" s="636">
        <v>0</v>
      </c>
      <c r="U9" s="636">
        <v>0</v>
      </c>
      <c r="V9" s="636">
        <v>0</v>
      </c>
      <c r="W9" s="636">
        <v>0</v>
      </c>
      <c r="X9" s="636">
        <v>0</v>
      </c>
      <c r="Y9" s="636">
        <v>0</v>
      </c>
      <c r="Z9" s="636">
        <v>0</v>
      </c>
      <c r="AA9" s="636">
        <v>0</v>
      </c>
      <c r="AB9" s="686" t="e">
        <v>#VALUE!</v>
      </c>
      <c r="AC9" s="686">
        <v>0</v>
      </c>
      <c r="AD9" s="686" t="e">
        <v>#VALUE!</v>
      </c>
      <c r="AE9" s="686">
        <v>0</v>
      </c>
      <c r="AF9" s="686">
        <v>0</v>
      </c>
      <c r="AG9" s="686">
        <v>0</v>
      </c>
      <c r="AH9" s="686">
        <v>0</v>
      </c>
      <c r="AI9" s="686">
        <v>0</v>
      </c>
      <c r="AJ9" s="686">
        <v>0</v>
      </c>
      <c r="AK9" s="686">
        <v>0</v>
      </c>
      <c r="AL9" s="686">
        <v>0</v>
      </c>
      <c r="AM9" s="686">
        <v>0</v>
      </c>
      <c r="AN9" s="686">
        <v>0</v>
      </c>
      <c r="AO9" s="686">
        <v>0</v>
      </c>
      <c r="AP9" s="686">
        <v>0</v>
      </c>
      <c r="AQ9" s="686">
        <v>0</v>
      </c>
      <c r="AR9" s="686">
        <v>0</v>
      </c>
      <c r="AS9" s="686">
        <v>0</v>
      </c>
      <c r="AT9" s="686">
        <v>0</v>
      </c>
      <c r="AU9" s="686">
        <v>0</v>
      </c>
      <c r="AV9" s="686">
        <v>0</v>
      </c>
      <c r="AW9" s="686">
        <v>0</v>
      </c>
      <c r="AX9" s="686">
        <v>0</v>
      </c>
      <c r="AY9" s="686">
        <v>0</v>
      </c>
      <c r="AZ9" s="686">
        <v>0</v>
      </c>
      <c r="BA9" s="686">
        <v>0</v>
      </c>
      <c r="BB9" s="686">
        <v>0</v>
      </c>
      <c r="BC9" s="686">
        <v>0</v>
      </c>
      <c r="BD9" s="686">
        <v>0</v>
      </c>
      <c r="BE9" s="686">
        <v>0</v>
      </c>
      <c r="BF9" s="686">
        <v>0</v>
      </c>
      <c r="BG9" s="686">
        <v>0</v>
      </c>
      <c r="BH9" s="686">
        <v>0</v>
      </c>
      <c r="BI9" s="686">
        <v>0</v>
      </c>
      <c r="BJ9" s="686">
        <v>0</v>
      </c>
      <c r="BK9" s="686">
        <v>0</v>
      </c>
      <c r="BL9" s="686">
        <v>0</v>
      </c>
      <c r="BM9" s="686">
        <v>0</v>
      </c>
      <c r="BN9" s="686">
        <v>0</v>
      </c>
      <c r="BO9" s="686">
        <v>0</v>
      </c>
      <c r="BP9" s="686">
        <v>0</v>
      </c>
      <c r="BQ9" s="686">
        <v>0</v>
      </c>
      <c r="BR9" s="686">
        <v>0</v>
      </c>
      <c r="BS9" s="686">
        <v>0</v>
      </c>
      <c r="BT9" s="686">
        <v>0</v>
      </c>
      <c r="BU9" s="686">
        <v>0</v>
      </c>
      <c r="BV9" s="686">
        <v>0</v>
      </c>
      <c r="BW9" s="686">
        <v>0</v>
      </c>
      <c r="BX9" s="686">
        <v>0</v>
      </c>
      <c r="BY9" s="686">
        <v>0</v>
      </c>
      <c r="BZ9" s="686">
        <v>0</v>
      </c>
      <c r="CA9" s="686">
        <v>0</v>
      </c>
      <c r="CB9" s="686">
        <v>0</v>
      </c>
      <c r="CC9" s="686">
        <v>0</v>
      </c>
      <c r="CD9" s="686">
        <v>0</v>
      </c>
      <c r="CE9" s="686">
        <v>0</v>
      </c>
    </row>
    <row r="10" spans="1:83" ht="30" x14ac:dyDescent="0.25">
      <c r="A10" s="622"/>
      <c r="B10" s="629">
        <v>13</v>
      </c>
      <c r="C10" s="653" t="s">
        <v>624</v>
      </c>
      <c r="D10" s="701" t="s">
        <v>308</v>
      </c>
      <c r="E10" s="638">
        <v>0</v>
      </c>
      <c r="F10" s="621">
        <v>0</v>
      </c>
      <c r="G10" s="621">
        <v>0</v>
      </c>
      <c r="H10" s="621">
        <v>0</v>
      </c>
      <c r="I10" s="621">
        <v>0</v>
      </c>
      <c r="J10" s="621">
        <v>0</v>
      </c>
      <c r="K10" s="672">
        <v>0</v>
      </c>
      <c r="L10" s="686">
        <v>0</v>
      </c>
      <c r="M10" s="686">
        <v>0</v>
      </c>
      <c r="N10" s="636">
        <v>0</v>
      </c>
      <c r="O10" s="636">
        <v>0</v>
      </c>
      <c r="P10" s="636">
        <v>0</v>
      </c>
      <c r="Q10" s="636">
        <v>0</v>
      </c>
      <c r="R10" s="636">
        <v>0</v>
      </c>
      <c r="S10" s="636">
        <v>0</v>
      </c>
      <c r="T10" s="636">
        <v>0</v>
      </c>
      <c r="U10" s="636">
        <v>0</v>
      </c>
      <c r="V10" s="636">
        <v>0</v>
      </c>
      <c r="W10" s="636">
        <v>0</v>
      </c>
      <c r="X10" s="636">
        <v>0</v>
      </c>
      <c r="Y10" s="636">
        <v>0</v>
      </c>
      <c r="Z10" s="636">
        <v>0</v>
      </c>
      <c r="AA10" s="636">
        <v>0</v>
      </c>
      <c r="AB10" s="686" t="e">
        <v>#VALUE!</v>
      </c>
      <c r="AC10" s="686">
        <v>0</v>
      </c>
      <c r="AD10" s="686" t="e">
        <v>#VALUE!</v>
      </c>
      <c r="AE10" s="686">
        <v>0</v>
      </c>
      <c r="AF10" s="686">
        <v>0</v>
      </c>
      <c r="AG10" s="686">
        <v>0</v>
      </c>
      <c r="AH10" s="686">
        <v>0</v>
      </c>
      <c r="AI10" s="686">
        <v>0</v>
      </c>
      <c r="AJ10" s="686">
        <v>0</v>
      </c>
      <c r="AK10" s="686">
        <v>0</v>
      </c>
      <c r="AL10" s="686">
        <v>0</v>
      </c>
      <c r="AM10" s="686">
        <v>0</v>
      </c>
      <c r="AN10" s="686">
        <v>0</v>
      </c>
      <c r="AO10" s="686">
        <v>0</v>
      </c>
      <c r="AP10" s="686">
        <v>0</v>
      </c>
      <c r="AQ10" s="686">
        <v>0</v>
      </c>
      <c r="AR10" s="686">
        <v>0</v>
      </c>
      <c r="AS10" s="686">
        <v>0</v>
      </c>
      <c r="AT10" s="686">
        <v>0</v>
      </c>
      <c r="AU10" s="686">
        <v>0</v>
      </c>
      <c r="AV10" s="686">
        <v>0</v>
      </c>
      <c r="AW10" s="686">
        <v>0</v>
      </c>
      <c r="AX10" s="686">
        <v>0</v>
      </c>
      <c r="AY10" s="686">
        <v>0</v>
      </c>
      <c r="AZ10" s="686">
        <v>0</v>
      </c>
      <c r="BA10" s="686">
        <v>0</v>
      </c>
      <c r="BB10" s="686">
        <v>0</v>
      </c>
      <c r="BC10" s="686">
        <v>0</v>
      </c>
      <c r="BD10" s="686">
        <v>0</v>
      </c>
      <c r="BE10" s="686">
        <v>0</v>
      </c>
      <c r="BF10" s="686">
        <v>0</v>
      </c>
      <c r="BG10" s="686">
        <v>0</v>
      </c>
      <c r="BH10" s="686">
        <v>0</v>
      </c>
      <c r="BI10" s="686">
        <v>0</v>
      </c>
      <c r="BJ10" s="686">
        <v>0</v>
      </c>
      <c r="BK10" s="686">
        <v>0</v>
      </c>
      <c r="BL10" s="686">
        <v>0</v>
      </c>
      <c r="BM10" s="686">
        <v>0</v>
      </c>
      <c r="BN10" s="686">
        <v>0</v>
      </c>
      <c r="BO10" s="686">
        <v>0</v>
      </c>
      <c r="BP10" s="686">
        <v>0</v>
      </c>
      <c r="BQ10" s="686">
        <v>0</v>
      </c>
      <c r="BR10" s="686">
        <v>0</v>
      </c>
      <c r="BS10" s="686">
        <v>0</v>
      </c>
      <c r="BT10" s="686">
        <v>0</v>
      </c>
      <c r="BU10" s="686">
        <v>0</v>
      </c>
      <c r="BV10" s="686">
        <v>0</v>
      </c>
      <c r="BW10" s="686">
        <v>0</v>
      </c>
      <c r="BX10" s="686">
        <v>0</v>
      </c>
      <c r="BY10" s="686">
        <v>0</v>
      </c>
      <c r="BZ10" s="686">
        <v>0</v>
      </c>
      <c r="CA10" s="686">
        <v>0</v>
      </c>
      <c r="CB10" s="686">
        <v>0</v>
      </c>
      <c r="CC10" s="686">
        <v>0</v>
      </c>
      <c r="CD10" s="686">
        <v>0</v>
      </c>
      <c r="CE10" s="686">
        <v>0</v>
      </c>
    </row>
    <row r="11" spans="1:83" ht="30" x14ac:dyDescent="0.25">
      <c r="A11" s="622"/>
      <c r="B11" s="629">
        <v>14</v>
      </c>
      <c r="C11" s="653" t="s">
        <v>309</v>
      </c>
      <c r="D11" s="701" t="s">
        <v>310</v>
      </c>
      <c r="E11" s="638">
        <v>0</v>
      </c>
      <c r="F11" s="621">
        <v>0</v>
      </c>
      <c r="G11" s="621">
        <v>0</v>
      </c>
      <c r="H11" s="621">
        <v>0</v>
      </c>
      <c r="I11" s="621">
        <v>0</v>
      </c>
      <c r="J11" s="621">
        <v>0</v>
      </c>
      <c r="K11" s="672">
        <v>0</v>
      </c>
      <c r="L11" s="686">
        <v>0</v>
      </c>
      <c r="M11" s="686">
        <v>0</v>
      </c>
      <c r="N11" s="636">
        <v>0</v>
      </c>
      <c r="O11" s="636">
        <v>0</v>
      </c>
      <c r="P11" s="636">
        <v>0</v>
      </c>
      <c r="Q11" s="636">
        <v>0</v>
      </c>
      <c r="R11" s="636">
        <v>0</v>
      </c>
      <c r="S11" s="636">
        <v>0</v>
      </c>
      <c r="T11" s="636">
        <v>0</v>
      </c>
      <c r="U11" s="636">
        <v>0</v>
      </c>
      <c r="V11" s="636">
        <v>0</v>
      </c>
      <c r="W11" s="636">
        <v>0</v>
      </c>
      <c r="X11" s="636">
        <v>0</v>
      </c>
      <c r="Y11" s="636">
        <v>0</v>
      </c>
      <c r="Z11" s="636">
        <v>0</v>
      </c>
      <c r="AA11" s="636">
        <v>0</v>
      </c>
      <c r="AB11" s="686" t="e">
        <v>#VALUE!</v>
      </c>
      <c r="AC11" s="686">
        <v>0</v>
      </c>
      <c r="AD11" s="686" t="e">
        <v>#VALUE!</v>
      </c>
      <c r="AE11" s="686">
        <v>0</v>
      </c>
      <c r="AF11" s="686">
        <v>0</v>
      </c>
      <c r="AG11" s="686">
        <v>0</v>
      </c>
      <c r="AH11" s="686">
        <v>0</v>
      </c>
      <c r="AI11" s="686">
        <v>0</v>
      </c>
      <c r="AJ11" s="686">
        <v>0</v>
      </c>
      <c r="AK11" s="686">
        <v>0</v>
      </c>
      <c r="AL11" s="686">
        <v>0</v>
      </c>
      <c r="AM11" s="686">
        <v>0</v>
      </c>
      <c r="AN11" s="686">
        <v>0</v>
      </c>
      <c r="AO11" s="686">
        <v>0</v>
      </c>
      <c r="AP11" s="686">
        <v>0</v>
      </c>
      <c r="AQ11" s="686">
        <v>0</v>
      </c>
      <c r="AR11" s="686">
        <v>0</v>
      </c>
      <c r="AS11" s="686">
        <v>0</v>
      </c>
      <c r="AT11" s="686">
        <v>0</v>
      </c>
      <c r="AU11" s="686">
        <v>0</v>
      </c>
      <c r="AV11" s="686">
        <v>0</v>
      </c>
      <c r="AW11" s="686">
        <v>0</v>
      </c>
      <c r="AX11" s="686">
        <v>0</v>
      </c>
      <c r="AY11" s="686">
        <v>0</v>
      </c>
      <c r="AZ11" s="686">
        <v>0</v>
      </c>
      <c r="BA11" s="686">
        <v>0</v>
      </c>
      <c r="BB11" s="686">
        <v>0</v>
      </c>
      <c r="BC11" s="686">
        <v>0</v>
      </c>
      <c r="BD11" s="686">
        <v>0</v>
      </c>
      <c r="BE11" s="686">
        <v>0</v>
      </c>
      <c r="BF11" s="686">
        <v>0</v>
      </c>
      <c r="BG11" s="686">
        <v>0</v>
      </c>
      <c r="BH11" s="686">
        <v>0</v>
      </c>
      <c r="BI11" s="686">
        <v>0</v>
      </c>
      <c r="BJ11" s="686">
        <v>0</v>
      </c>
      <c r="BK11" s="686">
        <v>0</v>
      </c>
      <c r="BL11" s="686">
        <v>0</v>
      </c>
      <c r="BM11" s="686">
        <v>0</v>
      </c>
      <c r="BN11" s="686">
        <v>0</v>
      </c>
      <c r="BO11" s="686">
        <v>0</v>
      </c>
      <c r="BP11" s="686">
        <v>0</v>
      </c>
      <c r="BQ11" s="686">
        <v>0</v>
      </c>
      <c r="BR11" s="686">
        <v>0</v>
      </c>
      <c r="BS11" s="686">
        <v>0</v>
      </c>
      <c r="BT11" s="686">
        <v>0</v>
      </c>
      <c r="BU11" s="686">
        <v>0</v>
      </c>
      <c r="BV11" s="686">
        <v>0</v>
      </c>
      <c r="BW11" s="686">
        <v>0</v>
      </c>
      <c r="BX11" s="686">
        <v>0</v>
      </c>
      <c r="BY11" s="686">
        <v>0</v>
      </c>
      <c r="BZ11" s="686">
        <v>0</v>
      </c>
      <c r="CA11" s="686">
        <v>0</v>
      </c>
      <c r="CB11" s="686">
        <v>0</v>
      </c>
      <c r="CC11" s="686">
        <v>0</v>
      </c>
      <c r="CD11" s="686">
        <v>0</v>
      </c>
      <c r="CE11" s="686">
        <v>0</v>
      </c>
    </row>
    <row r="12" spans="1:83" x14ac:dyDescent="0.25">
      <c r="A12" s="622">
        <v>16</v>
      </c>
      <c r="B12" s="629">
        <v>16</v>
      </c>
      <c r="C12" s="653" t="s">
        <v>209</v>
      </c>
      <c r="D12" s="701" t="s">
        <v>311</v>
      </c>
      <c r="E12" s="638">
        <v>279380</v>
      </c>
      <c r="F12" s="621">
        <v>69488</v>
      </c>
      <c r="G12" s="621">
        <v>773022</v>
      </c>
      <c r="H12" s="621">
        <v>1746880</v>
      </c>
      <c r="I12" s="621">
        <v>1585243</v>
      </c>
      <c r="J12" s="621">
        <v>3671432</v>
      </c>
      <c r="K12" s="672">
        <v>73678</v>
      </c>
      <c r="L12" s="686">
        <v>351867</v>
      </c>
      <c r="M12" s="686">
        <v>237823</v>
      </c>
      <c r="N12" s="636">
        <v>13841951</v>
      </c>
      <c r="O12" s="636">
        <v>507123</v>
      </c>
      <c r="P12" s="636">
        <v>5249468</v>
      </c>
      <c r="Q12" s="636">
        <v>74062</v>
      </c>
      <c r="R12" s="636">
        <v>36122150</v>
      </c>
      <c r="S12" s="636">
        <v>1666570</v>
      </c>
      <c r="T12" s="636">
        <v>37711</v>
      </c>
      <c r="U12" s="636">
        <v>68681937</v>
      </c>
      <c r="V12" s="636">
        <v>12718652</v>
      </c>
      <c r="W12" s="636">
        <v>20206820</v>
      </c>
      <c r="X12" s="636">
        <v>31478920</v>
      </c>
      <c r="Y12" s="636">
        <v>262318</v>
      </c>
      <c r="Z12" s="636">
        <v>12189862</v>
      </c>
      <c r="AA12" s="636">
        <v>1166510</v>
      </c>
      <c r="AB12" s="686" t="e">
        <v>#VALUE!</v>
      </c>
      <c r="AC12" s="686">
        <v>3916952</v>
      </c>
      <c r="AD12" s="686" t="e">
        <v>#VALUE!</v>
      </c>
      <c r="AE12" s="686">
        <v>2057919</v>
      </c>
      <c r="AF12" s="686">
        <v>2051613</v>
      </c>
      <c r="AG12" s="686">
        <v>16195111</v>
      </c>
      <c r="AH12" s="686">
        <v>5433849</v>
      </c>
      <c r="AI12" s="686">
        <v>905087</v>
      </c>
      <c r="AJ12" s="686">
        <v>31629832</v>
      </c>
      <c r="AK12" s="686">
        <v>612293</v>
      </c>
      <c r="AL12" s="686">
        <v>878136</v>
      </c>
      <c r="AM12" s="686">
        <v>2615934</v>
      </c>
      <c r="AN12" s="686">
        <v>13003894</v>
      </c>
      <c r="AO12" s="686">
        <v>544654</v>
      </c>
      <c r="AP12" s="686">
        <v>743953</v>
      </c>
      <c r="AQ12" s="686">
        <v>45933</v>
      </c>
      <c r="AR12" s="686">
        <v>3990083</v>
      </c>
      <c r="AS12" s="686">
        <v>6917493</v>
      </c>
      <c r="AT12" s="686">
        <v>408877</v>
      </c>
      <c r="AU12" s="686">
        <v>2137972</v>
      </c>
      <c r="AV12" s="686">
        <v>139058</v>
      </c>
      <c r="AW12" s="686">
        <v>14060793</v>
      </c>
      <c r="AX12" s="686">
        <v>1682353</v>
      </c>
      <c r="AY12" s="686">
        <v>1567734</v>
      </c>
      <c r="AZ12" s="686">
        <v>7400909</v>
      </c>
      <c r="BA12" s="686">
        <v>956120</v>
      </c>
      <c r="BB12" s="686">
        <v>1070650</v>
      </c>
      <c r="BC12" s="686">
        <v>28969</v>
      </c>
      <c r="BD12" s="686">
        <v>241882</v>
      </c>
      <c r="BE12" s="686">
        <v>9041930</v>
      </c>
      <c r="BF12" s="686">
        <v>136372</v>
      </c>
      <c r="BG12" s="686">
        <v>498298</v>
      </c>
      <c r="BH12" s="686">
        <v>116755</v>
      </c>
      <c r="BI12" s="686">
        <v>79208</v>
      </c>
      <c r="BJ12" s="686">
        <v>216786</v>
      </c>
      <c r="BK12" s="686">
        <v>128718</v>
      </c>
      <c r="BL12" s="686">
        <v>3286289</v>
      </c>
      <c r="BM12" s="686">
        <v>885371</v>
      </c>
      <c r="BN12" s="686">
        <v>1582403</v>
      </c>
      <c r="BO12" s="686">
        <v>3854606</v>
      </c>
      <c r="BP12" s="686">
        <v>1154699</v>
      </c>
      <c r="BQ12" s="686">
        <v>1380843</v>
      </c>
      <c r="BR12" s="686">
        <v>18167909</v>
      </c>
      <c r="BS12" s="686">
        <v>782562</v>
      </c>
      <c r="BT12" s="686">
        <v>13305927</v>
      </c>
      <c r="BU12" s="686">
        <v>654072</v>
      </c>
      <c r="BV12" s="686">
        <v>4970464</v>
      </c>
      <c r="BW12" s="686">
        <v>580811</v>
      </c>
      <c r="BX12" s="686">
        <v>2048576</v>
      </c>
      <c r="BY12" s="686">
        <v>1004463</v>
      </c>
      <c r="BZ12" s="686">
        <v>86392</v>
      </c>
      <c r="CA12" s="686">
        <v>145249</v>
      </c>
      <c r="CB12" s="686">
        <v>123464</v>
      </c>
      <c r="CC12" s="686">
        <v>952740</v>
      </c>
      <c r="CD12" s="686">
        <v>0</v>
      </c>
      <c r="CE12" s="686">
        <v>47906</v>
      </c>
    </row>
    <row r="13" spans="1:83" x14ac:dyDescent="0.25">
      <c r="A13" s="622">
        <v>17</v>
      </c>
      <c r="B13" s="629">
        <v>17</v>
      </c>
      <c r="C13" s="653" t="s">
        <v>212</v>
      </c>
      <c r="D13" s="701" t="s">
        <v>312</v>
      </c>
      <c r="E13" s="638">
        <v>0</v>
      </c>
      <c r="F13" s="621">
        <v>0</v>
      </c>
      <c r="G13" s="621">
        <v>0</v>
      </c>
      <c r="H13" s="621">
        <v>0</v>
      </c>
      <c r="I13" s="621">
        <v>0</v>
      </c>
      <c r="J13" s="621">
        <v>0</v>
      </c>
      <c r="K13" s="672">
        <v>0</v>
      </c>
      <c r="L13" s="686">
        <v>0</v>
      </c>
      <c r="M13" s="686">
        <v>0</v>
      </c>
      <c r="N13" s="636">
        <v>352739</v>
      </c>
      <c r="O13" s="636">
        <v>0</v>
      </c>
      <c r="P13" s="636">
        <v>0</v>
      </c>
      <c r="Q13" s="636">
        <v>0</v>
      </c>
      <c r="R13" s="636">
        <v>764688</v>
      </c>
      <c r="S13" s="636">
        <v>0</v>
      </c>
      <c r="T13" s="636">
        <v>0</v>
      </c>
      <c r="U13" s="636">
        <v>0</v>
      </c>
      <c r="V13" s="636">
        <v>0</v>
      </c>
      <c r="W13" s="636">
        <v>504275</v>
      </c>
      <c r="X13" s="636">
        <v>72617</v>
      </c>
      <c r="Y13" s="636">
        <v>0</v>
      </c>
      <c r="Z13" s="636">
        <v>10000</v>
      </c>
      <c r="AA13" s="636">
        <v>0</v>
      </c>
      <c r="AB13" s="686" t="e">
        <v>#VALUE!</v>
      </c>
      <c r="AC13" s="686">
        <v>0</v>
      </c>
      <c r="AD13" s="686" t="e">
        <v>#VALUE!</v>
      </c>
      <c r="AE13" s="686">
        <v>0</v>
      </c>
      <c r="AF13" s="686">
        <v>99598</v>
      </c>
      <c r="AG13" s="686">
        <v>0</v>
      </c>
      <c r="AH13" s="686">
        <v>86498</v>
      </c>
      <c r="AI13" s="686">
        <v>0</v>
      </c>
      <c r="AJ13" s="686">
        <v>2925779</v>
      </c>
      <c r="AK13" s="686">
        <v>0</v>
      </c>
      <c r="AL13" s="686">
        <v>0</v>
      </c>
      <c r="AM13" s="686">
        <v>0</v>
      </c>
      <c r="AN13" s="686">
        <v>0</v>
      </c>
      <c r="AO13" s="686">
        <v>0</v>
      </c>
      <c r="AP13" s="686">
        <v>0</v>
      </c>
      <c r="AQ13" s="686">
        <v>0</v>
      </c>
      <c r="AR13" s="686">
        <v>0</v>
      </c>
      <c r="AS13" s="686">
        <v>0</v>
      </c>
      <c r="AT13" s="686">
        <v>0</v>
      </c>
      <c r="AU13" s="686">
        <v>0</v>
      </c>
      <c r="AV13" s="686">
        <v>55000</v>
      </c>
      <c r="AW13" s="686">
        <v>270417</v>
      </c>
      <c r="AX13" s="686">
        <v>0</v>
      </c>
      <c r="AY13" s="686">
        <v>0</v>
      </c>
      <c r="AZ13" s="686">
        <v>1218038</v>
      </c>
      <c r="BA13" s="686">
        <v>0</v>
      </c>
      <c r="BB13" s="686">
        <v>0</v>
      </c>
      <c r="BC13" s="686">
        <v>0</v>
      </c>
      <c r="BD13" s="686">
        <v>0</v>
      </c>
      <c r="BE13" s="686">
        <v>225975</v>
      </c>
      <c r="BF13" s="686">
        <v>0</v>
      </c>
      <c r="BG13" s="686">
        <v>0</v>
      </c>
      <c r="BH13" s="686">
        <v>0</v>
      </c>
      <c r="BI13" s="686">
        <v>0</v>
      </c>
      <c r="BJ13" s="686">
        <v>0</v>
      </c>
      <c r="BK13" s="686">
        <v>0</v>
      </c>
      <c r="BL13" s="686">
        <v>0</v>
      </c>
      <c r="BM13" s="686">
        <v>0</v>
      </c>
      <c r="BN13" s="686">
        <v>0</v>
      </c>
      <c r="BO13" s="686">
        <v>0</v>
      </c>
      <c r="BP13" s="686">
        <v>0</v>
      </c>
      <c r="BQ13" s="686">
        <v>7355</v>
      </c>
      <c r="BR13" s="686">
        <v>0</v>
      </c>
      <c r="BS13" s="686">
        <v>602000</v>
      </c>
      <c r="BT13" s="686">
        <v>36495</v>
      </c>
      <c r="BU13" s="686">
        <v>0</v>
      </c>
      <c r="BV13" s="686">
        <v>0</v>
      </c>
      <c r="BW13" s="686">
        <v>0</v>
      </c>
      <c r="BX13" s="686">
        <v>0</v>
      </c>
      <c r="BY13" s="686">
        <v>0</v>
      </c>
      <c r="BZ13" s="686">
        <v>0</v>
      </c>
      <c r="CA13" s="686">
        <v>0</v>
      </c>
      <c r="CB13" s="686">
        <v>0</v>
      </c>
      <c r="CC13" s="686">
        <v>0</v>
      </c>
      <c r="CD13" s="686">
        <v>0</v>
      </c>
      <c r="CE13" s="686">
        <v>0</v>
      </c>
    </row>
    <row r="14" spans="1:83" x14ac:dyDescent="0.25">
      <c r="A14" s="622"/>
      <c r="B14" s="629">
        <v>19</v>
      </c>
      <c r="C14" s="653" t="s">
        <v>625</v>
      </c>
      <c r="D14" s="701" t="s">
        <v>313</v>
      </c>
      <c r="E14" s="638">
        <v>0</v>
      </c>
      <c r="F14" s="621">
        <v>0</v>
      </c>
      <c r="G14" s="621">
        <v>0</v>
      </c>
      <c r="H14" s="621">
        <v>0</v>
      </c>
      <c r="I14" s="621">
        <v>0</v>
      </c>
      <c r="J14" s="621">
        <v>0</v>
      </c>
      <c r="K14" s="672">
        <v>0</v>
      </c>
      <c r="L14" s="686">
        <v>0</v>
      </c>
      <c r="M14" s="686">
        <v>0</v>
      </c>
      <c r="N14" s="636">
        <v>0</v>
      </c>
      <c r="O14" s="636">
        <v>0</v>
      </c>
      <c r="P14" s="636">
        <v>0</v>
      </c>
      <c r="Q14" s="636">
        <v>0</v>
      </c>
      <c r="R14" s="636">
        <v>0</v>
      </c>
      <c r="S14" s="636">
        <v>0</v>
      </c>
      <c r="T14" s="636">
        <v>0</v>
      </c>
      <c r="U14" s="636">
        <v>0</v>
      </c>
      <c r="V14" s="636">
        <v>0</v>
      </c>
      <c r="W14" s="636">
        <v>0</v>
      </c>
      <c r="X14" s="636">
        <v>0</v>
      </c>
      <c r="Y14" s="636">
        <v>0</v>
      </c>
      <c r="Z14" s="636">
        <v>0</v>
      </c>
      <c r="AA14" s="636">
        <v>0</v>
      </c>
      <c r="AB14" s="686" t="e">
        <v>#VALUE!</v>
      </c>
      <c r="AC14" s="686">
        <v>0</v>
      </c>
      <c r="AD14" s="686" t="e">
        <v>#VALUE!</v>
      </c>
      <c r="AE14" s="686">
        <v>0</v>
      </c>
      <c r="AF14" s="686">
        <v>0</v>
      </c>
      <c r="AG14" s="686">
        <v>0</v>
      </c>
      <c r="AH14" s="686">
        <v>0</v>
      </c>
      <c r="AI14" s="686">
        <v>0</v>
      </c>
      <c r="AJ14" s="686">
        <v>0</v>
      </c>
      <c r="AK14" s="686">
        <v>0</v>
      </c>
      <c r="AL14" s="686">
        <v>0</v>
      </c>
      <c r="AM14" s="686">
        <v>0</v>
      </c>
      <c r="AN14" s="686">
        <v>0</v>
      </c>
      <c r="AO14" s="686">
        <v>0</v>
      </c>
      <c r="AP14" s="686">
        <v>0</v>
      </c>
      <c r="AQ14" s="686">
        <v>0</v>
      </c>
      <c r="AR14" s="686">
        <v>0</v>
      </c>
      <c r="AS14" s="686">
        <v>0</v>
      </c>
      <c r="AT14" s="686">
        <v>0</v>
      </c>
      <c r="AU14" s="686">
        <v>0</v>
      </c>
      <c r="AV14" s="686">
        <v>0</v>
      </c>
      <c r="AW14" s="686">
        <v>0</v>
      </c>
      <c r="AX14" s="686">
        <v>0</v>
      </c>
      <c r="AY14" s="686">
        <v>0</v>
      </c>
      <c r="AZ14" s="686">
        <v>0</v>
      </c>
      <c r="BA14" s="686">
        <v>0</v>
      </c>
      <c r="BB14" s="686">
        <v>0</v>
      </c>
      <c r="BC14" s="686">
        <v>0</v>
      </c>
      <c r="BD14" s="686">
        <v>0</v>
      </c>
      <c r="BE14" s="686">
        <v>0</v>
      </c>
      <c r="BF14" s="686">
        <v>0</v>
      </c>
      <c r="BG14" s="686">
        <v>0</v>
      </c>
      <c r="BH14" s="686">
        <v>0</v>
      </c>
      <c r="BI14" s="686">
        <v>0</v>
      </c>
      <c r="BJ14" s="686">
        <v>0</v>
      </c>
      <c r="BK14" s="686">
        <v>0</v>
      </c>
      <c r="BL14" s="686">
        <v>0</v>
      </c>
      <c r="BM14" s="686">
        <v>0</v>
      </c>
      <c r="BN14" s="686">
        <v>0</v>
      </c>
      <c r="BO14" s="686">
        <v>0</v>
      </c>
      <c r="BP14" s="686">
        <v>0</v>
      </c>
      <c r="BQ14" s="686">
        <v>0</v>
      </c>
      <c r="BR14" s="686">
        <v>0</v>
      </c>
      <c r="BS14" s="686">
        <v>0</v>
      </c>
      <c r="BT14" s="686">
        <v>0</v>
      </c>
      <c r="BU14" s="686">
        <v>0</v>
      </c>
      <c r="BV14" s="686">
        <v>0</v>
      </c>
      <c r="BW14" s="686">
        <v>0</v>
      </c>
      <c r="BX14" s="686">
        <v>0</v>
      </c>
      <c r="BY14" s="686">
        <v>0</v>
      </c>
      <c r="BZ14" s="686">
        <v>0</v>
      </c>
      <c r="CA14" s="686">
        <v>0</v>
      </c>
      <c r="CB14" s="686">
        <v>0</v>
      </c>
      <c r="CC14" s="686">
        <v>0</v>
      </c>
      <c r="CD14" s="686">
        <v>0</v>
      </c>
      <c r="CE14" s="686">
        <v>0</v>
      </c>
    </row>
    <row r="15" spans="1:83" x14ac:dyDescent="0.25">
      <c r="A15" s="622">
        <v>20</v>
      </c>
      <c r="B15" s="629">
        <v>20</v>
      </c>
      <c r="C15" s="653" t="s">
        <v>213</v>
      </c>
      <c r="D15" s="701" t="s">
        <v>314</v>
      </c>
      <c r="E15" s="638">
        <v>0</v>
      </c>
      <c r="F15" s="621">
        <v>0</v>
      </c>
      <c r="G15" s="621">
        <v>0</v>
      </c>
      <c r="H15" s="621">
        <v>11046</v>
      </c>
      <c r="I15" s="621">
        <v>0</v>
      </c>
      <c r="J15" s="621">
        <v>0</v>
      </c>
      <c r="K15" s="672">
        <v>0</v>
      </c>
      <c r="L15" s="686">
        <v>0</v>
      </c>
      <c r="M15" s="686">
        <v>0</v>
      </c>
      <c r="N15" s="636">
        <v>0</v>
      </c>
      <c r="O15" s="636">
        <v>0</v>
      </c>
      <c r="P15" s="636">
        <v>0</v>
      </c>
      <c r="Q15" s="636">
        <v>0</v>
      </c>
      <c r="R15" s="636">
        <v>2934465</v>
      </c>
      <c r="S15" s="636">
        <v>525000</v>
      </c>
      <c r="T15" s="636">
        <v>0</v>
      </c>
      <c r="U15" s="636">
        <v>218379</v>
      </c>
      <c r="V15" s="636">
        <v>3440865</v>
      </c>
      <c r="W15" s="636">
        <v>0</v>
      </c>
      <c r="X15" s="636">
        <v>4849000</v>
      </c>
      <c r="Y15" s="636">
        <v>0</v>
      </c>
      <c r="Z15" s="636">
        <v>546257</v>
      </c>
      <c r="AA15" s="636">
        <v>0</v>
      </c>
      <c r="AB15" s="686" t="e">
        <v>#VALUE!</v>
      </c>
      <c r="AC15" s="686">
        <v>14000</v>
      </c>
      <c r="AD15" s="686" t="e">
        <v>#VALUE!</v>
      </c>
      <c r="AE15" s="686">
        <v>0</v>
      </c>
      <c r="AF15" s="686">
        <v>0</v>
      </c>
      <c r="AG15" s="686">
        <v>12000</v>
      </c>
      <c r="AH15" s="686">
        <v>282389</v>
      </c>
      <c r="AI15" s="686">
        <v>0</v>
      </c>
      <c r="AJ15" s="686">
        <v>1178144</v>
      </c>
      <c r="AK15" s="686">
        <v>90299</v>
      </c>
      <c r="AL15" s="686">
        <v>0</v>
      </c>
      <c r="AM15" s="686">
        <v>233500</v>
      </c>
      <c r="AN15" s="686">
        <v>0</v>
      </c>
      <c r="AO15" s="686">
        <v>0</v>
      </c>
      <c r="AP15" s="686">
        <v>0</v>
      </c>
      <c r="AQ15" s="686">
        <v>0</v>
      </c>
      <c r="AR15" s="686">
        <v>0</v>
      </c>
      <c r="AS15" s="686">
        <v>66795</v>
      </c>
      <c r="AT15" s="686">
        <v>30000</v>
      </c>
      <c r="AU15" s="686">
        <v>0</v>
      </c>
      <c r="AV15" s="686">
        <v>0</v>
      </c>
      <c r="AW15" s="686">
        <v>1059532</v>
      </c>
      <c r="AX15" s="686">
        <v>0</v>
      </c>
      <c r="AY15" s="686">
        <v>0</v>
      </c>
      <c r="AZ15" s="686">
        <v>0</v>
      </c>
      <c r="BA15" s="686">
        <v>0</v>
      </c>
      <c r="BB15" s="686">
        <v>0</v>
      </c>
      <c r="BC15" s="686">
        <v>0</v>
      </c>
      <c r="BD15" s="686">
        <v>20000</v>
      </c>
      <c r="BE15" s="686">
        <v>98900</v>
      </c>
      <c r="BF15" s="686">
        <v>0</v>
      </c>
      <c r="BG15" s="686">
        <v>0</v>
      </c>
      <c r="BH15" s="686">
        <v>0</v>
      </c>
      <c r="BI15" s="686">
        <v>0</v>
      </c>
      <c r="BJ15" s="686">
        <v>0</v>
      </c>
      <c r="BK15" s="686">
        <v>0</v>
      </c>
      <c r="BL15" s="686">
        <v>0</v>
      </c>
      <c r="BM15" s="686">
        <v>0</v>
      </c>
      <c r="BN15" s="686">
        <v>34611</v>
      </c>
      <c r="BO15" s="686">
        <v>96000</v>
      </c>
      <c r="BP15" s="686">
        <v>0</v>
      </c>
      <c r="BQ15" s="686">
        <v>7355</v>
      </c>
      <c r="BR15" s="686">
        <v>344000</v>
      </c>
      <c r="BS15" s="686">
        <v>0</v>
      </c>
      <c r="BT15" s="686">
        <v>2318460</v>
      </c>
      <c r="BU15" s="686">
        <v>0</v>
      </c>
      <c r="BV15" s="686">
        <v>52580</v>
      </c>
      <c r="BW15" s="686">
        <v>22656</v>
      </c>
      <c r="BX15" s="686">
        <v>134295</v>
      </c>
      <c r="BY15" s="686">
        <v>95000</v>
      </c>
      <c r="BZ15" s="686">
        <v>0</v>
      </c>
      <c r="CA15" s="686">
        <v>0</v>
      </c>
      <c r="CB15" s="686">
        <v>0</v>
      </c>
      <c r="CC15" s="686">
        <v>0</v>
      </c>
      <c r="CD15" s="686">
        <v>0</v>
      </c>
      <c r="CE15" s="686">
        <v>0</v>
      </c>
    </row>
    <row r="16" spans="1:83" ht="30" x14ac:dyDescent="0.25">
      <c r="A16" s="622"/>
      <c r="B16" s="629">
        <v>21</v>
      </c>
      <c r="C16" s="653" t="s">
        <v>626</v>
      </c>
      <c r="D16" s="701" t="s">
        <v>315</v>
      </c>
      <c r="E16" s="638">
        <v>0</v>
      </c>
      <c r="F16" s="621">
        <v>0</v>
      </c>
      <c r="G16" s="621">
        <v>0</v>
      </c>
      <c r="H16" s="621">
        <v>0</v>
      </c>
      <c r="I16" s="621">
        <v>0</v>
      </c>
      <c r="J16" s="621">
        <v>0</v>
      </c>
      <c r="K16" s="672">
        <v>0</v>
      </c>
      <c r="L16" s="686">
        <v>0</v>
      </c>
      <c r="M16" s="686">
        <v>0</v>
      </c>
      <c r="N16" s="636">
        <v>0</v>
      </c>
      <c r="O16" s="636">
        <v>0</v>
      </c>
      <c r="P16" s="636">
        <v>0</v>
      </c>
      <c r="Q16" s="636">
        <v>0</v>
      </c>
      <c r="R16" s="636">
        <v>0</v>
      </c>
      <c r="S16" s="636">
        <v>0</v>
      </c>
      <c r="T16" s="636">
        <v>0</v>
      </c>
      <c r="U16" s="636">
        <v>0</v>
      </c>
      <c r="V16" s="636">
        <v>0</v>
      </c>
      <c r="W16" s="636">
        <v>0</v>
      </c>
      <c r="X16" s="636">
        <v>0</v>
      </c>
      <c r="Y16" s="636">
        <v>0</v>
      </c>
      <c r="Z16" s="636">
        <v>0</v>
      </c>
      <c r="AA16" s="636">
        <v>0</v>
      </c>
      <c r="AB16" s="686" t="e">
        <v>#VALUE!</v>
      </c>
      <c r="AC16" s="686">
        <v>0</v>
      </c>
      <c r="AD16" s="686" t="e">
        <v>#VALUE!</v>
      </c>
      <c r="AE16" s="686">
        <v>0</v>
      </c>
      <c r="AF16" s="686">
        <v>0</v>
      </c>
      <c r="AG16" s="686">
        <v>0</v>
      </c>
      <c r="AH16" s="686">
        <v>0</v>
      </c>
      <c r="AI16" s="686">
        <v>0</v>
      </c>
      <c r="AJ16" s="686">
        <v>0</v>
      </c>
      <c r="AK16" s="686">
        <v>0</v>
      </c>
      <c r="AL16" s="686">
        <v>0</v>
      </c>
      <c r="AM16" s="686">
        <v>0</v>
      </c>
      <c r="AN16" s="686">
        <v>0</v>
      </c>
      <c r="AO16" s="686">
        <v>0</v>
      </c>
      <c r="AP16" s="686">
        <v>0</v>
      </c>
      <c r="AQ16" s="686">
        <v>0</v>
      </c>
      <c r="AR16" s="686">
        <v>0</v>
      </c>
      <c r="AS16" s="686">
        <v>0</v>
      </c>
      <c r="AT16" s="686">
        <v>0</v>
      </c>
      <c r="AU16" s="686">
        <v>0</v>
      </c>
      <c r="AV16" s="686">
        <v>0</v>
      </c>
      <c r="AW16" s="686">
        <v>0</v>
      </c>
      <c r="AX16" s="686">
        <v>0</v>
      </c>
      <c r="AY16" s="686">
        <v>0</v>
      </c>
      <c r="AZ16" s="686">
        <v>0</v>
      </c>
      <c r="BA16" s="686">
        <v>0</v>
      </c>
      <c r="BB16" s="686">
        <v>0</v>
      </c>
      <c r="BC16" s="686">
        <v>0</v>
      </c>
      <c r="BD16" s="686">
        <v>0</v>
      </c>
      <c r="BE16" s="686">
        <v>0</v>
      </c>
      <c r="BF16" s="686">
        <v>0</v>
      </c>
      <c r="BG16" s="686">
        <v>0</v>
      </c>
      <c r="BH16" s="686">
        <v>0</v>
      </c>
      <c r="BI16" s="686">
        <v>0</v>
      </c>
      <c r="BJ16" s="686">
        <v>0</v>
      </c>
      <c r="BK16" s="686">
        <v>0</v>
      </c>
      <c r="BL16" s="686">
        <v>0</v>
      </c>
      <c r="BM16" s="686">
        <v>0</v>
      </c>
      <c r="BN16" s="686">
        <v>0</v>
      </c>
      <c r="BO16" s="686">
        <v>0</v>
      </c>
      <c r="BP16" s="686">
        <v>0</v>
      </c>
      <c r="BQ16" s="686">
        <v>0</v>
      </c>
      <c r="BR16" s="686">
        <v>0</v>
      </c>
      <c r="BS16" s="686">
        <v>0</v>
      </c>
      <c r="BT16" s="686">
        <v>0</v>
      </c>
      <c r="BU16" s="686">
        <v>0</v>
      </c>
      <c r="BV16" s="686">
        <v>0</v>
      </c>
      <c r="BW16" s="686">
        <v>0</v>
      </c>
      <c r="BX16" s="686">
        <v>0</v>
      </c>
      <c r="BY16" s="686">
        <v>0</v>
      </c>
      <c r="BZ16" s="686">
        <v>0</v>
      </c>
      <c r="CA16" s="686">
        <v>0</v>
      </c>
      <c r="CB16" s="686">
        <v>0</v>
      </c>
      <c r="CC16" s="686">
        <v>0</v>
      </c>
      <c r="CD16" s="686">
        <v>0</v>
      </c>
      <c r="CE16" s="686">
        <v>0</v>
      </c>
    </row>
    <row r="17" spans="1:83" x14ac:dyDescent="0.25">
      <c r="A17" s="622">
        <v>22</v>
      </c>
      <c r="B17" s="629">
        <v>22</v>
      </c>
      <c r="C17" s="653" t="s">
        <v>215</v>
      </c>
      <c r="D17" s="701" t="s">
        <v>316</v>
      </c>
      <c r="E17" s="638">
        <v>0</v>
      </c>
      <c r="F17" s="621">
        <v>0</v>
      </c>
      <c r="G17" s="621">
        <v>0</v>
      </c>
      <c r="H17" s="621">
        <v>0</v>
      </c>
      <c r="I17" s="621">
        <v>0</v>
      </c>
      <c r="J17" s="621">
        <v>0</v>
      </c>
      <c r="K17" s="672">
        <v>0</v>
      </c>
      <c r="L17" s="686">
        <v>0</v>
      </c>
      <c r="M17" s="686">
        <v>0</v>
      </c>
      <c r="N17" s="636">
        <v>0</v>
      </c>
      <c r="O17" s="636">
        <v>0</v>
      </c>
      <c r="P17" s="636">
        <v>0</v>
      </c>
      <c r="Q17" s="636">
        <v>0</v>
      </c>
      <c r="R17" s="636">
        <v>0</v>
      </c>
      <c r="S17" s="636">
        <v>0</v>
      </c>
      <c r="T17" s="636">
        <v>0</v>
      </c>
      <c r="U17" s="636">
        <v>12124</v>
      </c>
      <c r="V17" s="636">
        <v>16628</v>
      </c>
      <c r="W17" s="636">
        <v>0</v>
      </c>
      <c r="X17" s="636">
        <v>0</v>
      </c>
      <c r="Y17" s="636">
        <v>0</v>
      </c>
      <c r="Z17" s="636">
        <v>399104</v>
      </c>
      <c r="AA17" s="636">
        <v>2004</v>
      </c>
      <c r="AB17" s="686" t="e">
        <v>#VALUE!</v>
      </c>
      <c r="AC17" s="686">
        <v>0</v>
      </c>
      <c r="AD17" s="686" t="e">
        <v>#VALUE!</v>
      </c>
      <c r="AE17" s="686">
        <v>0</v>
      </c>
      <c r="AF17" s="686">
        <v>18119</v>
      </c>
      <c r="AG17" s="686">
        <v>21594</v>
      </c>
      <c r="AH17" s="686">
        <v>7430</v>
      </c>
      <c r="AI17" s="686">
        <v>0</v>
      </c>
      <c r="AJ17" s="686">
        <v>138817</v>
      </c>
      <c r="AK17" s="686">
        <v>0</v>
      </c>
      <c r="AL17" s="686">
        <v>204</v>
      </c>
      <c r="AM17" s="686">
        <v>0</v>
      </c>
      <c r="AN17" s="686">
        <v>0</v>
      </c>
      <c r="AO17" s="686">
        <v>0</v>
      </c>
      <c r="AP17" s="686">
        <v>45504</v>
      </c>
      <c r="AQ17" s="686">
        <v>0</v>
      </c>
      <c r="AR17" s="686">
        <v>175787</v>
      </c>
      <c r="AS17" s="686">
        <v>5125</v>
      </c>
      <c r="AT17" s="686">
        <v>0</v>
      </c>
      <c r="AU17" s="686">
        <v>220551</v>
      </c>
      <c r="AV17" s="686">
        <v>0</v>
      </c>
      <c r="AW17" s="686">
        <v>55495</v>
      </c>
      <c r="AX17" s="686">
        <v>0</v>
      </c>
      <c r="AY17" s="686">
        <v>0</v>
      </c>
      <c r="AZ17" s="686">
        <v>0</v>
      </c>
      <c r="BA17" s="686">
        <v>0</v>
      </c>
      <c r="BB17" s="686">
        <v>0</v>
      </c>
      <c r="BC17" s="686">
        <v>0</v>
      </c>
      <c r="BD17" s="686">
        <v>0</v>
      </c>
      <c r="BE17" s="686">
        <v>132</v>
      </c>
      <c r="BF17" s="686">
        <v>0</v>
      </c>
      <c r="BG17" s="686">
        <v>0</v>
      </c>
      <c r="BH17" s="686">
        <v>0</v>
      </c>
      <c r="BI17" s="686">
        <v>0</v>
      </c>
      <c r="BJ17" s="686">
        <v>0</v>
      </c>
      <c r="BK17" s="686">
        <v>0</v>
      </c>
      <c r="BL17" s="686">
        <v>0</v>
      </c>
      <c r="BM17" s="686">
        <v>0</v>
      </c>
      <c r="BN17" s="686">
        <v>8600</v>
      </c>
      <c r="BO17" s="686">
        <v>0</v>
      </c>
      <c r="BP17" s="686">
        <v>0</v>
      </c>
      <c r="BQ17" s="686">
        <v>500</v>
      </c>
      <c r="BR17" s="686">
        <v>47516</v>
      </c>
      <c r="BS17" s="686">
        <v>68194</v>
      </c>
      <c r="BT17" s="686">
        <v>0</v>
      </c>
      <c r="BU17" s="686">
        <v>0</v>
      </c>
      <c r="BV17" s="686">
        <v>0</v>
      </c>
      <c r="BW17" s="686">
        <v>0</v>
      </c>
      <c r="BX17" s="686">
        <v>-8044</v>
      </c>
      <c r="BY17" s="686">
        <v>0</v>
      </c>
      <c r="BZ17" s="686">
        <v>0</v>
      </c>
      <c r="CA17" s="686">
        <v>0</v>
      </c>
      <c r="CB17" s="686">
        <v>0</v>
      </c>
      <c r="CC17" s="686">
        <v>0</v>
      </c>
      <c r="CD17" s="686">
        <v>0</v>
      </c>
      <c r="CE17" s="686">
        <v>0</v>
      </c>
    </row>
    <row r="18" spans="1:83" x14ac:dyDescent="0.25">
      <c r="A18" s="622">
        <v>23</v>
      </c>
      <c r="B18" s="629">
        <v>23</v>
      </c>
      <c r="C18" s="653" t="s">
        <v>218</v>
      </c>
      <c r="D18" s="701" t="s">
        <v>317</v>
      </c>
      <c r="E18" s="638">
        <v>20796</v>
      </c>
      <c r="F18" s="621">
        <v>36606</v>
      </c>
      <c r="G18" s="621">
        <v>65648</v>
      </c>
      <c r="H18" s="621">
        <v>261492</v>
      </c>
      <c r="I18" s="621">
        <v>650043</v>
      </c>
      <c r="J18" s="621">
        <v>942008</v>
      </c>
      <c r="K18" s="672">
        <v>18511</v>
      </c>
      <c r="L18" s="686">
        <v>104917</v>
      </c>
      <c r="M18" s="686">
        <v>7476</v>
      </c>
      <c r="N18" s="636">
        <v>1363902</v>
      </c>
      <c r="O18" s="636">
        <v>-81422</v>
      </c>
      <c r="P18" s="636">
        <v>-47891</v>
      </c>
      <c r="Q18" s="636">
        <v>15327</v>
      </c>
      <c r="R18" s="636">
        <v>1241888</v>
      </c>
      <c r="S18" s="636">
        <v>-160260</v>
      </c>
      <c r="T18" s="636">
        <v>-189</v>
      </c>
      <c r="U18" s="636">
        <v>4919048</v>
      </c>
      <c r="V18" s="636">
        <v>285183</v>
      </c>
      <c r="W18" s="636">
        <v>241704</v>
      </c>
      <c r="X18" s="636">
        <v>-152040</v>
      </c>
      <c r="Y18" s="636">
        <v>-11608</v>
      </c>
      <c r="Z18" s="636">
        <v>-658665</v>
      </c>
      <c r="AA18" s="636">
        <v>217541</v>
      </c>
      <c r="AB18" s="686" t="e">
        <v>#VALUE!</v>
      </c>
      <c r="AC18" s="686">
        <v>-111089</v>
      </c>
      <c r="AD18" s="686" t="e">
        <v>#VALUE!</v>
      </c>
      <c r="AE18" s="686">
        <v>-143447</v>
      </c>
      <c r="AF18" s="686">
        <v>-73644</v>
      </c>
      <c r="AG18" s="686">
        <v>3021483</v>
      </c>
      <c r="AH18" s="686">
        <v>65926</v>
      </c>
      <c r="AI18" s="686">
        <v>35858</v>
      </c>
      <c r="AJ18" s="686">
        <v>-1348807</v>
      </c>
      <c r="AK18" s="686">
        <v>278511</v>
      </c>
      <c r="AL18" s="686">
        <v>117335</v>
      </c>
      <c r="AM18" s="686">
        <v>43843</v>
      </c>
      <c r="AN18" s="686">
        <v>502748</v>
      </c>
      <c r="AO18" s="686">
        <v>-54594</v>
      </c>
      <c r="AP18" s="686">
        <v>63123</v>
      </c>
      <c r="AQ18" s="686">
        <v>7990</v>
      </c>
      <c r="AR18" s="686">
        <v>369848</v>
      </c>
      <c r="AS18" s="686">
        <v>-305012</v>
      </c>
      <c r="AT18" s="686">
        <v>-10732</v>
      </c>
      <c r="AU18" s="686">
        <v>-606169</v>
      </c>
      <c r="AV18" s="686">
        <v>1213</v>
      </c>
      <c r="AW18" s="686">
        <v>2214287</v>
      </c>
      <c r="AX18" s="686">
        <v>565656</v>
      </c>
      <c r="AY18" s="686">
        <v>34136</v>
      </c>
      <c r="AZ18" s="686">
        <v>2184930</v>
      </c>
      <c r="BA18" s="686">
        <v>61011</v>
      </c>
      <c r="BB18" s="686">
        <v>157876</v>
      </c>
      <c r="BC18" s="686">
        <v>13069</v>
      </c>
      <c r="BD18" s="686">
        <v>45262</v>
      </c>
      <c r="BE18" s="686">
        <v>780637</v>
      </c>
      <c r="BF18" s="686">
        <v>-3825</v>
      </c>
      <c r="BG18" s="686">
        <v>209606</v>
      </c>
      <c r="BH18" s="686">
        <v>-5941</v>
      </c>
      <c r="BI18" s="686">
        <v>22448</v>
      </c>
      <c r="BJ18" s="686">
        <v>9978</v>
      </c>
      <c r="BK18" s="686">
        <v>-23052</v>
      </c>
      <c r="BL18" s="686">
        <v>76094</v>
      </c>
      <c r="BM18" s="686">
        <v>7298</v>
      </c>
      <c r="BN18" s="686">
        <v>-58089</v>
      </c>
      <c r="BO18" s="686">
        <v>332742</v>
      </c>
      <c r="BP18" s="686">
        <v>132732</v>
      </c>
      <c r="BQ18" s="686">
        <v>703860</v>
      </c>
      <c r="BR18" s="686">
        <v>8736</v>
      </c>
      <c r="BS18" s="686">
        <v>1934</v>
      </c>
      <c r="BT18" s="686">
        <v>265346</v>
      </c>
      <c r="BU18" s="686">
        <v>40970</v>
      </c>
      <c r="BV18" s="686">
        <v>665649</v>
      </c>
      <c r="BW18" s="686">
        <v>-43132</v>
      </c>
      <c r="BX18" s="686">
        <v>34802</v>
      </c>
      <c r="BY18" s="686">
        <v>169678</v>
      </c>
      <c r="BZ18" s="686">
        <v>1753</v>
      </c>
      <c r="CA18" s="686">
        <v>41080</v>
      </c>
      <c r="CB18" s="686">
        <v>24445</v>
      </c>
      <c r="CC18" s="686">
        <v>-5755</v>
      </c>
      <c r="CD18" s="686">
        <v>0</v>
      </c>
      <c r="CE18" s="686">
        <v>-3503</v>
      </c>
    </row>
    <row r="19" spans="1:83" x14ac:dyDescent="0.25">
      <c r="A19" s="622"/>
      <c r="B19" s="629">
        <v>31</v>
      </c>
      <c r="C19" s="653" t="s">
        <v>627</v>
      </c>
      <c r="D19" s="701" t="s">
        <v>318</v>
      </c>
      <c r="E19" s="638">
        <v>0</v>
      </c>
      <c r="F19" s="621">
        <v>0</v>
      </c>
      <c r="G19" s="621">
        <v>0</v>
      </c>
      <c r="H19" s="621">
        <v>0</v>
      </c>
      <c r="I19" s="621">
        <v>0</v>
      </c>
      <c r="J19" s="621">
        <v>0</v>
      </c>
      <c r="K19" s="672">
        <v>0</v>
      </c>
      <c r="L19" s="686">
        <v>0</v>
      </c>
      <c r="M19" s="686">
        <v>0</v>
      </c>
      <c r="N19" s="636">
        <v>0</v>
      </c>
      <c r="O19" s="636">
        <v>0</v>
      </c>
      <c r="P19" s="636">
        <v>0</v>
      </c>
      <c r="Q19" s="636">
        <v>0</v>
      </c>
      <c r="R19" s="636">
        <v>0</v>
      </c>
      <c r="S19" s="636">
        <v>0</v>
      </c>
      <c r="T19" s="636">
        <v>0</v>
      </c>
      <c r="U19" s="636">
        <v>0</v>
      </c>
      <c r="V19" s="636">
        <v>0</v>
      </c>
      <c r="W19" s="636">
        <v>0</v>
      </c>
      <c r="X19" s="636">
        <v>0</v>
      </c>
      <c r="Y19" s="636">
        <v>0</v>
      </c>
      <c r="Z19" s="636">
        <v>0</v>
      </c>
      <c r="AA19" s="636">
        <v>0</v>
      </c>
      <c r="AB19" s="686" t="e">
        <v>#VALUE!</v>
      </c>
      <c r="AC19" s="686">
        <v>0</v>
      </c>
      <c r="AD19" s="686" t="e">
        <v>#VALUE!</v>
      </c>
      <c r="AE19" s="686">
        <v>0</v>
      </c>
      <c r="AF19" s="686">
        <v>0</v>
      </c>
      <c r="AG19" s="686">
        <v>0</v>
      </c>
      <c r="AH19" s="686">
        <v>0</v>
      </c>
      <c r="AI19" s="686">
        <v>0</v>
      </c>
      <c r="AJ19" s="686">
        <v>0</v>
      </c>
      <c r="AK19" s="686">
        <v>0</v>
      </c>
      <c r="AL19" s="686">
        <v>0</v>
      </c>
      <c r="AM19" s="686">
        <v>0</v>
      </c>
      <c r="AN19" s="686">
        <v>0</v>
      </c>
      <c r="AO19" s="686">
        <v>0</v>
      </c>
      <c r="AP19" s="686">
        <v>0</v>
      </c>
      <c r="AQ19" s="686">
        <v>0</v>
      </c>
      <c r="AR19" s="686">
        <v>0</v>
      </c>
      <c r="AS19" s="686">
        <v>0</v>
      </c>
      <c r="AT19" s="686">
        <v>0</v>
      </c>
      <c r="AU19" s="686">
        <v>0</v>
      </c>
      <c r="AV19" s="686">
        <v>0</v>
      </c>
      <c r="AW19" s="686">
        <v>0</v>
      </c>
      <c r="AX19" s="686">
        <v>0</v>
      </c>
      <c r="AY19" s="686">
        <v>0</v>
      </c>
      <c r="AZ19" s="686">
        <v>0</v>
      </c>
      <c r="BA19" s="686">
        <v>0</v>
      </c>
      <c r="BB19" s="686">
        <v>0</v>
      </c>
      <c r="BC19" s="686">
        <v>0</v>
      </c>
      <c r="BD19" s="686">
        <v>0</v>
      </c>
      <c r="BE19" s="686">
        <v>0</v>
      </c>
      <c r="BF19" s="686">
        <v>0</v>
      </c>
      <c r="BG19" s="686">
        <v>0</v>
      </c>
      <c r="BH19" s="686">
        <v>0</v>
      </c>
      <c r="BI19" s="686">
        <v>0</v>
      </c>
      <c r="BJ19" s="686">
        <v>0</v>
      </c>
      <c r="BK19" s="686">
        <v>0</v>
      </c>
      <c r="BL19" s="686">
        <v>0</v>
      </c>
      <c r="BM19" s="686">
        <v>0</v>
      </c>
      <c r="BN19" s="686">
        <v>0</v>
      </c>
      <c r="BO19" s="686">
        <v>0</v>
      </c>
      <c r="BP19" s="686">
        <v>0</v>
      </c>
      <c r="BQ19" s="686">
        <v>0</v>
      </c>
      <c r="BR19" s="686">
        <v>0</v>
      </c>
      <c r="BS19" s="686">
        <v>0</v>
      </c>
      <c r="BT19" s="686">
        <v>0</v>
      </c>
      <c r="BU19" s="686">
        <v>0</v>
      </c>
      <c r="BV19" s="686">
        <v>0</v>
      </c>
      <c r="BW19" s="686">
        <v>0</v>
      </c>
      <c r="BX19" s="686">
        <v>0</v>
      </c>
      <c r="BY19" s="686">
        <v>0</v>
      </c>
      <c r="BZ19" s="686">
        <v>0</v>
      </c>
      <c r="CA19" s="686">
        <v>0</v>
      </c>
      <c r="CB19" s="686">
        <v>0</v>
      </c>
      <c r="CC19" s="686">
        <v>0</v>
      </c>
      <c r="CD19" s="686">
        <v>0</v>
      </c>
      <c r="CE19" s="686">
        <v>0</v>
      </c>
    </row>
    <row r="20" spans="1:83" ht="30" x14ac:dyDescent="0.25">
      <c r="A20" s="622"/>
      <c r="B20" s="629">
        <v>32</v>
      </c>
      <c r="C20" s="681" t="s">
        <v>319</v>
      </c>
      <c r="D20" s="701" t="s">
        <v>320</v>
      </c>
      <c r="E20" s="638">
        <v>0</v>
      </c>
      <c r="F20" s="621">
        <v>0</v>
      </c>
      <c r="G20" s="621">
        <v>0</v>
      </c>
      <c r="H20" s="621">
        <v>0</v>
      </c>
      <c r="I20" s="621">
        <v>0</v>
      </c>
      <c r="J20" s="621">
        <v>0</v>
      </c>
      <c r="K20" s="672">
        <v>0</v>
      </c>
      <c r="L20" s="686">
        <v>0</v>
      </c>
      <c r="M20" s="686">
        <v>0</v>
      </c>
      <c r="N20" s="636">
        <v>0</v>
      </c>
      <c r="O20" s="636">
        <v>0</v>
      </c>
      <c r="P20" s="636">
        <v>0</v>
      </c>
      <c r="Q20" s="636">
        <v>0</v>
      </c>
      <c r="R20" s="636">
        <v>0</v>
      </c>
      <c r="S20" s="636">
        <v>0</v>
      </c>
      <c r="T20" s="636">
        <v>0</v>
      </c>
      <c r="U20" s="636">
        <v>0</v>
      </c>
      <c r="V20" s="636">
        <v>0</v>
      </c>
      <c r="W20" s="636">
        <v>0</v>
      </c>
      <c r="X20" s="636">
        <v>0</v>
      </c>
      <c r="Y20" s="636">
        <v>0</v>
      </c>
      <c r="Z20" s="636">
        <v>0</v>
      </c>
      <c r="AA20" s="636">
        <v>0</v>
      </c>
      <c r="AB20" s="686" t="e">
        <v>#VALUE!</v>
      </c>
      <c r="AC20" s="686">
        <v>0</v>
      </c>
      <c r="AD20" s="686" t="e">
        <v>#VALUE!</v>
      </c>
      <c r="AE20" s="686">
        <v>0</v>
      </c>
      <c r="AF20" s="686">
        <v>0</v>
      </c>
      <c r="AG20" s="686">
        <v>0</v>
      </c>
      <c r="AH20" s="686">
        <v>0</v>
      </c>
      <c r="AI20" s="686">
        <v>0</v>
      </c>
      <c r="AJ20" s="686">
        <v>0</v>
      </c>
      <c r="AK20" s="686">
        <v>0</v>
      </c>
      <c r="AL20" s="686">
        <v>0</v>
      </c>
      <c r="AM20" s="686">
        <v>0</v>
      </c>
      <c r="AN20" s="686">
        <v>0</v>
      </c>
      <c r="AO20" s="686">
        <v>0</v>
      </c>
      <c r="AP20" s="686">
        <v>0</v>
      </c>
      <c r="AQ20" s="686">
        <v>0</v>
      </c>
      <c r="AR20" s="686">
        <v>0</v>
      </c>
      <c r="AS20" s="686">
        <v>0</v>
      </c>
      <c r="AT20" s="686">
        <v>0</v>
      </c>
      <c r="AU20" s="686">
        <v>0</v>
      </c>
      <c r="AV20" s="686">
        <v>0</v>
      </c>
      <c r="AW20" s="686">
        <v>0</v>
      </c>
      <c r="AX20" s="686">
        <v>0</v>
      </c>
      <c r="AY20" s="686">
        <v>0</v>
      </c>
      <c r="AZ20" s="686">
        <v>0</v>
      </c>
      <c r="BA20" s="686">
        <v>0</v>
      </c>
      <c r="BB20" s="686">
        <v>0</v>
      </c>
      <c r="BC20" s="686">
        <v>0</v>
      </c>
      <c r="BD20" s="686">
        <v>0</v>
      </c>
      <c r="BE20" s="686">
        <v>0</v>
      </c>
      <c r="BF20" s="686">
        <v>0</v>
      </c>
      <c r="BG20" s="686">
        <v>0</v>
      </c>
      <c r="BH20" s="686">
        <v>0</v>
      </c>
      <c r="BI20" s="686">
        <v>0</v>
      </c>
      <c r="BJ20" s="686">
        <v>0</v>
      </c>
      <c r="BK20" s="686">
        <v>0</v>
      </c>
      <c r="BL20" s="686">
        <v>0</v>
      </c>
      <c r="BM20" s="686">
        <v>0</v>
      </c>
      <c r="BN20" s="686">
        <v>0</v>
      </c>
      <c r="BO20" s="686">
        <v>0</v>
      </c>
      <c r="BP20" s="686">
        <v>0</v>
      </c>
      <c r="BQ20" s="686">
        <v>0</v>
      </c>
      <c r="BR20" s="686">
        <v>0</v>
      </c>
      <c r="BS20" s="686">
        <v>0</v>
      </c>
      <c r="BT20" s="686">
        <v>0</v>
      </c>
      <c r="BU20" s="686">
        <v>0</v>
      </c>
      <c r="BV20" s="686">
        <v>0</v>
      </c>
      <c r="BW20" s="686">
        <v>0</v>
      </c>
      <c r="BX20" s="686">
        <v>0</v>
      </c>
      <c r="BY20" s="686">
        <v>0</v>
      </c>
      <c r="BZ20" s="686">
        <v>0</v>
      </c>
      <c r="CA20" s="686">
        <v>0</v>
      </c>
      <c r="CB20" s="686">
        <v>0</v>
      </c>
      <c r="CC20" s="686">
        <v>0</v>
      </c>
      <c r="CD20" s="686">
        <v>0</v>
      </c>
      <c r="CE20" s="686">
        <v>0</v>
      </c>
    </row>
    <row r="21" spans="1:83" ht="30" x14ac:dyDescent="0.25">
      <c r="A21" s="622"/>
      <c r="B21" s="629">
        <v>33</v>
      </c>
      <c r="C21" s="681" t="s">
        <v>321</v>
      </c>
      <c r="D21" s="701" t="s">
        <v>322</v>
      </c>
      <c r="E21" s="638">
        <v>0</v>
      </c>
      <c r="F21" s="621">
        <v>0</v>
      </c>
      <c r="G21" s="621">
        <v>0</v>
      </c>
      <c r="H21" s="621">
        <v>0</v>
      </c>
      <c r="I21" s="621">
        <v>0</v>
      </c>
      <c r="J21" s="621">
        <v>0</v>
      </c>
      <c r="K21" s="672">
        <v>0</v>
      </c>
      <c r="L21" s="686">
        <v>0</v>
      </c>
      <c r="M21" s="686">
        <v>0</v>
      </c>
      <c r="N21" s="636">
        <v>0</v>
      </c>
      <c r="O21" s="636">
        <v>0</v>
      </c>
      <c r="P21" s="636">
        <v>0</v>
      </c>
      <c r="Q21" s="636">
        <v>0</v>
      </c>
      <c r="R21" s="636">
        <v>0</v>
      </c>
      <c r="S21" s="636">
        <v>0</v>
      </c>
      <c r="T21" s="636">
        <v>0</v>
      </c>
      <c r="U21" s="636">
        <v>0</v>
      </c>
      <c r="V21" s="636">
        <v>0</v>
      </c>
      <c r="W21" s="636">
        <v>0</v>
      </c>
      <c r="X21" s="636">
        <v>0</v>
      </c>
      <c r="Y21" s="636">
        <v>0</v>
      </c>
      <c r="Z21" s="636">
        <v>0</v>
      </c>
      <c r="AA21" s="636">
        <v>0</v>
      </c>
      <c r="AB21" s="686" t="e">
        <v>#VALUE!</v>
      </c>
      <c r="AC21" s="686">
        <v>0</v>
      </c>
      <c r="AD21" s="686" t="e">
        <v>#VALUE!</v>
      </c>
      <c r="AE21" s="686">
        <v>0</v>
      </c>
      <c r="AF21" s="686">
        <v>0</v>
      </c>
      <c r="AG21" s="686">
        <v>0</v>
      </c>
      <c r="AH21" s="686">
        <v>0</v>
      </c>
      <c r="AI21" s="686">
        <v>0</v>
      </c>
      <c r="AJ21" s="686">
        <v>0</v>
      </c>
      <c r="AK21" s="686">
        <v>0</v>
      </c>
      <c r="AL21" s="686">
        <v>0</v>
      </c>
      <c r="AM21" s="686">
        <v>0</v>
      </c>
      <c r="AN21" s="686">
        <v>0</v>
      </c>
      <c r="AO21" s="686">
        <v>0</v>
      </c>
      <c r="AP21" s="686">
        <v>0</v>
      </c>
      <c r="AQ21" s="686">
        <v>0</v>
      </c>
      <c r="AR21" s="686">
        <v>0</v>
      </c>
      <c r="AS21" s="686">
        <v>0</v>
      </c>
      <c r="AT21" s="686">
        <v>0</v>
      </c>
      <c r="AU21" s="686">
        <v>0</v>
      </c>
      <c r="AV21" s="686">
        <v>0</v>
      </c>
      <c r="AW21" s="686">
        <v>0</v>
      </c>
      <c r="AX21" s="686">
        <v>0</v>
      </c>
      <c r="AY21" s="686">
        <v>0</v>
      </c>
      <c r="AZ21" s="686">
        <v>0</v>
      </c>
      <c r="BA21" s="686">
        <v>0</v>
      </c>
      <c r="BB21" s="686">
        <v>0</v>
      </c>
      <c r="BC21" s="686">
        <v>0</v>
      </c>
      <c r="BD21" s="686">
        <v>0</v>
      </c>
      <c r="BE21" s="686">
        <v>0</v>
      </c>
      <c r="BF21" s="686">
        <v>0</v>
      </c>
      <c r="BG21" s="686">
        <v>0</v>
      </c>
      <c r="BH21" s="686">
        <v>0</v>
      </c>
      <c r="BI21" s="686">
        <v>0</v>
      </c>
      <c r="BJ21" s="686">
        <v>0</v>
      </c>
      <c r="BK21" s="686">
        <v>0</v>
      </c>
      <c r="BL21" s="686">
        <v>0</v>
      </c>
      <c r="BM21" s="686">
        <v>0</v>
      </c>
      <c r="BN21" s="686">
        <v>0</v>
      </c>
      <c r="BO21" s="686">
        <v>0</v>
      </c>
      <c r="BP21" s="686">
        <v>0</v>
      </c>
      <c r="BQ21" s="686">
        <v>0</v>
      </c>
      <c r="BR21" s="686">
        <v>0</v>
      </c>
      <c r="BS21" s="686">
        <v>0</v>
      </c>
      <c r="BT21" s="686">
        <v>0</v>
      </c>
      <c r="BU21" s="686">
        <v>0</v>
      </c>
      <c r="BV21" s="686">
        <v>0</v>
      </c>
      <c r="BW21" s="686">
        <v>0</v>
      </c>
      <c r="BX21" s="686">
        <v>0</v>
      </c>
      <c r="BY21" s="686">
        <v>0</v>
      </c>
      <c r="BZ21" s="686">
        <v>0</v>
      </c>
      <c r="CA21" s="686">
        <v>0</v>
      </c>
      <c r="CB21" s="686">
        <v>0</v>
      </c>
      <c r="CC21" s="686">
        <v>0</v>
      </c>
      <c r="CD21" s="686">
        <v>0</v>
      </c>
      <c r="CE21" s="686">
        <v>0</v>
      </c>
    </row>
    <row r="22" spans="1:83" x14ac:dyDescent="0.25">
      <c r="A22" s="622"/>
      <c r="B22" s="629">
        <v>34</v>
      </c>
      <c r="C22" s="683" t="s">
        <v>323</v>
      </c>
      <c r="D22" s="701" t="s">
        <v>324</v>
      </c>
      <c r="E22" s="638">
        <v>0</v>
      </c>
      <c r="F22" s="621">
        <v>0</v>
      </c>
      <c r="G22" s="621">
        <v>0</v>
      </c>
      <c r="H22" s="621">
        <v>0</v>
      </c>
      <c r="I22" s="621">
        <v>0</v>
      </c>
      <c r="J22" s="621">
        <v>0</v>
      </c>
      <c r="K22" s="672">
        <v>0</v>
      </c>
      <c r="L22" s="686">
        <v>0</v>
      </c>
      <c r="M22" s="686">
        <v>0</v>
      </c>
      <c r="N22" s="636">
        <v>0</v>
      </c>
      <c r="O22" s="636">
        <v>0</v>
      </c>
      <c r="P22" s="636">
        <v>0</v>
      </c>
      <c r="Q22" s="636">
        <v>0</v>
      </c>
      <c r="R22" s="636">
        <v>0</v>
      </c>
      <c r="S22" s="636">
        <v>0</v>
      </c>
      <c r="T22" s="636">
        <v>0</v>
      </c>
      <c r="U22" s="636">
        <v>0</v>
      </c>
      <c r="V22" s="636">
        <v>0</v>
      </c>
      <c r="W22" s="636">
        <v>0</v>
      </c>
      <c r="X22" s="636">
        <v>0</v>
      </c>
      <c r="Y22" s="636">
        <v>0</v>
      </c>
      <c r="Z22" s="636">
        <v>0</v>
      </c>
      <c r="AA22" s="636">
        <v>0</v>
      </c>
      <c r="AB22" s="686" t="e">
        <v>#VALUE!</v>
      </c>
      <c r="AC22" s="686">
        <v>0</v>
      </c>
      <c r="AD22" s="686" t="e">
        <v>#VALUE!</v>
      </c>
      <c r="AE22" s="686">
        <v>0</v>
      </c>
      <c r="AF22" s="686">
        <v>0</v>
      </c>
      <c r="AG22" s="686">
        <v>0</v>
      </c>
      <c r="AH22" s="686">
        <v>0</v>
      </c>
      <c r="AI22" s="686">
        <v>0</v>
      </c>
      <c r="AJ22" s="686">
        <v>0</v>
      </c>
      <c r="AK22" s="686">
        <v>0</v>
      </c>
      <c r="AL22" s="686">
        <v>0</v>
      </c>
      <c r="AM22" s="686">
        <v>0</v>
      </c>
      <c r="AN22" s="686">
        <v>0</v>
      </c>
      <c r="AO22" s="686">
        <v>0</v>
      </c>
      <c r="AP22" s="686">
        <v>0</v>
      </c>
      <c r="AQ22" s="686">
        <v>0</v>
      </c>
      <c r="AR22" s="686">
        <v>0</v>
      </c>
      <c r="AS22" s="686">
        <v>0</v>
      </c>
      <c r="AT22" s="686">
        <v>0</v>
      </c>
      <c r="AU22" s="686">
        <v>0</v>
      </c>
      <c r="AV22" s="686">
        <v>0</v>
      </c>
      <c r="AW22" s="686">
        <v>0</v>
      </c>
      <c r="AX22" s="686">
        <v>0</v>
      </c>
      <c r="AY22" s="686">
        <v>0</v>
      </c>
      <c r="AZ22" s="686">
        <v>0</v>
      </c>
      <c r="BA22" s="686">
        <v>0</v>
      </c>
      <c r="BB22" s="686">
        <v>0</v>
      </c>
      <c r="BC22" s="686">
        <v>0</v>
      </c>
      <c r="BD22" s="686">
        <v>0</v>
      </c>
      <c r="BE22" s="686">
        <v>0</v>
      </c>
      <c r="BF22" s="686">
        <v>0</v>
      </c>
      <c r="BG22" s="686">
        <v>0</v>
      </c>
      <c r="BH22" s="686">
        <v>0</v>
      </c>
      <c r="BI22" s="686">
        <v>0</v>
      </c>
      <c r="BJ22" s="686">
        <v>0</v>
      </c>
      <c r="BK22" s="686">
        <v>0</v>
      </c>
      <c r="BL22" s="686">
        <v>0</v>
      </c>
      <c r="BM22" s="686">
        <v>0</v>
      </c>
      <c r="BN22" s="686">
        <v>0</v>
      </c>
      <c r="BO22" s="686">
        <v>0</v>
      </c>
      <c r="BP22" s="686">
        <v>0</v>
      </c>
      <c r="BQ22" s="686">
        <v>0</v>
      </c>
      <c r="BR22" s="686">
        <v>0</v>
      </c>
      <c r="BS22" s="686">
        <v>0</v>
      </c>
      <c r="BT22" s="686">
        <v>0</v>
      </c>
      <c r="BU22" s="686">
        <v>0</v>
      </c>
      <c r="BV22" s="686">
        <v>0</v>
      </c>
      <c r="BW22" s="686">
        <v>0</v>
      </c>
      <c r="BX22" s="686">
        <v>0</v>
      </c>
      <c r="BY22" s="686">
        <v>0</v>
      </c>
      <c r="BZ22" s="686">
        <v>0</v>
      </c>
      <c r="CA22" s="686">
        <v>0</v>
      </c>
      <c r="CB22" s="686">
        <v>0</v>
      </c>
      <c r="CC22" s="686">
        <v>0</v>
      </c>
      <c r="CD22" s="686">
        <v>0</v>
      </c>
      <c r="CE22" s="686">
        <v>0</v>
      </c>
    </row>
    <row r="23" spans="1:83" x14ac:dyDescent="0.25">
      <c r="A23" s="622"/>
      <c r="B23" s="629">
        <v>35</v>
      </c>
      <c r="C23" s="683" t="s">
        <v>628</v>
      </c>
      <c r="D23" s="701" t="s">
        <v>325</v>
      </c>
      <c r="E23" s="638">
        <v>0</v>
      </c>
      <c r="F23" s="621">
        <v>0</v>
      </c>
      <c r="G23" s="621">
        <v>0</v>
      </c>
      <c r="H23" s="621">
        <v>0</v>
      </c>
      <c r="I23" s="621">
        <v>0</v>
      </c>
      <c r="J23" s="621">
        <v>0</v>
      </c>
      <c r="K23" s="672">
        <v>0</v>
      </c>
      <c r="L23" s="686">
        <v>0</v>
      </c>
      <c r="M23" s="686">
        <v>0</v>
      </c>
      <c r="N23" s="636">
        <v>0</v>
      </c>
      <c r="O23" s="636">
        <v>0</v>
      </c>
      <c r="P23" s="636">
        <v>0</v>
      </c>
      <c r="Q23" s="636">
        <v>0</v>
      </c>
      <c r="R23" s="636">
        <v>0</v>
      </c>
      <c r="S23" s="636">
        <v>0</v>
      </c>
      <c r="T23" s="636">
        <v>0</v>
      </c>
      <c r="U23" s="636">
        <v>0</v>
      </c>
      <c r="V23" s="636">
        <v>0</v>
      </c>
      <c r="W23" s="636">
        <v>0</v>
      </c>
      <c r="X23" s="636">
        <v>0</v>
      </c>
      <c r="Y23" s="636">
        <v>0</v>
      </c>
      <c r="Z23" s="636">
        <v>0</v>
      </c>
      <c r="AA23" s="636">
        <v>0</v>
      </c>
      <c r="AB23" s="686" t="e">
        <v>#VALUE!</v>
      </c>
      <c r="AC23" s="686">
        <v>0</v>
      </c>
      <c r="AD23" s="686" t="e">
        <v>#VALUE!</v>
      </c>
      <c r="AE23" s="686">
        <v>0</v>
      </c>
      <c r="AF23" s="686">
        <v>0</v>
      </c>
      <c r="AG23" s="686">
        <v>0</v>
      </c>
      <c r="AH23" s="686">
        <v>0</v>
      </c>
      <c r="AI23" s="686">
        <v>0</v>
      </c>
      <c r="AJ23" s="686">
        <v>0</v>
      </c>
      <c r="AK23" s="686">
        <v>0</v>
      </c>
      <c r="AL23" s="686">
        <v>0</v>
      </c>
      <c r="AM23" s="686">
        <v>0</v>
      </c>
      <c r="AN23" s="686">
        <v>0</v>
      </c>
      <c r="AO23" s="686">
        <v>0</v>
      </c>
      <c r="AP23" s="686">
        <v>0</v>
      </c>
      <c r="AQ23" s="686">
        <v>0</v>
      </c>
      <c r="AR23" s="686">
        <v>0</v>
      </c>
      <c r="AS23" s="686">
        <v>0</v>
      </c>
      <c r="AT23" s="686">
        <v>0</v>
      </c>
      <c r="AU23" s="686">
        <v>0</v>
      </c>
      <c r="AV23" s="686">
        <v>0</v>
      </c>
      <c r="AW23" s="686">
        <v>0</v>
      </c>
      <c r="AX23" s="686">
        <v>0</v>
      </c>
      <c r="AY23" s="686">
        <v>0</v>
      </c>
      <c r="AZ23" s="686">
        <v>0</v>
      </c>
      <c r="BA23" s="686">
        <v>0</v>
      </c>
      <c r="BB23" s="686">
        <v>0</v>
      </c>
      <c r="BC23" s="686">
        <v>0</v>
      </c>
      <c r="BD23" s="686">
        <v>0</v>
      </c>
      <c r="BE23" s="686">
        <v>0</v>
      </c>
      <c r="BF23" s="686">
        <v>0</v>
      </c>
      <c r="BG23" s="686">
        <v>0</v>
      </c>
      <c r="BH23" s="686">
        <v>0</v>
      </c>
      <c r="BI23" s="686">
        <v>0</v>
      </c>
      <c r="BJ23" s="686">
        <v>0</v>
      </c>
      <c r="BK23" s="686">
        <v>0</v>
      </c>
      <c r="BL23" s="686">
        <v>0</v>
      </c>
      <c r="BM23" s="686">
        <v>0</v>
      </c>
      <c r="BN23" s="686">
        <v>0</v>
      </c>
      <c r="BO23" s="686">
        <v>0</v>
      </c>
      <c r="BP23" s="686">
        <v>0</v>
      </c>
      <c r="BQ23" s="686">
        <v>0</v>
      </c>
      <c r="BR23" s="686">
        <v>0</v>
      </c>
      <c r="BS23" s="686">
        <v>0</v>
      </c>
      <c r="BT23" s="686">
        <v>0</v>
      </c>
      <c r="BU23" s="686">
        <v>0</v>
      </c>
      <c r="BV23" s="686">
        <v>0</v>
      </c>
      <c r="BW23" s="686">
        <v>0</v>
      </c>
      <c r="BX23" s="686">
        <v>0</v>
      </c>
      <c r="BY23" s="686">
        <v>0</v>
      </c>
      <c r="BZ23" s="686">
        <v>0</v>
      </c>
      <c r="CA23" s="686">
        <v>0</v>
      </c>
      <c r="CB23" s="686">
        <v>0</v>
      </c>
      <c r="CC23" s="686">
        <v>0</v>
      </c>
      <c r="CD23" s="686">
        <v>0</v>
      </c>
      <c r="CE23" s="686">
        <v>0</v>
      </c>
    </row>
    <row r="24" spans="1:83" ht="25.5" x14ac:dyDescent="0.25">
      <c r="A24" s="622"/>
      <c r="B24" s="629">
        <v>36</v>
      </c>
      <c r="C24" s="683" t="s">
        <v>629</v>
      </c>
      <c r="D24" s="701" t="s">
        <v>326</v>
      </c>
      <c r="E24" s="638">
        <v>0</v>
      </c>
      <c r="F24" s="621">
        <v>0</v>
      </c>
      <c r="G24" s="621">
        <v>0</v>
      </c>
      <c r="H24" s="621">
        <v>0</v>
      </c>
      <c r="I24" s="621">
        <v>0</v>
      </c>
      <c r="J24" s="621">
        <v>0</v>
      </c>
      <c r="K24" s="672">
        <v>0</v>
      </c>
      <c r="L24" s="686">
        <v>0</v>
      </c>
      <c r="M24" s="686">
        <v>0</v>
      </c>
      <c r="N24" s="636">
        <v>0</v>
      </c>
      <c r="O24" s="636">
        <v>0</v>
      </c>
      <c r="P24" s="636">
        <v>0</v>
      </c>
      <c r="Q24" s="636">
        <v>0</v>
      </c>
      <c r="R24" s="636">
        <v>0</v>
      </c>
      <c r="S24" s="636">
        <v>0</v>
      </c>
      <c r="T24" s="636">
        <v>0</v>
      </c>
      <c r="U24" s="636">
        <v>0</v>
      </c>
      <c r="V24" s="636">
        <v>0</v>
      </c>
      <c r="W24" s="636">
        <v>0</v>
      </c>
      <c r="X24" s="636">
        <v>0</v>
      </c>
      <c r="Y24" s="636">
        <v>0</v>
      </c>
      <c r="Z24" s="636">
        <v>0</v>
      </c>
      <c r="AA24" s="636">
        <v>0</v>
      </c>
      <c r="AB24" s="686" t="e">
        <v>#VALUE!</v>
      </c>
      <c r="AC24" s="686">
        <v>0</v>
      </c>
      <c r="AD24" s="686" t="e">
        <v>#VALUE!</v>
      </c>
      <c r="AE24" s="686">
        <v>0</v>
      </c>
      <c r="AF24" s="686">
        <v>0</v>
      </c>
      <c r="AG24" s="686">
        <v>0</v>
      </c>
      <c r="AH24" s="686">
        <v>0</v>
      </c>
      <c r="AI24" s="686">
        <v>0</v>
      </c>
      <c r="AJ24" s="686">
        <v>0</v>
      </c>
      <c r="AK24" s="686">
        <v>0</v>
      </c>
      <c r="AL24" s="686">
        <v>0</v>
      </c>
      <c r="AM24" s="686">
        <v>0</v>
      </c>
      <c r="AN24" s="686">
        <v>0</v>
      </c>
      <c r="AO24" s="686">
        <v>0</v>
      </c>
      <c r="AP24" s="686">
        <v>0</v>
      </c>
      <c r="AQ24" s="686">
        <v>0</v>
      </c>
      <c r="AR24" s="686">
        <v>0</v>
      </c>
      <c r="AS24" s="686">
        <v>0</v>
      </c>
      <c r="AT24" s="686">
        <v>0</v>
      </c>
      <c r="AU24" s="686">
        <v>0</v>
      </c>
      <c r="AV24" s="686">
        <v>0</v>
      </c>
      <c r="AW24" s="686">
        <v>0</v>
      </c>
      <c r="AX24" s="686">
        <v>0</v>
      </c>
      <c r="AY24" s="686">
        <v>0</v>
      </c>
      <c r="AZ24" s="686">
        <v>0</v>
      </c>
      <c r="BA24" s="686">
        <v>0</v>
      </c>
      <c r="BB24" s="686">
        <v>0</v>
      </c>
      <c r="BC24" s="686">
        <v>0</v>
      </c>
      <c r="BD24" s="686">
        <v>0</v>
      </c>
      <c r="BE24" s="686">
        <v>0</v>
      </c>
      <c r="BF24" s="686">
        <v>0</v>
      </c>
      <c r="BG24" s="686">
        <v>0</v>
      </c>
      <c r="BH24" s="686">
        <v>0</v>
      </c>
      <c r="BI24" s="686">
        <v>0</v>
      </c>
      <c r="BJ24" s="686">
        <v>0</v>
      </c>
      <c r="BK24" s="686">
        <v>0</v>
      </c>
      <c r="BL24" s="686">
        <v>0</v>
      </c>
      <c r="BM24" s="686">
        <v>0</v>
      </c>
      <c r="BN24" s="686">
        <v>0</v>
      </c>
      <c r="BO24" s="686">
        <v>0</v>
      </c>
      <c r="BP24" s="686">
        <v>0</v>
      </c>
      <c r="BQ24" s="686">
        <v>0</v>
      </c>
      <c r="BR24" s="686">
        <v>0</v>
      </c>
      <c r="BS24" s="686">
        <v>0</v>
      </c>
      <c r="BT24" s="686">
        <v>0</v>
      </c>
      <c r="BU24" s="686">
        <v>0</v>
      </c>
      <c r="BV24" s="686">
        <v>0</v>
      </c>
      <c r="BW24" s="686">
        <v>0</v>
      </c>
      <c r="BX24" s="686">
        <v>0</v>
      </c>
      <c r="BY24" s="686">
        <v>0</v>
      </c>
      <c r="BZ24" s="686">
        <v>0</v>
      </c>
      <c r="CA24" s="686">
        <v>0</v>
      </c>
      <c r="CB24" s="686">
        <v>0</v>
      </c>
      <c r="CC24" s="686">
        <v>0</v>
      </c>
      <c r="CD24" s="686">
        <v>0</v>
      </c>
      <c r="CE24" s="686">
        <v>0</v>
      </c>
    </row>
    <row r="25" spans="1:83" ht="25.5" x14ac:dyDescent="0.25">
      <c r="A25" s="622"/>
      <c r="B25" s="629">
        <v>37</v>
      </c>
      <c r="C25" s="683" t="s">
        <v>327</v>
      </c>
      <c r="D25" s="701" t="s">
        <v>328</v>
      </c>
      <c r="E25" s="638">
        <v>0</v>
      </c>
      <c r="F25" s="621">
        <v>0</v>
      </c>
      <c r="G25" s="621">
        <v>0</v>
      </c>
      <c r="H25" s="621">
        <v>0</v>
      </c>
      <c r="I25" s="621">
        <v>0</v>
      </c>
      <c r="J25" s="621">
        <v>0</v>
      </c>
      <c r="K25" s="672">
        <v>0</v>
      </c>
      <c r="L25" s="686">
        <v>0</v>
      </c>
      <c r="M25" s="686">
        <v>0</v>
      </c>
      <c r="N25" s="636">
        <v>0</v>
      </c>
      <c r="O25" s="636">
        <v>0</v>
      </c>
      <c r="P25" s="636">
        <v>0</v>
      </c>
      <c r="Q25" s="636">
        <v>0</v>
      </c>
      <c r="R25" s="636">
        <v>0</v>
      </c>
      <c r="S25" s="636">
        <v>0</v>
      </c>
      <c r="T25" s="636">
        <v>0</v>
      </c>
      <c r="U25" s="636">
        <v>0</v>
      </c>
      <c r="V25" s="636">
        <v>0</v>
      </c>
      <c r="W25" s="636">
        <v>0</v>
      </c>
      <c r="X25" s="636">
        <v>0</v>
      </c>
      <c r="Y25" s="636">
        <v>0</v>
      </c>
      <c r="Z25" s="636">
        <v>0</v>
      </c>
      <c r="AA25" s="636">
        <v>0</v>
      </c>
      <c r="AB25" s="686" t="e">
        <v>#VALUE!</v>
      </c>
      <c r="AC25" s="686">
        <v>0</v>
      </c>
      <c r="AD25" s="686" t="e">
        <v>#VALUE!</v>
      </c>
      <c r="AE25" s="686">
        <v>0</v>
      </c>
      <c r="AF25" s="686">
        <v>0</v>
      </c>
      <c r="AG25" s="686">
        <v>0</v>
      </c>
      <c r="AH25" s="686">
        <v>0</v>
      </c>
      <c r="AI25" s="686">
        <v>0</v>
      </c>
      <c r="AJ25" s="686">
        <v>0</v>
      </c>
      <c r="AK25" s="686">
        <v>0</v>
      </c>
      <c r="AL25" s="686">
        <v>0</v>
      </c>
      <c r="AM25" s="686">
        <v>0</v>
      </c>
      <c r="AN25" s="686">
        <v>0</v>
      </c>
      <c r="AO25" s="686">
        <v>0</v>
      </c>
      <c r="AP25" s="686">
        <v>0</v>
      </c>
      <c r="AQ25" s="686">
        <v>0</v>
      </c>
      <c r="AR25" s="686">
        <v>0</v>
      </c>
      <c r="AS25" s="686">
        <v>0</v>
      </c>
      <c r="AT25" s="686">
        <v>0</v>
      </c>
      <c r="AU25" s="686">
        <v>0</v>
      </c>
      <c r="AV25" s="686">
        <v>0</v>
      </c>
      <c r="AW25" s="686">
        <v>0</v>
      </c>
      <c r="AX25" s="686">
        <v>0</v>
      </c>
      <c r="AY25" s="686">
        <v>0</v>
      </c>
      <c r="AZ25" s="686">
        <v>0</v>
      </c>
      <c r="BA25" s="686">
        <v>0</v>
      </c>
      <c r="BB25" s="686">
        <v>0</v>
      </c>
      <c r="BC25" s="686">
        <v>0</v>
      </c>
      <c r="BD25" s="686">
        <v>0</v>
      </c>
      <c r="BE25" s="686">
        <v>0</v>
      </c>
      <c r="BF25" s="686">
        <v>0</v>
      </c>
      <c r="BG25" s="686">
        <v>0</v>
      </c>
      <c r="BH25" s="686">
        <v>0</v>
      </c>
      <c r="BI25" s="686">
        <v>0</v>
      </c>
      <c r="BJ25" s="686">
        <v>0</v>
      </c>
      <c r="BK25" s="686">
        <v>0</v>
      </c>
      <c r="BL25" s="686">
        <v>0</v>
      </c>
      <c r="BM25" s="686">
        <v>0</v>
      </c>
      <c r="BN25" s="686">
        <v>0</v>
      </c>
      <c r="BO25" s="686">
        <v>0</v>
      </c>
      <c r="BP25" s="686">
        <v>0</v>
      </c>
      <c r="BQ25" s="686">
        <v>0</v>
      </c>
      <c r="BR25" s="686">
        <v>0</v>
      </c>
      <c r="BS25" s="686">
        <v>0</v>
      </c>
      <c r="BT25" s="686">
        <v>0</v>
      </c>
      <c r="BU25" s="686">
        <v>0</v>
      </c>
      <c r="BV25" s="686">
        <v>0</v>
      </c>
      <c r="BW25" s="686">
        <v>0</v>
      </c>
      <c r="BX25" s="686">
        <v>0</v>
      </c>
      <c r="BY25" s="686">
        <v>0</v>
      </c>
      <c r="BZ25" s="686">
        <v>0</v>
      </c>
      <c r="CA25" s="686">
        <v>0</v>
      </c>
      <c r="CB25" s="686">
        <v>0</v>
      </c>
      <c r="CC25" s="686">
        <v>0</v>
      </c>
      <c r="CD25" s="686">
        <v>0</v>
      </c>
      <c r="CE25" s="686">
        <v>0</v>
      </c>
    </row>
    <row r="26" spans="1:83" x14ac:dyDescent="0.25">
      <c r="A26" s="622"/>
      <c r="B26" s="629">
        <v>38</v>
      </c>
      <c r="C26" s="683" t="s">
        <v>630</v>
      </c>
      <c r="D26" s="701" t="s">
        <v>329</v>
      </c>
      <c r="E26" s="638">
        <v>0</v>
      </c>
      <c r="F26" s="621">
        <v>0</v>
      </c>
      <c r="G26" s="621">
        <v>0</v>
      </c>
      <c r="H26" s="621">
        <v>0</v>
      </c>
      <c r="I26" s="621">
        <v>0</v>
      </c>
      <c r="J26" s="621">
        <v>0</v>
      </c>
      <c r="K26" s="672">
        <v>0</v>
      </c>
      <c r="L26" s="686">
        <v>0</v>
      </c>
      <c r="M26" s="686">
        <v>0</v>
      </c>
      <c r="N26" s="636">
        <v>0</v>
      </c>
      <c r="O26" s="636">
        <v>0</v>
      </c>
      <c r="P26" s="636">
        <v>0</v>
      </c>
      <c r="Q26" s="636">
        <v>0</v>
      </c>
      <c r="R26" s="636">
        <v>0</v>
      </c>
      <c r="S26" s="636">
        <v>0</v>
      </c>
      <c r="T26" s="636">
        <v>0</v>
      </c>
      <c r="U26" s="636">
        <v>0</v>
      </c>
      <c r="V26" s="636">
        <v>0</v>
      </c>
      <c r="W26" s="636">
        <v>0</v>
      </c>
      <c r="X26" s="636">
        <v>0</v>
      </c>
      <c r="Y26" s="636">
        <v>0</v>
      </c>
      <c r="Z26" s="636">
        <v>0</v>
      </c>
      <c r="AA26" s="636">
        <v>0</v>
      </c>
      <c r="AB26" s="686" t="e">
        <v>#VALUE!</v>
      </c>
      <c r="AC26" s="686">
        <v>0</v>
      </c>
      <c r="AD26" s="686" t="e">
        <v>#VALUE!</v>
      </c>
      <c r="AE26" s="686">
        <v>0</v>
      </c>
      <c r="AF26" s="686">
        <v>0</v>
      </c>
      <c r="AG26" s="686">
        <v>0</v>
      </c>
      <c r="AH26" s="686">
        <v>0</v>
      </c>
      <c r="AI26" s="686">
        <v>0</v>
      </c>
      <c r="AJ26" s="686">
        <v>0</v>
      </c>
      <c r="AK26" s="686">
        <v>0</v>
      </c>
      <c r="AL26" s="686">
        <v>0</v>
      </c>
      <c r="AM26" s="686">
        <v>0</v>
      </c>
      <c r="AN26" s="686">
        <v>0</v>
      </c>
      <c r="AO26" s="686">
        <v>0</v>
      </c>
      <c r="AP26" s="686">
        <v>0</v>
      </c>
      <c r="AQ26" s="686">
        <v>0</v>
      </c>
      <c r="AR26" s="686">
        <v>0</v>
      </c>
      <c r="AS26" s="686">
        <v>0</v>
      </c>
      <c r="AT26" s="686">
        <v>0</v>
      </c>
      <c r="AU26" s="686">
        <v>0</v>
      </c>
      <c r="AV26" s="686">
        <v>0</v>
      </c>
      <c r="AW26" s="686">
        <v>0</v>
      </c>
      <c r="AX26" s="686">
        <v>0</v>
      </c>
      <c r="AY26" s="686">
        <v>0</v>
      </c>
      <c r="AZ26" s="686">
        <v>0</v>
      </c>
      <c r="BA26" s="686">
        <v>0</v>
      </c>
      <c r="BB26" s="686">
        <v>0</v>
      </c>
      <c r="BC26" s="686">
        <v>0</v>
      </c>
      <c r="BD26" s="686">
        <v>0</v>
      </c>
      <c r="BE26" s="686">
        <v>0</v>
      </c>
      <c r="BF26" s="686">
        <v>0</v>
      </c>
      <c r="BG26" s="686">
        <v>0</v>
      </c>
      <c r="BH26" s="686">
        <v>0</v>
      </c>
      <c r="BI26" s="686">
        <v>0</v>
      </c>
      <c r="BJ26" s="686">
        <v>0</v>
      </c>
      <c r="BK26" s="686">
        <v>0</v>
      </c>
      <c r="BL26" s="686">
        <v>0</v>
      </c>
      <c r="BM26" s="686">
        <v>0</v>
      </c>
      <c r="BN26" s="686">
        <v>0</v>
      </c>
      <c r="BO26" s="686">
        <v>0</v>
      </c>
      <c r="BP26" s="686">
        <v>0</v>
      </c>
      <c r="BQ26" s="686">
        <v>0</v>
      </c>
      <c r="BR26" s="686">
        <v>0</v>
      </c>
      <c r="BS26" s="686">
        <v>0</v>
      </c>
      <c r="BT26" s="686">
        <v>0</v>
      </c>
      <c r="BU26" s="686">
        <v>0</v>
      </c>
      <c r="BV26" s="686">
        <v>0</v>
      </c>
      <c r="BW26" s="686">
        <v>0</v>
      </c>
      <c r="BX26" s="686">
        <v>0</v>
      </c>
      <c r="BY26" s="686">
        <v>0</v>
      </c>
      <c r="BZ26" s="686">
        <v>0</v>
      </c>
      <c r="CA26" s="686">
        <v>0</v>
      </c>
      <c r="CB26" s="686">
        <v>0</v>
      </c>
      <c r="CC26" s="686">
        <v>0</v>
      </c>
      <c r="CD26" s="686">
        <v>0</v>
      </c>
      <c r="CE26" s="686">
        <v>0</v>
      </c>
    </row>
    <row r="27" spans="1:83" x14ac:dyDescent="0.25">
      <c r="A27" s="622"/>
      <c r="B27" s="629">
        <v>39</v>
      </c>
      <c r="C27" s="683" t="s">
        <v>330</v>
      </c>
      <c r="D27" s="701" t="s">
        <v>331</v>
      </c>
      <c r="E27" s="638">
        <v>0</v>
      </c>
      <c r="F27" s="621">
        <v>0</v>
      </c>
      <c r="G27" s="621">
        <v>0</v>
      </c>
      <c r="H27" s="621">
        <v>0</v>
      </c>
      <c r="I27" s="621">
        <v>0</v>
      </c>
      <c r="J27" s="621">
        <v>0</v>
      </c>
      <c r="K27" s="672">
        <v>0</v>
      </c>
      <c r="L27" s="686">
        <v>0</v>
      </c>
      <c r="M27" s="686">
        <v>0</v>
      </c>
      <c r="N27" s="636">
        <v>0</v>
      </c>
      <c r="O27" s="636">
        <v>0</v>
      </c>
      <c r="P27" s="636">
        <v>0</v>
      </c>
      <c r="Q27" s="636">
        <v>0</v>
      </c>
      <c r="R27" s="636">
        <v>0</v>
      </c>
      <c r="S27" s="636">
        <v>0</v>
      </c>
      <c r="T27" s="636">
        <v>0</v>
      </c>
      <c r="U27" s="636">
        <v>0</v>
      </c>
      <c r="V27" s="636">
        <v>0</v>
      </c>
      <c r="W27" s="636">
        <v>0</v>
      </c>
      <c r="X27" s="636">
        <v>0</v>
      </c>
      <c r="Y27" s="636">
        <v>0</v>
      </c>
      <c r="Z27" s="636">
        <v>0</v>
      </c>
      <c r="AA27" s="636">
        <v>0</v>
      </c>
      <c r="AB27" s="686" t="e">
        <v>#VALUE!</v>
      </c>
      <c r="AC27" s="686">
        <v>0</v>
      </c>
      <c r="AD27" s="686" t="e">
        <v>#VALUE!</v>
      </c>
      <c r="AE27" s="686">
        <v>0</v>
      </c>
      <c r="AF27" s="686">
        <v>0</v>
      </c>
      <c r="AG27" s="686">
        <v>0</v>
      </c>
      <c r="AH27" s="686">
        <v>0</v>
      </c>
      <c r="AI27" s="686">
        <v>0</v>
      </c>
      <c r="AJ27" s="686">
        <v>0</v>
      </c>
      <c r="AK27" s="686">
        <v>0</v>
      </c>
      <c r="AL27" s="686">
        <v>0</v>
      </c>
      <c r="AM27" s="686">
        <v>0</v>
      </c>
      <c r="AN27" s="686">
        <v>0</v>
      </c>
      <c r="AO27" s="686">
        <v>0</v>
      </c>
      <c r="AP27" s="686">
        <v>0</v>
      </c>
      <c r="AQ27" s="686">
        <v>0</v>
      </c>
      <c r="AR27" s="686">
        <v>0</v>
      </c>
      <c r="AS27" s="686">
        <v>0</v>
      </c>
      <c r="AT27" s="686">
        <v>0</v>
      </c>
      <c r="AU27" s="686">
        <v>0</v>
      </c>
      <c r="AV27" s="686">
        <v>0</v>
      </c>
      <c r="AW27" s="686">
        <v>0</v>
      </c>
      <c r="AX27" s="686">
        <v>0</v>
      </c>
      <c r="AY27" s="686">
        <v>0</v>
      </c>
      <c r="AZ27" s="686">
        <v>0</v>
      </c>
      <c r="BA27" s="686">
        <v>0</v>
      </c>
      <c r="BB27" s="686">
        <v>0</v>
      </c>
      <c r="BC27" s="686">
        <v>0</v>
      </c>
      <c r="BD27" s="686">
        <v>0</v>
      </c>
      <c r="BE27" s="686">
        <v>0</v>
      </c>
      <c r="BF27" s="686">
        <v>0</v>
      </c>
      <c r="BG27" s="686">
        <v>0</v>
      </c>
      <c r="BH27" s="686">
        <v>0</v>
      </c>
      <c r="BI27" s="686">
        <v>0</v>
      </c>
      <c r="BJ27" s="686">
        <v>0</v>
      </c>
      <c r="BK27" s="686">
        <v>0</v>
      </c>
      <c r="BL27" s="686">
        <v>0</v>
      </c>
      <c r="BM27" s="686">
        <v>0</v>
      </c>
      <c r="BN27" s="686">
        <v>0</v>
      </c>
      <c r="BO27" s="686">
        <v>0</v>
      </c>
      <c r="BP27" s="686">
        <v>0</v>
      </c>
      <c r="BQ27" s="686">
        <v>0</v>
      </c>
      <c r="BR27" s="686">
        <v>0</v>
      </c>
      <c r="BS27" s="686">
        <v>0</v>
      </c>
      <c r="BT27" s="686">
        <v>0</v>
      </c>
      <c r="BU27" s="686">
        <v>0</v>
      </c>
      <c r="BV27" s="686">
        <v>0</v>
      </c>
      <c r="BW27" s="686">
        <v>0</v>
      </c>
      <c r="BX27" s="686">
        <v>0</v>
      </c>
      <c r="BY27" s="686">
        <v>0</v>
      </c>
      <c r="BZ27" s="686">
        <v>0</v>
      </c>
      <c r="CA27" s="686">
        <v>0</v>
      </c>
      <c r="CB27" s="686">
        <v>0</v>
      </c>
      <c r="CC27" s="686">
        <v>0</v>
      </c>
      <c r="CD27" s="686">
        <v>0</v>
      </c>
      <c r="CE27" s="686">
        <v>0</v>
      </c>
    </row>
    <row r="28" spans="1:83" x14ac:dyDescent="0.25">
      <c r="A28" s="622"/>
      <c r="B28" s="629">
        <v>40</v>
      </c>
      <c r="C28" s="683" t="s">
        <v>332</v>
      </c>
      <c r="D28" s="701" t="s">
        <v>333</v>
      </c>
      <c r="E28" s="638">
        <v>0</v>
      </c>
      <c r="F28" s="621">
        <v>0</v>
      </c>
      <c r="G28" s="621">
        <v>0</v>
      </c>
      <c r="H28" s="621">
        <v>0</v>
      </c>
      <c r="I28" s="621">
        <v>0</v>
      </c>
      <c r="J28" s="621">
        <v>0</v>
      </c>
      <c r="K28" s="672">
        <v>0</v>
      </c>
      <c r="L28" s="686">
        <v>0</v>
      </c>
      <c r="M28" s="686">
        <v>0</v>
      </c>
      <c r="N28" s="636">
        <v>0</v>
      </c>
      <c r="O28" s="636">
        <v>0</v>
      </c>
      <c r="P28" s="636">
        <v>0</v>
      </c>
      <c r="Q28" s="636">
        <v>0</v>
      </c>
      <c r="R28" s="636">
        <v>0</v>
      </c>
      <c r="S28" s="636">
        <v>0</v>
      </c>
      <c r="T28" s="636">
        <v>0</v>
      </c>
      <c r="U28" s="636">
        <v>0</v>
      </c>
      <c r="V28" s="636">
        <v>0</v>
      </c>
      <c r="W28" s="636">
        <v>0</v>
      </c>
      <c r="X28" s="636">
        <v>0</v>
      </c>
      <c r="Y28" s="636">
        <v>0</v>
      </c>
      <c r="Z28" s="636">
        <v>0</v>
      </c>
      <c r="AA28" s="636">
        <v>0</v>
      </c>
      <c r="AB28" s="686" t="e">
        <v>#VALUE!</v>
      </c>
      <c r="AC28" s="686">
        <v>0</v>
      </c>
      <c r="AD28" s="686" t="e">
        <v>#VALUE!</v>
      </c>
      <c r="AE28" s="686">
        <v>0</v>
      </c>
      <c r="AF28" s="686">
        <v>0</v>
      </c>
      <c r="AG28" s="686">
        <v>0</v>
      </c>
      <c r="AH28" s="686">
        <v>0</v>
      </c>
      <c r="AI28" s="686">
        <v>0</v>
      </c>
      <c r="AJ28" s="686">
        <v>0</v>
      </c>
      <c r="AK28" s="686">
        <v>0</v>
      </c>
      <c r="AL28" s="686">
        <v>0</v>
      </c>
      <c r="AM28" s="686">
        <v>0</v>
      </c>
      <c r="AN28" s="686">
        <v>0</v>
      </c>
      <c r="AO28" s="686">
        <v>0</v>
      </c>
      <c r="AP28" s="686">
        <v>0</v>
      </c>
      <c r="AQ28" s="686">
        <v>0</v>
      </c>
      <c r="AR28" s="686">
        <v>0</v>
      </c>
      <c r="AS28" s="686">
        <v>0</v>
      </c>
      <c r="AT28" s="686">
        <v>0</v>
      </c>
      <c r="AU28" s="686">
        <v>0</v>
      </c>
      <c r="AV28" s="686">
        <v>0</v>
      </c>
      <c r="AW28" s="686">
        <v>0</v>
      </c>
      <c r="AX28" s="686">
        <v>0</v>
      </c>
      <c r="AY28" s="686">
        <v>0</v>
      </c>
      <c r="AZ28" s="686">
        <v>0</v>
      </c>
      <c r="BA28" s="686">
        <v>0</v>
      </c>
      <c r="BB28" s="686">
        <v>0</v>
      </c>
      <c r="BC28" s="686">
        <v>0</v>
      </c>
      <c r="BD28" s="686">
        <v>0</v>
      </c>
      <c r="BE28" s="686">
        <v>0</v>
      </c>
      <c r="BF28" s="686">
        <v>0</v>
      </c>
      <c r="BG28" s="686">
        <v>0</v>
      </c>
      <c r="BH28" s="686">
        <v>0</v>
      </c>
      <c r="BI28" s="686">
        <v>0</v>
      </c>
      <c r="BJ28" s="686">
        <v>0</v>
      </c>
      <c r="BK28" s="686">
        <v>0</v>
      </c>
      <c r="BL28" s="686">
        <v>0</v>
      </c>
      <c r="BM28" s="686">
        <v>0</v>
      </c>
      <c r="BN28" s="686">
        <v>0</v>
      </c>
      <c r="BO28" s="686">
        <v>0</v>
      </c>
      <c r="BP28" s="686">
        <v>0</v>
      </c>
      <c r="BQ28" s="686">
        <v>0</v>
      </c>
      <c r="BR28" s="686">
        <v>0</v>
      </c>
      <c r="BS28" s="686">
        <v>0</v>
      </c>
      <c r="BT28" s="686">
        <v>0</v>
      </c>
      <c r="BU28" s="686">
        <v>0</v>
      </c>
      <c r="BV28" s="686">
        <v>0</v>
      </c>
      <c r="BW28" s="686">
        <v>0</v>
      </c>
      <c r="BX28" s="686">
        <v>0</v>
      </c>
      <c r="BY28" s="686">
        <v>0</v>
      </c>
      <c r="BZ28" s="686">
        <v>0</v>
      </c>
      <c r="CA28" s="686">
        <v>0</v>
      </c>
      <c r="CB28" s="686">
        <v>0</v>
      </c>
      <c r="CC28" s="686">
        <v>0</v>
      </c>
      <c r="CD28" s="686">
        <v>0</v>
      </c>
      <c r="CE28" s="686">
        <v>0</v>
      </c>
    </row>
    <row r="29" spans="1:83" x14ac:dyDescent="0.25">
      <c r="A29" s="622"/>
      <c r="B29" s="629">
        <v>41</v>
      </c>
      <c r="C29" s="683" t="s">
        <v>334</v>
      </c>
      <c r="D29" s="701" t="s">
        <v>335</v>
      </c>
      <c r="E29" s="638">
        <v>0</v>
      </c>
      <c r="F29" s="621">
        <v>0</v>
      </c>
      <c r="G29" s="621">
        <v>0</v>
      </c>
      <c r="H29" s="621">
        <v>0</v>
      </c>
      <c r="I29" s="621">
        <v>0</v>
      </c>
      <c r="J29" s="621">
        <v>0</v>
      </c>
      <c r="K29" s="672">
        <v>0</v>
      </c>
      <c r="L29" s="686">
        <v>0</v>
      </c>
      <c r="M29" s="686">
        <v>0</v>
      </c>
      <c r="N29" s="636">
        <v>0</v>
      </c>
      <c r="O29" s="636">
        <v>0</v>
      </c>
      <c r="P29" s="636">
        <v>0</v>
      </c>
      <c r="Q29" s="636">
        <v>0</v>
      </c>
      <c r="R29" s="636">
        <v>0</v>
      </c>
      <c r="S29" s="636">
        <v>0</v>
      </c>
      <c r="T29" s="636">
        <v>0</v>
      </c>
      <c r="U29" s="636">
        <v>0</v>
      </c>
      <c r="V29" s="636">
        <v>0</v>
      </c>
      <c r="W29" s="636">
        <v>0</v>
      </c>
      <c r="X29" s="636">
        <v>0</v>
      </c>
      <c r="Y29" s="636">
        <v>0</v>
      </c>
      <c r="Z29" s="636">
        <v>0</v>
      </c>
      <c r="AA29" s="636">
        <v>0</v>
      </c>
      <c r="AB29" s="686" t="e">
        <v>#VALUE!</v>
      </c>
      <c r="AC29" s="686">
        <v>0</v>
      </c>
      <c r="AD29" s="686" t="e">
        <v>#VALUE!</v>
      </c>
      <c r="AE29" s="686">
        <v>0</v>
      </c>
      <c r="AF29" s="686">
        <v>0</v>
      </c>
      <c r="AG29" s="686">
        <v>0</v>
      </c>
      <c r="AH29" s="686">
        <v>0</v>
      </c>
      <c r="AI29" s="686">
        <v>0</v>
      </c>
      <c r="AJ29" s="686">
        <v>0</v>
      </c>
      <c r="AK29" s="686">
        <v>0</v>
      </c>
      <c r="AL29" s="686">
        <v>0</v>
      </c>
      <c r="AM29" s="686">
        <v>0</v>
      </c>
      <c r="AN29" s="686">
        <v>0</v>
      </c>
      <c r="AO29" s="686">
        <v>0</v>
      </c>
      <c r="AP29" s="686">
        <v>0</v>
      </c>
      <c r="AQ29" s="686">
        <v>0</v>
      </c>
      <c r="AR29" s="686">
        <v>0</v>
      </c>
      <c r="AS29" s="686">
        <v>0</v>
      </c>
      <c r="AT29" s="686">
        <v>0</v>
      </c>
      <c r="AU29" s="686">
        <v>0</v>
      </c>
      <c r="AV29" s="686">
        <v>0</v>
      </c>
      <c r="AW29" s="686">
        <v>0</v>
      </c>
      <c r="AX29" s="686">
        <v>0</v>
      </c>
      <c r="AY29" s="686">
        <v>0</v>
      </c>
      <c r="AZ29" s="686">
        <v>0</v>
      </c>
      <c r="BA29" s="686">
        <v>0</v>
      </c>
      <c r="BB29" s="686">
        <v>0</v>
      </c>
      <c r="BC29" s="686">
        <v>0</v>
      </c>
      <c r="BD29" s="686">
        <v>0</v>
      </c>
      <c r="BE29" s="686">
        <v>0</v>
      </c>
      <c r="BF29" s="686">
        <v>0</v>
      </c>
      <c r="BG29" s="686">
        <v>0</v>
      </c>
      <c r="BH29" s="686">
        <v>0</v>
      </c>
      <c r="BI29" s="686">
        <v>0</v>
      </c>
      <c r="BJ29" s="686">
        <v>0</v>
      </c>
      <c r="BK29" s="686">
        <v>0</v>
      </c>
      <c r="BL29" s="686">
        <v>0</v>
      </c>
      <c r="BM29" s="686">
        <v>0</v>
      </c>
      <c r="BN29" s="686">
        <v>0</v>
      </c>
      <c r="BO29" s="686">
        <v>0</v>
      </c>
      <c r="BP29" s="686">
        <v>0</v>
      </c>
      <c r="BQ29" s="686">
        <v>0</v>
      </c>
      <c r="BR29" s="686">
        <v>0</v>
      </c>
      <c r="BS29" s="686">
        <v>0</v>
      </c>
      <c r="BT29" s="686">
        <v>0</v>
      </c>
      <c r="BU29" s="686">
        <v>0</v>
      </c>
      <c r="BV29" s="686">
        <v>0</v>
      </c>
      <c r="BW29" s="686">
        <v>0</v>
      </c>
      <c r="BX29" s="686">
        <v>0</v>
      </c>
      <c r="BY29" s="686">
        <v>0</v>
      </c>
      <c r="BZ29" s="686">
        <v>0</v>
      </c>
      <c r="CA29" s="686">
        <v>0</v>
      </c>
      <c r="CB29" s="686">
        <v>0</v>
      </c>
      <c r="CC29" s="686">
        <v>0</v>
      </c>
      <c r="CD29" s="686">
        <v>0</v>
      </c>
      <c r="CE29" s="686">
        <v>0</v>
      </c>
    </row>
    <row r="30" spans="1:83" ht="30" x14ac:dyDescent="0.25">
      <c r="A30" s="622"/>
      <c r="B30" s="629">
        <v>43</v>
      </c>
      <c r="C30" s="653" t="s">
        <v>336</v>
      </c>
      <c r="D30" s="701" t="s">
        <v>337</v>
      </c>
      <c r="E30" s="638"/>
      <c r="F30" s="621"/>
      <c r="G30" s="621"/>
      <c r="H30" s="621"/>
      <c r="I30" s="621"/>
      <c r="J30" s="621"/>
      <c r="K30" s="672"/>
      <c r="L30" s="686"/>
      <c r="M30" s="686"/>
      <c r="N30" s="636"/>
      <c r="O30" s="636"/>
      <c r="P30" s="636"/>
      <c r="Q30" s="636"/>
      <c r="R30" s="636"/>
      <c r="S30" s="636"/>
      <c r="T30" s="636"/>
      <c r="U30" s="636"/>
      <c r="V30" s="636"/>
      <c r="W30" s="636"/>
      <c r="X30" s="636"/>
      <c r="Y30" s="636"/>
      <c r="Z30" s="636"/>
      <c r="AA30" s="636"/>
      <c r="AB30" s="686"/>
      <c r="AC30" s="686"/>
      <c r="AD30" s="686"/>
      <c r="AE30" s="686"/>
      <c r="AF30" s="686"/>
      <c r="AG30" s="686"/>
      <c r="AH30" s="686"/>
      <c r="AI30" s="686"/>
      <c r="AJ30" s="686"/>
      <c r="AK30" s="686"/>
      <c r="AL30" s="686"/>
      <c r="AM30" s="686"/>
      <c r="AN30" s="686"/>
      <c r="AO30" s="686"/>
      <c r="AP30" s="686"/>
      <c r="AQ30" s="686"/>
      <c r="AR30" s="686"/>
      <c r="AS30" s="686"/>
      <c r="AT30" s="686"/>
      <c r="AU30" s="686"/>
      <c r="AV30" s="686"/>
      <c r="AW30" s="686"/>
      <c r="AX30" s="686"/>
      <c r="AY30" s="686"/>
      <c r="AZ30" s="686"/>
      <c r="BA30" s="686"/>
      <c r="BB30" s="686"/>
      <c r="BC30" s="686"/>
      <c r="BD30" s="686"/>
      <c r="BE30" s="686"/>
      <c r="BF30" s="686"/>
      <c r="BG30" s="686"/>
      <c r="BH30" s="686"/>
      <c r="BI30" s="686"/>
      <c r="BJ30" s="686"/>
      <c r="BK30" s="686"/>
      <c r="BL30" s="686"/>
      <c r="BM30" s="686"/>
      <c r="BN30" s="686"/>
      <c r="BO30" s="686"/>
      <c r="BP30" s="686"/>
      <c r="BQ30" s="686"/>
      <c r="BR30" s="686"/>
      <c r="BS30" s="686"/>
      <c r="BT30" s="686"/>
      <c r="BU30" s="686"/>
      <c r="BV30" s="686"/>
      <c r="BW30" s="686"/>
      <c r="BX30" s="686"/>
      <c r="BY30" s="686"/>
      <c r="BZ30" s="686"/>
      <c r="CA30" s="686"/>
      <c r="CB30" s="686"/>
      <c r="CC30" s="686"/>
      <c r="CD30" s="686"/>
      <c r="CE30" s="686"/>
    </row>
    <row r="31" spans="1:83" x14ac:dyDescent="0.25">
      <c r="A31" s="665">
        <v>44</v>
      </c>
      <c r="B31" s="629">
        <v>44</v>
      </c>
      <c r="C31" s="653" t="s">
        <v>631</v>
      </c>
      <c r="D31" s="701" t="s">
        <v>338</v>
      </c>
      <c r="E31" s="638">
        <v>206478</v>
      </c>
      <c r="F31" s="621">
        <v>0</v>
      </c>
      <c r="G31" s="621">
        <v>635041</v>
      </c>
      <c r="H31" s="621">
        <v>0</v>
      </c>
      <c r="I31" s="621">
        <v>0</v>
      </c>
      <c r="J31" s="621">
        <v>0</v>
      </c>
      <c r="K31" s="672">
        <v>60598</v>
      </c>
      <c r="L31" s="686">
        <v>0</v>
      </c>
      <c r="M31" s="686">
        <v>0</v>
      </c>
      <c r="N31" s="636">
        <v>0</v>
      </c>
      <c r="O31" s="636">
        <v>0</v>
      </c>
      <c r="P31" s="636">
        <v>1245684</v>
      </c>
      <c r="Q31" s="636">
        <v>0</v>
      </c>
      <c r="R31" s="636">
        <v>40900627</v>
      </c>
      <c r="S31" s="636">
        <v>891586</v>
      </c>
      <c r="T31" s="636">
        <v>0</v>
      </c>
      <c r="U31" s="636">
        <v>48262184</v>
      </c>
      <c r="V31" s="636">
        <v>14624302</v>
      </c>
      <c r="W31" s="636">
        <v>18401753</v>
      </c>
      <c r="X31" s="636">
        <v>0</v>
      </c>
      <c r="Y31" s="636">
        <v>264143</v>
      </c>
      <c r="Z31" s="636">
        <v>6076299</v>
      </c>
      <c r="AA31" s="636">
        <v>1382492</v>
      </c>
      <c r="AB31" s="686" t="e">
        <v>#VALUE!</v>
      </c>
      <c r="AC31" s="686">
        <v>277983</v>
      </c>
      <c r="AD31" s="686" t="e">
        <v>#VALUE!</v>
      </c>
      <c r="AE31" s="686">
        <v>1296726</v>
      </c>
      <c r="AF31" s="686">
        <v>2010350</v>
      </c>
      <c r="AG31" s="686">
        <v>3635620</v>
      </c>
      <c r="AH31" s="686">
        <v>2624705</v>
      </c>
      <c r="AI31" s="686">
        <v>134070</v>
      </c>
      <c r="AJ31" s="686">
        <v>17912407</v>
      </c>
      <c r="AK31" s="686">
        <v>776241</v>
      </c>
      <c r="AL31" s="686">
        <v>376353</v>
      </c>
      <c r="AM31" s="686">
        <v>1476795</v>
      </c>
      <c r="AN31" s="686">
        <v>4000503</v>
      </c>
      <c r="AO31" s="686">
        <v>387678</v>
      </c>
      <c r="AP31" s="686">
        <v>138125</v>
      </c>
      <c r="AQ31" s="686">
        <v>0</v>
      </c>
      <c r="AR31" s="686">
        <v>0</v>
      </c>
      <c r="AS31" s="686">
        <v>3904635</v>
      </c>
      <c r="AT31" s="686">
        <v>200940</v>
      </c>
      <c r="AU31" s="686">
        <v>980249</v>
      </c>
      <c r="AV31" s="686">
        <v>0</v>
      </c>
      <c r="AW31" s="686">
        <v>29559534</v>
      </c>
      <c r="AX31" s="686">
        <v>0</v>
      </c>
      <c r="AY31" s="686">
        <v>1929004</v>
      </c>
      <c r="AZ31" s="686">
        <v>5666524</v>
      </c>
      <c r="BA31" s="686">
        <v>923394</v>
      </c>
      <c r="BB31" s="686">
        <v>213022</v>
      </c>
      <c r="BC31" s="686">
        <v>0</v>
      </c>
      <c r="BD31" s="686">
        <v>110687</v>
      </c>
      <c r="BE31" s="686">
        <v>8884015</v>
      </c>
      <c r="BF31" s="686">
        <v>0</v>
      </c>
      <c r="BG31" s="686">
        <v>175981</v>
      </c>
      <c r="BH31" s="686">
        <v>116236</v>
      </c>
      <c r="BI31" s="686">
        <v>0</v>
      </c>
      <c r="BJ31" s="686">
        <v>173068</v>
      </c>
      <c r="BK31" s="686">
        <v>0</v>
      </c>
      <c r="BL31" s="686">
        <v>2480726</v>
      </c>
      <c r="BM31" s="686">
        <v>188260</v>
      </c>
      <c r="BN31" s="686">
        <v>296187</v>
      </c>
      <c r="BO31" s="686">
        <v>893381</v>
      </c>
      <c r="BP31" s="686">
        <v>631667</v>
      </c>
      <c r="BQ31" s="686">
        <v>770084</v>
      </c>
      <c r="BR31" s="686">
        <v>0</v>
      </c>
      <c r="BS31" s="686">
        <v>653276</v>
      </c>
      <c r="BT31" s="686">
        <v>0</v>
      </c>
      <c r="BU31" s="686">
        <v>625704</v>
      </c>
      <c r="BV31" s="686">
        <v>3917194</v>
      </c>
      <c r="BW31" s="686">
        <v>0</v>
      </c>
      <c r="BX31" s="686">
        <v>2160647</v>
      </c>
      <c r="BY31" s="686">
        <v>1028450</v>
      </c>
      <c r="BZ31" s="686">
        <v>17006</v>
      </c>
      <c r="CA31" s="686">
        <v>370241</v>
      </c>
      <c r="CB31" s="686">
        <v>20194</v>
      </c>
      <c r="CC31" s="686">
        <v>200894</v>
      </c>
      <c r="CD31" s="686">
        <v>0</v>
      </c>
      <c r="CE31" s="686">
        <v>6828</v>
      </c>
    </row>
    <row r="32" spans="1:83" x14ac:dyDescent="0.25">
      <c r="A32" s="665">
        <v>45</v>
      </c>
      <c r="B32" s="629">
        <v>45</v>
      </c>
      <c r="C32" s="653" t="s">
        <v>632</v>
      </c>
      <c r="D32" s="701" t="s">
        <v>339</v>
      </c>
      <c r="E32" s="638">
        <v>17044</v>
      </c>
      <c r="F32" s="621">
        <v>0</v>
      </c>
      <c r="G32" s="621">
        <v>67376</v>
      </c>
      <c r="H32" s="621">
        <v>0</v>
      </c>
      <c r="I32" s="621">
        <v>0</v>
      </c>
      <c r="J32" s="621">
        <v>0</v>
      </c>
      <c r="K32" s="672">
        <v>125309</v>
      </c>
      <c r="L32" s="686">
        <v>0</v>
      </c>
      <c r="M32" s="686">
        <v>0</v>
      </c>
      <c r="N32" s="636">
        <v>0</v>
      </c>
      <c r="O32" s="636">
        <v>0</v>
      </c>
      <c r="P32" s="636">
        <v>230714</v>
      </c>
      <c r="Q32" s="636">
        <v>0</v>
      </c>
      <c r="R32" s="636">
        <v>2607168</v>
      </c>
      <c r="S32" s="636">
        <v>71309</v>
      </c>
      <c r="T32" s="636">
        <v>0</v>
      </c>
      <c r="U32" s="636">
        <v>6652644</v>
      </c>
      <c r="V32" s="636">
        <v>2832155</v>
      </c>
      <c r="W32" s="636">
        <v>2709432</v>
      </c>
      <c r="X32" s="636">
        <v>0</v>
      </c>
      <c r="Y32" s="636">
        <v>5272</v>
      </c>
      <c r="Z32" s="636">
        <v>1847875</v>
      </c>
      <c r="AA32" s="636">
        <v>81983</v>
      </c>
      <c r="AB32" s="686" t="e">
        <v>#VALUE!</v>
      </c>
      <c r="AC32" s="686">
        <v>866689</v>
      </c>
      <c r="AD32" s="686" t="e">
        <v>#VALUE!</v>
      </c>
      <c r="AE32" s="686">
        <v>799684</v>
      </c>
      <c r="AF32" s="686">
        <v>58665</v>
      </c>
      <c r="AG32" s="686">
        <v>260968</v>
      </c>
      <c r="AH32" s="686">
        <v>235105</v>
      </c>
      <c r="AI32" s="686">
        <v>319964</v>
      </c>
      <c r="AJ32" s="686">
        <v>5242983</v>
      </c>
      <c r="AK32" s="686">
        <v>18297</v>
      </c>
      <c r="AL32" s="686">
        <v>40250</v>
      </c>
      <c r="AM32" s="686">
        <v>608799</v>
      </c>
      <c r="AN32" s="686">
        <v>1916122</v>
      </c>
      <c r="AO32" s="686">
        <v>63264</v>
      </c>
      <c r="AP32" s="686">
        <v>98746</v>
      </c>
      <c r="AQ32" s="686">
        <v>0</v>
      </c>
      <c r="AR32" s="686">
        <v>0</v>
      </c>
      <c r="AS32" s="686">
        <v>1002191</v>
      </c>
      <c r="AT32" s="686">
        <v>154971</v>
      </c>
      <c r="AU32" s="686">
        <v>348610</v>
      </c>
      <c r="AV32" s="686">
        <v>0</v>
      </c>
      <c r="AW32" s="686">
        <v>4472300</v>
      </c>
      <c r="AX32" s="686">
        <v>0</v>
      </c>
      <c r="AY32" s="686">
        <v>118786</v>
      </c>
      <c r="AZ32" s="686">
        <v>211358</v>
      </c>
      <c r="BA32" s="686">
        <v>107434</v>
      </c>
      <c r="BB32" s="686">
        <v>31347</v>
      </c>
      <c r="BC32" s="686">
        <v>0</v>
      </c>
      <c r="BD32" s="686">
        <v>146196</v>
      </c>
      <c r="BE32" s="686">
        <v>2928033</v>
      </c>
      <c r="BF32" s="686">
        <v>0</v>
      </c>
      <c r="BG32" s="686">
        <v>107922</v>
      </c>
      <c r="BH32" s="686">
        <v>5856</v>
      </c>
      <c r="BI32" s="686">
        <v>0</v>
      </c>
      <c r="BJ32" s="686">
        <v>8977</v>
      </c>
      <c r="BK32" s="686">
        <v>0</v>
      </c>
      <c r="BL32" s="686">
        <v>181873</v>
      </c>
      <c r="BM32" s="686">
        <v>887034</v>
      </c>
      <c r="BN32" s="686">
        <v>148705</v>
      </c>
      <c r="BO32" s="686">
        <v>108994</v>
      </c>
      <c r="BP32" s="686">
        <v>78297</v>
      </c>
      <c r="BQ32" s="686">
        <v>96770</v>
      </c>
      <c r="BR32" s="686">
        <v>0</v>
      </c>
      <c r="BS32" s="686">
        <v>13497</v>
      </c>
      <c r="BT32" s="686">
        <v>0</v>
      </c>
      <c r="BU32" s="686">
        <v>41882</v>
      </c>
      <c r="BV32" s="686">
        <v>461217</v>
      </c>
      <c r="BW32" s="686">
        <v>0</v>
      </c>
      <c r="BX32" s="686">
        <v>1178344</v>
      </c>
      <c r="BY32" s="686">
        <v>17367</v>
      </c>
      <c r="BZ32" s="686">
        <v>5453</v>
      </c>
      <c r="CA32" s="686">
        <v>259258</v>
      </c>
      <c r="CB32" s="686">
        <v>30699</v>
      </c>
      <c r="CC32" s="686">
        <v>113636</v>
      </c>
      <c r="CD32" s="686">
        <v>0</v>
      </c>
      <c r="CE32" s="686">
        <v>2630</v>
      </c>
    </row>
    <row r="33" spans="1:83" ht="30" x14ac:dyDescent="0.25">
      <c r="A33" s="665"/>
      <c r="B33" s="629">
        <v>46</v>
      </c>
      <c r="C33" s="653" t="s">
        <v>633</v>
      </c>
      <c r="D33" s="701" t="s">
        <v>340</v>
      </c>
      <c r="E33" s="638"/>
      <c r="F33" s="621"/>
      <c r="G33" s="621"/>
      <c r="H33" s="621"/>
      <c r="I33" s="621"/>
      <c r="J33" s="621"/>
      <c r="K33" s="672"/>
      <c r="L33" s="686"/>
      <c r="M33" s="686"/>
      <c r="N33" s="636"/>
      <c r="O33" s="636"/>
      <c r="P33" s="636"/>
      <c r="Q33" s="636"/>
      <c r="R33" s="636"/>
      <c r="S33" s="636"/>
      <c r="T33" s="636"/>
      <c r="U33" s="636"/>
      <c r="V33" s="636"/>
      <c r="W33" s="636"/>
      <c r="X33" s="636"/>
      <c r="Y33" s="636"/>
      <c r="Z33" s="636"/>
      <c r="AA33" s="636"/>
      <c r="AB33" s="686"/>
      <c r="AC33" s="686"/>
      <c r="AD33" s="686"/>
      <c r="AE33" s="686"/>
      <c r="AF33" s="686"/>
      <c r="AG33" s="686"/>
      <c r="AH33" s="686"/>
      <c r="AI33" s="686"/>
      <c r="AJ33" s="686"/>
      <c r="AK33" s="686"/>
      <c r="AL33" s="686"/>
      <c r="AM33" s="686"/>
      <c r="AN33" s="686"/>
      <c r="AO33" s="686"/>
      <c r="AP33" s="686"/>
      <c r="AQ33" s="686"/>
      <c r="AR33" s="686"/>
      <c r="AS33" s="686"/>
      <c r="AT33" s="686"/>
      <c r="AU33" s="686"/>
      <c r="AV33" s="686"/>
      <c r="AW33" s="686"/>
      <c r="AX33" s="686"/>
      <c r="AY33" s="686"/>
      <c r="AZ33" s="686"/>
      <c r="BA33" s="686"/>
      <c r="BB33" s="686"/>
      <c r="BC33" s="686"/>
      <c r="BD33" s="686"/>
      <c r="BE33" s="686"/>
      <c r="BF33" s="686"/>
      <c r="BG33" s="686"/>
      <c r="BH33" s="686"/>
      <c r="BI33" s="686"/>
      <c r="BJ33" s="686"/>
      <c r="BK33" s="686"/>
      <c r="BL33" s="686"/>
      <c r="BM33" s="686"/>
      <c r="BN33" s="686"/>
      <c r="BO33" s="686"/>
      <c r="BP33" s="686"/>
      <c r="BQ33" s="686"/>
      <c r="BR33" s="686"/>
      <c r="BS33" s="686"/>
      <c r="BT33" s="686"/>
      <c r="BU33" s="686"/>
      <c r="BV33" s="686"/>
      <c r="BW33" s="686"/>
      <c r="BX33" s="686"/>
      <c r="BY33" s="686"/>
      <c r="BZ33" s="686"/>
      <c r="CA33" s="686"/>
      <c r="CB33" s="686"/>
      <c r="CC33" s="686"/>
      <c r="CD33" s="686"/>
      <c r="CE33" s="686"/>
    </row>
    <row r="34" spans="1:83" x14ac:dyDescent="0.25">
      <c r="A34" s="622">
        <v>47</v>
      </c>
      <c r="B34" s="629">
        <v>47</v>
      </c>
      <c r="C34" s="653" t="s">
        <v>634</v>
      </c>
      <c r="D34" s="701" t="s">
        <v>341</v>
      </c>
      <c r="E34" s="638">
        <v>0</v>
      </c>
      <c r="F34" s="621">
        <v>0</v>
      </c>
      <c r="G34" s="621">
        <v>0</v>
      </c>
      <c r="H34" s="621">
        <v>0</v>
      </c>
      <c r="I34" s="621">
        <v>0</v>
      </c>
      <c r="J34" s="621">
        <v>0</v>
      </c>
      <c r="K34" s="672">
        <v>0</v>
      </c>
      <c r="L34" s="686">
        <v>0</v>
      </c>
      <c r="M34" s="686">
        <v>0</v>
      </c>
      <c r="N34" s="636">
        <v>0</v>
      </c>
      <c r="O34" s="636">
        <v>0</v>
      </c>
      <c r="P34" s="636">
        <v>0</v>
      </c>
      <c r="Q34" s="636">
        <v>0</v>
      </c>
      <c r="R34" s="636">
        <v>56438222</v>
      </c>
      <c r="S34" s="636">
        <v>0</v>
      </c>
      <c r="T34" s="636">
        <v>0</v>
      </c>
      <c r="U34" s="636">
        <v>0</v>
      </c>
      <c r="V34" s="636">
        <v>0</v>
      </c>
      <c r="W34" s="636">
        <v>11391214</v>
      </c>
      <c r="X34" s="636">
        <v>0</v>
      </c>
      <c r="Y34" s="636">
        <v>0</v>
      </c>
      <c r="Z34" s="636">
        <v>0</v>
      </c>
      <c r="AA34" s="636">
        <v>0</v>
      </c>
      <c r="AB34" s="686" t="e">
        <v>#VALUE!</v>
      </c>
      <c r="AC34" s="686">
        <v>0</v>
      </c>
      <c r="AD34" s="686" t="e">
        <v>#VALUE!</v>
      </c>
      <c r="AE34" s="686">
        <v>0</v>
      </c>
      <c r="AF34" s="686">
        <v>0</v>
      </c>
      <c r="AG34" s="686">
        <v>0</v>
      </c>
      <c r="AH34" s="686">
        <v>0</v>
      </c>
      <c r="AI34" s="686">
        <v>0</v>
      </c>
      <c r="AJ34" s="686">
        <v>28233494</v>
      </c>
      <c r="AK34" s="686">
        <v>0</v>
      </c>
      <c r="AL34" s="686">
        <v>0</v>
      </c>
      <c r="AM34" s="686">
        <v>0</v>
      </c>
      <c r="AN34" s="686">
        <v>7188825</v>
      </c>
      <c r="AO34" s="686">
        <v>0</v>
      </c>
      <c r="AP34" s="686">
        <v>0</v>
      </c>
      <c r="AQ34" s="686">
        <v>0</v>
      </c>
      <c r="AR34" s="686">
        <v>0</v>
      </c>
      <c r="AS34" s="686">
        <v>0</v>
      </c>
      <c r="AT34" s="686">
        <v>0</v>
      </c>
      <c r="AU34" s="686">
        <v>0</v>
      </c>
      <c r="AV34" s="686">
        <v>782768</v>
      </c>
      <c r="AW34" s="686">
        <v>0</v>
      </c>
      <c r="AX34" s="686">
        <v>0</v>
      </c>
      <c r="AY34" s="686">
        <v>0</v>
      </c>
      <c r="AZ34" s="686">
        <v>0</v>
      </c>
      <c r="BA34" s="686">
        <v>0</v>
      </c>
      <c r="BB34" s="686">
        <v>0</v>
      </c>
      <c r="BC34" s="686">
        <v>0</v>
      </c>
      <c r="BD34" s="686">
        <v>0</v>
      </c>
      <c r="BE34" s="686">
        <v>0</v>
      </c>
      <c r="BF34" s="686">
        <v>0</v>
      </c>
      <c r="BG34" s="686">
        <v>0</v>
      </c>
      <c r="BH34" s="686">
        <v>0</v>
      </c>
      <c r="BI34" s="686">
        <v>0</v>
      </c>
      <c r="BJ34" s="686">
        <v>0</v>
      </c>
      <c r="BK34" s="686">
        <v>0</v>
      </c>
      <c r="BL34" s="686">
        <v>0</v>
      </c>
      <c r="BM34" s="686">
        <v>847259</v>
      </c>
      <c r="BN34" s="686">
        <v>0</v>
      </c>
      <c r="BO34" s="686">
        <v>0</v>
      </c>
      <c r="BP34" s="686">
        <v>0</v>
      </c>
      <c r="BQ34" s="686">
        <v>0</v>
      </c>
      <c r="BR34" s="686">
        <v>0</v>
      </c>
      <c r="BS34" s="686">
        <v>430732</v>
      </c>
      <c r="BT34" s="686">
        <v>3965390</v>
      </c>
      <c r="BU34" s="686">
        <v>0</v>
      </c>
      <c r="BV34" s="686">
        <v>0</v>
      </c>
      <c r="BW34" s="686">
        <v>0</v>
      </c>
      <c r="BX34" s="686">
        <v>0</v>
      </c>
      <c r="BY34" s="686">
        <v>0</v>
      </c>
      <c r="BZ34" s="686">
        <v>0</v>
      </c>
      <c r="CA34" s="686">
        <v>0</v>
      </c>
      <c r="CB34" s="686">
        <v>0</v>
      </c>
      <c r="CC34" s="686">
        <v>0</v>
      </c>
      <c r="CD34" s="686">
        <v>0</v>
      </c>
      <c r="CE34" s="686">
        <v>0</v>
      </c>
    </row>
    <row r="35" spans="1:83" x14ac:dyDescent="0.25">
      <c r="A35" s="622">
        <v>48</v>
      </c>
      <c r="B35" s="625">
        <v>48</v>
      </c>
      <c r="C35" s="653" t="s">
        <v>125</v>
      </c>
      <c r="D35" s="701" t="s">
        <v>342</v>
      </c>
      <c r="E35" s="638">
        <v>0</v>
      </c>
      <c r="F35" s="621">
        <v>0</v>
      </c>
      <c r="G35" s="621">
        <v>0</v>
      </c>
      <c r="H35" s="621">
        <v>0</v>
      </c>
      <c r="I35" s="621">
        <v>0</v>
      </c>
      <c r="J35" s="621">
        <v>0</v>
      </c>
      <c r="K35" s="672">
        <v>0</v>
      </c>
      <c r="L35" s="686">
        <v>0</v>
      </c>
      <c r="M35" s="686">
        <v>0</v>
      </c>
      <c r="N35" s="636">
        <v>0</v>
      </c>
      <c r="O35" s="636">
        <v>0</v>
      </c>
      <c r="P35" s="636">
        <v>0</v>
      </c>
      <c r="Q35" s="636">
        <v>0</v>
      </c>
      <c r="R35" s="636">
        <v>6744242</v>
      </c>
      <c r="S35" s="636">
        <v>0</v>
      </c>
      <c r="T35" s="636">
        <v>0</v>
      </c>
      <c r="U35" s="636">
        <v>0</v>
      </c>
      <c r="V35" s="636">
        <v>0</v>
      </c>
      <c r="W35" s="636">
        <v>3012140</v>
      </c>
      <c r="X35" s="636">
        <v>0</v>
      </c>
      <c r="Y35" s="636">
        <v>0</v>
      </c>
      <c r="Z35" s="636">
        <v>0</v>
      </c>
      <c r="AA35" s="636">
        <v>0</v>
      </c>
      <c r="AB35" s="686" t="e">
        <v>#VALUE!</v>
      </c>
      <c r="AC35" s="686">
        <v>0</v>
      </c>
      <c r="AD35" s="686" t="e">
        <v>#VALUE!</v>
      </c>
      <c r="AE35" s="686">
        <v>0</v>
      </c>
      <c r="AF35" s="686">
        <v>0</v>
      </c>
      <c r="AG35" s="686">
        <v>0</v>
      </c>
      <c r="AH35" s="686">
        <v>0</v>
      </c>
      <c r="AI35" s="686">
        <v>0</v>
      </c>
      <c r="AJ35" s="686">
        <v>5833691</v>
      </c>
      <c r="AK35" s="686">
        <v>0</v>
      </c>
      <c r="AL35" s="686">
        <v>0</v>
      </c>
      <c r="AM35" s="686">
        <v>0</v>
      </c>
      <c r="AN35" s="686">
        <v>2070127</v>
      </c>
      <c r="AO35" s="686">
        <v>0</v>
      </c>
      <c r="AP35" s="686">
        <v>0</v>
      </c>
      <c r="AQ35" s="686">
        <v>0</v>
      </c>
      <c r="AR35" s="686">
        <v>0</v>
      </c>
      <c r="AS35" s="686">
        <v>0</v>
      </c>
      <c r="AT35" s="686">
        <v>0</v>
      </c>
      <c r="AU35" s="686">
        <v>0</v>
      </c>
      <c r="AV35" s="686">
        <v>25924</v>
      </c>
      <c r="AW35" s="686">
        <v>0</v>
      </c>
      <c r="AX35" s="686">
        <v>0</v>
      </c>
      <c r="AY35" s="686">
        <v>0</v>
      </c>
      <c r="AZ35" s="686">
        <v>0</v>
      </c>
      <c r="BA35" s="686">
        <v>0</v>
      </c>
      <c r="BB35" s="686">
        <v>0</v>
      </c>
      <c r="BC35" s="686">
        <v>0</v>
      </c>
      <c r="BD35" s="686">
        <v>0</v>
      </c>
      <c r="BE35" s="686">
        <v>0</v>
      </c>
      <c r="BF35" s="686">
        <v>0</v>
      </c>
      <c r="BG35" s="686">
        <v>0</v>
      </c>
      <c r="BH35" s="686">
        <v>0</v>
      </c>
      <c r="BI35" s="686">
        <v>0</v>
      </c>
      <c r="BJ35" s="686">
        <v>0</v>
      </c>
      <c r="BK35" s="686">
        <v>0</v>
      </c>
      <c r="BL35" s="686">
        <v>0</v>
      </c>
      <c r="BM35" s="686">
        <v>172969</v>
      </c>
      <c r="BN35" s="686">
        <v>0</v>
      </c>
      <c r="BO35" s="686">
        <v>0</v>
      </c>
      <c r="BP35" s="686">
        <v>0</v>
      </c>
      <c r="BQ35" s="686">
        <v>0</v>
      </c>
      <c r="BR35" s="686">
        <v>0</v>
      </c>
      <c r="BS35" s="686">
        <v>186111</v>
      </c>
      <c r="BT35" s="686">
        <v>1039224</v>
      </c>
      <c r="BU35" s="686">
        <v>0</v>
      </c>
      <c r="BV35" s="686">
        <v>0</v>
      </c>
      <c r="BW35" s="686">
        <v>0</v>
      </c>
      <c r="BX35" s="686">
        <v>0</v>
      </c>
      <c r="BY35" s="686">
        <v>0</v>
      </c>
      <c r="BZ35" s="686">
        <v>0</v>
      </c>
      <c r="CA35" s="686">
        <v>0</v>
      </c>
      <c r="CB35" s="686">
        <v>0</v>
      </c>
      <c r="CC35" s="686">
        <v>0</v>
      </c>
      <c r="CD35" s="686">
        <v>0</v>
      </c>
      <c r="CE35" s="686">
        <v>0</v>
      </c>
    </row>
    <row r="36" spans="1:83" x14ac:dyDescent="0.25">
      <c r="A36" s="665">
        <v>49</v>
      </c>
      <c r="B36" s="625">
        <v>49</v>
      </c>
      <c r="C36" s="653" t="s">
        <v>231</v>
      </c>
      <c r="D36" s="701" t="s">
        <v>343</v>
      </c>
      <c r="E36" s="638">
        <v>41359</v>
      </c>
      <c r="F36" s="621">
        <v>0</v>
      </c>
      <c r="G36" s="621">
        <v>170767</v>
      </c>
      <c r="H36" s="621">
        <v>0</v>
      </c>
      <c r="I36" s="621">
        <v>0</v>
      </c>
      <c r="J36" s="621">
        <v>0</v>
      </c>
      <c r="K36" s="672">
        <v>65065</v>
      </c>
      <c r="L36" s="686">
        <v>0</v>
      </c>
      <c r="M36" s="686">
        <v>0</v>
      </c>
      <c r="N36" s="636">
        <v>0</v>
      </c>
      <c r="O36" s="636">
        <v>0</v>
      </c>
      <c r="P36" s="636">
        <v>716864</v>
      </c>
      <c r="Q36" s="636">
        <v>0</v>
      </c>
      <c r="R36" s="636">
        <v>2740685</v>
      </c>
      <c r="S36" s="636">
        <v>77464</v>
      </c>
      <c r="T36" s="636">
        <v>0</v>
      </c>
      <c r="U36" s="636">
        <v>4658295</v>
      </c>
      <c r="V36" s="636">
        <v>1698619</v>
      </c>
      <c r="W36" s="636">
        <v>2465075</v>
      </c>
      <c r="X36" s="636">
        <v>0</v>
      </c>
      <c r="Y36" s="636">
        <v>90228</v>
      </c>
      <c r="Z36" s="636">
        <v>1848947</v>
      </c>
      <c r="AA36" s="636">
        <v>430580</v>
      </c>
      <c r="AB36" s="686" t="e">
        <v>#VALUE!</v>
      </c>
      <c r="AC36" s="686">
        <v>583380</v>
      </c>
      <c r="AD36" s="686" t="e">
        <v>#VALUE!</v>
      </c>
      <c r="AE36" s="686">
        <v>216844</v>
      </c>
      <c r="AF36" s="686">
        <v>709902</v>
      </c>
      <c r="AG36" s="686">
        <v>360573</v>
      </c>
      <c r="AH36" s="686">
        <v>315806</v>
      </c>
      <c r="AI36" s="686">
        <v>146337</v>
      </c>
      <c r="AJ36" s="686">
        <v>3620103</v>
      </c>
      <c r="AK36" s="686">
        <v>66361</v>
      </c>
      <c r="AL36" s="686">
        <v>227187</v>
      </c>
      <c r="AM36" s="686">
        <v>447021</v>
      </c>
      <c r="AN36" s="686">
        <v>1991667</v>
      </c>
      <c r="AO36" s="686">
        <v>75595</v>
      </c>
      <c r="AP36" s="686">
        <v>92219</v>
      </c>
      <c r="AQ36" s="686">
        <v>0</v>
      </c>
      <c r="AR36" s="686">
        <v>0</v>
      </c>
      <c r="AS36" s="686">
        <v>823917</v>
      </c>
      <c r="AT36" s="686">
        <v>175158</v>
      </c>
      <c r="AU36" s="686">
        <v>358712</v>
      </c>
      <c r="AV36" s="686">
        <v>0</v>
      </c>
      <c r="AW36" s="686">
        <v>3799926</v>
      </c>
      <c r="AX36" s="686">
        <v>0</v>
      </c>
      <c r="AY36" s="686">
        <v>233677</v>
      </c>
      <c r="AZ36" s="686">
        <v>125778</v>
      </c>
      <c r="BA36" s="686">
        <v>205732</v>
      </c>
      <c r="BB36" s="686">
        <v>44904</v>
      </c>
      <c r="BC36" s="686">
        <v>0</v>
      </c>
      <c r="BD36" s="686">
        <v>27233</v>
      </c>
      <c r="BE36" s="686">
        <v>1078825</v>
      </c>
      <c r="BF36" s="686">
        <v>0</v>
      </c>
      <c r="BG36" s="686">
        <v>66384</v>
      </c>
      <c r="BH36" s="686">
        <v>73507</v>
      </c>
      <c r="BI36" s="686">
        <v>0</v>
      </c>
      <c r="BJ36" s="686">
        <v>92493</v>
      </c>
      <c r="BK36" s="686">
        <v>0</v>
      </c>
      <c r="BL36" s="686">
        <v>478832</v>
      </c>
      <c r="BM36" s="686">
        <v>189849</v>
      </c>
      <c r="BN36" s="686">
        <v>376715</v>
      </c>
      <c r="BO36" s="686">
        <v>163828</v>
      </c>
      <c r="BP36" s="686">
        <v>110354</v>
      </c>
      <c r="BQ36" s="686">
        <v>43118</v>
      </c>
      <c r="BR36" s="686">
        <v>0</v>
      </c>
      <c r="BS36" s="686">
        <v>204342</v>
      </c>
      <c r="BT36" s="686">
        <v>0</v>
      </c>
      <c r="BU36" s="686">
        <v>268369</v>
      </c>
      <c r="BV36" s="686">
        <v>610254</v>
      </c>
      <c r="BW36" s="686">
        <v>0</v>
      </c>
      <c r="BX36" s="686">
        <v>402532</v>
      </c>
      <c r="BY36" s="686">
        <v>67344</v>
      </c>
      <c r="BZ36" s="686">
        <v>18215</v>
      </c>
      <c r="CA36" s="686">
        <v>138639</v>
      </c>
      <c r="CB36" s="686">
        <v>156061</v>
      </c>
      <c r="CC36" s="686">
        <v>166199</v>
      </c>
      <c r="CD36" s="686">
        <v>0</v>
      </c>
      <c r="CE36" s="686">
        <v>30020</v>
      </c>
    </row>
    <row r="37" spans="1:83" x14ac:dyDescent="0.25">
      <c r="A37" s="665">
        <v>50</v>
      </c>
      <c r="B37" s="625">
        <v>50</v>
      </c>
      <c r="C37" s="653" t="s">
        <v>102</v>
      </c>
      <c r="D37" s="701" t="s">
        <v>344</v>
      </c>
      <c r="E37" s="638">
        <v>59850</v>
      </c>
      <c r="F37" s="621">
        <v>0</v>
      </c>
      <c r="G37" s="621">
        <v>-31897</v>
      </c>
      <c r="H37" s="621">
        <v>0</v>
      </c>
      <c r="I37" s="621">
        <v>0</v>
      </c>
      <c r="J37" s="621">
        <v>0</v>
      </c>
      <c r="K37" s="672">
        <v>-73025</v>
      </c>
      <c r="L37" s="686">
        <v>0</v>
      </c>
      <c r="M37" s="686">
        <v>0</v>
      </c>
      <c r="N37" s="636">
        <v>0</v>
      </c>
      <c r="O37" s="636">
        <v>0</v>
      </c>
      <c r="P37" s="636">
        <v>181318</v>
      </c>
      <c r="Q37" s="636">
        <v>0</v>
      </c>
      <c r="R37" s="636">
        <v>4672898</v>
      </c>
      <c r="S37" s="636">
        <v>65690</v>
      </c>
      <c r="T37" s="636">
        <v>0</v>
      </c>
      <c r="U37" s="636">
        <v>8879223</v>
      </c>
      <c r="V37" s="636">
        <v>862436</v>
      </c>
      <c r="W37" s="636">
        <v>1557345</v>
      </c>
      <c r="X37" s="636">
        <v>0</v>
      </c>
      <c r="Y37" s="636">
        <v>-66356</v>
      </c>
      <c r="Z37" s="636">
        <v>370899</v>
      </c>
      <c r="AA37" s="636">
        <v>-127854</v>
      </c>
      <c r="AB37" s="686" t="e">
        <v>#VALUE!</v>
      </c>
      <c r="AC37" s="686">
        <v>2335608</v>
      </c>
      <c r="AD37" s="686" t="e">
        <v>#VALUE!</v>
      </c>
      <c r="AE37" s="686">
        <v>118477</v>
      </c>
      <c r="AF37" s="686">
        <v>-210603</v>
      </c>
      <c r="AG37" s="686">
        <v>-215857</v>
      </c>
      <c r="AH37" s="686">
        <v>1656231</v>
      </c>
      <c r="AI37" s="686">
        <v>-247241</v>
      </c>
      <c r="AJ37" s="686">
        <v>3159232</v>
      </c>
      <c r="AK37" s="686">
        <v>34796</v>
      </c>
      <c r="AL37" s="686">
        <v>-44167</v>
      </c>
      <c r="AM37" s="686">
        <v>-32304</v>
      </c>
      <c r="AN37" s="686">
        <v>223778</v>
      </c>
      <c r="AO37" s="686">
        <v>-36948</v>
      </c>
      <c r="AP37" s="686">
        <v>-71133</v>
      </c>
      <c r="AQ37" s="686">
        <v>0</v>
      </c>
      <c r="AR37" s="686">
        <v>0</v>
      </c>
      <c r="AS37" s="686">
        <v>959203</v>
      </c>
      <c r="AT37" s="686">
        <v>-289698</v>
      </c>
      <c r="AU37" s="686">
        <v>263577</v>
      </c>
      <c r="AV37" s="686">
        <v>0</v>
      </c>
      <c r="AW37" s="686">
        <v>3708024</v>
      </c>
      <c r="AX37" s="686">
        <v>0</v>
      </c>
      <c r="AY37" s="686">
        <v>244114</v>
      </c>
      <c r="AZ37" s="686">
        <v>486108</v>
      </c>
      <c r="BA37" s="686">
        <v>-139937</v>
      </c>
      <c r="BB37" s="686">
        <v>-64992</v>
      </c>
      <c r="BC37" s="686">
        <v>0</v>
      </c>
      <c r="BD37" s="686">
        <v>-4332</v>
      </c>
      <c r="BE37" s="686">
        <v>2081283</v>
      </c>
      <c r="BF37" s="686">
        <v>0</v>
      </c>
      <c r="BG37" s="686">
        <v>17739</v>
      </c>
      <c r="BH37" s="686">
        <v>-38166</v>
      </c>
      <c r="BI37" s="686">
        <v>0</v>
      </c>
      <c r="BJ37" s="686">
        <v>-21893</v>
      </c>
      <c r="BK37" s="686">
        <v>0</v>
      </c>
      <c r="BL37" s="686">
        <v>563079</v>
      </c>
      <c r="BM37" s="686">
        <v>262</v>
      </c>
      <c r="BN37" s="686">
        <v>-118186</v>
      </c>
      <c r="BO37" s="686">
        <v>118868</v>
      </c>
      <c r="BP37" s="686">
        <v>24229</v>
      </c>
      <c r="BQ37" s="686">
        <v>86858</v>
      </c>
      <c r="BR37" s="686">
        <v>0</v>
      </c>
      <c r="BS37" s="686">
        <v>-174244</v>
      </c>
      <c r="BT37" s="686">
        <v>0</v>
      </c>
      <c r="BU37" s="686">
        <v>-154582</v>
      </c>
      <c r="BV37" s="686">
        <v>216950</v>
      </c>
      <c r="BW37" s="686">
        <v>0</v>
      </c>
      <c r="BX37" s="686">
        <v>2160617</v>
      </c>
      <c r="BY37" s="686">
        <v>13244</v>
      </c>
      <c r="BZ37" s="686">
        <v>-21847</v>
      </c>
      <c r="CA37" s="686">
        <v>597978</v>
      </c>
      <c r="CB37" s="686">
        <v>-147313</v>
      </c>
      <c r="CC37" s="686">
        <v>-51354</v>
      </c>
      <c r="CD37" s="686">
        <v>0</v>
      </c>
      <c r="CE37" s="686">
        <v>-27153</v>
      </c>
    </row>
    <row r="38" spans="1:83" x14ac:dyDescent="0.25">
      <c r="A38" s="665">
        <v>51</v>
      </c>
      <c r="B38" s="625">
        <v>51</v>
      </c>
      <c r="C38" s="653" t="s">
        <v>249</v>
      </c>
      <c r="D38" s="701" t="s">
        <v>345</v>
      </c>
      <c r="E38" s="638">
        <v>74691</v>
      </c>
      <c r="F38" s="621">
        <v>0</v>
      </c>
      <c r="G38" s="621">
        <v>136160</v>
      </c>
      <c r="H38" s="621">
        <v>0</v>
      </c>
      <c r="I38" s="621">
        <v>0</v>
      </c>
      <c r="J38" s="621">
        <v>0</v>
      </c>
      <c r="K38" s="672">
        <v>13198</v>
      </c>
      <c r="L38" s="686">
        <v>0</v>
      </c>
      <c r="M38" s="686">
        <v>0</v>
      </c>
      <c r="N38" s="636">
        <v>0</v>
      </c>
      <c r="O38" s="636">
        <v>0</v>
      </c>
      <c r="P38" s="636">
        <v>613307</v>
      </c>
      <c r="Q38" s="636">
        <v>0</v>
      </c>
      <c r="R38" s="636">
        <v>9427854</v>
      </c>
      <c r="S38" s="636">
        <v>177723</v>
      </c>
      <c r="T38" s="636">
        <v>0</v>
      </c>
      <c r="U38" s="636">
        <v>11954609</v>
      </c>
      <c r="V38" s="636">
        <v>3420451</v>
      </c>
      <c r="W38" s="636">
        <v>4803741</v>
      </c>
      <c r="X38" s="636">
        <v>0</v>
      </c>
      <c r="Y38" s="636">
        <v>-16181</v>
      </c>
      <c r="Z38" s="636">
        <v>2589709</v>
      </c>
      <c r="AA38" s="636">
        <v>318158</v>
      </c>
      <c r="AB38" s="686" t="e">
        <v>#VALUE!</v>
      </c>
      <c r="AC38" s="686">
        <v>557250</v>
      </c>
      <c r="AD38" s="686" t="e">
        <v>#VALUE!</v>
      </c>
      <c r="AE38" s="686">
        <v>411455</v>
      </c>
      <c r="AF38" s="686">
        <v>148372</v>
      </c>
      <c r="AG38" s="686">
        <v>-3980</v>
      </c>
      <c r="AH38" s="686">
        <v>931484</v>
      </c>
      <c r="AI38" s="686">
        <v>-4777</v>
      </c>
      <c r="AJ38" s="686">
        <v>7268732</v>
      </c>
      <c r="AK38" s="686">
        <v>34259</v>
      </c>
      <c r="AL38" s="686">
        <v>203401</v>
      </c>
      <c r="AM38" s="686">
        <v>442166</v>
      </c>
      <c r="AN38" s="686">
        <v>1795145</v>
      </c>
      <c r="AO38" s="686">
        <v>-13911</v>
      </c>
      <c r="AP38" s="686">
        <v>58546</v>
      </c>
      <c r="AQ38" s="686">
        <v>0</v>
      </c>
      <c r="AR38" s="686">
        <v>0</v>
      </c>
      <c r="AS38" s="686">
        <v>1347021</v>
      </c>
      <c r="AT38" s="686">
        <v>45921</v>
      </c>
      <c r="AU38" s="686">
        <v>102847</v>
      </c>
      <c r="AV38" s="686">
        <v>0</v>
      </c>
      <c r="AW38" s="686">
        <v>10791977</v>
      </c>
      <c r="AX38" s="686">
        <v>0</v>
      </c>
      <c r="AY38" s="686">
        <v>488265</v>
      </c>
      <c r="AZ38" s="686">
        <v>663161</v>
      </c>
      <c r="BA38" s="686">
        <v>55472</v>
      </c>
      <c r="BB38" s="686">
        <v>-15339</v>
      </c>
      <c r="BC38" s="686">
        <v>0</v>
      </c>
      <c r="BD38" s="686">
        <v>12302</v>
      </c>
      <c r="BE38" s="686">
        <v>2328029</v>
      </c>
      <c r="BF38" s="686">
        <v>0</v>
      </c>
      <c r="BG38" s="686">
        <v>61883</v>
      </c>
      <c r="BH38" s="686">
        <v>35341</v>
      </c>
      <c r="BI38" s="686">
        <v>0</v>
      </c>
      <c r="BJ38" s="686">
        <v>66871</v>
      </c>
      <c r="BK38" s="686">
        <v>0</v>
      </c>
      <c r="BL38" s="686">
        <v>385656</v>
      </c>
      <c r="BM38" s="686">
        <v>157358</v>
      </c>
      <c r="BN38" s="686">
        <v>39755</v>
      </c>
      <c r="BO38" s="686">
        <v>324354</v>
      </c>
      <c r="BP38" s="686">
        <v>201164</v>
      </c>
      <c r="BQ38" s="686">
        <v>133286</v>
      </c>
      <c r="BR38" s="686">
        <v>0</v>
      </c>
      <c r="BS38" s="686">
        <v>322195</v>
      </c>
      <c r="BT38" s="686">
        <v>0</v>
      </c>
      <c r="BU38" s="686">
        <v>108020</v>
      </c>
      <c r="BV38" s="686">
        <v>1296623</v>
      </c>
      <c r="BW38" s="686">
        <v>0</v>
      </c>
      <c r="BX38" s="686">
        <v>218128</v>
      </c>
      <c r="BY38" s="686">
        <v>4401</v>
      </c>
      <c r="BZ38" s="686">
        <v>0</v>
      </c>
      <c r="CA38" s="686">
        <v>86309</v>
      </c>
      <c r="CB38" s="686">
        <v>23088</v>
      </c>
      <c r="CC38" s="686">
        <v>140305</v>
      </c>
      <c r="CD38" s="686">
        <v>0</v>
      </c>
      <c r="CE38" s="686">
        <v>2866</v>
      </c>
    </row>
    <row r="39" spans="1:83" x14ac:dyDescent="0.25">
      <c r="A39" s="622">
        <v>52</v>
      </c>
      <c r="B39" s="625">
        <v>52</v>
      </c>
      <c r="C39" s="653" t="s">
        <v>242</v>
      </c>
      <c r="D39" s="701" t="s">
        <v>346</v>
      </c>
      <c r="E39" s="638">
        <v>0</v>
      </c>
      <c r="F39" s="621">
        <v>0</v>
      </c>
      <c r="G39" s="621">
        <v>0</v>
      </c>
      <c r="H39" s="621">
        <v>0</v>
      </c>
      <c r="I39" s="621">
        <v>0</v>
      </c>
      <c r="J39" s="621">
        <v>0</v>
      </c>
      <c r="K39" s="672">
        <v>0</v>
      </c>
      <c r="L39" s="686">
        <v>0</v>
      </c>
      <c r="M39" s="686">
        <v>0</v>
      </c>
      <c r="N39" s="636">
        <v>0</v>
      </c>
      <c r="O39" s="636">
        <v>0</v>
      </c>
      <c r="P39" s="636">
        <v>0</v>
      </c>
      <c r="Q39" s="636">
        <v>0</v>
      </c>
      <c r="R39" s="636">
        <v>2630050</v>
      </c>
      <c r="S39" s="636">
        <v>0</v>
      </c>
      <c r="T39" s="636">
        <v>0</v>
      </c>
      <c r="U39" s="636">
        <v>0</v>
      </c>
      <c r="V39" s="636">
        <v>0</v>
      </c>
      <c r="W39" s="636">
        <v>833335</v>
      </c>
      <c r="X39" s="636">
        <v>0</v>
      </c>
      <c r="Y39" s="636">
        <v>0</v>
      </c>
      <c r="Z39" s="636">
        <v>0</v>
      </c>
      <c r="AA39" s="636">
        <v>0</v>
      </c>
      <c r="AB39" s="686" t="e">
        <v>#VALUE!</v>
      </c>
      <c r="AC39" s="686">
        <v>0</v>
      </c>
      <c r="AD39" s="686" t="e">
        <v>#VALUE!</v>
      </c>
      <c r="AE39" s="686">
        <v>0</v>
      </c>
      <c r="AF39" s="686">
        <v>0</v>
      </c>
      <c r="AG39" s="686">
        <v>0</v>
      </c>
      <c r="AH39" s="686">
        <v>0</v>
      </c>
      <c r="AI39" s="686">
        <v>0</v>
      </c>
      <c r="AJ39" s="686">
        <v>2335090</v>
      </c>
      <c r="AK39" s="686">
        <v>0</v>
      </c>
      <c r="AL39" s="686">
        <v>0</v>
      </c>
      <c r="AM39" s="686">
        <v>0</v>
      </c>
      <c r="AN39" s="686">
        <v>786408</v>
      </c>
      <c r="AO39" s="686">
        <v>0</v>
      </c>
      <c r="AP39" s="686">
        <v>0</v>
      </c>
      <c r="AQ39" s="686">
        <v>0</v>
      </c>
      <c r="AR39" s="686">
        <v>0</v>
      </c>
      <c r="AS39" s="686">
        <v>0</v>
      </c>
      <c r="AT39" s="686">
        <v>0</v>
      </c>
      <c r="AU39" s="686">
        <v>0</v>
      </c>
      <c r="AV39" s="686">
        <v>2746</v>
      </c>
      <c r="AW39" s="686">
        <v>0</v>
      </c>
      <c r="AX39" s="686">
        <v>0</v>
      </c>
      <c r="AY39" s="686">
        <v>0</v>
      </c>
      <c r="AZ39" s="686">
        <v>0</v>
      </c>
      <c r="BA39" s="686">
        <v>0</v>
      </c>
      <c r="BB39" s="686">
        <v>0</v>
      </c>
      <c r="BC39" s="686">
        <v>0</v>
      </c>
      <c r="BD39" s="686">
        <v>0</v>
      </c>
      <c r="BE39" s="686">
        <v>0</v>
      </c>
      <c r="BF39" s="686">
        <v>0</v>
      </c>
      <c r="BG39" s="686">
        <v>0</v>
      </c>
      <c r="BH39" s="686">
        <v>0</v>
      </c>
      <c r="BI39" s="686">
        <v>0</v>
      </c>
      <c r="BJ39" s="686">
        <v>0</v>
      </c>
      <c r="BK39" s="686">
        <v>0</v>
      </c>
      <c r="BL39" s="686">
        <v>0</v>
      </c>
      <c r="BM39" s="686">
        <v>36273</v>
      </c>
      <c r="BN39" s="686">
        <v>0</v>
      </c>
      <c r="BO39" s="686">
        <v>0</v>
      </c>
      <c r="BP39" s="686">
        <v>0</v>
      </c>
      <c r="BQ39" s="686">
        <v>0</v>
      </c>
      <c r="BR39" s="686">
        <v>0</v>
      </c>
      <c r="BS39" s="686">
        <v>91071</v>
      </c>
      <c r="BT39" s="686">
        <v>428866</v>
      </c>
      <c r="BU39" s="686">
        <v>0</v>
      </c>
      <c r="BV39" s="686">
        <v>0</v>
      </c>
      <c r="BW39" s="686">
        <v>0</v>
      </c>
      <c r="BX39" s="686">
        <v>0</v>
      </c>
      <c r="BY39" s="686">
        <v>0</v>
      </c>
      <c r="BZ39" s="686">
        <v>0</v>
      </c>
      <c r="CA39" s="686">
        <v>0</v>
      </c>
      <c r="CB39" s="686">
        <v>0</v>
      </c>
      <c r="CC39" s="686">
        <v>0</v>
      </c>
      <c r="CD39" s="686">
        <v>0</v>
      </c>
      <c r="CE39" s="686">
        <v>0</v>
      </c>
    </row>
    <row r="40" spans="1:83" x14ac:dyDescent="0.25">
      <c r="A40" s="622">
        <v>53</v>
      </c>
      <c r="B40" s="625">
        <v>53</v>
      </c>
      <c r="C40" s="653" t="s">
        <v>103</v>
      </c>
      <c r="D40" s="701" t="s">
        <v>347</v>
      </c>
      <c r="E40" s="638">
        <v>0</v>
      </c>
      <c r="F40" s="621">
        <v>0</v>
      </c>
      <c r="G40" s="621">
        <v>0</v>
      </c>
      <c r="H40" s="621">
        <v>0</v>
      </c>
      <c r="I40" s="621">
        <v>0</v>
      </c>
      <c r="J40" s="621">
        <v>0</v>
      </c>
      <c r="K40" s="672">
        <v>0</v>
      </c>
      <c r="L40" s="686">
        <v>0</v>
      </c>
      <c r="M40" s="686">
        <v>0</v>
      </c>
      <c r="N40" s="636">
        <v>0</v>
      </c>
      <c r="O40" s="636">
        <v>0</v>
      </c>
      <c r="P40" s="636">
        <v>0</v>
      </c>
      <c r="Q40" s="636">
        <v>0</v>
      </c>
      <c r="R40" s="636">
        <v>2279763</v>
      </c>
      <c r="S40" s="636">
        <v>0</v>
      </c>
      <c r="T40" s="636">
        <v>0</v>
      </c>
      <c r="U40" s="636">
        <v>0</v>
      </c>
      <c r="V40" s="636">
        <v>0</v>
      </c>
      <c r="W40" s="636">
        <v>-127711</v>
      </c>
      <c r="X40" s="636">
        <v>0</v>
      </c>
      <c r="Y40" s="636">
        <v>0</v>
      </c>
      <c r="Z40" s="636">
        <v>0</v>
      </c>
      <c r="AA40" s="636">
        <v>0</v>
      </c>
      <c r="AB40" s="686" t="e">
        <v>#VALUE!</v>
      </c>
      <c r="AC40" s="686">
        <v>0</v>
      </c>
      <c r="AD40" s="686" t="e">
        <v>#VALUE!</v>
      </c>
      <c r="AE40" s="686">
        <v>0</v>
      </c>
      <c r="AF40" s="686">
        <v>0</v>
      </c>
      <c r="AG40" s="686">
        <v>0</v>
      </c>
      <c r="AH40" s="686">
        <v>0</v>
      </c>
      <c r="AI40" s="686">
        <v>0</v>
      </c>
      <c r="AJ40" s="686">
        <v>4857124</v>
      </c>
      <c r="AK40" s="686">
        <v>0</v>
      </c>
      <c r="AL40" s="686">
        <v>0</v>
      </c>
      <c r="AM40" s="686">
        <v>0</v>
      </c>
      <c r="AN40" s="686">
        <v>885954</v>
      </c>
      <c r="AO40" s="686">
        <v>0</v>
      </c>
      <c r="AP40" s="686">
        <v>0</v>
      </c>
      <c r="AQ40" s="686">
        <v>0</v>
      </c>
      <c r="AR40" s="686">
        <v>0</v>
      </c>
      <c r="AS40" s="686">
        <v>0</v>
      </c>
      <c r="AT40" s="686">
        <v>0</v>
      </c>
      <c r="AU40" s="686">
        <v>0</v>
      </c>
      <c r="AV40" s="686">
        <v>-32921</v>
      </c>
      <c r="AW40" s="686">
        <v>0</v>
      </c>
      <c r="AX40" s="686">
        <v>0</v>
      </c>
      <c r="AY40" s="686">
        <v>0</v>
      </c>
      <c r="AZ40" s="686">
        <v>0</v>
      </c>
      <c r="BA40" s="686">
        <v>0</v>
      </c>
      <c r="BB40" s="686">
        <v>0</v>
      </c>
      <c r="BC40" s="686">
        <v>0</v>
      </c>
      <c r="BD40" s="686">
        <v>0</v>
      </c>
      <c r="BE40" s="686">
        <v>0</v>
      </c>
      <c r="BF40" s="686">
        <v>0</v>
      </c>
      <c r="BG40" s="686">
        <v>0</v>
      </c>
      <c r="BH40" s="686">
        <v>0</v>
      </c>
      <c r="BI40" s="686">
        <v>0</v>
      </c>
      <c r="BJ40" s="686">
        <v>0</v>
      </c>
      <c r="BK40" s="686">
        <v>0</v>
      </c>
      <c r="BL40" s="686">
        <v>0</v>
      </c>
      <c r="BM40" s="686">
        <v>223308</v>
      </c>
      <c r="BN40" s="686">
        <v>0</v>
      </c>
      <c r="BO40" s="686">
        <v>0</v>
      </c>
      <c r="BP40" s="686">
        <v>0</v>
      </c>
      <c r="BQ40" s="686">
        <v>0</v>
      </c>
      <c r="BR40" s="686">
        <v>0</v>
      </c>
      <c r="BS40" s="686">
        <v>-300887</v>
      </c>
      <c r="BT40" s="686">
        <v>697895</v>
      </c>
      <c r="BU40" s="686">
        <v>0</v>
      </c>
      <c r="BV40" s="686">
        <v>0</v>
      </c>
      <c r="BW40" s="686">
        <v>0</v>
      </c>
      <c r="BX40" s="686">
        <v>0</v>
      </c>
      <c r="BY40" s="686">
        <v>0</v>
      </c>
      <c r="BZ40" s="686">
        <v>0</v>
      </c>
      <c r="CA40" s="686">
        <v>0</v>
      </c>
      <c r="CB40" s="686">
        <v>0</v>
      </c>
      <c r="CC40" s="686">
        <v>0</v>
      </c>
      <c r="CD40" s="686">
        <v>0</v>
      </c>
      <c r="CE40" s="686">
        <v>0</v>
      </c>
    </row>
    <row r="41" spans="1:83" x14ac:dyDescent="0.25">
      <c r="A41" s="622">
        <v>55</v>
      </c>
      <c r="B41" s="625">
        <v>54</v>
      </c>
      <c r="C41" s="653" t="s">
        <v>635</v>
      </c>
      <c r="D41" s="701" t="s">
        <v>348</v>
      </c>
      <c r="E41" s="638">
        <v>0</v>
      </c>
      <c r="F41" s="621">
        <v>0</v>
      </c>
      <c r="G41" s="621">
        <v>0</v>
      </c>
      <c r="H41" s="621">
        <v>0</v>
      </c>
      <c r="I41" s="621">
        <v>0</v>
      </c>
      <c r="J41" s="621">
        <v>0</v>
      </c>
      <c r="K41" s="672">
        <v>0</v>
      </c>
      <c r="L41" s="686">
        <v>0</v>
      </c>
      <c r="M41" s="686">
        <v>0</v>
      </c>
      <c r="N41" s="636">
        <v>0</v>
      </c>
      <c r="O41" s="636">
        <v>0</v>
      </c>
      <c r="P41" s="636">
        <v>0</v>
      </c>
      <c r="Q41" s="636">
        <v>0</v>
      </c>
      <c r="R41" s="636">
        <v>0</v>
      </c>
      <c r="S41" s="636">
        <v>0</v>
      </c>
      <c r="T41" s="636">
        <v>0</v>
      </c>
      <c r="U41" s="636">
        <v>0</v>
      </c>
      <c r="V41" s="636">
        <v>0</v>
      </c>
      <c r="W41" s="636">
        <v>0</v>
      </c>
      <c r="X41" s="636">
        <v>0</v>
      </c>
      <c r="Y41" s="636">
        <v>0</v>
      </c>
      <c r="Z41" s="636">
        <v>0</v>
      </c>
      <c r="AA41" s="636">
        <v>0</v>
      </c>
      <c r="AB41" s="686" t="e">
        <v>#VALUE!</v>
      </c>
      <c r="AC41" s="686">
        <v>0</v>
      </c>
      <c r="AD41" s="686" t="e">
        <v>#VALUE!</v>
      </c>
      <c r="AE41" s="686">
        <v>0</v>
      </c>
      <c r="AF41" s="686">
        <v>0</v>
      </c>
      <c r="AG41" s="686">
        <v>0</v>
      </c>
      <c r="AH41" s="686">
        <v>0</v>
      </c>
      <c r="AI41" s="686">
        <v>0</v>
      </c>
      <c r="AJ41" s="686">
        <v>0</v>
      </c>
      <c r="AK41" s="686">
        <v>0</v>
      </c>
      <c r="AL41" s="686">
        <v>0</v>
      </c>
      <c r="AM41" s="686">
        <v>0</v>
      </c>
      <c r="AN41" s="686">
        <v>0</v>
      </c>
      <c r="AO41" s="686">
        <v>0</v>
      </c>
      <c r="AP41" s="686">
        <v>0</v>
      </c>
      <c r="AQ41" s="686">
        <v>0</v>
      </c>
      <c r="AR41" s="686">
        <v>0</v>
      </c>
      <c r="AS41" s="686">
        <v>0</v>
      </c>
      <c r="AT41" s="686">
        <v>0</v>
      </c>
      <c r="AU41" s="686">
        <v>0</v>
      </c>
      <c r="AV41" s="686">
        <v>0</v>
      </c>
      <c r="AW41" s="686">
        <v>0</v>
      </c>
      <c r="AX41" s="686">
        <v>0</v>
      </c>
      <c r="AY41" s="686">
        <v>0</v>
      </c>
      <c r="AZ41" s="686">
        <v>0</v>
      </c>
      <c r="BA41" s="686">
        <v>0</v>
      </c>
      <c r="BB41" s="686">
        <v>0</v>
      </c>
      <c r="BC41" s="686">
        <v>0</v>
      </c>
      <c r="BD41" s="686">
        <v>0</v>
      </c>
      <c r="BE41" s="686">
        <v>0</v>
      </c>
      <c r="BF41" s="686">
        <v>0</v>
      </c>
      <c r="BG41" s="686">
        <v>0</v>
      </c>
      <c r="BH41" s="686">
        <v>0</v>
      </c>
      <c r="BI41" s="686">
        <v>0</v>
      </c>
      <c r="BJ41" s="686">
        <v>0</v>
      </c>
      <c r="BK41" s="686">
        <v>0</v>
      </c>
      <c r="BL41" s="686">
        <v>0</v>
      </c>
      <c r="BM41" s="686">
        <v>0</v>
      </c>
      <c r="BN41" s="686">
        <v>0</v>
      </c>
      <c r="BO41" s="686">
        <v>0</v>
      </c>
      <c r="BP41" s="686">
        <v>0</v>
      </c>
      <c r="BQ41" s="686">
        <v>0</v>
      </c>
      <c r="BR41" s="686">
        <v>0</v>
      </c>
      <c r="BS41" s="686">
        <v>0</v>
      </c>
      <c r="BT41" s="686">
        <v>0</v>
      </c>
      <c r="BU41" s="686">
        <v>0</v>
      </c>
      <c r="BV41" s="686">
        <v>0</v>
      </c>
      <c r="BW41" s="686">
        <v>0</v>
      </c>
      <c r="BX41" s="686">
        <v>0</v>
      </c>
      <c r="BY41" s="686">
        <v>0</v>
      </c>
      <c r="BZ41" s="686">
        <v>0</v>
      </c>
      <c r="CA41" s="686">
        <v>0</v>
      </c>
      <c r="CB41" s="686">
        <v>0</v>
      </c>
      <c r="CC41" s="686">
        <v>0</v>
      </c>
      <c r="CD41" s="686">
        <v>0</v>
      </c>
      <c r="CE41" s="686">
        <v>0</v>
      </c>
    </row>
    <row r="42" spans="1:83" x14ac:dyDescent="0.25">
      <c r="A42" s="622"/>
      <c r="B42" s="625">
        <v>55</v>
      </c>
      <c r="C42" s="653" t="s">
        <v>252</v>
      </c>
      <c r="D42" s="701" t="s">
        <v>349</v>
      </c>
      <c r="E42" s="638">
        <v>0</v>
      </c>
      <c r="F42" s="621">
        <v>0</v>
      </c>
      <c r="G42" s="621">
        <v>0</v>
      </c>
      <c r="H42" s="621">
        <v>0</v>
      </c>
      <c r="I42" s="621">
        <v>0</v>
      </c>
      <c r="J42" s="621">
        <v>0</v>
      </c>
      <c r="K42" s="672">
        <v>0</v>
      </c>
      <c r="L42" s="686">
        <v>0</v>
      </c>
      <c r="M42" s="686">
        <v>0</v>
      </c>
      <c r="N42" s="636">
        <v>0</v>
      </c>
      <c r="O42" s="636">
        <v>0</v>
      </c>
      <c r="P42" s="636">
        <v>0</v>
      </c>
      <c r="Q42" s="636">
        <v>0</v>
      </c>
      <c r="R42" s="636">
        <v>5389874</v>
      </c>
      <c r="S42" s="636">
        <v>0</v>
      </c>
      <c r="T42" s="636">
        <v>0</v>
      </c>
      <c r="U42" s="636">
        <v>0</v>
      </c>
      <c r="V42" s="636">
        <v>0</v>
      </c>
      <c r="W42" s="636">
        <v>1132720</v>
      </c>
      <c r="X42" s="636">
        <v>0</v>
      </c>
      <c r="Y42" s="636">
        <v>0</v>
      </c>
      <c r="Z42" s="636">
        <v>0</v>
      </c>
      <c r="AA42" s="636">
        <v>0</v>
      </c>
      <c r="AB42" s="686" t="e">
        <v>#VALUE!</v>
      </c>
      <c r="AC42" s="686">
        <v>0</v>
      </c>
      <c r="AD42" s="686" t="e">
        <v>#VALUE!</v>
      </c>
      <c r="AE42" s="686">
        <v>0</v>
      </c>
      <c r="AF42" s="686">
        <v>0</v>
      </c>
      <c r="AG42" s="686">
        <v>0</v>
      </c>
      <c r="AH42" s="686">
        <v>0</v>
      </c>
      <c r="AI42" s="686">
        <v>0</v>
      </c>
      <c r="AJ42" s="686">
        <v>10003845</v>
      </c>
      <c r="AK42" s="686">
        <v>0</v>
      </c>
      <c r="AL42" s="686">
        <v>0</v>
      </c>
      <c r="AM42" s="686">
        <v>0</v>
      </c>
      <c r="AN42" s="686">
        <v>1099936</v>
      </c>
      <c r="AO42" s="686">
        <v>0</v>
      </c>
      <c r="AP42" s="686">
        <v>0</v>
      </c>
      <c r="AQ42" s="686">
        <v>0</v>
      </c>
      <c r="AR42" s="686">
        <v>0</v>
      </c>
      <c r="AS42" s="686">
        <v>0</v>
      </c>
      <c r="AT42" s="686">
        <v>0</v>
      </c>
      <c r="AU42" s="686">
        <v>0</v>
      </c>
      <c r="AV42" s="686">
        <v>14390</v>
      </c>
      <c r="AW42" s="686">
        <v>0</v>
      </c>
      <c r="AX42" s="686">
        <v>0</v>
      </c>
      <c r="AY42" s="686">
        <v>0</v>
      </c>
      <c r="AZ42" s="686">
        <v>0</v>
      </c>
      <c r="BA42" s="686">
        <v>0</v>
      </c>
      <c r="BB42" s="686">
        <v>0</v>
      </c>
      <c r="BC42" s="686">
        <v>0</v>
      </c>
      <c r="BD42" s="686">
        <v>0</v>
      </c>
      <c r="BE42" s="686">
        <v>0</v>
      </c>
      <c r="BF42" s="686">
        <v>0</v>
      </c>
      <c r="BG42" s="686">
        <v>0</v>
      </c>
      <c r="BH42" s="686">
        <v>0</v>
      </c>
      <c r="BI42" s="686">
        <v>0</v>
      </c>
      <c r="BJ42" s="686">
        <v>0</v>
      </c>
      <c r="BK42" s="686">
        <v>0</v>
      </c>
      <c r="BL42" s="686">
        <v>0</v>
      </c>
      <c r="BM42" s="686">
        <v>222695</v>
      </c>
      <c r="BN42" s="686">
        <v>0</v>
      </c>
      <c r="BO42" s="686">
        <v>0</v>
      </c>
      <c r="BP42" s="686">
        <v>0</v>
      </c>
      <c r="BQ42" s="686">
        <v>0</v>
      </c>
      <c r="BR42" s="686">
        <v>0</v>
      </c>
      <c r="BS42" s="686">
        <v>282669</v>
      </c>
      <c r="BT42" s="686">
        <v>2062400</v>
      </c>
      <c r="BU42" s="686">
        <v>0</v>
      </c>
      <c r="BV42" s="686">
        <v>0</v>
      </c>
      <c r="BW42" s="686">
        <v>0</v>
      </c>
      <c r="BX42" s="686">
        <v>0</v>
      </c>
      <c r="BY42" s="686">
        <v>0</v>
      </c>
      <c r="BZ42" s="686">
        <v>0</v>
      </c>
      <c r="CA42" s="686">
        <v>0</v>
      </c>
      <c r="CB42" s="686">
        <v>0</v>
      </c>
      <c r="CC42" s="686">
        <v>0</v>
      </c>
      <c r="CD42" s="686">
        <v>0</v>
      </c>
      <c r="CE42" s="686">
        <v>0</v>
      </c>
    </row>
    <row r="43" spans="1:83" x14ac:dyDescent="0.25">
      <c r="A43" s="622">
        <v>61</v>
      </c>
      <c r="B43" s="625">
        <v>61</v>
      </c>
      <c r="C43" s="653" t="s">
        <v>271</v>
      </c>
      <c r="D43" s="701" t="s">
        <v>350</v>
      </c>
      <c r="E43" s="644">
        <v>100</v>
      </c>
      <c r="F43" s="637">
        <v>99.16</v>
      </c>
      <c r="G43" s="637">
        <v>95.7</v>
      </c>
      <c r="H43" s="637">
        <v>98.01</v>
      </c>
      <c r="I43" s="637">
        <v>97.62</v>
      </c>
      <c r="J43" s="637">
        <v>99.19</v>
      </c>
      <c r="K43" s="623">
        <v>97.38</v>
      </c>
      <c r="L43" s="655">
        <v>99.34</v>
      </c>
      <c r="M43" s="655">
        <v>98.13</v>
      </c>
      <c r="N43" s="633">
        <v>99.55</v>
      </c>
      <c r="O43" s="633">
        <v>97.46</v>
      </c>
      <c r="P43" s="633">
        <v>98.9</v>
      </c>
      <c r="Q43" s="633">
        <v>99.58</v>
      </c>
      <c r="R43" s="633">
        <v>99.1</v>
      </c>
      <c r="S43" s="633">
        <v>100</v>
      </c>
      <c r="T43" s="633">
        <v>0</v>
      </c>
      <c r="U43" s="633">
        <v>99.18</v>
      </c>
      <c r="V43" s="633">
        <v>99.23</v>
      </c>
      <c r="W43" s="633">
        <v>98.71</v>
      </c>
      <c r="X43" s="633">
        <v>99.94</v>
      </c>
      <c r="Y43" s="633">
        <v>82.19</v>
      </c>
      <c r="Z43" s="633">
        <v>98.87</v>
      </c>
      <c r="AA43" s="633">
        <v>95.16</v>
      </c>
      <c r="AB43" s="655" t="e">
        <v>#VALUE!</v>
      </c>
      <c r="AC43" s="655">
        <v>97.22</v>
      </c>
      <c r="AD43" s="655" t="e">
        <v>#VALUE!</v>
      </c>
      <c r="AE43" s="655">
        <v>97.83</v>
      </c>
      <c r="AF43" s="655">
        <v>94.94</v>
      </c>
      <c r="AG43" s="655">
        <v>99.99</v>
      </c>
      <c r="AH43" s="655">
        <v>98.1</v>
      </c>
      <c r="AI43" s="655">
        <v>93.34</v>
      </c>
      <c r="AJ43" s="655">
        <v>99.39</v>
      </c>
      <c r="AK43" s="655">
        <v>99.6</v>
      </c>
      <c r="AL43" s="655">
        <v>95</v>
      </c>
      <c r="AM43" s="655">
        <v>98.81</v>
      </c>
      <c r="AN43" s="655">
        <v>97.91</v>
      </c>
      <c r="AO43" s="655">
        <v>98.24</v>
      </c>
      <c r="AP43" s="655">
        <v>97.91</v>
      </c>
      <c r="AQ43" s="655">
        <v>0</v>
      </c>
      <c r="AR43" s="655">
        <v>99.09</v>
      </c>
      <c r="AS43" s="655">
        <v>96.63</v>
      </c>
      <c r="AT43" s="655">
        <v>88.32</v>
      </c>
      <c r="AU43" s="655">
        <v>97.88</v>
      </c>
      <c r="AV43" s="655">
        <v>90.1</v>
      </c>
      <c r="AW43" s="655">
        <v>99.21</v>
      </c>
      <c r="AX43" s="655">
        <v>99.61</v>
      </c>
      <c r="AY43" s="655">
        <v>98.4</v>
      </c>
      <c r="AZ43" s="655">
        <v>96.72</v>
      </c>
      <c r="BA43" s="655">
        <v>99.09</v>
      </c>
      <c r="BB43" s="655">
        <v>93.11</v>
      </c>
      <c r="BC43" s="655">
        <v>0</v>
      </c>
      <c r="BD43" s="655">
        <v>99.51</v>
      </c>
      <c r="BE43" s="655">
        <v>98.72</v>
      </c>
      <c r="BF43" s="655">
        <v>97.84</v>
      </c>
      <c r="BG43" s="655">
        <v>94.71</v>
      </c>
      <c r="BH43" s="655">
        <v>77.459999999999994</v>
      </c>
      <c r="BI43" s="655">
        <v>97.47</v>
      </c>
      <c r="BJ43" s="655">
        <v>94.12</v>
      </c>
      <c r="BK43" s="655">
        <v>95.08</v>
      </c>
      <c r="BL43" s="655">
        <v>93</v>
      </c>
      <c r="BM43" s="655">
        <v>97.77</v>
      </c>
      <c r="BN43" s="655">
        <v>98.86</v>
      </c>
      <c r="BO43" s="655">
        <v>99.88</v>
      </c>
      <c r="BP43" s="655">
        <v>100</v>
      </c>
      <c r="BQ43" s="655">
        <v>99.39</v>
      </c>
      <c r="BR43" s="655">
        <v>99.93</v>
      </c>
      <c r="BS43" s="655">
        <v>95.54</v>
      </c>
      <c r="BT43" s="655">
        <v>99.69</v>
      </c>
      <c r="BU43" s="655">
        <v>97.07</v>
      </c>
      <c r="BV43" s="655">
        <v>99.61</v>
      </c>
      <c r="BW43" s="655">
        <v>98.68</v>
      </c>
      <c r="BX43" s="655">
        <v>90.93</v>
      </c>
      <c r="BY43" s="655">
        <v>90.48</v>
      </c>
      <c r="BZ43" s="655">
        <v>99.3</v>
      </c>
      <c r="CA43" s="655">
        <v>96.74</v>
      </c>
      <c r="CB43" s="655">
        <v>97.11</v>
      </c>
      <c r="CC43" s="655">
        <v>99.95</v>
      </c>
      <c r="CD43" s="655">
        <v>0</v>
      </c>
      <c r="CE43" s="655">
        <v>91.21</v>
      </c>
    </row>
    <row r="44" spans="1:83" x14ac:dyDescent="0.25">
      <c r="A44" s="665">
        <v>80</v>
      </c>
      <c r="B44" s="625">
        <v>80</v>
      </c>
      <c r="C44" s="653" t="s">
        <v>221</v>
      </c>
      <c r="D44" s="701" t="s">
        <v>351</v>
      </c>
      <c r="E44" s="638">
        <v>132994</v>
      </c>
      <c r="F44" s="621">
        <v>0</v>
      </c>
      <c r="G44" s="621">
        <v>533631</v>
      </c>
      <c r="H44" s="621">
        <v>0</v>
      </c>
      <c r="I44" s="621">
        <v>0</v>
      </c>
      <c r="J44" s="621">
        <v>0</v>
      </c>
      <c r="K44" s="672">
        <v>4371</v>
      </c>
      <c r="L44" s="686">
        <v>0</v>
      </c>
      <c r="M44" s="686">
        <v>0</v>
      </c>
      <c r="N44" s="636">
        <v>0</v>
      </c>
      <c r="O44" s="636">
        <v>0</v>
      </c>
      <c r="P44" s="636">
        <v>802283</v>
      </c>
      <c r="Q44" s="636">
        <v>0</v>
      </c>
      <c r="R44" s="636">
        <v>38737173</v>
      </c>
      <c r="S44" s="636">
        <v>833600</v>
      </c>
      <c r="T44" s="636">
        <v>0</v>
      </c>
      <c r="U44" s="636">
        <v>43621632</v>
      </c>
      <c r="V44" s="636">
        <v>12961588</v>
      </c>
      <c r="W44" s="636">
        <v>16951032</v>
      </c>
      <c r="X44" s="636">
        <v>0</v>
      </c>
      <c r="Y44" s="636">
        <v>247591</v>
      </c>
      <c r="Z44" s="636">
        <v>4862639</v>
      </c>
      <c r="AA44" s="636">
        <v>1194216</v>
      </c>
      <c r="AB44" s="686" t="e">
        <v>#VALUE!</v>
      </c>
      <c r="AC44" s="686">
        <v>0</v>
      </c>
      <c r="AD44" s="686" t="e">
        <v>#VALUE!</v>
      </c>
      <c r="AE44" s="686">
        <v>757546</v>
      </c>
      <c r="AF44" s="686">
        <v>1832053</v>
      </c>
      <c r="AG44" s="686">
        <v>3037231</v>
      </c>
      <c r="AH44" s="686">
        <v>2255734</v>
      </c>
      <c r="AI44" s="686">
        <v>67625</v>
      </c>
      <c r="AJ44" s="686">
        <v>15557372</v>
      </c>
      <c r="AK44" s="686">
        <v>754831</v>
      </c>
      <c r="AL44" s="686">
        <v>302981</v>
      </c>
      <c r="AM44" s="686">
        <v>1158242</v>
      </c>
      <c r="AN44" s="686">
        <v>2778990</v>
      </c>
      <c r="AO44" s="686">
        <v>329753</v>
      </c>
      <c r="AP44" s="686">
        <v>57344</v>
      </c>
      <c r="AQ44" s="686">
        <v>0</v>
      </c>
      <c r="AR44" s="686">
        <v>0</v>
      </c>
      <c r="AS44" s="686">
        <v>3194228</v>
      </c>
      <c r="AT44" s="686">
        <v>169503</v>
      </c>
      <c r="AU44" s="686">
        <v>516386</v>
      </c>
      <c r="AV44" s="686">
        <v>0</v>
      </c>
      <c r="AW44" s="686">
        <v>26010834</v>
      </c>
      <c r="AX44" s="686">
        <v>0</v>
      </c>
      <c r="AY44" s="686">
        <v>1601587</v>
      </c>
      <c r="AZ44" s="686">
        <v>5055852</v>
      </c>
      <c r="BA44" s="686">
        <v>836195</v>
      </c>
      <c r="BB44" s="686">
        <v>163239</v>
      </c>
      <c r="BC44" s="686">
        <v>0</v>
      </c>
      <c r="BD44" s="686">
        <v>92949</v>
      </c>
      <c r="BE44" s="686">
        <v>7204293</v>
      </c>
      <c r="BF44" s="686">
        <v>0</v>
      </c>
      <c r="BG44" s="686">
        <v>135003</v>
      </c>
      <c r="BH44" s="686">
        <v>93765</v>
      </c>
      <c r="BI44" s="686">
        <v>0</v>
      </c>
      <c r="BJ44" s="686">
        <v>153128</v>
      </c>
      <c r="BK44" s="686">
        <v>0</v>
      </c>
      <c r="BL44" s="686">
        <v>1861581</v>
      </c>
      <c r="BM44" s="686">
        <v>42495</v>
      </c>
      <c r="BN44" s="686">
        <v>57048</v>
      </c>
      <c r="BO44" s="686">
        <v>692013</v>
      </c>
      <c r="BP44" s="686">
        <v>519283</v>
      </c>
      <c r="BQ44" s="686">
        <v>758799</v>
      </c>
      <c r="BR44" s="686">
        <v>0</v>
      </c>
      <c r="BS44" s="686">
        <v>494410</v>
      </c>
      <c r="BT44" s="686">
        <v>0</v>
      </c>
      <c r="BU44" s="686">
        <v>544438</v>
      </c>
      <c r="BV44" s="686">
        <v>3306614</v>
      </c>
      <c r="BW44" s="686">
        <v>0</v>
      </c>
      <c r="BX44" s="686">
        <v>158244</v>
      </c>
      <c r="BY44" s="686">
        <v>937440</v>
      </c>
      <c r="BZ44" s="686">
        <v>3129</v>
      </c>
      <c r="CA44" s="686">
        <v>96269</v>
      </c>
      <c r="CB44" s="686">
        <v>4565</v>
      </c>
      <c r="CC44" s="686">
        <v>116419</v>
      </c>
      <c r="CD44" s="686">
        <v>0</v>
      </c>
      <c r="CE44" s="686">
        <v>6828</v>
      </c>
    </row>
    <row r="45" spans="1:83" x14ac:dyDescent="0.25">
      <c r="A45" s="665">
        <v>81</v>
      </c>
      <c r="B45" s="625">
        <v>81</v>
      </c>
      <c r="C45" s="653" t="s">
        <v>222</v>
      </c>
      <c r="D45" s="701" t="s">
        <v>352</v>
      </c>
      <c r="E45" s="638">
        <v>40200</v>
      </c>
      <c r="F45" s="621">
        <v>0</v>
      </c>
      <c r="G45" s="621">
        <v>42433</v>
      </c>
      <c r="H45" s="621">
        <v>0</v>
      </c>
      <c r="I45" s="621">
        <v>0</v>
      </c>
      <c r="J45" s="621">
        <v>0</v>
      </c>
      <c r="K45" s="672">
        <v>25303</v>
      </c>
      <c r="L45" s="686">
        <v>0</v>
      </c>
      <c r="M45" s="686">
        <v>0</v>
      </c>
      <c r="N45" s="636">
        <v>0</v>
      </c>
      <c r="O45" s="636">
        <v>0</v>
      </c>
      <c r="P45" s="636">
        <v>283354</v>
      </c>
      <c r="Q45" s="636">
        <v>0</v>
      </c>
      <c r="R45" s="636">
        <v>1846903</v>
      </c>
      <c r="S45" s="636">
        <v>33212</v>
      </c>
      <c r="T45" s="636">
        <v>0</v>
      </c>
      <c r="U45" s="636">
        <v>3938702</v>
      </c>
      <c r="V45" s="636">
        <v>1318248</v>
      </c>
      <c r="W45" s="636">
        <v>1134870</v>
      </c>
      <c r="X45" s="636">
        <v>0</v>
      </c>
      <c r="Y45" s="636">
        <v>16552</v>
      </c>
      <c r="Z45" s="636">
        <v>765965</v>
      </c>
      <c r="AA45" s="636">
        <v>124183</v>
      </c>
      <c r="AB45" s="686" t="e">
        <v>#VALUE!</v>
      </c>
      <c r="AC45" s="686">
        <v>277983</v>
      </c>
      <c r="AD45" s="686" t="e">
        <v>#VALUE!</v>
      </c>
      <c r="AE45" s="686">
        <v>85293</v>
      </c>
      <c r="AF45" s="686">
        <v>146662</v>
      </c>
      <c r="AG45" s="686">
        <v>453814</v>
      </c>
      <c r="AH45" s="686">
        <v>315879</v>
      </c>
      <c r="AI45" s="686">
        <v>65044</v>
      </c>
      <c r="AJ45" s="686">
        <v>2355035</v>
      </c>
      <c r="AK45" s="686">
        <v>21410</v>
      </c>
      <c r="AL45" s="686">
        <v>72709</v>
      </c>
      <c r="AM45" s="686">
        <v>318553</v>
      </c>
      <c r="AN45" s="686">
        <v>972349</v>
      </c>
      <c r="AO45" s="686">
        <v>56807</v>
      </c>
      <c r="AP45" s="686">
        <v>77659</v>
      </c>
      <c r="AQ45" s="686">
        <v>0</v>
      </c>
      <c r="AR45" s="686">
        <v>0</v>
      </c>
      <c r="AS45" s="686">
        <v>483630</v>
      </c>
      <c r="AT45" s="686">
        <v>31437</v>
      </c>
      <c r="AU45" s="686">
        <v>183945</v>
      </c>
      <c r="AV45" s="686">
        <v>0</v>
      </c>
      <c r="AW45" s="686">
        <v>3046091</v>
      </c>
      <c r="AX45" s="686">
        <v>0</v>
      </c>
      <c r="AY45" s="686">
        <v>123419</v>
      </c>
      <c r="AZ45" s="686">
        <v>576728</v>
      </c>
      <c r="BA45" s="686">
        <v>71002</v>
      </c>
      <c r="BB45" s="686">
        <v>26851</v>
      </c>
      <c r="BC45" s="686">
        <v>0</v>
      </c>
      <c r="BD45" s="686">
        <v>17738</v>
      </c>
      <c r="BE45" s="686">
        <v>651232</v>
      </c>
      <c r="BF45" s="686">
        <v>0</v>
      </c>
      <c r="BG45" s="686">
        <v>28228</v>
      </c>
      <c r="BH45" s="686">
        <v>3297</v>
      </c>
      <c r="BI45" s="686">
        <v>0</v>
      </c>
      <c r="BJ45" s="686">
        <v>19165</v>
      </c>
      <c r="BK45" s="686">
        <v>0</v>
      </c>
      <c r="BL45" s="686">
        <v>123403</v>
      </c>
      <c r="BM45" s="686">
        <v>113999</v>
      </c>
      <c r="BN45" s="686">
        <v>135189</v>
      </c>
      <c r="BO45" s="686">
        <v>201368</v>
      </c>
      <c r="BP45" s="686">
        <v>102440</v>
      </c>
      <c r="BQ45" s="686">
        <v>11285</v>
      </c>
      <c r="BR45" s="686">
        <v>0</v>
      </c>
      <c r="BS45" s="686">
        <v>83440</v>
      </c>
      <c r="BT45" s="686">
        <v>0</v>
      </c>
      <c r="BU45" s="686">
        <v>69648</v>
      </c>
      <c r="BV45" s="686">
        <v>377035</v>
      </c>
      <c r="BW45" s="686">
        <v>0</v>
      </c>
      <c r="BX45" s="686">
        <v>438049</v>
      </c>
      <c r="BY45" s="686">
        <v>27505</v>
      </c>
      <c r="BZ45" s="686">
        <v>1524</v>
      </c>
      <c r="CA45" s="686">
        <v>26071</v>
      </c>
      <c r="CB45" s="686">
        <v>15629</v>
      </c>
      <c r="CC45" s="686">
        <v>65768</v>
      </c>
      <c r="CD45" s="686">
        <v>0</v>
      </c>
      <c r="CE45" s="686">
        <v>0</v>
      </c>
    </row>
    <row r="46" spans="1:83" x14ac:dyDescent="0.25">
      <c r="A46" s="665">
        <v>82</v>
      </c>
      <c r="B46" s="625">
        <v>82</v>
      </c>
      <c r="C46" s="653" t="s">
        <v>557</v>
      </c>
      <c r="D46" s="701" t="s">
        <v>353</v>
      </c>
      <c r="E46" s="638">
        <v>110000</v>
      </c>
      <c r="F46" s="621">
        <v>0</v>
      </c>
      <c r="G46" s="621">
        <v>126000</v>
      </c>
      <c r="H46" s="621">
        <v>0</v>
      </c>
      <c r="I46" s="621">
        <v>0</v>
      </c>
      <c r="J46" s="621">
        <v>0</v>
      </c>
      <c r="K46" s="672">
        <v>445000</v>
      </c>
      <c r="L46" s="686">
        <v>0</v>
      </c>
      <c r="M46" s="686">
        <v>0</v>
      </c>
      <c r="N46" s="636">
        <v>0</v>
      </c>
      <c r="O46" s="636">
        <v>0</v>
      </c>
      <c r="P46" s="636">
        <v>0</v>
      </c>
      <c r="Q46" s="636">
        <v>0</v>
      </c>
      <c r="R46" s="636">
        <v>25352778</v>
      </c>
      <c r="S46" s="636">
        <v>552769</v>
      </c>
      <c r="T46" s="636">
        <v>0</v>
      </c>
      <c r="U46" s="636">
        <v>62112990</v>
      </c>
      <c r="V46" s="636">
        <v>18178152</v>
      </c>
      <c r="W46" s="636">
        <v>19488884</v>
      </c>
      <c r="X46" s="636">
        <v>0</v>
      </c>
      <c r="Y46" s="636">
        <v>0</v>
      </c>
      <c r="Z46" s="636">
        <v>8839653</v>
      </c>
      <c r="AA46" s="636">
        <v>1184000</v>
      </c>
      <c r="AB46" s="686" t="e">
        <v>#VALUE!</v>
      </c>
      <c r="AC46" s="686">
        <v>7515052</v>
      </c>
      <c r="AD46" s="686" t="e">
        <v>#VALUE!</v>
      </c>
      <c r="AE46" s="686">
        <v>2318996</v>
      </c>
      <c r="AF46" s="686">
        <v>395040</v>
      </c>
      <c r="AG46" s="686">
        <v>146783</v>
      </c>
      <c r="AH46" s="686">
        <v>259133</v>
      </c>
      <c r="AI46" s="686">
        <v>502104</v>
      </c>
      <c r="AJ46" s="686">
        <v>36091897</v>
      </c>
      <c r="AK46" s="686">
        <v>0</v>
      </c>
      <c r="AL46" s="686">
        <v>880150</v>
      </c>
      <c r="AM46" s="686">
        <v>9192929</v>
      </c>
      <c r="AN46" s="686">
        <v>9775574</v>
      </c>
      <c r="AO46" s="686">
        <v>305500</v>
      </c>
      <c r="AP46" s="686">
        <v>1711338</v>
      </c>
      <c r="AQ46" s="686">
        <v>0</v>
      </c>
      <c r="AR46" s="686">
        <v>0</v>
      </c>
      <c r="AS46" s="686">
        <v>2010503</v>
      </c>
      <c r="AT46" s="686">
        <v>1107621</v>
      </c>
      <c r="AU46" s="686">
        <v>2020887</v>
      </c>
      <c r="AV46" s="686">
        <v>0</v>
      </c>
      <c r="AW46" s="686">
        <v>90520067</v>
      </c>
      <c r="AX46" s="686">
        <v>0</v>
      </c>
      <c r="AY46" s="686">
        <v>1055557</v>
      </c>
      <c r="AZ46" s="686">
        <v>0</v>
      </c>
      <c r="BA46" s="686">
        <v>775000</v>
      </c>
      <c r="BB46" s="686">
        <v>0</v>
      </c>
      <c r="BC46" s="686">
        <v>0</v>
      </c>
      <c r="BD46" s="686">
        <v>0</v>
      </c>
      <c r="BE46" s="686">
        <v>6677673</v>
      </c>
      <c r="BF46" s="686">
        <v>0</v>
      </c>
      <c r="BG46" s="686">
        <v>425964</v>
      </c>
      <c r="BH46" s="686">
        <v>0</v>
      </c>
      <c r="BI46" s="686">
        <v>0</v>
      </c>
      <c r="BJ46" s="686">
        <v>88919</v>
      </c>
      <c r="BK46" s="686">
        <v>0</v>
      </c>
      <c r="BL46" s="686">
        <v>1031488</v>
      </c>
      <c r="BM46" s="686">
        <v>1080000</v>
      </c>
      <c r="BN46" s="686">
        <v>696095</v>
      </c>
      <c r="BO46" s="686">
        <v>2876000</v>
      </c>
      <c r="BP46" s="686">
        <v>976628</v>
      </c>
      <c r="BQ46" s="686">
        <v>14331</v>
      </c>
      <c r="BR46" s="686">
        <v>0</v>
      </c>
      <c r="BS46" s="686">
        <v>0</v>
      </c>
      <c r="BT46" s="686">
        <v>0</v>
      </c>
      <c r="BU46" s="686">
        <v>1029926</v>
      </c>
      <c r="BV46" s="686">
        <v>1599822</v>
      </c>
      <c r="BW46" s="686">
        <v>0</v>
      </c>
      <c r="BX46" s="686">
        <v>725998</v>
      </c>
      <c r="BY46" s="686">
        <v>0</v>
      </c>
      <c r="BZ46" s="686">
        <v>0</v>
      </c>
      <c r="CA46" s="686">
        <v>655491</v>
      </c>
      <c r="CB46" s="686">
        <v>408000</v>
      </c>
      <c r="CC46" s="686">
        <v>1291184</v>
      </c>
      <c r="CD46" s="686">
        <v>0</v>
      </c>
      <c r="CE46" s="686">
        <v>0</v>
      </c>
    </row>
    <row r="47" spans="1:83" x14ac:dyDescent="0.25">
      <c r="A47" s="665">
        <v>83</v>
      </c>
      <c r="B47" s="625">
        <v>83</v>
      </c>
      <c r="C47" s="653" t="s">
        <v>104</v>
      </c>
      <c r="D47" s="701" t="s">
        <v>354</v>
      </c>
      <c r="E47" s="638">
        <v>904083</v>
      </c>
      <c r="F47" s="621">
        <v>0</v>
      </c>
      <c r="G47" s="621">
        <v>4118399</v>
      </c>
      <c r="H47" s="621">
        <v>0</v>
      </c>
      <c r="I47" s="621">
        <v>0</v>
      </c>
      <c r="J47" s="621">
        <v>0</v>
      </c>
      <c r="K47" s="672">
        <v>2019841</v>
      </c>
      <c r="L47" s="686">
        <v>0</v>
      </c>
      <c r="M47" s="686">
        <v>0</v>
      </c>
      <c r="N47" s="636">
        <v>0</v>
      </c>
      <c r="O47" s="636">
        <v>0</v>
      </c>
      <c r="P47" s="636">
        <v>13808303</v>
      </c>
      <c r="Q47" s="636">
        <v>0</v>
      </c>
      <c r="R47" s="636">
        <v>95309158</v>
      </c>
      <c r="S47" s="636">
        <v>1920550</v>
      </c>
      <c r="T47" s="636">
        <v>0</v>
      </c>
      <c r="U47" s="636">
        <v>114544739</v>
      </c>
      <c r="V47" s="636">
        <v>46233929</v>
      </c>
      <c r="W47" s="636">
        <v>56091359</v>
      </c>
      <c r="X47" s="636">
        <v>0</v>
      </c>
      <c r="Y47" s="636">
        <v>3470523</v>
      </c>
      <c r="Z47" s="636">
        <v>37366921</v>
      </c>
      <c r="AA47" s="636">
        <v>10199867</v>
      </c>
      <c r="AB47" s="686" t="e">
        <v>#VALUE!</v>
      </c>
      <c r="AC47" s="686">
        <v>17181229</v>
      </c>
      <c r="AD47" s="686" t="e">
        <v>#VALUE!</v>
      </c>
      <c r="AE47" s="686">
        <v>5025536</v>
      </c>
      <c r="AF47" s="686">
        <v>12662165</v>
      </c>
      <c r="AG47" s="686">
        <v>9161756</v>
      </c>
      <c r="AH47" s="686">
        <v>10175473</v>
      </c>
      <c r="AI47" s="686">
        <v>3525356</v>
      </c>
      <c r="AJ47" s="686">
        <v>95998130</v>
      </c>
      <c r="AK47" s="686">
        <v>2387899</v>
      </c>
      <c r="AL47" s="686">
        <v>4075547</v>
      </c>
      <c r="AM47" s="686">
        <v>4766366</v>
      </c>
      <c r="AN47" s="686">
        <v>22968647</v>
      </c>
      <c r="AO47" s="686">
        <v>1132295</v>
      </c>
      <c r="AP47" s="686">
        <v>1042818</v>
      </c>
      <c r="AQ47" s="686">
        <v>0</v>
      </c>
      <c r="AR47" s="686">
        <v>0</v>
      </c>
      <c r="AS47" s="686">
        <v>19693470</v>
      </c>
      <c r="AT47" s="686">
        <v>6137654</v>
      </c>
      <c r="AU47" s="686">
        <v>9971482</v>
      </c>
      <c r="AV47" s="686">
        <v>0</v>
      </c>
      <c r="AW47" s="686">
        <v>48049461</v>
      </c>
      <c r="AX47" s="686">
        <v>0</v>
      </c>
      <c r="AY47" s="686">
        <v>6992642</v>
      </c>
      <c r="AZ47" s="686">
        <v>10149425</v>
      </c>
      <c r="BA47" s="686">
        <v>6118160</v>
      </c>
      <c r="BB47" s="686">
        <v>1342643</v>
      </c>
      <c r="BC47" s="686">
        <v>0</v>
      </c>
      <c r="BD47" s="686">
        <v>658309</v>
      </c>
      <c r="BE47" s="686">
        <v>25131631</v>
      </c>
      <c r="BF47" s="686">
        <v>0</v>
      </c>
      <c r="BG47" s="686">
        <v>2543738</v>
      </c>
      <c r="BH47" s="686">
        <v>2502159</v>
      </c>
      <c r="BI47" s="686">
        <v>0</v>
      </c>
      <c r="BJ47" s="686">
        <v>3198562</v>
      </c>
      <c r="BK47" s="686">
        <v>0</v>
      </c>
      <c r="BL47" s="686">
        <v>13801133</v>
      </c>
      <c r="BM47" s="686">
        <v>4810741</v>
      </c>
      <c r="BN47" s="686">
        <v>5656882</v>
      </c>
      <c r="BO47" s="686">
        <v>1372902</v>
      </c>
      <c r="BP47" s="686">
        <v>1875391</v>
      </c>
      <c r="BQ47" s="686">
        <v>1291512</v>
      </c>
      <c r="BR47" s="686">
        <v>0</v>
      </c>
      <c r="BS47" s="686">
        <v>5205590</v>
      </c>
      <c r="BT47" s="686">
        <v>0</v>
      </c>
      <c r="BU47" s="686">
        <v>6482649</v>
      </c>
      <c r="BV47" s="686">
        <v>14459416</v>
      </c>
      <c r="BW47" s="686">
        <v>0</v>
      </c>
      <c r="BX47" s="686">
        <v>10350947</v>
      </c>
      <c r="BY47" s="686">
        <v>3109950</v>
      </c>
      <c r="BZ47" s="686">
        <v>679286</v>
      </c>
      <c r="CA47" s="686">
        <v>3900229</v>
      </c>
      <c r="CB47" s="686">
        <v>4586233</v>
      </c>
      <c r="CC47" s="686">
        <v>2907484</v>
      </c>
      <c r="CD47" s="686">
        <v>0</v>
      </c>
      <c r="CE47" s="686">
        <v>856583</v>
      </c>
    </row>
    <row r="48" spans="1:83" x14ac:dyDescent="0.25">
      <c r="A48" s="665">
        <v>84</v>
      </c>
      <c r="B48" s="625">
        <v>84</v>
      </c>
      <c r="C48" s="653" t="s">
        <v>230</v>
      </c>
      <c r="D48" s="701" t="s">
        <v>355</v>
      </c>
      <c r="E48" s="638">
        <v>391560</v>
      </c>
      <c r="F48" s="621">
        <v>0</v>
      </c>
      <c r="G48" s="621">
        <v>535293</v>
      </c>
      <c r="H48" s="621">
        <v>0</v>
      </c>
      <c r="I48" s="621">
        <v>0</v>
      </c>
      <c r="J48" s="621">
        <v>0</v>
      </c>
      <c r="K48" s="672">
        <v>114408</v>
      </c>
      <c r="L48" s="686">
        <v>0</v>
      </c>
      <c r="M48" s="686">
        <v>0</v>
      </c>
      <c r="N48" s="636">
        <v>0</v>
      </c>
      <c r="O48" s="636">
        <v>0</v>
      </c>
      <c r="P48" s="636">
        <v>2951993</v>
      </c>
      <c r="Q48" s="636">
        <v>0</v>
      </c>
      <c r="R48" s="636">
        <v>17249868</v>
      </c>
      <c r="S48" s="636">
        <v>333751</v>
      </c>
      <c r="T48" s="636">
        <v>0</v>
      </c>
      <c r="U48" s="636">
        <v>23326863</v>
      </c>
      <c r="V48" s="636">
        <v>7299837</v>
      </c>
      <c r="W48" s="636">
        <v>11279966</v>
      </c>
      <c r="X48" s="636">
        <v>0</v>
      </c>
      <c r="Y48" s="636">
        <v>203136</v>
      </c>
      <c r="Z48" s="636">
        <v>6031408</v>
      </c>
      <c r="AA48" s="636">
        <v>1085639</v>
      </c>
      <c r="AB48" s="686" t="e">
        <v>#VALUE!</v>
      </c>
      <c r="AC48" s="686">
        <v>2799882</v>
      </c>
      <c r="AD48" s="686" t="e">
        <v>#VALUE!</v>
      </c>
      <c r="AE48" s="686">
        <v>1386469</v>
      </c>
      <c r="AF48" s="686">
        <v>1597137</v>
      </c>
      <c r="AG48" s="686">
        <v>2699601</v>
      </c>
      <c r="AH48" s="686">
        <v>4076165</v>
      </c>
      <c r="AI48" s="686">
        <v>270056</v>
      </c>
      <c r="AJ48" s="686">
        <v>21790683</v>
      </c>
      <c r="AK48" s="686">
        <v>250173</v>
      </c>
      <c r="AL48" s="686">
        <v>505092</v>
      </c>
      <c r="AM48" s="686">
        <v>1990131</v>
      </c>
      <c r="AN48" s="686">
        <v>7191570</v>
      </c>
      <c r="AO48" s="686">
        <v>351252</v>
      </c>
      <c r="AP48" s="686">
        <v>612323</v>
      </c>
      <c r="AQ48" s="686">
        <v>0</v>
      </c>
      <c r="AR48" s="686">
        <v>0</v>
      </c>
      <c r="AS48" s="686">
        <v>3034038</v>
      </c>
      <c r="AT48" s="686">
        <v>279560</v>
      </c>
      <c r="AU48" s="686">
        <v>1281606</v>
      </c>
      <c r="AV48" s="686">
        <v>0</v>
      </c>
      <c r="AW48" s="686">
        <v>18086111</v>
      </c>
      <c r="AX48" s="686">
        <v>0</v>
      </c>
      <c r="AY48" s="686">
        <v>1129859</v>
      </c>
      <c r="AZ48" s="686">
        <v>2700479</v>
      </c>
      <c r="BA48" s="686">
        <v>520709</v>
      </c>
      <c r="BB48" s="686">
        <v>309298</v>
      </c>
      <c r="BC48" s="686">
        <v>0</v>
      </c>
      <c r="BD48" s="686">
        <v>116977</v>
      </c>
      <c r="BE48" s="686">
        <v>6647697</v>
      </c>
      <c r="BF48" s="686">
        <v>0</v>
      </c>
      <c r="BG48" s="686">
        <v>242356</v>
      </c>
      <c r="BH48" s="686">
        <v>127590</v>
      </c>
      <c r="BI48" s="686">
        <v>0</v>
      </c>
      <c r="BJ48" s="686">
        <v>161359</v>
      </c>
      <c r="BK48" s="686">
        <v>0</v>
      </c>
      <c r="BL48" s="686">
        <v>2925405</v>
      </c>
      <c r="BM48" s="686">
        <v>647737</v>
      </c>
      <c r="BN48" s="686">
        <v>891246</v>
      </c>
      <c r="BO48" s="686">
        <v>735730</v>
      </c>
      <c r="BP48" s="686">
        <v>820322</v>
      </c>
      <c r="BQ48" s="686">
        <v>452005</v>
      </c>
      <c r="BR48" s="686">
        <v>0</v>
      </c>
      <c r="BS48" s="686">
        <v>761069</v>
      </c>
      <c r="BT48" s="686">
        <v>0</v>
      </c>
      <c r="BU48" s="686">
        <v>596036</v>
      </c>
      <c r="BV48" s="686">
        <v>3195698</v>
      </c>
      <c r="BW48" s="686">
        <v>0</v>
      </c>
      <c r="BX48" s="686">
        <v>1901075</v>
      </c>
      <c r="BY48" s="686">
        <v>269893</v>
      </c>
      <c r="BZ48" s="686">
        <v>13210</v>
      </c>
      <c r="CA48" s="686">
        <v>290582</v>
      </c>
      <c r="CB48" s="686">
        <v>164736</v>
      </c>
      <c r="CC48" s="686">
        <v>692291</v>
      </c>
      <c r="CD48" s="686">
        <v>0</v>
      </c>
      <c r="CE48" s="686">
        <v>21211</v>
      </c>
    </row>
    <row r="49" spans="1:83" x14ac:dyDescent="0.25">
      <c r="A49" s="665">
        <v>85</v>
      </c>
      <c r="B49" s="625">
        <v>85</v>
      </c>
      <c r="C49" s="653" t="s">
        <v>232</v>
      </c>
      <c r="D49" s="701" t="s">
        <v>356</v>
      </c>
      <c r="E49" s="638">
        <v>325202</v>
      </c>
      <c r="F49" s="621">
        <v>0</v>
      </c>
      <c r="G49" s="621">
        <v>564327</v>
      </c>
      <c r="H49" s="621">
        <v>0</v>
      </c>
      <c r="I49" s="621">
        <v>0</v>
      </c>
      <c r="J49" s="621">
        <v>0</v>
      </c>
      <c r="K49" s="672">
        <v>178628</v>
      </c>
      <c r="L49" s="686">
        <v>0</v>
      </c>
      <c r="M49" s="686">
        <v>0</v>
      </c>
      <c r="N49" s="636">
        <v>0</v>
      </c>
      <c r="O49" s="636">
        <v>0</v>
      </c>
      <c r="P49" s="636">
        <v>2772704</v>
      </c>
      <c r="Q49" s="636">
        <v>0</v>
      </c>
      <c r="R49" s="636">
        <v>11500304</v>
      </c>
      <c r="S49" s="636">
        <v>259821</v>
      </c>
      <c r="T49" s="636">
        <v>0</v>
      </c>
      <c r="U49" s="636">
        <v>16590975</v>
      </c>
      <c r="V49" s="636">
        <v>5743290</v>
      </c>
      <c r="W49" s="636">
        <v>9410317</v>
      </c>
      <c r="X49" s="636">
        <v>0</v>
      </c>
      <c r="Y49" s="636">
        <v>272216</v>
      </c>
      <c r="Z49" s="636">
        <v>5500125</v>
      </c>
      <c r="AA49" s="636">
        <v>1196604</v>
      </c>
      <c r="AB49" s="686" t="e">
        <v>#VALUE!</v>
      </c>
      <c r="AC49" s="686">
        <v>2711036</v>
      </c>
      <c r="AD49" s="686" t="e">
        <v>#VALUE!</v>
      </c>
      <c r="AE49" s="686">
        <v>1211597</v>
      </c>
      <c r="AF49" s="686">
        <v>2166573</v>
      </c>
      <c r="AG49" s="686">
        <v>3077764</v>
      </c>
      <c r="AH49" s="686">
        <v>3308474</v>
      </c>
      <c r="AI49" s="686">
        <v>503543</v>
      </c>
      <c r="AJ49" s="686">
        <v>17790681</v>
      </c>
      <c r="AK49" s="686">
        <v>284151</v>
      </c>
      <c r="AL49" s="686">
        <v>508696</v>
      </c>
      <c r="AM49" s="686">
        <v>1912436</v>
      </c>
      <c r="AN49" s="686">
        <v>7243045</v>
      </c>
      <c r="AO49" s="686">
        <v>485985</v>
      </c>
      <c r="AP49" s="686">
        <v>654702</v>
      </c>
      <c r="AQ49" s="686">
        <v>0</v>
      </c>
      <c r="AR49" s="686">
        <v>0</v>
      </c>
      <c r="AS49" s="686">
        <v>2733327</v>
      </c>
      <c r="AT49" s="686">
        <v>573687</v>
      </c>
      <c r="AU49" s="686">
        <v>1471395</v>
      </c>
      <c r="AV49" s="686">
        <v>0</v>
      </c>
      <c r="AW49" s="686">
        <v>12187627</v>
      </c>
      <c r="AX49" s="686">
        <v>0</v>
      </c>
      <c r="AY49" s="686">
        <v>888182</v>
      </c>
      <c r="AZ49" s="686">
        <v>2317099</v>
      </c>
      <c r="BA49" s="686">
        <v>719833</v>
      </c>
      <c r="BB49" s="686">
        <v>374941</v>
      </c>
      <c r="BC49" s="686">
        <v>0</v>
      </c>
      <c r="BD49" s="686">
        <v>122046</v>
      </c>
      <c r="BE49" s="686">
        <v>4345005</v>
      </c>
      <c r="BF49" s="686">
        <v>0</v>
      </c>
      <c r="BG49" s="686">
        <v>240305</v>
      </c>
      <c r="BH49" s="686">
        <v>165756</v>
      </c>
      <c r="BI49" s="686">
        <v>0</v>
      </c>
      <c r="BJ49" s="686">
        <v>183515</v>
      </c>
      <c r="BK49" s="686">
        <v>0</v>
      </c>
      <c r="BL49" s="686">
        <v>2708746</v>
      </c>
      <c r="BM49" s="686">
        <v>626378</v>
      </c>
      <c r="BN49" s="686">
        <v>1144653</v>
      </c>
      <c r="BO49" s="686">
        <v>576169</v>
      </c>
      <c r="BP49" s="686">
        <v>763279</v>
      </c>
      <c r="BQ49" s="686">
        <v>364377</v>
      </c>
      <c r="BR49" s="686">
        <v>0</v>
      </c>
      <c r="BS49" s="686">
        <v>630313</v>
      </c>
      <c r="BT49" s="686">
        <v>0</v>
      </c>
      <c r="BU49" s="686">
        <v>750189</v>
      </c>
      <c r="BV49" s="686">
        <v>2960501</v>
      </c>
      <c r="BW49" s="686">
        <v>0</v>
      </c>
      <c r="BX49" s="686">
        <v>2096569</v>
      </c>
      <c r="BY49" s="686">
        <v>352329</v>
      </c>
      <c r="BZ49" s="686">
        <v>35057</v>
      </c>
      <c r="CA49" s="686">
        <v>342148</v>
      </c>
      <c r="CB49" s="686">
        <v>302283</v>
      </c>
      <c r="CC49" s="686">
        <v>719105</v>
      </c>
      <c r="CD49" s="686">
        <v>0</v>
      </c>
      <c r="CE49" s="686">
        <v>48365</v>
      </c>
    </row>
    <row r="50" spans="1:83" x14ac:dyDescent="0.25">
      <c r="A50" s="665">
        <v>88</v>
      </c>
      <c r="B50" s="625">
        <v>88</v>
      </c>
      <c r="C50" s="653" t="s">
        <v>229</v>
      </c>
      <c r="D50" s="701" t="s">
        <v>357</v>
      </c>
      <c r="E50" s="638">
        <v>297742</v>
      </c>
      <c r="F50" s="621">
        <v>0</v>
      </c>
      <c r="G50" s="621">
        <v>474874</v>
      </c>
      <c r="H50" s="621">
        <v>0</v>
      </c>
      <c r="I50" s="621">
        <v>0</v>
      </c>
      <c r="J50" s="621">
        <v>0</v>
      </c>
      <c r="K50" s="672">
        <v>113608</v>
      </c>
      <c r="L50" s="686">
        <v>0</v>
      </c>
      <c r="M50" s="686">
        <v>0</v>
      </c>
      <c r="N50" s="636">
        <v>0</v>
      </c>
      <c r="O50" s="636">
        <v>0</v>
      </c>
      <c r="P50" s="636">
        <v>2747357</v>
      </c>
      <c r="Q50" s="636">
        <v>0</v>
      </c>
      <c r="R50" s="636">
        <v>16313261</v>
      </c>
      <c r="S50" s="636">
        <v>285901</v>
      </c>
      <c r="T50" s="636">
        <v>0</v>
      </c>
      <c r="U50" s="636">
        <v>22579457</v>
      </c>
      <c r="V50" s="636">
        <v>6976210</v>
      </c>
      <c r="W50" s="636">
        <v>11279966</v>
      </c>
      <c r="X50" s="636">
        <v>0</v>
      </c>
      <c r="Y50" s="636">
        <v>203136</v>
      </c>
      <c r="Z50" s="636">
        <v>6006765</v>
      </c>
      <c r="AA50" s="636">
        <v>1049723</v>
      </c>
      <c r="AB50" s="686" t="e">
        <v>#VALUE!</v>
      </c>
      <c r="AC50" s="686">
        <v>2760439</v>
      </c>
      <c r="AD50" s="686" t="e">
        <v>#VALUE!</v>
      </c>
      <c r="AE50" s="686">
        <v>1325800</v>
      </c>
      <c r="AF50" s="686">
        <v>1559077</v>
      </c>
      <c r="AG50" s="686">
        <v>2631286</v>
      </c>
      <c r="AH50" s="686">
        <v>3936470</v>
      </c>
      <c r="AI50" s="686">
        <v>239711</v>
      </c>
      <c r="AJ50" s="686">
        <v>20911424</v>
      </c>
      <c r="AK50" s="686">
        <v>246863</v>
      </c>
      <c r="AL50" s="686">
        <v>500892</v>
      </c>
      <c r="AM50" s="686">
        <v>1968258</v>
      </c>
      <c r="AN50" s="686">
        <v>6731110</v>
      </c>
      <c r="AO50" s="686">
        <v>345948</v>
      </c>
      <c r="AP50" s="686">
        <v>596274</v>
      </c>
      <c r="AQ50" s="686">
        <v>0</v>
      </c>
      <c r="AR50" s="686">
        <v>0</v>
      </c>
      <c r="AS50" s="686">
        <v>2951710</v>
      </c>
      <c r="AT50" s="686">
        <v>274598</v>
      </c>
      <c r="AU50" s="686">
        <v>1180107</v>
      </c>
      <c r="AV50" s="686">
        <v>0</v>
      </c>
      <c r="AW50" s="686">
        <v>17369237</v>
      </c>
      <c r="AX50" s="686">
        <v>0</v>
      </c>
      <c r="AY50" s="686">
        <v>985665</v>
      </c>
      <c r="AZ50" s="686">
        <v>2594480</v>
      </c>
      <c r="BA50" s="686">
        <v>396338</v>
      </c>
      <c r="BB50" s="686">
        <v>282357</v>
      </c>
      <c r="BC50" s="686">
        <v>0</v>
      </c>
      <c r="BD50" s="686">
        <v>110941</v>
      </c>
      <c r="BE50" s="686">
        <v>5710404</v>
      </c>
      <c r="BF50" s="686">
        <v>0</v>
      </c>
      <c r="BG50" s="686">
        <v>235845</v>
      </c>
      <c r="BH50" s="686">
        <v>127590</v>
      </c>
      <c r="BI50" s="686">
        <v>0</v>
      </c>
      <c r="BJ50" s="686">
        <v>161359</v>
      </c>
      <c r="BK50" s="686">
        <v>0</v>
      </c>
      <c r="BL50" s="686">
        <v>2925405</v>
      </c>
      <c r="BM50" s="686">
        <v>592276</v>
      </c>
      <c r="BN50" s="686">
        <v>850167</v>
      </c>
      <c r="BO50" s="686">
        <v>725042</v>
      </c>
      <c r="BP50" s="686">
        <v>743239</v>
      </c>
      <c r="BQ50" s="686">
        <v>452005</v>
      </c>
      <c r="BR50" s="686">
        <v>0</v>
      </c>
      <c r="BS50" s="686">
        <v>690036</v>
      </c>
      <c r="BT50" s="686">
        <v>0</v>
      </c>
      <c r="BU50" s="686">
        <v>577506</v>
      </c>
      <c r="BV50" s="686">
        <v>2965740</v>
      </c>
      <c r="BW50" s="686">
        <v>0</v>
      </c>
      <c r="BX50" s="686">
        <v>1901075</v>
      </c>
      <c r="BY50" s="686">
        <v>264659</v>
      </c>
      <c r="BZ50" s="686">
        <v>13210</v>
      </c>
      <c r="CA50" s="686">
        <v>287722</v>
      </c>
      <c r="CB50" s="686">
        <v>164618</v>
      </c>
      <c r="CC50" s="686">
        <v>643313</v>
      </c>
      <c r="CD50" s="686">
        <v>0</v>
      </c>
      <c r="CE50" s="686">
        <v>21211</v>
      </c>
    </row>
    <row r="51" spans="1:83" x14ac:dyDescent="0.25">
      <c r="A51" s="665">
        <v>89</v>
      </c>
      <c r="B51" s="625">
        <v>89</v>
      </c>
      <c r="C51" s="653" t="s">
        <v>233</v>
      </c>
      <c r="D51" s="701" t="s">
        <v>358</v>
      </c>
      <c r="E51" s="638">
        <v>6527</v>
      </c>
      <c r="F51" s="621">
        <v>0</v>
      </c>
      <c r="G51" s="621">
        <v>5189</v>
      </c>
      <c r="H51" s="621">
        <v>0</v>
      </c>
      <c r="I51" s="621">
        <v>0</v>
      </c>
      <c r="J51" s="621">
        <v>0</v>
      </c>
      <c r="K51" s="672">
        <v>8805</v>
      </c>
      <c r="L51" s="686">
        <v>0</v>
      </c>
      <c r="M51" s="686">
        <v>0</v>
      </c>
      <c r="N51" s="636">
        <v>0</v>
      </c>
      <c r="O51" s="636">
        <v>0</v>
      </c>
      <c r="P51" s="636">
        <v>0</v>
      </c>
      <c r="Q51" s="636">
        <v>0</v>
      </c>
      <c r="R51" s="636">
        <v>839106</v>
      </c>
      <c r="S51" s="636">
        <v>12126</v>
      </c>
      <c r="T51" s="636">
        <v>0</v>
      </c>
      <c r="U51" s="636">
        <v>2785413</v>
      </c>
      <c r="V51" s="636">
        <v>376356</v>
      </c>
      <c r="W51" s="636">
        <v>436664</v>
      </c>
      <c r="X51" s="636">
        <v>0</v>
      </c>
      <c r="Y51" s="636">
        <v>0</v>
      </c>
      <c r="Z51" s="636">
        <v>312352</v>
      </c>
      <c r="AA51" s="636">
        <v>40716</v>
      </c>
      <c r="AB51" s="686" t="e">
        <v>#VALUE!</v>
      </c>
      <c r="AC51" s="686">
        <v>402240</v>
      </c>
      <c r="AD51" s="686" t="e">
        <v>#VALUE!</v>
      </c>
      <c r="AE51" s="686">
        <v>59134</v>
      </c>
      <c r="AF51" s="686">
        <v>0</v>
      </c>
      <c r="AG51" s="686">
        <v>4880</v>
      </c>
      <c r="AH51" s="686">
        <v>4392</v>
      </c>
      <c r="AI51" s="686">
        <v>13953</v>
      </c>
      <c r="AJ51" s="686">
        <v>879571</v>
      </c>
      <c r="AK51" s="686">
        <v>0</v>
      </c>
      <c r="AL51" s="686">
        <v>40564</v>
      </c>
      <c r="AM51" s="686">
        <v>110087</v>
      </c>
      <c r="AN51" s="686">
        <v>268831</v>
      </c>
      <c r="AO51" s="686">
        <v>17833</v>
      </c>
      <c r="AP51" s="686">
        <v>43388</v>
      </c>
      <c r="AQ51" s="686">
        <v>0</v>
      </c>
      <c r="AR51" s="686">
        <v>0</v>
      </c>
      <c r="AS51" s="686">
        <v>32651</v>
      </c>
      <c r="AT51" s="686">
        <v>26458</v>
      </c>
      <c r="AU51" s="686">
        <v>50150</v>
      </c>
      <c r="AV51" s="686">
        <v>0</v>
      </c>
      <c r="AW51" s="686">
        <v>3169100</v>
      </c>
      <c r="AX51" s="686">
        <v>0</v>
      </c>
      <c r="AY51" s="686">
        <v>0</v>
      </c>
      <c r="AZ51" s="686">
        <v>0</v>
      </c>
      <c r="BA51" s="686">
        <v>36073</v>
      </c>
      <c r="BB51" s="686">
        <v>0</v>
      </c>
      <c r="BC51" s="686">
        <v>0</v>
      </c>
      <c r="BD51" s="686">
        <v>0</v>
      </c>
      <c r="BE51" s="686">
        <v>112480</v>
      </c>
      <c r="BF51" s="686">
        <v>0</v>
      </c>
      <c r="BG51" s="686">
        <v>1299</v>
      </c>
      <c r="BH51" s="686">
        <v>0</v>
      </c>
      <c r="BI51" s="686">
        <v>0</v>
      </c>
      <c r="BJ51" s="686">
        <v>0</v>
      </c>
      <c r="BK51" s="686">
        <v>0</v>
      </c>
      <c r="BL51" s="686">
        <v>55030</v>
      </c>
      <c r="BM51" s="686">
        <v>21127</v>
      </c>
      <c r="BN51" s="686">
        <v>31113</v>
      </c>
      <c r="BO51" s="686">
        <v>121296</v>
      </c>
      <c r="BP51" s="686">
        <v>33210</v>
      </c>
      <c r="BQ51" s="686">
        <v>1875</v>
      </c>
      <c r="BR51" s="686">
        <v>0</v>
      </c>
      <c r="BS51" s="686">
        <v>0</v>
      </c>
      <c r="BT51" s="686">
        <v>0</v>
      </c>
      <c r="BU51" s="686">
        <v>28118</v>
      </c>
      <c r="BV51" s="686">
        <v>20128</v>
      </c>
      <c r="BW51" s="686">
        <v>0</v>
      </c>
      <c r="BX51" s="686">
        <v>25810</v>
      </c>
      <c r="BY51" s="686">
        <v>0</v>
      </c>
      <c r="BZ51" s="686">
        <v>0</v>
      </c>
      <c r="CA51" s="686">
        <v>33142</v>
      </c>
      <c r="CB51" s="686">
        <v>9856</v>
      </c>
      <c r="CC51" s="686">
        <v>50015</v>
      </c>
      <c r="CD51" s="686">
        <v>0</v>
      </c>
      <c r="CE51" s="686">
        <v>0</v>
      </c>
    </row>
    <row r="52" spans="1:83" x14ac:dyDescent="0.25">
      <c r="A52" s="622">
        <v>90</v>
      </c>
      <c r="B52" s="625">
        <v>90</v>
      </c>
      <c r="C52" s="653" t="s">
        <v>226</v>
      </c>
      <c r="D52" s="701" t="s">
        <v>359</v>
      </c>
      <c r="E52" s="638">
        <v>0</v>
      </c>
      <c r="F52" s="621">
        <v>0</v>
      </c>
      <c r="G52" s="621">
        <v>0</v>
      </c>
      <c r="H52" s="621">
        <v>0</v>
      </c>
      <c r="I52" s="621">
        <v>0</v>
      </c>
      <c r="J52" s="621">
        <v>0</v>
      </c>
      <c r="K52" s="672">
        <v>0</v>
      </c>
      <c r="L52" s="686">
        <v>0</v>
      </c>
      <c r="M52" s="686">
        <v>0</v>
      </c>
      <c r="N52" s="636">
        <v>0</v>
      </c>
      <c r="O52" s="636">
        <v>0</v>
      </c>
      <c r="P52" s="636">
        <v>0</v>
      </c>
      <c r="Q52" s="636">
        <v>0</v>
      </c>
      <c r="R52" s="636">
        <v>43678776</v>
      </c>
      <c r="S52" s="636">
        <v>0</v>
      </c>
      <c r="T52" s="636">
        <v>0</v>
      </c>
      <c r="U52" s="636">
        <v>0</v>
      </c>
      <c r="V52" s="636">
        <v>0</v>
      </c>
      <c r="W52" s="636">
        <v>7439565</v>
      </c>
      <c r="X52" s="636">
        <v>0</v>
      </c>
      <c r="Y52" s="636">
        <v>0</v>
      </c>
      <c r="Z52" s="636">
        <v>0</v>
      </c>
      <c r="AA52" s="636">
        <v>0</v>
      </c>
      <c r="AB52" s="686" t="e">
        <v>#VALUE!</v>
      </c>
      <c r="AC52" s="686">
        <v>0</v>
      </c>
      <c r="AD52" s="686" t="e">
        <v>#VALUE!</v>
      </c>
      <c r="AE52" s="686">
        <v>0</v>
      </c>
      <c r="AF52" s="686">
        <v>0</v>
      </c>
      <c r="AG52" s="686">
        <v>0</v>
      </c>
      <c r="AH52" s="686">
        <v>0</v>
      </c>
      <c r="AI52" s="686">
        <v>0</v>
      </c>
      <c r="AJ52" s="686">
        <v>19109285</v>
      </c>
      <c r="AK52" s="686">
        <v>0</v>
      </c>
      <c r="AL52" s="686">
        <v>0</v>
      </c>
      <c r="AM52" s="686">
        <v>0</v>
      </c>
      <c r="AN52" s="686">
        <v>4862551</v>
      </c>
      <c r="AO52" s="686">
        <v>0</v>
      </c>
      <c r="AP52" s="686">
        <v>0</v>
      </c>
      <c r="AQ52" s="686">
        <v>0</v>
      </c>
      <c r="AR52" s="686">
        <v>0</v>
      </c>
      <c r="AS52" s="686">
        <v>0</v>
      </c>
      <c r="AT52" s="686">
        <v>0</v>
      </c>
      <c r="AU52" s="686">
        <v>0</v>
      </c>
      <c r="AV52" s="686">
        <v>734063</v>
      </c>
      <c r="AW52" s="686">
        <v>0</v>
      </c>
      <c r="AX52" s="686">
        <v>0</v>
      </c>
      <c r="AY52" s="686">
        <v>0</v>
      </c>
      <c r="AZ52" s="686">
        <v>0</v>
      </c>
      <c r="BA52" s="686">
        <v>0</v>
      </c>
      <c r="BB52" s="686">
        <v>0</v>
      </c>
      <c r="BC52" s="686">
        <v>0</v>
      </c>
      <c r="BD52" s="686">
        <v>0</v>
      </c>
      <c r="BE52" s="686">
        <v>0</v>
      </c>
      <c r="BF52" s="686">
        <v>0</v>
      </c>
      <c r="BG52" s="686">
        <v>0</v>
      </c>
      <c r="BH52" s="686">
        <v>0</v>
      </c>
      <c r="BI52" s="686">
        <v>0</v>
      </c>
      <c r="BJ52" s="686">
        <v>0</v>
      </c>
      <c r="BK52" s="686">
        <v>0</v>
      </c>
      <c r="BL52" s="686">
        <v>0</v>
      </c>
      <c r="BM52" s="686">
        <v>614853</v>
      </c>
      <c r="BN52" s="686">
        <v>0</v>
      </c>
      <c r="BO52" s="686">
        <v>0</v>
      </c>
      <c r="BP52" s="686">
        <v>0</v>
      </c>
      <c r="BQ52" s="686">
        <v>0</v>
      </c>
      <c r="BR52" s="686">
        <v>0</v>
      </c>
      <c r="BS52" s="686">
        <v>65662</v>
      </c>
      <c r="BT52" s="686">
        <v>1614644</v>
      </c>
      <c r="BU52" s="686">
        <v>0</v>
      </c>
      <c r="BV52" s="686">
        <v>0</v>
      </c>
      <c r="BW52" s="686">
        <v>0</v>
      </c>
      <c r="BX52" s="686">
        <v>0</v>
      </c>
      <c r="BY52" s="686">
        <v>0</v>
      </c>
      <c r="BZ52" s="686">
        <v>0</v>
      </c>
      <c r="CA52" s="686">
        <v>0</v>
      </c>
      <c r="CB52" s="686">
        <v>0</v>
      </c>
      <c r="CC52" s="686">
        <v>0</v>
      </c>
      <c r="CD52" s="686">
        <v>0</v>
      </c>
      <c r="CE52" s="686">
        <v>0</v>
      </c>
    </row>
    <row r="53" spans="1:83" x14ac:dyDescent="0.25">
      <c r="A53" s="622">
        <v>91</v>
      </c>
      <c r="B53" s="625">
        <v>91</v>
      </c>
      <c r="C53" s="653" t="s">
        <v>227</v>
      </c>
      <c r="D53" s="701" t="s">
        <v>360</v>
      </c>
      <c r="E53" s="638">
        <v>0</v>
      </c>
      <c r="F53" s="621">
        <v>0</v>
      </c>
      <c r="G53" s="621">
        <v>0</v>
      </c>
      <c r="H53" s="621">
        <v>0</v>
      </c>
      <c r="I53" s="621">
        <v>0</v>
      </c>
      <c r="J53" s="621">
        <v>0</v>
      </c>
      <c r="K53" s="672">
        <v>0</v>
      </c>
      <c r="L53" s="686">
        <v>0</v>
      </c>
      <c r="M53" s="686">
        <v>0</v>
      </c>
      <c r="N53" s="636">
        <v>0</v>
      </c>
      <c r="O53" s="636">
        <v>0</v>
      </c>
      <c r="P53" s="636">
        <v>0</v>
      </c>
      <c r="Q53" s="636">
        <v>0</v>
      </c>
      <c r="R53" s="636">
        <v>9451293</v>
      </c>
      <c r="S53" s="636">
        <v>0</v>
      </c>
      <c r="T53" s="636">
        <v>0</v>
      </c>
      <c r="U53" s="636">
        <v>0</v>
      </c>
      <c r="V53" s="636">
        <v>0</v>
      </c>
      <c r="W53" s="636">
        <v>3898477</v>
      </c>
      <c r="X53" s="636">
        <v>0</v>
      </c>
      <c r="Y53" s="636">
        <v>0</v>
      </c>
      <c r="Z53" s="636">
        <v>0</v>
      </c>
      <c r="AA53" s="636">
        <v>0</v>
      </c>
      <c r="AB53" s="686" t="e">
        <v>#VALUE!</v>
      </c>
      <c r="AC53" s="686">
        <v>0</v>
      </c>
      <c r="AD53" s="686" t="e">
        <v>#VALUE!</v>
      </c>
      <c r="AE53" s="686">
        <v>0</v>
      </c>
      <c r="AF53" s="686">
        <v>0</v>
      </c>
      <c r="AG53" s="686">
        <v>0</v>
      </c>
      <c r="AH53" s="686">
        <v>0</v>
      </c>
      <c r="AI53" s="686">
        <v>0</v>
      </c>
      <c r="AJ53" s="686">
        <v>6882364</v>
      </c>
      <c r="AK53" s="686">
        <v>0</v>
      </c>
      <c r="AL53" s="686">
        <v>0</v>
      </c>
      <c r="AM53" s="686">
        <v>0</v>
      </c>
      <c r="AN53" s="686">
        <v>1594139</v>
      </c>
      <c r="AO53" s="686">
        <v>0</v>
      </c>
      <c r="AP53" s="686">
        <v>0</v>
      </c>
      <c r="AQ53" s="686">
        <v>0</v>
      </c>
      <c r="AR53" s="686">
        <v>0</v>
      </c>
      <c r="AS53" s="686">
        <v>0</v>
      </c>
      <c r="AT53" s="686">
        <v>0</v>
      </c>
      <c r="AU53" s="686">
        <v>0</v>
      </c>
      <c r="AV53" s="686">
        <v>40535</v>
      </c>
      <c r="AW53" s="686">
        <v>0</v>
      </c>
      <c r="AX53" s="686">
        <v>0</v>
      </c>
      <c r="AY53" s="686">
        <v>0</v>
      </c>
      <c r="AZ53" s="686">
        <v>0</v>
      </c>
      <c r="BA53" s="686">
        <v>0</v>
      </c>
      <c r="BB53" s="686">
        <v>0</v>
      </c>
      <c r="BC53" s="686">
        <v>0</v>
      </c>
      <c r="BD53" s="686">
        <v>0</v>
      </c>
      <c r="BE53" s="686">
        <v>0</v>
      </c>
      <c r="BF53" s="686">
        <v>0</v>
      </c>
      <c r="BG53" s="686">
        <v>0</v>
      </c>
      <c r="BH53" s="686">
        <v>0</v>
      </c>
      <c r="BI53" s="686">
        <v>0</v>
      </c>
      <c r="BJ53" s="686">
        <v>0</v>
      </c>
      <c r="BK53" s="686">
        <v>0</v>
      </c>
      <c r="BL53" s="686">
        <v>0</v>
      </c>
      <c r="BM53" s="686">
        <v>151633</v>
      </c>
      <c r="BN53" s="686">
        <v>0</v>
      </c>
      <c r="BO53" s="686">
        <v>0</v>
      </c>
      <c r="BP53" s="686">
        <v>0</v>
      </c>
      <c r="BQ53" s="686">
        <v>0</v>
      </c>
      <c r="BR53" s="686">
        <v>0</v>
      </c>
      <c r="BS53" s="686">
        <v>292248</v>
      </c>
      <c r="BT53" s="686">
        <v>1896740</v>
      </c>
      <c r="BU53" s="686">
        <v>0</v>
      </c>
      <c r="BV53" s="686">
        <v>0</v>
      </c>
      <c r="BW53" s="686">
        <v>0</v>
      </c>
      <c r="BX53" s="686">
        <v>0</v>
      </c>
      <c r="BY53" s="686">
        <v>0</v>
      </c>
      <c r="BZ53" s="686">
        <v>0</v>
      </c>
      <c r="CA53" s="686">
        <v>0</v>
      </c>
      <c r="CB53" s="686">
        <v>0</v>
      </c>
      <c r="CC53" s="686">
        <v>0</v>
      </c>
      <c r="CD53" s="686">
        <v>0</v>
      </c>
      <c r="CE53" s="686">
        <v>0</v>
      </c>
    </row>
    <row r="54" spans="1:83" x14ac:dyDescent="0.25">
      <c r="A54" s="622"/>
      <c r="B54" s="625">
        <v>92</v>
      </c>
      <c r="C54" s="653" t="s">
        <v>636</v>
      </c>
      <c r="D54" s="701" t="s">
        <v>361</v>
      </c>
      <c r="E54" s="638">
        <v>0</v>
      </c>
      <c r="F54" s="621">
        <v>0</v>
      </c>
      <c r="G54" s="621">
        <v>0</v>
      </c>
      <c r="H54" s="621">
        <v>0</v>
      </c>
      <c r="I54" s="621">
        <v>0</v>
      </c>
      <c r="J54" s="621">
        <v>0</v>
      </c>
      <c r="K54" s="672">
        <v>0</v>
      </c>
      <c r="L54" s="686">
        <v>0</v>
      </c>
      <c r="M54" s="686">
        <v>0</v>
      </c>
      <c r="N54" s="636">
        <v>0</v>
      </c>
      <c r="O54" s="636">
        <v>0</v>
      </c>
      <c r="P54" s="636">
        <v>0</v>
      </c>
      <c r="Q54" s="636">
        <v>0</v>
      </c>
      <c r="R54" s="636">
        <v>0</v>
      </c>
      <c r="S54" s="636">
        <v>0</v>
      </c>
      <c r="T54" s="636">
        <v>0</v>
      </c>
      <c r="U54" s="636">
        <v>0</v>
      </c>
      <c r="V54" s="636">
        <v>0</v>
      </c>
      <c r="W54" s="636">
        <v>0</v>
      </c>
      <c r="X54" s="636">
        <v>0</v>
      </c>
      <c r="Y54" s="636">
        <v>0</v>
      </c>
      <c r="Z54" s="636">
        <v>0</v>
      </c>
      <c r="AA54" s="636">
        <v>0</v>
      </c>
      <c r="AB54" s="686" t="e">
        <v>#VALUE!</v>
      </c>
      <c r="AC54" s="686">
        <v>0</v>
      </c>
      <c r="AD54" s="686" t="e">
        <v>#VALUE!</v>
      </c>
      <c r="AE54" s="686">
        <v>0</v>
      </c>
      <c r="AF54" s="686">
        <v>0</v>
      </c>
      <c r="AG54" s="686">
        <v>0</v>
      </c>
      <c r="AH54" s="686">
        <v>0</v>
      </c>
      <c r="AI54" s="686">
        <v>0</v>
      </c>
      <c r="AJ54" s="686">
        <v>0</v>
      </c>
      <c r="AK54" s="686">
        <v>0</v>
      </c>
      <c r="AL54" s="686">
        <v>0</v>
      </c>
      <c r="AM54" s="686">
        <v>0</v>
      </c>
      <c r="AN54" s="686">
        <v>0</v>
      </c>
      <c r="AO54" s="686">
        <v>0</v>
      </c>
      <c r="AP54" s="686">
        <v>0</v>
      </c>
      <c r="AQ54" s="686">
        <v>0</v>
      </c>
      <c r="AR54" s="686">
        <v>0</v>
      </c>
      <c r="AS54" s="686">
        <v>0</v>
      </c>
      <c r="AT54" s="686">
        <v>0</v>
      </c>
      <c r="AU54" s="686">
        <v>0</v>
      </c>
      <c r="AV54" s="686">
        <v>0</v>
      </c>
      <c r="AW54" s="686">
        <v>0</v>
      </c>
      <c r="AX54" s="686">
        <v>0</v>
      </c>
      <c r="AY54" s="686">
        <v>0</v>
      </c>
      <c r="AZ54" s="686">
        <v>0</v>
      </c>
      <c r="BA54" s="686">
        <v>0</v>
      </c>
      <c r="BB54" s="686">
        <v>0</v>
      </c>
      <c r="BC54" s="686">
        <v>0</v>
      </c>
      <c r="BD54" s="686">
        <v>0</v>
      </c>
      <c r="BE54" s="686">
        <v>0</v>
      </c>
      <c r="BF54" s="686">
        <v>0</v>
      </c>
      <c r="BG54" s="686">
        <v>0</v>
      </c>
      <c r="BH54" s="686">
        <v>0</v>
      </c>
      <c r="BI54" s="686">
        <v>0</v>
      </c>
      <c r="BJ54" s="686">
        <v>0</v>
      </c>
      <c r="BK54" s="686">
        <v>0</v>
      </c>
      <c r="BL54" s="686">
        <v>0</v>
      </c>
      <c r="BM54" s="686">
        <v>0</v>
      </c>
      <c r="BN54" s="686">
        <v>0</v>
      </c>
      <c r="BO54" s="686">
        <v>0</v>
      </c>
      <c r="BP54" s="686">
        <v>0</v>
      </c>
      <c r="BQ54" s="686">
        <v>0</v>
      </c>
      <c r="BR54" s="686">
        <v>0</v>
      </c>
      <c r="BS54" s="686">
        <v>0</v>
      </c>
      <c r="BT54" s="686">
        <v>0</v>
      </c>
      <c r="BU54" s="686">
        <v>0</v>
      </c>
      <c r="BV54" s="686">
        <v>0</v>
      </c>
      <c r="BW54" s="686">
        <v>0</v>
      </c>
      <c r="BX54" s="686">
        <v>0</v>
      </c>
      <c r="BY54" s="686">
        <v>0</v>
      </c>
      <c r="BZ54" s="686">
        <v>0</v>
      </c>
      <c r="CA54" s="686">
        <v>0</v>
      </c>
      <c r="CB54" s="686">
        <v>0</v>
      </c>
      <c r="CC54" s="686">
        <v>0</v>
      </c>
      <c r="CD54" s="686">
        <v>0</v>
      </c>
      <c r="CE54" s="686">
        <v>0</v>
      </c>
    </row>
    <row r="55" spans="1:83" x14ac:dyDescent="0.25">
      <c r="A55" s="622">
        <v>93</v>
      </c>
      <c r="B55" s="625">
        <v>93</v>
      </c>
      <c r="C55" s="653" t="s">
        <v>240</v>
      </c>
      <c r="D55" s="701" t="s">
        <v>362</v>
      </c>
      <c r="E55" s="638">
        <v>0</v>
      </c>
      <c r="F55" s="621">
        <v>0</v>
      </c>
      <c r="G55" s="621">
        <v>0</v>
      </c>
      <c r="H55" s="621">
        <v>0</v>
      </c>
      <c r="I55" s="621">
        <v>0</v>
      </c>
      <c r="J55" s="621">
        <v>0</v>
      </c>
      <c r="K55" s="672">
        <v>0</v>
      </c>
      <c r="L55" s="686">
        <v>0</v>
      </c>
      <c r="M55" s="686">
        <v>0</v>
      </c>
      <c r="N55" s="636">
        <v>0</v>
      </c>
      <c r="O55" s="636">
        <v>0</v>
      </c>
      <c r="P55" s="636">
        <v>0</v>
      </c>
      <c r="Q55" s="636">
        <v>0</v>
      </c>
      <c r="R55" s="636">
        <v>63878607</v>
      </c>
      <c r="S55" s="636">
        <v>0</v>
      </c>
      <c r="T55" s="636">
        <v>0</v>
      </c>
      <c r="U55" s="636">
        <v>0</v>
      </c>
      <c r="V55" s="636">
        <v>0</v>
      </c>
      <c r="W55" s="636">
        <v>31923645</v>
      </c>
      <c r="X55" s="636">
        <v>0</v>
      </c>
      <c r="Y55" s="636">
        <v>0</v>
      </c>
      <c r="Z55" s="636">
        <v>0</v>
      </c>
      <c r="AA55" s="636">
        <v>0</v>
      </c>
      <c r="AB55" s="686" t="e">
        <v>#VALUE!</v>
      </c>
      <c r="AC55" s="686">
        <v>0</v>
      </c>
      <c r="AD55" s="686" t="e">
        <v>#VALUE!</v>
      </c>
      <c r="AE55" s="686">
        <v>0</v>
      </c>
      <c r="AF55" s="686">
        <v>0</v>
      </c>
      <c r="AG55" s="686">
        <v>0</v>
      </c>
      <c r="AH55" s="686">
        <v>0</v>
      </c>
      <c r="AI55" s="686">
        <v>0</v>
      </c>
      <c r="AJ55" s="686">
        <v>53878097</v>
      </c>
      <c r="AK55" s="686">
        <v>0</v>
      </c>
      <c r="AL55" s="686">
        <v>0</v>
      </c>
      <c r="AM55" s="686">
        <v>0</v>
      </c>
      <c r="AN55" s="686">
        <v>15658169</v>
      </c>
      <c r="AO55" s="686">
        <v>0</v>
      </c>
      <c r="AP55" s="686">
        <v>0</v>
      </c>
      <c r="AQ55" s="686">
        <v>0</v>
      </c>
      <c r="AR55" s="686">
        <v>0</v>
      </c>
      <c r="AS55" s="686">
        <v>0</v>
      </c>
      <c r="AT55" s="686">
        <v>0</v>
      </c>
      <c r="AU55" s="686">
        <v>0</v>
      </c>
      <c r="AV55" s="686">
        <v>364983</v>
      </c>
      <c r="AW55" s="686">
        <v>0</v>
      </c>
      <c r="AX55" s="686">
        <v>0</v>
      </c>
      <c r="AY55" s="686">
        <v>0</v>
      </c>
      <c r="AZ55" s="686">
        <v>0</v>
      </c>
      <c r="BA55" s="686">
        <v>0</v>
      </c>
      <c r="BB55" s="686">
        <v>0</v>
      </c>
      <c r="BC55" s="686">
        <v>0</v>
      </c>
      <c r="BD55" s="686">
        <v>0</v>
      </c>
      <c r="BE55" s="686">
        <v>0</v>
      </c>
      <c r="BF55" s="686">
        <v>0</v>
      </c>
      <c r="BG55" s="686">
        <v>0</v>
      </c>
      <c r="BH55" s="686">
        <v>0</v>
      </c>
      <c r="BI55" s="686">
        <v>0</v>
      </c>
      <c r="BJ55" s="686">
        <v>0</v>
      </c>
      <c r="BK55" s="686">
        <v>0</v>
      </c>
      <c r="BL55" s="686">
        <v>0</v>
      </c>
      <c r="BM55" s="686">
        <v>1141048</v>
      </c>
      <c r="BN55" s="686">
        <v>0</v>
      </c>
      <c r="BO55" s="686">
        <v>0</v>
      </c>
      <c r="BP55" s="686">
        <v>0</v>
      </c>
      <c r="BQ55" s="686">
        <v>0</v>
      </c>
      <c r="BR55" s="686">
        <v>0</v>
      </c>
      <c r="BS55" s="686">
        <v>2655267</v>
      </c>
      <c r="BT55" s="686">
        <v>11958082</v>
      </c>
      <c r="BU55" s="686">
        <v>0</v>
      </c>
      <c r="BV55" s="686">
        <v>0</v>
      </c>
      <c r="BW55" s="686">
        <v>0</v>
      </c>
      <c r="BX55" s="686">
        <v>0</v>
      </c>
      <c r="BY55" s="686">
        <v>0</v>
      </c>
      <c r="BZ55" s="686">
        <v>0</v>
      </c>
      <c r="CA55" s="686">
        <v>0</v>
      </c>
      <c r="CB55" s="686">
        <v>0</v>
      </c>
      <c r="CC55" s="686">
        <v>0</v>
      </c>
      <c r="CD55" s="686">
        <v>0</v>
      </c>
      <c r="CE55" s="686">
        <v>0</v>
      </c>
    </row>
    <row r="56" spans="1:83" x14ac:dyDescent="0.25">
      <c r="A56" s="622">
        <v>94</v>
      </c>
      <c r="B56" s="625">
        <v>94</v>
      </c>
      <c r="C56" s="653" t="s">
        <v>243</v>
      </c>
      <c r="D56" s="701" t="s">
        <v>363</v>
      </c>
      <c r="E56" s="638">
        <v>0</v>
      </c>
      <c r="F56" s="621">
        <v>0</v>
      </c>
      <c r="G56" s="621">
        <v>0</v>
      </c>
      <c r="H56" s="621">
        <v>0</v>
      </c>
      <c r="I56" s="621">
        <v>0</v>
      </c>
      <c r="J56" s="621">
        <v>0</v>
      </c>
      <c r="K56" s="672">
        <v>0</v>
      </c>
      <c r="L56" s="686">
        <v>0</v>
      </c>
      <c r="M56" s="686">
        <v>0</v>
      </c>
      <c r="N56" s="636">
        <v>0</v>
      </c>
      <c r="O56" s="636">
        <v>0</v>
      </c>
      <c r="P56" s="636">
        <v>0</v>
      </c>
      <c r="Q56" s="636">
        <v>0</v>
      </c>
      <c r="R56" s="636">
        <v>60045645</v>
      </c>
      <c r="S56" s="636">
        <v>0</v>
      </c>
      <c r="T56" s="636">
        <v>0</v>
      </c>
      <c r="U56" s="636">
        <v>0</v>
      </c>
      <c r="V56" s="636">
        <v>0</v>
      </c>
      <c r="W56" s="636">
        <v>31439014</v>
      </c>
      <c r="X56" s="636">
        <v>0</v>
      </c>
      <c r="Y56" s="636">
        <v>0</v>
      </c>
      <c r="Z56" s="636">
        <v>0</v>
      </c>
      <c r="AA56" s="636">
        <v>0</v>
      </c>
      <c r="AB56" s="686" t="e">
        <v>#VALUE!</v>
      </c>
      <c r="AC56" s="686">
        <v>0</v>
      </c>
      <c r="AD56" s="686" t="e">
        <v>#VALUE!</v>
      </c>
      <c r="AE56" s="686">
        <v>0</v>
      </c>
      <c r="AF56" s="686">
        <v>0</v>
      </c>
      <c r="AG56" s="686">
        <v>0</v>
      </c>
      <c r="AH56" s="686">
        <v>0</v>
      </c>
      <c r="AI56" s="686">
        <v>0</v>
      </c>
      <c r="AJ56" s="686">
        <v>46218705</v>
      </c>
      <c r="AK56" s="686">
        <v>0</v>
      </c>
      <c r="AL56" s="686">
        <v>0</v>
      </c>
      <c r="AM56" s="686">
        <v>0</v>
      </c>
      <c r="AN56" s="686">
        <v>15501291</v>
      </c>
      <c r="AO56" s="686">
        <v>0</v>
      </c>
      <c r="AP56" s="686">
        <v>0</v>
      </c>
      <c r="AQ56" s="686">
        <v>0</v>
      </c>
      <c r="AR56" s="686">
        <v>0</v>
      </c>
      <c r="AS56" s="686">
        <v>0</v>
      </c>
      <c r="AT56" s="686">
        <v>0</v>
      </c>
      <c r="AU56" s="686">
        <v>0</v>
      </c>
      <c r="AV56" s="686">
        <v>353457</v>
      </c>
      <c r="AW56" s="686">
        <v>0</v>
      </c>
      <c r="AX56" s="686">
        <v>0</v>
      </c>
      <c r="AY56" s="686">
        <v>0</v>
      </c>
      <c r="AZ56" s="686">
        <v>0</v>
      </c>
      <c r="BA56" s="686">
        <v>0</v>
      </c>
      <c r="BB56" s="686">
        <v>0</v>
      </c>
      <c r="BC56" s="686">
        <v>0</v>
      </c>
      <c r="BD56" s="686">
        <v>0</v>
      </c>
      <c r="BE56" s="686">
        <v>0</v>
      </c>
      <c r="BF56" s="686">
        <v>0</v>
      </c>
      <c r="BG56" s="686">
        <v>0</v>
      </c>
      <c r="BH56" s="686">
        <v>0</v>
      </c>
      <c r="BI56" s="686">
        <v>0</v>
      </c>
      <c r="BJ56" s="686">
        <v>0</v>
      </c>
      <c r="BK56" s="686">
        <v>0</v>
      </c>
      <c r="BL56" s="686">
        <v>0</v>
      </c>
      <c r="BM56" s="686">
        <v>905555</v>
      </c>
      <c r="BN56" s="686">
        <v>0</v>
      </c>
      <c r="BO56" s="686">
        <v>0</v>
      </c>
      <c r="BP56" s="686">
        <v>0</v>
      </c>
      <c r="BQ56" s="686">
        <v>0</v>
      </c>
      <c r="BR56" s="686">
        <v>0</v>
      </c>
      <c r="BS56" s="686">
        <v>2651193</v>
      </c>
      <c r="BT56" s="686">
        <v>11268929</v>
      </c>
      <c r="BU56" s="686">
        <v>0</v>
      </c>
      <c r="BV56" s="686">
        <v>0</v>
      </c>
      <c r="BW56" s="686">
        <v>0</v>
      </c>
      <c r="BX56" s="686">
        <v>0</v>
      </c>
      <c r="BY56" s="686">
        <v>0</v>
      </c>
      <c r="BZ56" s="686">
        <v>0</v>
      </c>
      <c r="CA56" s="686">
        <v>0</v>
      </c>
      <c r="CB56" s="686">
        <v>0</v>
      </c>
      <c r="CC56" s="686">
        <v>0</v>
      </c>
      <c r="CD56" s="686">
        <v>0</v>
      </c>
      <c r="CE56" s="686">
        <v>0</v>
      </c>
    </row>
    <row r="57" spans="1:83" x14ac:dyDescent="0.25">
      <c r="A57" s="622">
        <v>97</v>
      </c>
      <c r="B57" s="625">
        <v>97</v>
      </c>
      <c r="C57" s="653" t="s">
        <v>239</v>
      </c>
      <c r="D57" s="701" t="s">
        <v>364</v>
      </c>
      <c r="E57" s="638">
        <v>0</v>
      </c>
      <c r="F57" s="621">
        <v>0</v>
      </c>
      <c r="G57" s="621">
        <v>0</v>
      </c>
      <c r="H57" s="621">
        <v>0</v>
      </c>
      <c r="I57" s="621">
        <v>0</v>
      </c>
      <c r="J57" s="621">
        <v>0</v>
      </c>
      <c r="K57" s="672">
        <v>0</v>
      </c>
      <c r="L57" s="686">
        <v>0</v>
      </c>
      <c r="M57" s="686">
        <v>0</v>
      </c>
      <c r="N57" s="636">
        <v>0</v>
      </c>
      <c r="O57" s="636">
        <v>0</v>
      </c>
      <c r="P57" s="636">
        <v>0</v>
      </c>
      <c r="Q57" s="636">
        <v>0</v>
      </c>
      <c r="R57" s="636">
        <v>63473572</v>
      </c>
      <c r="S57" s="636">
        <v>0</v>
      </c>
      <c r="T57" s="636">
        <v>0</v>
      </c>
      <c r="U57" s="636">
        <v>0</v>
      </c>
      <c r="V57" s="636">
        <v>0</v>
      </c>
      <c r="W57" s="636">
        <v>31923645</v>
      </c>
      <c r="X57" s="636">
        <v>0</v>
      </c>
      <c r="Y57" s="636">
        <v>0</v>
      </c>
      <c r="Z57" s="636">
        <v>0</v>
      </c>
      <c r="AA57" s="636">
        <v>0</v>
      </c>
      <c r="AB57" s="686" t="e">
        <v>#VALUE!</v>
      </c>
      <c r="AC57" s="686">
        <v>0</v>
      </c>
      <c r="AD57" s="686" t="e">
        <v>#VALUE!</v>
      </c>
      <c r="AE57" s="686">
        <v>0</v>
      </c>
      <c r="AF57" s="686">
        <v>0</v>
      </c>
      <c r="AG57" s="686">
        <v>0</v>
      </c>
      <c r="AH57" s="686">
        <v>0</v>
      </c>
      <c r="AI57" s="686">
        <v>0</v>
      </c>
      <c r="AJ57" s="686">
        <v>53660543</v>
      </c>
      <c r="AK57" s="686">
        <v>0</v>
      </c>
      <c r="AL57" s="686">
        <v>0</v>
      </c>
      <c r="AM57" s="686">
        <v>0</v>
      </c>
      <c r="AN57" s="686">
        <v>15110800</v>
      </c>
      <c r="AO57" s="686">
        <v>0</v>
      </c>
      <c r="AP57" s="686">
        <v>0</v>
      </c>
      <c r="AQ57" s="686">
        <v>0</v>
      </c>
      <c r="AR57" s="686">
        <v>0</v>
      </c>
      <c r="AS57" s="686">
        <v>0</v>
      </c>
      <c r="AT57" s="686">
        <v>0</v>
      </c>
      <c r="AU57" s="686">
        <v>0</v>
      </c>
      <c r="AV57" s="686">
        <v>364983</v>
      </c>
      <c r="AW57" s="686">
        <v>0</v>
      </c>
      <c r="AX57" s="686">
        <v>0</v>
      </c>
      <c r="AY57" s="686">
        <v>0</v>
      </c>
      <c r="AZ57" s="686">
        <v>0</v>
      </c>
      <c r="BA57" s="686">
        <v>0</v>
      </c>
      <c r="BB57" s="686">
        <v>0</v>
      </c>
      <c r="BC57" s="686">
        <v>0</v>
      </c>
      <c r="BD57" s="686">
        <v>0</v>
      </c>
      <c r="BE57" s="686">
        <v>0</v>
      </c>
      <c r="BF57" s="686">
        <v>0</v>
      </c>
      <c r="BG57" s="686">
        <v>0</v>
      </c>
      <c r="BH57" s="686">
        <v>0</v>
      </c>
      <c r="BI57" s="686">
        <v>0</v>
      </c>
      <c r="BJ57" s="686">
        <v>0</v>
      </c>
      <c r="BK57" s="686">
        <v>0</v>
      </c>
      <c r="BL57" s="686">
        <v>0</v>
      </c>
      <c r="BM57" s="686">
        <v>1139255</v>
      </c>
      <c r="BN57" s="686">
        <v>0</v>
      </c>
      <c r="BO57" s="686">
        <v>0</v>
      </c>
      <c r="BP57" s="686">
        <v>0</v>
      </c>
      <c r="BQ57" s="686">
        <v>0</v>
      </c>
      <c r="BR57" s="686">
        <v>0</v>
      </c>
      <c r="BS57" s="686">
        <v>2518766</v>
      </c>
      <c r="BT57" s="686">
        <v>11894135</v>
      </c>
      <c r="BU57" s="686">
        <v>0</v>
      </c>
      <c r="BV57" s="686">
        <v>0</v>
      </c>
      <c r="BW57" s="686">
        <v>0</v>
      </c>
      <c r="BX57" s="686">
        <v>0</v>
      </c>
      <c r="BY57" s="686">
        <v>0</v>
      </c>
      <c r="BZ57" s="686">
        <v>0</v>
      </c>
      <c r="CA57" s="686">
        <v>0</v>
      </c>
      <c r="CB57" s="686">
        <v>0</v>
      </c>
      <c r="CC57" s="686">
        <v>0</v>
      </c>
      <c r="CD57" s="686">
        <v>0</v>
      </c>
      <c r="CE57" s="686">
        <v>0</v>
      </c>
    </row>
    <row r="58" spans="1:83" x14ac:dyDescent="0.25">
      <c r="A58" s="622">
        <v>98</v>
      </c>
      <c r="B58" s="625">
        <v>98</v>
      </c>
      <c r="C58" s="653" t="s">
        <v>244</v>
      </c>
      <c r="D58" s="701" t="s">
        <v>365</v>
      </c>
      <c r="E58" s="638">
        <v>0</v>
      </c>
      <c r="F58" s="621">
        <v>0</v>
      </c>
      <c r="G58" s="621">
        <v>0</v>
      </c>
      <c r="H58" s="621">
        <v>0</v>
      </c>
      <c r="I58" s="621">
        <v>0</v>
      </c>
      <c r="J58" s="621">
        <v>0</v>
      </c>
      <c r="K58" s="672">
        <v>0</v>
      </c>
      <c r="L58" s="686">
        <v>0</v>
      </c>
      <c r="M58" s="686">
        <v>0</v>
      </c>
      <c r="N58" s="636">
        <v>0</v>
      </c>
      <c r="O58" s="636">
        <v>0</v>
      </c>
      <c r="P58" s="636">
        <v>0</v>
      </c>
      <c r="Q58" s="636">
        <v>0</v>
      </c>
      <c r="R58" s="636">
        <v>718193</v>
      </c>
      <c r="S58" s="636">
        <v>0</v>
      </c>
      <c r="T58" s="636">
        <v>0</v>
      </c>
      <c r="U58" s="636">
        <v>0</v>
      </c>
      <c r="V58" s="636">
        <v>0</v>
      </c>
      <c r="W58" s="636">
        <v>7896</v>
      </c>
      <c r="X58" s="636">
        <v>0</v>
      </c>
      <c r="Y58" s="636">
        <v>0</v>
      </c>
      <c r="Z58" s="636">
        <v>0</v>
      </c>
      <c r="AA58" s="636">
        <v>0</v>
      </c>
      <c r="AB58" s="686" t="e">
        <v>#VALUE!</v>
      </c>
      <c r="AC58" s="686">
        <v>0</v>
      </c>
      <c r="AD58" s="686" t="e">
        <v>#VALUE!</v>
      </c>
      <c r="AE58" s="686">
        <v>0</v>
      </c>
      <c r="AF58" s="686">
        <v>0</v>
      </c>
      <c r="AG58" s="686">
        <v>0</v>
      </c>
      <c r="AH58" s="686">
        <v>0</v>
      </c>
      <c r="AI58" s="686">
        <v>0</v>
      </c>
      <c r="AJ58" s="686">
        <v>212251</v>
      </c>
      <c r="AK58" s="686">
        <v>0</v>
      </c>
      <c r="AL58" s="686">
        <v>0</v>
      </c>
      <c r="AM58" s="686">
        <v>0</v>
      </c>
      <c r="AN58" s="686">
        <v>148362</v>
      </c>
      <c r="AO58" s="686">
        <v>0</v>
      </c>
      <c r="AP58" s="686">
        <v>0</v>
      </c>
      <c r="AQ58" s="686">
        <v>0</v>
      </c>
      <c r="AR58" s="686">
        <v>0</v>
      </c>
      <c r="AS58" s="686">
        <v>0</v>
      </c>
      <c r="AT58" s="686">
        <v>0</v>
      </c>
      <c r="AU58" s="686">
        <v>0</v>
      </c>
      <c r="AV58" s="686">
        <v>0</v>
      </c>
      <c r="AW58" s="686">
        <v>0</v>
      </c>
      <c r="AX58" s="686">
        <v>0</v>
      </c>
      <c r="AY58" s="686">
        <v>0</v>
      </c>
      <c r="AZ58" s="686">
        <v>0</v>
      </c>
      <c r="BA58" s="686">
        <v>0</v>
      </c>
      <c r="BB58" s="686">
        <v>0</v>
      </c>
      <c r="BC58" s="686">
        <v>0</v>
      </c>
      <c r="BD58" s="686">
        <v>0</v>
      </c>
      <c r="BE58" s="686">
        <v>0</v>
      </c>
      <c r="BF58" s="686">
        <v>0</v>
      </c>
      <c r="BG58" s="686">
        <v>0</v>
      </c>
      <c r="BH58" s="686">
        <v>0</v>
      </c>
      <c r="BI58" s="686">
        <v>0</v>
      </c>
      <c r="BJ58" s="686">
        <v>0</v>
      </c>
      <c r="BK58" s="686">
        <v>0</v>
      </c>
      <c r="BL58" s="686">
        <v>0</v>
      </c>
      <c r="BM58" s="686">
        <v>14104</v>
      </c>
      <c r="BN58" s="686">
        <v>0</v>
      </c>
      <c r="BO58" s="686">
        <v>0</v>
      </c>
      <c r="BP58" s="686">
        <v>0</v>
      </c>
      <c r="BQ58" s="686">
        <v>0</v>
      </c>
      <c r="BR58" s="686">
        <v>0</v>
      </c>
      <c r="BS58" s="686">
        <v>8058</v>
      </c>
      <c r="BT58" s="686">
        <v>0</v>
      </c>
      <c r="BU58" s="686">
        <v>0</v>
      </c>
      <c r="BV58" s="686">
        <v>0</v>
      </c>
      <c r="BW58" s="686">
        <v>0</v>
      </c>
      <c r="BX58" s="686">
        <v>0</v>
      </c>
      <c r="BY58" s="686">
        <v>0</v>
      </c>
      <c r="BZ58" s="686">
        <v>0</v>
      </c>
      <c r="CA58" s="686">
        <v>0</v>
      </c>
      <c r="CB58" s="686">
        <v>0</v>
      </c>
      <c r="CC58" s="686">
        <v>0</v>
      </c>
      <c r="CD58" s="686">
        <v>0</v>
      </c>
      <c r="CE58" s="686">
        <v>0</v>
      </c>
    </row>
    <row r="59" spans="1:83" x14ac:dyDescent="0.25">
      <c r="A59" s="622">
        <v>99</v>
      </c>
      <c r="B59" s="625">
        <v>99</v>
      </c>
      <c r="C59" s="653" t="s">
        <v>241</v>
      </c>
      <c r="D59" s="701" t="s">
        <v>366</v>
      </c>
      <c r="E59" s="638">
        <v>0</v>
      </c>
      <c r="F59" s="621">
        <v>0</v>
      </c>
      <c r="G59" s="621">
        <v>0</v>
      </c>
      <c r="H59" s="621">
        <v>0</v>
      </c>
      <c r="I59" s="621">
        <v>0</v>
      </c>
      <c r="J59" s="621">
        <v>0</v>
      </c>
      <c r="K59" s="672">
        <v>0</v>
      </c>
      <c r="L59" s="686">
        <v>0</v>
      </c>
      <c r="M59" s="686">
        <v>0</v>
      </c>
      <c r="N59" s="636">
        <v>0</v>
      </c>
      <c r="O59" s="636">
        <v>0</v>
      </c>
      <c r="P59" s="636">
        <v>0</v>
      </c>
      <c r="Q59" s="636">
        <v>0</v>
      </c>
      <c r="R59" s="636">
        <v>52523790</v>
      </c>
      <c r="S59" s="636">
        <v>0</v>
      </c>
      <c r="T59" s="636">
        <v>0</v>
      </c>
      <c r="U59" s="636">
        <v>0</v>
      </c>
      <c r="V59" s="636">
        <v>0</v>
      </c>
      <c r="W59" s="636">
        <v>27227149</v>
      </c>
      <c r="X59" s="636">
        <v>0</v>
      </c>
      <c r="Y59" s="636">
        <v>0</v>
      </c>
      <c r="Z59" s="636">
        <v>0</v>
      </c>
      <c r="AA59" s="636">
        <v>0</v>
      </c>
      <c r="AB59" s="686" t="e">
        <v>#VALUE!</v>
      </c>
      <c r="AC59" s="686">
        <v>0</v>
      </c>
      <c r="AD59" s="686" t="e">
        <v>#VALUE!</v>
      </c>
      <c r="AE59" s="686">
        <v>0</v>
      </c>
      <c r="AF59" s="686">
        <v>0</v>
      </c>
      <c r="AG59" s="686">
        <v>0</v>
      </c>
      <c r="AH59" s="686">
        <v>0</v>
      </c>
      <c r="AI59" s="686">
        <v>0</v>
      </c>
      <c r="AJ59" s="686">
        <v>36980853</v>
      </c>
      <c r="AK59" s="686">
        <v>0</v>
      </c>
      <c r="AL59" s="686">
        <v>0</v>
      </c>
      <c r="AM59" s="686">
        <v>0</v>
      </c>
      <c r="AN59" s="686">
        <v>11120804</v>
      </c>
      <c r="AO59" s="686">
        <v>0</v>
      </c>
      <c r="AP59" s="686">
        <v>0</v>
      </c>
      <c r="AQ59" s="686">
        <v>0</v>
      </c>
      <c r="AR59" s="686">
        <v>0</v>
      </c>
      <c r="AS59" s="686">
        <v>0</v>
      </c>
      <c r="AT59" s="686">
        <v>0</v>
      </c>
      <c r="AU59" s="686">
        <v>0</v>
      </c>
      <c r="AV59" s="686">
        <v>296077</v>
      </c>
      <c r="AW59" s="686">
        <v>0</v>
      </c>
      <c r="AX59" s="686">
        <v>0</v>
      </c>
      <c r="AY59" s="686">
        <v>0</v>
      </c>
      <c r="AZ59" s="686">
        <v>0</v>
      </c>
      <c r="BA59" s="686">
        <v>0</v>
      </c>
      <c r="BB59" s="686">
        <v>0</v>
      </c>
      <c r="BC59" s="686">
        <v>0</v>
      </c>
      <c r="BD59" s="686">
        <v>0</v>
      </c>
      <c r="BE59" s="686">
        <v>0</v>
      </c>
      <c r="BF59" s="686">
        <v>0</v>
      </c>
      <c r="BG59" s="686">
        <v>0</v>
      </c>
      <c r="BH59" s="686">
        <v>0</v>
      </c>
      <c r="BI59" s="686">
        <v>0</v>
      </c>
      <c r="BJ59" s="686">
        <v>0</v>
      </c>
      <c r="BK59" s="686">
        <v>0</v>
      </c>
      <c r="BL59" s="686">
        <v>0</v>
      </c>
      <c r="BM59" s="686">
        <v>660422</v>
      </c>
      <c r="BN59" s="686">
        <v>0</v>
      </c>
      <c r="BO59" s="686">
        <v>0</v>
      </c>
      <c r="BP59" s="686">
        <v>0</v>
      </c>
      <c r="BQ59" s="686">
        <v>0</v>
      </c>
      <c r="BR59" s="686">
        <v>0</v>
      </c>
      <c r="BS59" s="686">
        <v>1631173</v>
      </c>
      <c r="BT59" s="686">
        <v>9749175</v>
      </c>
      <c r="BU59" s="686">
        <v>0</v>
      </c>
      <c r="BV59" s="686">
        <v>0</v>
      </c>
      <c r="BW59" s="686">
        <v>0</v>
      </c>
      <c r="BX59" s="686">
        <v>0</v>
      </c>
      <c r="BY59" s="686">
        <v>0</v>
      </c>
      <c r="BZ59" s="686">
        <v>0</v>
      </c>
      <c r="CA59" s="686">
        <v>0</v>
      </c>
      <c r="CB59" s="686">
        <v>0</v>
      </c>
      <c r="CC59" s="686">
        <v>0</v>
      </c>
      <c r="CD59" s="686">
        <v>0</v>
      </c>
      <c r="CE59" s="686">
        <v>0</v>
      </c>
    </row>
    <row r="60" spans="1:83" x14ac:dyDescent="0.25">
      <c r="A60" s="622">
        <v>100</v>
      </c>
      <c r="B60" s="625">
        <v>100</v>
      </c>
      <c r="C60" s="653" t="s">
        <v>254</v>
      </c>
      <c r="D60" s="701" t="s">
        <v>367</v>
      </c>
      <c r="E60" s="638">
        <v>0</v>
      </c>
      <c r="F60" s="621">
        <v>0</v>
      </c>
      <c r="G60" s="621">
        <v>0</v>
      </c>
      <c r="H60" s="621">
        <v>0</v>
      </c>
      <c r="I60" s="621">
        <v>0</v>
      </c>
      <c r="J60" s="621">
        <v>0</v>
      </c>
      <c r="K60" s="672">
        <v>0</v>
      </c>
      <c r="L60" s="686">
        <v>0</v>
      </c>
      <c r="M60" s="686">
        <v>0</v>
      </c>
      <c r="N60" s="636">
        <v>0</v>
      </c>
      <c r="O60" s="636">
        <v>0</v>
      </c>
      <c r="P60" s="636">
        <v>0</v>
      </c>
      <c r="Q60" s="636">
        <v>0</v>
      </c>
      <c r="R60" s="636">
        <v>1025397</v>
      </c>
      <c r="S60" s="636">
        <v>0</v>
      </c>
      <c r="T60" s="636">
        <v>0</v>
      </c>
      <c r="U60" s="636">
        <v>0</v>
      </c>
      <c r="V60" s="636">
        <v>0</v>
      </c>
      <c r="W60" s="636">
        <v>107181</v>
      </c>
      <c r="X60" s="636">
        <v>0</v>
      </c>
      <c r="Y60" s="636">
        <v>0</v>
      </c>
      <c r="Z60" s="636">
        <v>0</v>
      </c>
      <c r="AA60" s="636">
        <v>0</v>
      </c>
      <c r="AB60" s="686" t="e">
        <v>#VALUE!</v>
      </c>
      <c r="AC60" s="686">
        <v>0</v>
      </c>
      <c r="AD60" s="686" t="e">
        <v>#VALUE!</v>
      </c>
      <c r="AE60" s="686">
        <v>0</v>
      </c>
      <c r="AF60" s="686">
        <v>0</v>
      </c>
      <c r="AG60" s="686">
        <v>0</v>
      </c>
      <c r="AH60" s="686">
        <v>0</v>
      </c>
      <c r="AI60" s="686">
        <v>0</v>
      </c>
      <c r="AJ60" s="686">
        <v>1640481</v>
      </c>
      <c r="AK60" s="686">
        <v>0</v>
      </c>
      <c r="AL60" s="686">
        <v>0</v>
      </c>
      <c r="AM60" s="686">
        <v>0</v>
      </c>
      <c r="AN60" s="686">
        <v>735428</v>
      </c>
      <c r="AO60" s="686">
        <v>0</v>
      </c>
      <c r="AP60" s="686">
        <v>0</v>
      </c>
      <c r="AQ60" s="686">
        <v>0</v>
      </c>
      <c r="AR60" s="686">
        <v>0</v>
      </c>
      <c r="AS60" s="686">
        <v>0</v>
      </c>
      <c r="AT60" s="686">
        <v>0</v>
      </c>
      <c r="AU60" s="686">
        <v>0</v>
      </c>
      <c r="AV60" s="686">
        <v>0</v>
      </c>
      <c r="AW60" s="686">
        <v>0</v>
      </c>
      <c r="AX60" s="686">
        <v>0</v>
      </c>
      <c r="AY60" s="686">
        <v>0</v>
      </c>
      <c r="AZ60" s="686">
        <v>0</v>
      </c>
      <c r="BA60" s="686">
        <v>0</v>
      </c>
      <c r="BB60" s="686">
        <v>0</v>
      </c>
      <c r="BC60" s="686">
        <v>0</v>
      </c>
      <c r="BD60" s="686">
        <v>0</v>
      </c>
      <c r="BE60" s="686">
        <v>0</v>
      </c>
      <c r="BF60" s="686">
        <v>0</v>
      </c>
      <c r="BG60" s="686">
        <v>0</v>
      </c>
      <c r="BH60" s="686">
        <v>0</v>
      </c>
      <c r="BI60" s="686">
        <v>0</v>
      </c>
      <c r="BJ60" s="686">
        <v>0</v>
      </c>
      <c r="BK60" s="686">
        <v>0</v>
      </c>
      <c r="BL60" s="686">
        <v>0</v>
      </c>
      <c r="BM60" s="686">
        <v>53305</v>
      </c>
      <c r="BN60" s="686">
        <v>0</v>
      </c>
      <c r="BO60" s="686">
        <v>0</v>
      </c>
      <c r="BP60" s="686">
        <v>0</v>
      </c>
      <c r="BQ60" s="686">
        <v>0</v>
      </c>
      <c r="BR60" s="686">
        <v>0</v>
      </c>
      <c r="BS60" s="686">
        <v>6387</v>
      </c>
      <c r="BT60" s="686">
        <v>0</v>
      </c>
      <c r="BU60" s="686">
        <v>0</v>
      </c>
      <c r="BV60" s="686">
        <v>0</v>
      </c>
      <c r="BW60" s="686">
        <v>0</v>
      </c>
      <c r="BX60" s="686">
        <v>0</v>
      </c>
      <c r="BY60" s="686">
        <v>0</v>
      </c>
      <c r="BZ60" s="686">
        <v>0</v>
      </c>
      <c r="CA60" s="686">
        <v>0</v>
      </c>
      <c r="CB60" s="686">
        <v>0</v>
      </c>
      <c r="CC60" s="686">
        <v>0</v>
      </c>
      <c r="CD60" s="686">
        <v>0</v>
      </c>
      <c r="CE60" s="686">
        <v>0</v>
      </c>
    </row>
    <row r="61" spans="1:83" x14ac:dyDescent="0.25">
      <c r="A61" s="622">
        <v>101</v>
      </c>
      <c r="B61" s="625">
        <v>101</v>
      </c>
      <c r="C61" s="653" t="s">
        <v>253</v>
      </c>
      <c r="D61" s="701" t="s">
        <v>368</v>
      </c>
      <c r="E61" s="638">
        <v>0</v>
      </c>
      <c r="F61" s="621">
        <v>0</v>
      </c>
      <c r="G61" s="621">
        <v>0</v>
      </c>
      <c r="H61" s="621">
        <v>0</v>
      </c>
      <c r="I61" s="621">
        <v>0</v>
      </c>
      <c r="J61" s="621">
        <v>0</v>
      </c>
      <c r="K61" s="672">
        <v>0</v>
      </c>
      <c r="L61" s="686">
        <v>0</v>
      </c>
      <c r="M61" s="686">
        <v>0</v>
      </c>
      <c r="N61" s="636">
        <v>0</v>
      </c>
      <c r="O61" s="636">
        <v>0</v>
      </c>
      <c r="P61" s="636">
        <v>0</v>
      </c>
      <c r="Q61" s="636">
        <v>0</v>
      </c>
      <c r="R61" s="636">
        <v>3466653</v>
      </c>
      <c r="S61" s="636">
        <v>0</v>
      </c>
      <c r="T61" s="636">
        <v>0</v>
      </c>
      <c r="U61" s="636">
        <v>0</v>
      </c>
      <c r="V61" s="636">
        <v>0</v>
      </c>
      <c r="W61" s="636">
        <v>707034</v>
      </c>
      <c r="X61" s="636">
        <v>0</v>
      </c>
      <c r="Y61" s="636">
        <v>0</v>
      </c>
      <c r="Z61" s="636">
        <v>0</v>
      </c>
      <c r="AA61" s="636">
        <v>0</v>
      </c>
      <c r="AB61" s="686" t="e">
        <v>#VALUE!</v>
      </c>
      <c r="AC61" s="686">
        <v>0</v>
      </c>
      <c r="AD61" s="686" t="e">
        <v>#VALUE!</v>
      </c>
      <c r="AE61" s="686">
        <v>0</v>
      </c>
      <c r="AF61" s="686">
        <v>0</v>
      </c>
      <c r="AG61" s="686">
        <v>0</v>
      </c>
      <c r="AH61" s="686">
        <v>0</v>
      </c>
      <c r="AI61" s="686">
        <v>0</v>
      </c>
      <c r="AJ61" s="686">
        <v>3790387</v>
      </c>
      <c r="AK61" s="686">
        <v>0</v>
      </c>
      <c r="AL61" s="686">
        <v>0</v>
      </c>
      <c r="AM61" s="686">
        <v>0</v>
      </c>
      <c r="AN61" s="686">
        <v>141113</v>
      </c>
      <c r="AO61" s="686">
        <v>0</v>
      </c>
      <c r="AP61" s="686">
        <v>0</v>
      </c>
      <c r="AQ61" s="686">
        <v>0</v>
      </c>
      <c r="AR61" s="686">
        <v>0</v>
      </c>
      <c r="AS61" s="686">
        <v>0</v>
      </c>
      <c r="AT61" s="686">
        <v>0</v>
      </c>
      <c r="AU61" s="686">
        <v>0</v>
      </c>
      <c r="AV61" s="686">
        <v>0</v>
      </c>
      <c r="AW61" s="686">
        <v>0</v>
      </c>
      <c r="AX61" s="686">
        <v>0</v>
      </c>
      <c r="AY61" s="686">
        <v>0</v>
      </c>
      <c r="AZ61" s="686">
        <v>0</v>
      </c>
      <c r="BA61" s="686">
        <v>0</v>
      </c>
      <c r="BB61" s="686">
        <v>0</v>
      </c>
      <c r="BC61" s="686">
        <v>0</v>
      </c>
      <c r="BD61" s="686">
        <v>0</v>
      </c>
      <c r="BE61" s="686">
        <v>0</v>
      </c>
      <c r="BF61" s="686">
        <v>0</v>
      </c>
      <c r="BG61" s="686">
        <v>0</v>
      </c>
      <c r="BH61" s="686">
        <v>0</v>
      </c>
      <c r="BI61" s="686">
        <v>0</v>
      </c>
      <c r="BJ61" s="686">
        <v>0</v>
      </c>
      <c r="BK61" s="686">
        <v>0</v>
      </c>
      <c r="BL61" s="686">
        <v>0</v>
      </c>
      <c r="BM61" s="686">
        <v>4298</v>
      </c>
      <c r="BN61" s="686">
        <v>0</v>
      </c>
      <c r="BO61" s="686">
        <v>0</v>
      </c>
      <c r="BP61" s="686">
        <v>0</v>
      </c>
      <c r="BQ61" s="686">
        <v>0</v>
      </c>
      <c r="BR61" s="686">
        <v>0</v>
      </c>
      <c r="BS61" s="686">
        <v>86372</v>
      </c>
      <c r="BT61" s="686">
        <v>3097896</v>
      </c>
      <c r="BU61" s="686">
        <v>0</v>
      </c>
      <c r="BV61" s="686">
        <v>0</v>
      </c>
      <c r="BW61" s="686">
        <v>0</v>
      </c>
      <c r="BX61" s="686">
        <v>0</v>
      </c>
      <c r="BY61" s="686">
        <v>0</v>
      </c>
      <c r="BZ61" s="686">
        <v>0</v>
      </c>
      <c r="CA61" s="686">
        <v>0</v>
      </c>
      <c r="CB61" s="686">
        <v>0</v>
      </c>
      <c r="CC61" s="686">
        <v>0</v>
      </c>
      <c r="CD61" s="686">
        <v>0</v>
      </c>
      <c r="CE61" s="686">
        <v>0</v>
      </c>
    </row>
    <row r="62" spans="1:83" x14ac:dyDescent="0.25">
      <c r="A62" s="622">
        <v>102</v>
      </c>
      <c r="B62" s="625">
        <v>102</v>
      </c>
      <c r="C62" s="653" t="s">
        <v>272</v>
      </c>
      <c r="D62" s="701" t="s">
        <v>369</v>
      </c>
      <c r="E62" s="644">
        <v>100</v>
      </c>
      <c r="F62" s="637">
        <v>99.06</v>
      </c>
      <c r="G62" s="637">
        <v>95.16</v>
      </c>
      <c r="H62" s="637">
        <v>97.78</v>
      </c>
      <c r="I62" s="637">
        <v>97.3</v>
      </c>
      <c r="J62" s="637">
        <v>99.12</v>
      </c>
      <c r="K62" s="623">
        <v>97.13</v>
      </c>
      <c r="L62" s="655">
        <v>99.27</v>
      </c>
      <c r="M62" s="655">
        <v>98.01</v>
      </c>
      <c r="N62" s="633">
        <v>99.5</v>
      </c>
      <c r="O62" s="633">
        <v>97.02</v>
      </c>
      <c r="P62" s="633">
        <v>98.85</v>
      </c>
      <c r="Q62" s="633">
        <v>99.49</v>
      </c>
      <c r="R62" s="633">
        <v>99.02</v>
      </c>
      <c r="S62" s="633">
        <v>100</v>
      </c>
      <c r="T62" s="633">
        <v>0</v>
      </c>
      <c r="U62" s="633">
        <v>99.18</v>
      </c>
      <c r="V62" s="633">
        <v>99.19</v>
      </c>
      <c r="W62" s="633">
        <v>98.61</v>
      </c>
      <c r="X62" s="633">
        <v>99.94</v>
      </c>
      <c r="Y62" s="633">
        <v>79.510000000000005</v>
      </c>
      <c r="Z62" s="633">
        <v>98.77</v>
      </c>
      <c r="AA62" s="633">
        <v>94.73</v>
      </c>
      <c r="AB62" s="655" t="e">
        <v>#VALUE!</v>
      </c>
      <c r="AC62" s="655">
        <v>96.93</v>
      </c>
      <c r="AD62" s="655" t="e">
        <v>#VALUE!</v>
      </c>
      <c r="AE62" s="655">
        <v>97.49</v>
      </c>
      <c r="AF62" s="655">
        <v>94.76</v>
      </c>
      <c r="AG62" s="655">
        <v>99.99</v>
      </c>
      <c r="AH62" s="655">
        <v>97.84</v>
      </c>
      <c r="AI62" s="655">
        <v>92.71</v>
      </c>
      <c r="AJ62" s="655">
        <v>99.33</v>
      </c>
      <c r="AK62" s="655">
        <v>99.58</v>
      </c>
      <c r="AL62" s="655">
        <v>94.53</v>
      </c>
      <c r="AM62" s="655">
        <v>98.97</v>
      </c>
      <c r="AN62" s="655">
        <v>97.72</v>
      </c>
      <c r="AO62" s="655">
        <v>98.07</v>
      </c>
      <c r="AP62" s="655">
        <v>97.58</v>
      </c>
      <c r="AQ62" s="655">
        <v>0</v>
      </c>
      <c r="AR62" s="655">
        <v>99.08</v>
      </c>
      <c r="AS62" s="655">
        <v>96.34</v>
      </c>
      <c r="AT62" s="655">
        <v>86.9</v>
      </c>
      <c r="AU62" s="655">
        <v>97.74</v>
      </c>
      <c r="AV62" s="655">
        <v>88.38</v>
      </c>
      <c r="AW62" s="655">
        <v>99.19</v>
      </c>
      <c r="AX62" s="655">
        <v>99.57</v>
      </c>
      <c r="AY62" s="655">
        <v>98.1</v>
      </c>
      <c r="AZ62" s="655">
        <v>96.67</v>
      </c>
      <c r="BA62" s="655">
        <v>99.04</v>
      </c>
      <c r="BB62" s="655">
        <v>92.79</v>
      </c>
      <c r="BC62" s="655">
        <v>0</v>
      </c>
      <c r="BD62" s="655">
        <v>99.46</v>
      </c>
      <c r="BE62" s="655">
        <v>98.6</v>
      </c>
      <c r="BF62" s="655">
        <v>97.7</v>
      </c>
      <c r="BG62" s="655">
        <v>93.99</v>
      </c>
      <c r="BH62" s="655">
        <v>74.86</v>
      </c>
      <c r="BI62" s="655">
        <v>97.37</v>
      </c>
      <c r="BJ62" s="655">
        <v>93.06</v>
      </c>
      <c r="BK62" s="655">
        <v>94.74</v>
      </c>
      <c r="BL62" s="655">
        <v>92.66</v>
      </c>
      <c r="BM62" s="655">
        <v>97.58</v>
      </c>
      <c r="BN62" s="655">
        <v>99.17</v>
      </c>
      <c r="BO62" s="655">
        <v>99.89</v>
      </c>
      <c r="BP62" s="655">
        <v>100</v>
      </c>
      <c r="BQ62" s="655">
        <v>99.29</v>
      </c>
      <c r="BR62" s="655">
        <v>99.93</v>
      </c>
      <c r="BS62" s="655">
        <v>94.69</v>
      </c>
      <c r="BT62" s="655">
        <v>99.67</v>
      </c>
      <c r="BU62" s="655">
        <v>96.81</v>
      </c>
      <c r="BV62" s="655">
        <v>99.57</v>
      </c>
      <c r="BW62" s="655">
        <v>98.54</v>
      </c>
      <c r="BX62" s="655">
        <v>90.17</v>
      </c>
      <c r="BY62" s="655">
        <v>89.02</v>
      </c>
      <c r="BZ62" s="655">
        <v>99.21</v>
      </c>
      <c r="CA62" s="655">
        <v>96.33</v>
      </c>
      <c r="CB62" s="655">
        <v>96.58</v>
      </c>
      <c r="CC62" s="655">
        <v>99.95</v>
      </c>
      <c r="CD62" s="655">
        <v>0</v>
      </c>
      <c r="CE62" s="655">
        <v>89.32</v>
      </c>
    </row>
    <row r="63" spans="1:83" x14ac:dyDescent="0.25">
      <c r="A63" s="622">
        <v>103</v>
      </c>
      <c r="B63" s="625">
        <v>103</v>
      </c>
      <c r="C63" s="653" t="s">
        <v>273</v>
      </c>
      <c r="D63" s="701" t="s">
        <v>370</v>
      </c>
      <c r="E63" s="644">
        <v>100</v>
      </c>
      <c r="F63" s="637">
        <v>100</v>
      </c>
      <c r="G63" s="637">
        <v>100</v>
      </c>
      <c r="H63" s="637">
        <v>99.93</v>
      </c>
      <c r="I63" s="637">
        <v>100</v>
      </c>
      <c r="J63" s="637">
        <v>100</v>
      </c>
      <c r="K63" s="623">
        <v>100</v>
      </c>
      <c r="L63" s="655">
        <v>100</v>
      </c>
      <c r="M63" s="655">
        <v>100</v>
      </c>
      <c r="N63" s="633">
        <v>100</v>
      </c>
      <c r="O63" s="633">
        <v>100</v>
      </c>
      <c r="P63" s="633">
        <v>100</v>
      </c>
      <c r="Q63" s="633">
        <v>100</v>
      </c>
      <c r="R63" s="633">
        <v>100</v>
      </c>
      <c r="S63" s="633">
        <v>100</v>
      </c>
      <c r="T63" s="633">
        <v>0</v>
      </c>
      <c r="U63" s="633">
        <v>99.13</v>
      </c>
      <c r="V63" s="633">
        <v>100</v>
      </c>
      <c r="W63" s="633">
        <v>100</v>
      </c>
      <c r="X63" s="633">
        <v>99.99</v>
      </c>
      <c r="Y63" s="633">
        <v>100</v>
      </c>
      <c r="Z63" s="633">
        <v>100</v>
      </c>
      <c r="AA63" s="633">
        <v>100</v>
      </c>
      <c r="AB63" s="655" t="e">
        <v>#VALUE!</v>
      </c>
      <c r="AC63" s="655">
        <v>100</v>
      </c>
      <c r="AD63" s="655" t="e">
        <v>#VALUE!</v>
      </c>
      <c r="AE63" s="655">
        <v>100</v>
      </c>
      <c r="AF63" s="655">
        <v>98.36</v>
      </c>
      <c r="AG63" s="655">
        <v>100</v>
      </c>
      <c r="AH63" s="655">
        <v>100</v>
      </c>
      <c r="AI63" s="655">
        <v>100</v>
      </c>
      <c r="AJ63" s="655">
        <v>100</v>
      </c>
      <c r="AK63" s="655">
        <v>100</v>
      </c>
      <c r="AL63" s="655">
        <v>100</v>
      </c>
      <c r="AM63" s="655">
        <v>98.05</v>
      </c>
      <c r="AN63" s="655">
        <v>99.99</v>
      </c>
      <c r="AO63" s="655">
        <v>100</v>
      </c>
      <c r="AP63" s="655">
        <v>100</v>
      </c>
      <c r="AQ63" s="655">
        <v>0</v>
      </c>
      <c r="AR63" s="655">
        <v>100</v>
      </c>
      <c r="AS63" s="655">
        <v>100</v>
      </c>
      <c r="AT63" s="655">
        <v>100</v>
      </c>
      <c r="AU63" s="655">
        <v>100</v>
      </c>
      <c r="AV63" s="655">
        <v>100</v>
      </c>
      <c r="AW63" s="655">
        <v>100</v>
      </c>
      <c r="AX63" s="655">
        <v>100</v>
      </c>
      <c r="AY63" s="655">
        <v>100</v>
      </c>
      <c r="AZ63" s="655">
        <v>100</v>
      </c>
      <c r="BA63" s="655">
        <v>100</v>
      </c>
      <c r="BB63" s="655">
        <v>100</v>
      </c>
      <c r="BC63" s="655">
        <v>0</v>
      </c>
      <c r="BD63" s="655">
        <v>100</v>
      </c>
      <c r="BE63" s="655">
        <v>99.91</v>
      </c>
      <c r="BF63" s="655">
        <v>100</v>
      </c>
      <c r="BG63" s="655">
        <v>100</v>
      </c>
      <c r="BH63" s="655">
        <v>100</v>
      </c>
      <c r="BI63" s="655">
        <v>100</v>
      </c>
      <c r="BJ63" s="655">
        <v>100</v>
      </c>
      <c r="BK63" s="655">
        <v>100</v>
      </c>
      <c r="BL63" s="655">
        <v>98.32</v>
      </c>
      <c r="BM63" s="655">
        <v>100</v>
      </c>
      <c r="BN63" s="655">
        <v>95.57</v>
      </c>
      <c r="BO63" s="655">
        <v>99.55</v>
      </c>
      <c r="BP63" s="655">
        <v>100</v>
      </c>
      <c r="BQ63" s="655">
        <v>100</v>
      </c>
      <c r="BR63" s="655">
        <v>100</v>
      </c>
      <c r="BS63" s="655">
        <v>100</v>
      </c>
      <c r="BT63" s="655">
        <v>100</v>
      </c>
      <c r="BU63" s="655">
        <v>100</v>
      </c>
      <c r="BV63" s="655">
        <v>100</v>
      </c>
      <c r="BW63" s="655">
        <v>100</v>
      </c>
      <c r="BX63" s="655">
        <v>100</v>
      </c>
      <c r="BY63" s="655">
        <v>100</v>
      </c>
      <c r="BZ63" s="655">
        <v>100</v>
      </c>
      <c r="CA63" s="655">
        <v>100</v>
      </c>
      <c r="CB63" s="655">
        <v>100</v>
      </c>
      <c r="CC63" s="655">
        <v>100</v>
      </c>
      <c r="CD63" s="655">
        <v>0</v>
      </c>
      <c r="CE63" s="655">
        <v>100</v>
      </c>
    </row>
    <row r="64" spans="1:83" x14ac:dyDescent="0.25">
      <c r="A64" s="622"/>
      <c r="B64" s="625">
        <v>104</v>
      </c>
      <c r="C64" s="683" t="s">
        <v>371</v>
      </c>
      <c r="D64" s="701" t="s">
        <v>372</v>
      </c>
      <c r="E64" s="638">
        <v>0</v>
      </c>
      <c r="F64" s="621">
        <v>0</v>
      </c>
      <c r="G64" s="621">
        <v>0</v>
      </c>
      <c r="H64" s="621">
        <v>0</v>
      </c>
      <c r="I64" s="621">
        <v>0</v>
      </c>
      <c r="J64" s="621">
        <v>0</v>
      </c>
      <c r="K64" s="672">
        <v>0</v>
      </c>
      <c r="L64" s="686">
        <v>0</v>
      </c>
      <c r="M64" s="686">
        <v>0</v>
      </c>
      <c r="N64" s="636">
        <v>0</v>
      </c>
      <c r="O64" s="636">
        <v>0</v>
      </c>
      <c r="P64" s="636">
        <v>0</v>
      </c>
      <c r="Q64" s="636">
        <v>0</v>
      </c>
      <c r="R64" s="636">
        <v>0</v>
      </c>
      <c r="S64" s="636">
        <v>0</v>
      </c>
      <c r="T64" s="636">
        <v>0</v>
      </c>
      <c r="U64" s="636">
        <v>0</v>
      </c>
      <c r="V64" s="636">
        <v>0</v>
      </c>
      <c r="W64" s="636">
        <v>0</v>
      </c>
      <c r="X64" s="636">
        <v>0</v>
      </c>
      <c r="Y64" s="636">
        <v>0</v>
      </c>
      <c r="Z64" s="636">
        <v>0</v>
      </c>
      <c r="AA64" s="636">
        <v>0</v>
      </c>
      <c r="AB64" s="686" t="e">
        <v>#VALUE!</v>
      </c>
      <c r="AC64" s="686">
        <v>0</v>
      </c>
      <c r="AD64" s="686" t="e">
        <v>#VALUE!</v>
      </c>
      <c r="AE64" s="686">
        <v>0</v>
      </c>
      <c r="AF64" s="686">
        <v>0</v>
      </c>
      <c r="AG64" s="686">
        <v>0</v>
      </c>
      <c r="AH64" s="686">
        <v>0</v>
      </c>
      <c r="AI64" s="686">
        <v>0</v>
      </c>
      <c r="AJ64" s="686">
        <v>0</v>
      </c>
      <c r="AK64" s="686">
        <v>0</v>
      </c>
      <c r="AL64" s="686">
        <v>0</v>
      </c>
      <c r="AM64" s="686">
        <v>0</v>
      </c>
      <c r="AN64" s="686">
        <v>0</v>
      </c>
      <c r="AO64" s="686">
        <v>0</v>
      </c>
      <c r="AP64" s="686">
        <v>0</v>
      </c>
      <c r="AQ64" s="686">
        <v>0</v>
      </c>
      <c r="AR64" s="686">
        <v>0</v>
      </c>
      <c r="AS64" s="686">
        <v>0</v>
      </c>
      <c r="AT64" s="686">
        <v>0</v>
      </c>
      <c r="AU64" s="686">
        <v>0</v>
      </c>
      <c r="AV64" s="686">
        <v>0</v>
      </c>
      <c r="AW64" s="686">
        <v>0</v>
      </c>
      <c r="AX64" s="686">
        <v>0</v>
      </c>
      <c r="AY64" s="686">
        <v>0</v>
      </c>
      <c r="AZ64" s="686">
        <v>0</v>
      </c>
      <c r="BA64" s="686">
        <v>0</v>
      </c>
      <c r="BB64" s="686">
        <v>0</v>
      </c>
      <c r="BC64" s="686">
        <v>0</v>
      </c>
      <c r="BD64" s="686">
        <v>0</v>
      </c>
      <c r="BE64" s="686">
        <v>0</v>
      </c>
      <c r="BF64" s="686">
        <v>0</v>
      </c>
      <c r="BG64" s="686">
        <v>0</v>
      </c>
      <c r="BH64" s="686">
        <v>0</v>
      </c>
      <c r="BI64" s="686">
        <v>0</v>
      </c>
      <c r="BJ64" s="686">
        <v>0</v>
      </c>
      <c r="BK64" s="686">
        <v>0</v>
      </c>
      <c r="BL64" s="686">
        <v>0</v>
      </c>
      <c r="BM64" s="686">
        <v>0</v>
      </c>
      <c r="BN64" s="686">
        <v>0</v>
      </c>
      <c r="BO64" s="686">
        <v>0</v>
      </c>
      <c r="BP64" s="686">
        <v>0</v>
      </c>
      <c r="BQ64" s="686">
        <v>0</v>
      </c>
      <c r="BR64" s="686">
        <v>0</v>
      </c>
      <c r="BS64" s="686">
        <v>0</v>
      </c>
      <c r="BT64" s="686">
        <v>0</v>
      </c>
      <c r="BU64" s="686">
        <v>0</v>
      </c>
      <c r="BV64" s="686">
        <v>0</v>
      </c>
      <c r="BW64" s="686">
        <v>0</v>
      </c>
      <c r="BX64" s="686">
        <v>0</v>
      </c>
      <c r="BY64" s="686">
        <v>0</v>
      </c>
      <c r="BZ64" s="686">
        <v>0</v>
      </c>
      <c r="CA64" s="686">
        <v>0</v>
      </c>
      <c r="CB64" s="686">
        <v>0</v>
      </c>
      <c r="CC64" s="686">
        <v>0</v>
      </c>
      <c r="CD64" s="686">
        <v>0</v>
      </c>
      <c r="CE64" s="686">
        <v>0</v>
      </c>
    </row>
    <row r="65" spans="1:83" x14ac:dyDescent="0.25">
      <c r="A65" s="622"/>
      <c r="B65" s="625">
        <v>107</v>
      </c>
      <c r="C65" s="683" t="s">
        <v>637</v>
      </c>
      <c r="D65" s="701" t="s">
        <v>373</v>
      </c>
      <c r="E65" s="638">
        <v>0</v>
      </c>
      <c r="F65" s="621">
        <v>0</v>
      </c>
      <c r="G65" s="621">
        <v>0</v>
      </c>
      <c r="H65" s="621">
        <v>0</v>
      </c>
      <c r="I65" s="621">
        <v>0</v>
      </c>
      <c r="J65" s="621">
        <v>0</v>
      </c>
      <c r="K65" s="672">
        <v>0</v>
      </c>
      <c r="L65" s="686">
        <v>0</v>
      </c>
      <c r="M65" s="686">
        <v>0</v>
      </c>
      <c r="N65" s="636">
        <v>0</v>
      </c>
      <c r="O65" s="636">
        <v>0</v>
      </c>
      <c r="P65" s="636">
        <v>0</v>
      </c>
      <c r="Q65" s="636">
        <v>0</v>
      </c>
      <c r="R65" s="636">
        <v>0</v>
      </c>
      <c r="S65" s="636">
        <v>0</v>
      </c>
      <c r="T65" s="636">
        <v>0</v>
      </c>
      <c r="U65" s="636">
        <v>0</v>
      </c>
      <c r="V65" s="636">
        <v>0</v>
      </c>
      <c r="W65" s="636">
        <v>0</v>
      </c>
      <c r="X65" s="636">
        <v>0</v>
      </c>
      <c r="Y65" s="636">
        <v>0</v>
      </c>
      <c r="Z65" s="636">
        <v>0</v>
      </c>
      <c r="AA65" s="636">
        <v>0</v>
      </c>
      <c r="AB65" s="686" t="e">
        <v>#VALUE!</v>
      </c>
      <c r="AC65" s="686">
        <v>0</v>
      </c>
      <c r="AD65" s="686" t="e">
        <v>#VALUE!</v>
      </c>
      <c r="AE65" s="686">
        <v>0</v>
      </c>
      <c r="AF65" s="686">
        <v>0</v>
      </c>
      <c r="AG65" s="686">
        <v>0</v>
      </c>
      <c r="AH65" s="686">
        <v>0</v>
      </c>
      <c r="AI65" s="686">
        <v>0</v>
      </c>
      <c r="AJ65" s="686">
        <v>0</v>
      </c>
      <c r="AK65" s="686">
        <v>0</v>
      </c>
      <c r="AL65" s="686">
        <v>0</v>
      </c>
      <c r="AM65" s="686">
        <v>0</v>
      </c>
      <c r="AN65" s="686">
        <v>0</v>
      </c>
      <c r="AO65" s="686">
        <v>0</v>
      </c>
      <c r="AP65" s="686">
        <v>0</v>
      </c>
      <c r="AQ65" s="686">
        <v>0</v>
      </c>
      <c r="AR65" s="686">
        <v>0</v>
      </c>
      <c r="AS65" s="686">
        <v>0</v>
      </c>
      <c r="AT65" s="686">
        <v>0</v>
      </c>
      <c r="AU65" s="686">
        <v>0</v>
      </c>
      <c r="AV65" s="686">
        <v>0</v>
      </c>
      <c r="AW65" s="686">
        <v>0</v>
      </c>
      <c r="AX65" s="686">
        <v>0</v>
      </c>
      <c r="AY65" s="686">
        <v>0</v>
      </c>
      <c r="AZ65" s="686">
        <v>0</v>
      </c>
      <c r="BA65" s="686">
        <v>0</v>
      </c>
      <c r="BB65" s="686">
        <v>0</v>
      </c>
      <c r="BC65" s="686">
        <v>0</v>
      </c>
      <c r="BD65" s="686">
        <v>0</v>
      </c>
      <c r="BE65" s="686">
        <v>0</v>
      </c>
      <c r="BF65" s="686">
        <v>0</v>
      </c>
      <c r="BG65" s="686">
        <v>0</v>
      </c>
      <c r="BH65" s="686">
        <v>0</v>
      </c>
      <c r="BI65" s="686">
        <v>0</v>
      </c>
      <c r="BJ65" s="686">
        <v>0</v>
      </c>
      <c r="BK65" s="686">
        <v>0</v>
      </c>
      <c r="BL65" s="686">
        <v>0</v>
      </c>
      <c r="BM65" s="686">
        <v>0</v>
      </c>
      <c r="BN65" s="686">
        <v>0</v>
      </c>
      <c r="BO65" s="686">
        <v>0</v>
      </c>
      <c r="BP65" s="686">
        <v>0</v>
      </c>
      <c r="BQ65" s="686">
        <v>0</v>
      </c>
      <c r="BR65" s="686">
        <v>0</v>
      </c>
      <c r="BS65" s="686">
        <v>0</v>
      </c>
      <c r="BT65" s="686">
        <v>0</v>
      </c>
      <c r="BU65" s="686">
        <v>0</v>
      </c>
      <c r="BV65" s="686">
        <v>0</v>
      </c>
      <c r="BW65" s="686">
        <v>0</v>
      </c>
      <c r="BX65" s="686">
        <v>0</v>
      </c>
      <c r="BY65" s="686">
        <v>0</v>
      </c>
      <c r="BZ65" s="686">
        <v>0</v>
      </c>
      <c r="CA65" s="686">
        <v>0</v>
      </c>
      <c r="CB65" s="686">
        <v>0</v>
      </c>
      <c r="CC65" s="686">
        <v>0</v>
      </c>
      <c r="CD65" s="686">
        <v>0</v>
      </c>
      <c r="CE65" s="686">
        <v>0</v>
      </c>
    </row>
    <row r="66" spans="1:83" ht="25.5" x14ac:dyDescent="0.25">
      <c r="A66" s="622"/>
      <c r="B66" s="625">
        <v>108</v>
      </c>
      <c r="C66" s="683" t="s">
        <v>638</v>
      </c>
      <c r="D66" s="701" t="s">
        <v>374</v>
      </c>
      <c r="E66" s="638">
        <v>0</v>
      </c>
      <c r="F66" s="621">
        <v>0</v>
      </c>
      <c r="G66" s="621">
        <v>0</v>
      </c>
      <c r="H66" s="621">
        <v>0</v>
      </c>
      <c r="I66" s="621">
        <v>0</v>
      </c>
      <c r="J66" s="621">
        <v>0</v>
      </c>
      <c r="K66" s="672">
        <v>0</v>
      </c>
      <c r="L66" s="686">
        <v>0</v>
      </c>
      <c r="M66" s="686">
        <v>0</v>
      </c>
      <c r="N66" s="636">
        <v>0</v>
      </c>
      <c r="O66" s="636">
        <v>0</v>
      </c>
      <c r="P66" s="636">
        <v>0</v>
      </c>
      <c r="Q66" s="636">
        <v>0</v>
      </c>
      <c r="R66" s="636">
        <v>0</v>
      </c>
      <c r="S66" s="636">
        <v>0</v>
      </c>
      <c r="T66" s="636">
        <v>0</v>
      </c>
      <c r="U66" s="636">
        <v>0</v>
      </c>
      <c r="V66" s="636">
        <v>0</v>
      </c>
      <c r="W66" s="636">
        <v>0</v>
      </c>
      <c r="X66" s="636">
        <v>0</v>
      </c>
      <c r="Y66" s="636">
        <v>0</v>
      </c>
      <c r="Z66" s="636">
        <v>0</v>
      </c>
      <c r="AA66" s="636">
        <v>0</v>
      </c>
      <c r="AB66" s="686" t="e">
        <v>#VALUE!</v>
      </c>
      <c r="AC66" s="686">
        <v>0</v>
      </c>
      <c r="AD66" s="686" t="e">
        <v>#VALUE!</v>
      </c>
      <c r="AE66" s="686">
        <v>0</v>
      </c>
      <c r="AF66" s="686">
        <v>0</v>
      </c>
      <c r="AG66" s="686">
        <v>0</v>
      </c>
      <c r="AH66" s="686">
        <v>0</v>
      </c>
      <c r="AI66" s="686">
        <v>0</v>
      </c>
      <c r="AJ66" s="686">
        <v>0</v>
      </c>
      <c r="AK66" s="686">
        <v>0</v>
      </c>
      <c r="AL66" s="686">
        <v>0</v>
      </c>
      <c r="AM66" s="686">
        <v>0</v>
      </c>
      <c r="AN66" s="686">
        <v>0</v>
      </c>
      <c r="AO66" s="686">
        <v>0</v>
      </c>
      <c r="AP66" s="686">
        <v>0</v>
      </c>
      <c r="AQ66" s="686">
        <v>0</v>
      </c>
      <c r="AR66" s="686">
        <v>0</v>
      </c>
      <c r="AS66" s="686">
        <v>0</v>
      </c>
      <c r="AT66" s="686">
        <v>0</v>
      </c>
      <c r="AU66" s="686">
        <v>0</v>
      </c>
      <c r="AV66" s="686">
        <v>0</v>
      </c>
      <c r="AW66" s="686">
        <v>0</v>
      </c>
      <c r="AX66" s="686">
        <v>0</v>
      </c>
      <c r="AY66" s="686">
        <v>0</v>
      </c>
      <c r="AZ66" s="686">
        <v>0</v>
      </c>
      <c r="BA66" s="686">
        <v>0</v>
      </c>
      <c r="BB66" s="686">
        <v>0</v>
      </c>
      <c r="BC66" s="686">
        <v>0</v>
      </c>
      <c r="BD66" s="686">
        <v>0</v>
      </c>
      <c r="BE66" s="686">
        <v>0</v>
      </c>
      <c r="BF66" s="686">
        <v>0</v>
      </c>
      <c r="BG66" s="686">
        <v>0</v>
      </c>
      <c r="BH66" s="686">
        <v>0</v>
      </c>
      <c r="BI66" s="686">
        <v>0</v>
      </c>
      <c r="BJ66" s="686">
        <v>0</v>
      </c>
      <c r="BK66" s="686">
        <v>0</v>
      </c>
      <c r="BL66" s="686">
        <v>0</v>
      </c>
      <c r="BM66" s="686">
        <v>0</v>
      </c>
      <c r="BN66" s="686">
        <v>0</v>
      </c>
      <c r="BO66" s="686">
        <v>0</v>
      </c>
      <c r="BP66" s="686">
        <v>0</v>
      </c>
      <c r="BQ66" s="686">
        <v>0</v>
      </c>
      <c r="BR66" s="686">
        <v>0</v>
      </c>
      <c r="BS66" s="686">
        <v>0</v>
      </c>
      <c r="BT66" s="686">
        <v>0</v>
      </c>
      <c r="BU66" s="686">
        <v>0</v>
      </c>
      <c r="BV66" s="686">
        <v>0</v>
      </c>
      <c r="BW66" s="686">
        <v>0</v>
      </c>
      <c r="BX66" s="686">
        <v>0</v>
      </c>
      <c r="BY66" s="686">
        <v>0</v>
      </c>
      <c r="BZ66" s="686">
        <v>0</v>
      </c>
      <c r="CA66" s="686">
        <v>0</v>
      </c>
      <c r="CB66" s="686">
        <v>0</v>
      </c>
      <c r="CC66" s="686">
        <v>0</v>
      </c>
      <c r="CD66" s="686">
        <v>0</v>
      </c>
      <c r="CE66" s="686">
        <v>0</v>
      </c>
    </row>
    <row r="67" spans="1:83" x14ac:dyDescent="0.25">
      <c r="A67" s="622"/>
      <c r="B67" s="625">
        <v>147</v>
      </c>
      <c r="C67" s="683" t="s">
        <v>375</v>
      </c>
      <c r="D67" s="701" t="s">
        <v>376</v>
      </c>
      <c r="E67" s="638">
        <v>0</v>
      </c>
      <c r="F67" s="621">
        <v>0</v>
      </c>
      <c r="G67" s="621">
        <v>0</v>
      </c>
      <c r="H67" s="621">
        <v>0</v>
      </c>
      <c r="I67" s="621">
        <v>0</v>
      </c>
      <c r="J67" s="621">
        <v>0</v>
      </c>
      <c r="K67" s="672">
        <v>0</v>
      </c>
      <c r="L67" s="686">
        <v>0</v>
      </c>
      <c r="M67" s="686">
        <v>0</v>
      </c>
      <c r="N67" s="636">
        <v>0</v>
      </c>
      <c r="O67" s="636">
        <v>0</v>
      </c>
      <c r="P67" s="636">
        <v>0</v>
      </c>
      <c r="Q67" s="636">
        <v>0</v>
      </c>
      <c r="R67" s="636">
        <v>0</v>
      </c>
      <c r="S67" s="636">
        <v>0</v>
      </c>
      <c r="T67" s="636">
        <v>0</v>
      </c>
      <c r="U67" s="636">
        <v>0</v>
      </c>
      <c r="V67" s="636">
        <v>0</v>
      </c>
      <c r="W67" s="636">
        <v>0</v>
      </c>
      <c r="X67" s="636">
        <v>0</v>
      </c>
      <c r="Y67" s="636">
        <v>0</v>
      </c>
      <c r="Z67" s="636">
        <v>0</v>
      </c>
      <c r="AA67" s="636">
        <v>0</v>
      </c>
      <c r="AB67" s="686" t="e">
        <v>#VALUE!</v>
      </c>
      <c r="AC67" s="686">
        <v>0</v>
      </c>
      <c r="AD67" s="686" t="e">
        <v>#VALUE!</v>
      </c>
      <c r="AE67" s="686">
        <v>0</v>
      </c>
      <c r="AF67" s="686">
        <v>0</v>
      </c>
      <c r="AG67" s="686">
        <v>0</v>
      </c>
      <c r="AH67" s="686">
        <v>0</v>
      </c>
      <c r="AI67" s="686">
        <v>0</v>
      </c>
      <c r="AJ67" s="686">
        <v>0</v>
      </c>
      <c r="AK67" s="686">
        <v>0</v>
      </c>
      <c r="AL67" s="686">
        <v>0</v>
      </c>
      <c r="AM67" s="686">
        <v>0</v>
      </c>
      <c r="AN67" s="686">
        <v>0</v>
      </c>
      <c r="AO67" s="686">
        <v>0</v>
      </c>
      <c r="AP67" s="686">
        <v>0</v>
      </c>
      <c r="AQ67" s="686">
        <v>0</v>
      </c>
      <c r="AR67" s="686">
        <v>0</v>
      </c>
      <c r="AS67" s="686">
        <v>0</v>
      </c>
      <c r="AT67" s="686">
        <v>0</v>
      </c>
      <c r="AU67" s="686">
        <v>0</v>
      </c>
      <c r="AV67" s="686">
        <v>0</v>
      </c>
      <c r="AW67" s="686">
        <v>0</v>
      </c>
      <c r="AX67" s="686">
        <v>0</v>
      </c>
      <c r="AY67" s="686">
        <v>0</v>
      </c>
      <c r="AZ67" s="686">
        <v>0</v>
      </c>
      <c r="BA67" s="686">
        <v>0</v>
      </c>
      <c r="BB67" s="686">
        <v>0</v>
      </c>
      <c r="BC67" s="686">
        <v>0</v>
      </c>
      <c r="BD67" s="686">
        <v>0</v>
      </c>
      <c r="BE67" s="686">
        <v>0</v>
      </c>
      <c r="BF67" s="686">
        <v>0</v>
      </c>
      <c r="BG67" s="686">
        <v>0</v>
      </c>
      <c r="BH67" s="686">
        <v>0</v>
      </c>
      <c r="BI67" s="686">
        <v>0</v>
      </c>
      <c r="BJ67" s="686">
        <v>0</v>
      </c>
      <c r="BK67" s="686">
        <v>0</v>
      </c>
      <c r="BL67" s="686">
        <v>0</v>
      </c>
      <c r="BM67" s="686">
        <v>0</v>
      </c>
      <c r="BN67" s="686">
        <v>0</v>
      </c>
      <c r="BO67" s="686">
        <v>0</v>
      </c>
      <c r="BP67" s="686">
        <v>0</v>
      </c>
      <c r="BQ67" s="686">
        <v>0</v>
      </c>
      <c r="BR67" s="686">
        <v>0</v>
      </c>
      <c r="BS67" s="686">
        <v>0</v>
      </c>
      <c r="BT67" s="686">
        <v>0</v>
      </c>
      <c r="BU67" s="686">
        <v>0</v>
      </c>
      <c r="BV67" s="686">
        <v>0</v>
      </c>
      <c r="BW67" s="686">
        <v>0</v>
      </c>
      <c r="BX67" s="686">
        <v>0</v>
      </c>
      <c r="BY67" s="686">
        <v>0</v>
      </c>
      <c r="BZ67" s="686">
        <v>0</v>
      </c>
      <c r="CA67" s="686">
        <v>0</v>
      </c>
      <c r="CB67" s="686">
        <v>0</v>
      </c>
      <c r="CC67" s="686">
        <v>0</v>
      </c>
      <c r="CD67" s="686">
        <v>0</v>
      </c>
      <c r="CE67" s="686">
        <v>0</v>
      </c>
    </row>
    <row r="68" spans="1:83" x14ac:dyDescent="0.25">
      <c r="A68" s="622"/>
      <c r="B68" s="625">
        <v>148</v>
      </c>
      <c r="C68" s="683" t="s">
        <v>377</v>
      </c>
      <c r="D68" s="701" t="s">
        <v>378</v>
      </c>
      <c r="E68" s="638">
        <v>0</v>
      </c>
      <c r="F68" s="621">
        <v>0</v>
      </c>
      <c r="G68" s="621">
        <v>0</v>
      </c>
      <c r="H68" s="621">
        <v>0</v>
      </c>
      <c r="I68" s="621">
        <v>0</v>
      </c>
      <c r="J68" s="621">
        <v>0</v>
      </c>
      <c r="K68" s="672">
        <v>0</v>
      </c>
      <c r="L68" s="686">
        <v>0</v>
      </c>
      <c r="M68" s="686">
        <v>0</v>
      </c>
      <c r="N68" s="636">
        <v>0</v>
      </c>
      <c r="O68" s="636">
        <v>0</v>
      </c>
      <c r="P68" s="636">
        <v>0</v>
      </c>
      <c r="Q68" s="636">
        <v>0</v>
      </c>
      <c r="R68" s="636">
        <v>0</v>
      </c>
      <c r="S68" s="636">
        <v>0</v>
      </c>
      <c r="T68" s="636">
        <v>0</v>
      </c>
      <c r="U68" s="636">
        <v>0</v>
      </c>
      <c r="V68" s="636">
        <v>0</v>
      </c>
      <c r="W68" s="636">
        <v>0</v>
      </c>
      <c r="X68" s="636">
        <v>0</v>
      </c>
      <c r="Y68" s="636">
        <v>0</v>
      </c>
      <c r="Z68" s="636">
        <v>0</v>
      </c>
      <c r="AA68" s="636">
        <v>0</v>
      </c>
      <c r="AB68" s="686" t="e">
        <v>#VALUE!</v>
      </c>
      <c r="AC68" s="686">
        <v>0</v>
      </c>
      <c r="AD68" s="686" t="e">
        <v>#VALUE!</v>
      </c>
      <c r="AE68" s="686">
        <v>0</v>
      </c>
      <c r="AF68" s="686">
        <v>0</v>
      </c>
      <c r="AG68" s="686">
        <v>0</v>
      </c>
      <c r="AH68" s="686">
        <v>0</v>
      </c>
      <c r="AI68" s="686">
        <v>0</v>
      </c>
      <c r="AJ68" s="686">
        <v>0</v>
      </c>
      <c r="AK68" s="686">
        <v>0</v>
      </c>
      <c r="AL68" s="686">
        <v>0</v>
      </c>
      <c r="AM68" s="686">
        <v>0</v>
      </c>
      <c r="AN68" s="686">
        <v>0</v>
      </c>
      <c r="AO68" s="686">
        <v>0</v>
      </c>
      <c r="AP68" s="686">
        <v>0</v>
      </c>
      <c r="AQ68" s="686">
        <v>0</v>
      </c>
      <c r="AR68" s="686">
        <v>0</v>
      </c>
      <c r="AS68" s="686">
        <v>0</v>
      </c>
      <c r="AT68" s="686">
        <v>0</v>
      </c>
      <c r="AU68" s="686">
        <v>0</v>
      </c>
      <c r="AV68" s="686">
        <v>0</v>
      </c>
      <c r="AW68" s="686">
        <v>0</v>
      </c>
      <c r="AX68" s="686">
        <v>0</v>
      </c>
      <c r="AY68" s="686">
        <v>0</v>
      </c>
      <c r="AZ68" s="686">
        <v>0</v>
      </c>
      <c r="BA68" s="686">
        <v>0</v>
      </c>
      <c r="BB68" s="686">
        <v>0</v>
      </c>
      <c r="BC68" s="686">
        <v>0</v>
      </c>
      <c r="BD68" s="686">
        <v>0</v>
      </c>
      <c r="BE68" s="686">
        <v>0</v>
      </c>
      <c r="BF68" s="686">
        <v>0</v>
      </c>
      <c r="BG68" s="686">
        <v>0</v>
      </c>
      <c r="BH68" s="686">
        <v>0</v>
      </c>
      <c r="BI68" s="686">
        <v>0</v>
      </c>
      <c r="BJ68" s="686">
        <v>0</v>
      </c>
      <c r="BK68" s="686">
        <v>0</v>
      </c>
      <c r="BL68" s="686">
        <v>0</v>
      </c>
      <c r="BM68" s="686">
        <v>0</v>
      </c>
      <c r="BN68" s="686">
        <v>0</v>
      </c>
      <c r="BO68" s="686">
        <v>0</v>
      </c>
      <c r="BP68" s="686">
        <v>0</v>
      </c>
      <c r="BQ68" s="686">
        <v>0</v>
      </c>
      <c r="BR68" s="686">
        <v>0</v>
      </c>
      <c r="BS68" s="686">
        <v>0</v>
      </c>
      <c r="BT68" s="686">
        <v>0</v>
      </c>
      <c r="BU68" s="686">
        <v>0</v>
      </c>
      <c r="BV68" s="686">
        <v>0</v>
      </c>
      <c r="BW68" s="686">
        <v>0</v>
      </c>
      <c r="BX68" s="686">
        <v>0</v>
      </c>
      <c r="BY68" s="686">
        <v>0</v>
      </c>
      <c r="BZ68" s="686">
        <v>0</v>
      </c>
      <c r="CA68" s="686">
        <v>0</v>
      </c>
      <c r="CB68" s="686">
        <v>0</v>
      </c>
      <c r="CC68" s="686">
        <v>0</v>
      </c>
      <c r="CD68" s="686">
        <v>0</v>
      </c>
      <c r="CE68" s="686">
        <v>0</v>
      </c>
    </row>
    <row r="69" spans="1:83" x14ac:dyDescent="0.25">
      <c r="A69" s="622"/>
      <c r="B69" s="625">
        <v>149</v>
      </c>
      <c r="C69" s="683" t="s">
        <v>379</v>
      </c>
      <c r="D69" s="701" t="s">
        <v>380</v>
      </c>
      <c r="E69" s="638">
        <v>0</v>
      </c>
      <c r="F69" s="621">
        <v>0</v>
      </c>
      <c r="G69" s="621">
        <v>0</v>
      </c>
      <c r="H69" s="621">
        <v>0</v>
      </c>
      <c r="I69" s="621">
        <v>0</v>
      </c>
      <c r="J69" s="621">
        <v>0</v>
      </c>
      <c r="K69" s="672">
        <v>0</v>
      </c>
      <c r="L69" s="686">
        <v>0</v>
      </c>
      <c r="M69" s="686">
        <v>0</v>
      </c>
      <c r="N69" s="636">
        <v>0</v>
      </c>
      <c r="O69" s="636">
        <v>0</v>
      </c>
      <c r="P69" s="636">
        <v>0</v>
      </c>
      <c r="Q69" s="636">
        <v>0</v>
      </c>
      <c r="R69" s="636">
        <v>0</v>
      </c>
      <c r="S69" s="636">
        <v>0</v>
      </c>
      <c r="T69" s="636">
        <v>0</v>
      </c>
      <c r="U69" s="636">
        <v>0</v>
      </c>
      <c r="V69" s="636">
        <v>0</v>
      </c>
      <c r="W69" s="636">
        <v>0</v>
      </c>
      <c r="X69" s="636">
        <v>0</v>
      </c>
      <c r="Y69" s="636">
        <v>0</v>
      </c>
      <c r="Z69" s="636">
        <v>0</v>
      </c>
      <c r="AA69" s="636">
        <v>0</v>
      </c>
      <c r="AB69" s="686" t="e">
        <v>#VALUE!</v>
      </c>
      <c r="AC69" s="686">
        <v>0</v>
      </c>
      <c r="AD69" s="686" t="e">
        <v>#VALUE!</v>
      </c>
      <c r="AE69" s="686">
        <v>0</v>
      </c>
      <c r="AF69" s="686">
        <v>0</v>
      </c>
      <c r="AG69" s="686">
        <v>0</v>
      </c>
      <c r="AH69" s="686">
        <v>0</v>
      </c>
      <c r="AI69" s="686">
        <v>0</v>
      </c>
      <c r="AJ69" s="686">
        <v>0</v>
      </c>
      <c r="AK69" s="686">
        <v>0</v>
      </c>
      <c r="AL69" s="686">
        <v>0</v>
      </c>
      <c r="AM69" s="686">
        <v>0</v>
      </c>
      <c r="AN69" s="686">
        <v>0</v>
      </c>
      <c r="AO69" s="686">
        <v>0</v>
      </c>
      <c r="AP69" s="686">
        <v>0</v>
      </c>
      <c r="AQ69" s="686">
        <v>0</v>
      </c>
      <c r="AR69" s="686">
        <v>0</v>
      </c>
      <c r="AS69" s="686">
        <v>0</v>
      </c>
      <c r="AT69" s="686">
        <v>0</v>
      </c>
      <c r="AU69" s="686">
        <v>0</v>
      </c>
      <c r="AV69" s="686">
        <v>0</v>
      </c>
      <c r="AW69" s="686">
        <v>0</v>
      </c>
      <c r="AX69" s="686">
        <v>0</v>
      </c>
      <c r="AY69" s="686">
        <v>0</v>
      </c>
      <c r="AZ69" s="686">
        <v>0</v>
      </c>
      <c r="BA69" s="686">
        <v>0</v>
      </c>
      <c r="BB69" s="686">
        <v>0</v>
      </c>
      <c r="BC69" s="686">
        <v>0</v>
      </c>
      <c r="BD69" s="686">
        <v>0</v>
      </c>
      <c r="BE69" s="686">
        <v>0</v>
      </c>
      <c r="BF69" s="686">
        <v>0</v>
      </c>
      <c r="BG69" s="686">
        <v>0</v>
      </c>
      <c r="BH69" s="686">
        <v>0</v>
      </c>
      <c r="BI69" s="686">
        <v>0</v>
      </c>
      <c r="BJ69" s="686">
        <v>0</v>
      </c>
      <c r="BK69" s="686">
        <v>0</v>
      </c>
      <c r="BL69" s="686">
        <v>0</v>
      </c>
      <c r="BM69" s="686">
        <v>0</v>
      </c>
      <c r="BN69" s="686">
        <v>0</v>
      </c>
      <c r="BO69" s="686">
        <v>0</v>
      </c>
      <c r="BP69" s="686">
        <v>0</v>
      </c>
      <c r="BQ69" s="686">
        <v>0</v>
      </c>
      <c r="BR69" s="686">
        <v>0</v>
      </c>
      <c r="BS69" s="686">
        <v>0</v>
      </c>
      <c r="BT69" s="686">
        <v>0</v>
      </c>
      <c r="BU69" s="686">
        <v>0</v>
      </c>
      <c r="BV69" s="686">
        <v>0</v>
      </c>
      <c r="BW69" s="686">
        <v>0</v>
      </c>
      <c r="BX69" s="686">
        <v>0</v>
      </c>
      <c r="BY69" s="686">
        <v>0</v>
      </c>
      <c r="BZ69" s="686">
        <v>0</v>
      </c>
      <c r="CA69" s="686">
        <v>0</v>
      </c>
      <c r="CB69" s="686">
        <v>0</v>
      </c>
      <c r="CC69" s="686">
        <v>0</v>
      </c>
      <c r="CD69" s="686">
        <v>0</v>
      </c>
      <c r="CE69" s="686">
        <v>0</v>
      </c>
    </row>
    <row r="70" spans="1:83" ht="25.5" x14ac:dyDescent="0.25">
      <c r="A70" s="622"/>
      <c r="B70" s="625">
        <v>150</v>
      </c>
      <c r="C70" s="683" t="s">
        <v>381</v>
      </c>
      <c r="D70" s="701" t="s">
        <v>382</v>
      </c>
      <c r="E70" s="638">
        <v>0</v>
      </c>
      <c r="F70" s="621">
        <v>0</v>
      </c>
      <c r="G70" s="621">
        <v>0</v>
      </c>
      <c r="H70" s="621">
        <v>0</v>
      </c>
      <c r="I70" s="621">
        <v>0</v>
      </c>
      <c r="J70" s="621">
        <v>0</v>
      </c>
      <c r="K70" s="672">
        <v>0</v>
      </c>
      <c r="L70" s="686">
        <v>0</v>
      </c>
      <c r="M70" s="686">
        <v>0</v>
      </c>
      <c r="N70" s="636">
        <v>0</v>
      </c>
      <c r="O70" s="636">
        <v>0</v>
      </c>
      <c r="P70" s="636">
        <v>0</v>
      </c>
      <c r="Q70" s="636">
        <v>0</v>
      </c>
      <c r="R70" s="636">
        <v>0</v>
      </c>
      <c r="S70" s="636">
        <v>0</v>
      </c>
      <c r="T70" s="636">
        <v>0</v>
      </c>
      <c r="U70" s="636">
        <v>0</v>
      </c>
      <c r="V70" s="636">
        <v>0</v>
      </c>
      <c r="W70" s="636">
        <v>0</v>
      </c>
      <c r="X70" s="636">
        <v>0</v>
      </c>
      <c r="Y70" s="636">
        <v>0</v>
      </c>
      <c r="Z70" s="636">
        <v>0</v>
      </c>
      <c r="AA70" s="636">
        <v>0</v>
      </c>
      <c r="AB70" s="686" t="e">
        <v>#VALUE!</v>
      </c>
      <c r="AC70" s="686">
        <v>0</v>
      </c>
      <c r="AD70" s="686" t="e">
        <v>#VALUE!</v>
      </c>
      <c r="AE70" s="686">
        <v>0</v>
      </c>
      <c r="AF70" s="686">
        <v>0</v>
      </c>
      <c r="AG70" s="686">
        <v>0</v>
      </c>
      <c r="AH70" s="686">
        <v>0</v>
      </c>
      <c r="AI70" s="686">
        <v>0</v>
      </c>
      <c r="AJ70" s="686">
        <v>0</v>
      </c>
      <c r="AK70" s="686">
        <v>0</v>
      </c>
      <c r="AL70" s="686">
        <v>0</v>
      </c>
      <c r="AM70" s="686">
        <v>0</v>
      </c>
      <c r="AN70" s="686">
        <v>0</v>
      </c>
      <c r="AO70" s="686">
        <v>0</v>
      </c>
      <c r="AP70" s="686">
        <v>0</v>
      </c>
      <c r="AQ70" s="686">
        <v>0</v>
      </c>
      <c r="AR70" s="686">
        <v>0</v>
      </c>
      <c r="AS70" s="686">
        <v>0</v>
      </c>
      <c r="AT70" s="686">
        <v>0</v>
      </c>
      <c r="AU70" s="686">
        <v>0</v>
      </c>
      <c r="AV70" s="686">
        <v>0</v>
      </c>
      <c r="AW70" s="686">
        <v>0</v>
      </c>
      <c r="AX70" s="686">
        <v>0</v>
      </c>
      <c r="AY70" s="686">
        <v>0</v>
      </c>
      <c r="AZ70" s="686">
        <v>0</v>
      </c>
      <c r="BA70" s="686">
        <v>0</v>
      </c>
      <c r="BB70" s="686">
        <v>0</v>
      </c>
      <c r="BC70" s="686">
        <v>0</v>
      </c>
      <c r="BD70" s="686">
        <v>0</v>
      </c>
      <c r="BE70" s="686">
        <v>0</v>
      </c>
      <c r="BF70" s="686">
        <v>0</v>
      </c>
      <c r="BG70" s="686">
        <v>0</v>
      </c>
      <c r="BH70" s="686">
        <v>0</v>
      </c>
      <c r="BI70" s="686">
        <v>0</v>
      </c>
      <c r="BJ70" s="686">
        <v>0</v>
      </c>
      <c r="BK70" s="686">
        <v>0</v>
      </c>
      <c r="BL70" s="686">
        <v>0</v>
      </c>
      <c r="BM70" s="686">
        <v>0</v>
      </c>
      <c r="BN70" s="686">
        <v>0</v>
      </c>
      <c r="BO70" s="686">
        <v>0</v>
      </c>
      <c r="BP70" s="686">
        <v>0</v>
      </c>
      <c r="BQ70" s="686">
        <v>0</v>
      </c>
      <c r="BR70" s="686">
        <v>0</v>
      </c>
      <c r="BS70" s="686">
        <v>0</v>
      </c>
      <c r="BT70" s="686">
        <v>0</v>
      </c>
      <c r="BU70" s="686">
        <v>0</v>
      </c>
      <c r="BV70" s="686">
        <v>0</v>
      </c>
      <c r="BW70" s="686">
        <v>0</v>
      </c>
      <c r="BX70" s="686">
        <v>0</v>
      </c>
      <c r="BY70" s="686">
        <v>0</v>
      </c>
      <c r="BZ70" s="686">
        <v>0</v>
      </c>
      <c r="CA70" s="686">
        <v>0</v>
      </c>
      <c r="CB70" s="686">
        <v>0</v>
      </c>
      <c r="CC70" s="686">
        <v>0</v>
      </c>
      <c r="CD70" s="686">
        <v>0</v>
      </c>
      <c r="CE70" s="686">
        <v>0</v>
      </c>
    </row>
    <row r="71" spans="1:83" x14ac:dyDescent="0.25">
      <c r="A71" s="622">
        <v>171</v>
      </c>
      <c r="B71" s="625">
        <v>171</v>
      </c>
      <c r="C71" s="653" t="s">
        <v>220</v>
      </c>
      <c r="D71" s="701" t="s">
        <v>383</v>
      </c>
      <c r="E71" s="638">
        <v>1924</v>
      </c>
      <c r="F71" s="621">
        <v>3600</v>
      </c>
      <c r="G71" s="621">
        <v>0</v>
      </c>
      <c r="H71" s="621">
        <v>53750</v>
      </c>
      <c r="I71" s="621">
        <v>66381</v>
      </c>
      <c r="J71" s="621">
        <v>75016</v>
      </c>
      <c r="K71" s="672">
        <v>0</v>
      </c>
      <c r="L71" s="686">
        <v>0</v>
      </c>
      <c r="M71" s="686">
        <v>0</v>
      </c>
      <c r="N71" s="636">
        <v>625407</v>
      </c>
      <c r="O71" s="636">
        <v>19704</v>
      </c>
      <c r="P71" s="636">
        <v>100000</v>
      </c>
      <c r="Q71" s="636">
        <v>0</v>
      </c>
      <c r="R71" s="636">
        <v>1412578</v>
      </c>
      <c r="S71" s="636">
        <v>33182</v>
      </c>
      <c r="T71" s="636">
        <v>0</v>
      </c>
      <c r="U71" s="636">
        <v>12956213</v>
      </c>
      <c r="V71" s="636">
        <v>807435</v>
      </c>
      <c r="W71" s="636">
        <v>1823684</v>
      </c>
      <c r="X71" s="636">
        <v>2187379</v>
      </c>
      <c r="Y71" s="636">
        <v>0</v>
      </c>
      <c r="Z71" s="636">
        <v>0</v>
      </c>
      <c r="AA71" s="636">
        <v>26713</v>
      </c>
      <c r="AB71" s="686" t="e">
        <v>#VALUE!</v>
      </c>
      <c r="AC71" s="686">
        <v>109167</v>
      </c>
      <c r="AD71" s="686" t="e">
        <v>#VALUE!</v>
      </c>
      <c r="AE71" s="686">
        <v>10224</v>
      </c>
      <c r="AF71" s="686">
        <v>115406</v>
      </c>
      <c r="AG71" s="686">
        <v>1253945</v>
      </c>
      <c r="AH71" s="686">
        <v>0</v>
      </c>
      <c r="AI71" s="686">
        <v>30364</v>
      </c>
      <c r="AJ71" s="686">
        <v>2153314</v>
      </c>
      <c r="AK71" s="686">
        <v>0</v>
      </c>
      <c r="AL71" s="686">
        <v>31827</v>
      </c>
      <c r="AM71" s="686">
        <v>54300</v>
      </c>
      <c r="AN71" s="686">
        <v>1175874</v>
      </c>
      <c r="AO71" s="686">
        <v>0</v>
      </c>
      <c r="AP71" s="686">
        <v>15303</v>
      </c>
      <c r="AQ71" s="686">
        <v>0</v>
      </c>
      <c r="AR71" s="686">
        <v>1612587</v>
      </c>
      <c r="AS71" s="686">
        <v>165287</v>
      </c>
      <c r="AT71" s="686">
        <v>5925</v>
      </c>
      <c r="AU71" s="686">
        <v>64541</v>
      </c>
      <c r="AV71" s="686">
        <v>0</v>
      </c>
      <c r="AW71" s="686">
        <v>1780654</v>
      </c>
      <c r="AX71" s="686">
        <v>0</v>
      </c>
      <c r="AY71" s="686">
        <v>0</v>
      </c>
      <c r="AZ71" s="686">
        <v>322714</v>
      </c>
      <c r="BA71" s="686">
        <v>16664</v>
      </c>
      <c r="BB71" s="686">
        <v>0</v>
      </c>
      <c r="BC71" s="686">
        <v>0</v>
      </c>
      <c r="BD71" s="686">
        <v>0</v>
      </c>
      <c r="BE71" s="686">
        <v>0</v>
      </c>
      <c r="BF71" s="686">
        <v>0</v>
      </c>
      <c r="BG71" s="686">
        <v>0</v>
      </c>
      <c r="BH71" s="686">
        <v>0</v>
      </c>
      <c r="BI71" s="686">
        <v>0</v>
      </c>
      <c r="BJ71" s="686">
        <v>0</v>
      </c>
      <c r="BK71" s="686">
        <v>18941</v>
      </c>
      <c r="BL71" s="686">
        <v>285373</v>
      </c>
      <c r="BM71" s="686">
        <v>0</v>
      </c>
      <c r="BN71" s="686">
        <v>40805</v>
      </c>
      <c r="BO71" s="686">
        <v>241401</v>
      </c>
      <c r="BP71" s="686">
        <v>35279</v>
      </c>
      <c r="BQ71" s="686">
        <v>58392</v>
      </c>
      <c r="BR71" s="686">
        <v>361383</v>
      </c>
      <c r="BS71" s="686">
        <v>21564</v>
      </c>
      <c r="BT71" s="686">
        <v>861667</v>
      </c>
      <c r="BU71" s="686">
        <v>31437</v>
      </c>
      <c r="BV71" s="686">
        <v>140688</v>
      </c>
      <c r="BW71" s="686">
        <v>0</v>
      </c>
      <c r="BX71" s="686">
        <v>108397</v>
      </c>
      <c r="BY71" s="686">
        <v>770</v>
      </c>
      <c r="BZ71" s="686">
        <v>0</v>
      </c>
      <c r="CA71" s="686">
        <v>0</v>
      </c>
      <c r="CB71" s="686">
        <v>0</v>
      </c>
      <c r="CC71" s="686">
        <v>0</v>
      </c>
      <c r="CD71" s="686">
        <v>0</v>
      </c>
      <c r="CE71" s="686">
        <v>0</v>
      </c>
    </row>
    <row r="72" spans="1:83" x14ac:dyDescent="0.25">
      <c r="A72" s="622">
        <v>191</v>
      </c>
      <c r="B72" s="625">
        <v>191</v>
      </c>
      <c r="C72" s="653" t="s">
        <v>236</v>
      </c>
      <c r="D72" s="701" t="s">
        <v>384</v>
      </c>
      <c r="E72" s="638">
        <v>0</v>
      </c>
      <c r="F72" s="621">
        <v>0</v>
      </c>
      <c r="G72" s="621">
        <v>0</v>
      </c>
      <c r="H72" s="621">
        <v>0</v>
      </c>
      <c r="I72" s="621">
        <v>0</v>
      </c>
      <c r="J72" s="621">
        <v>0</v>
      </c>
      <c r="K72" s="672">
        <v>0</v>
      </c>
      <c r="L72" s="686">
        <v>0</v>
      </c>
      <c r="M72" s="686">
        <v>0</v>
      </c>
      <c r="N72" s="636">
        <v>0</v>
      </c>
      <c r="O72" s="636">
        <v>0</v>
      </c>
      <c r="P72" s="636">
        <v>0</v>
      </c>
      <c r="Q72" s="636">
        <v>0</v>
      </c>
      <c r="R72" s="636">
        <v>6160</v>
      </c>
      <c r="S72" s="636">
        <v>0</v>
      </c>
      <c r="T72" s="636">
        <v>0</v>
      </c>
      <c r="U72" s="636">
        <v>0</v>
      </c>
      <c r="V72" s="636">
        <v>104876</v>
      </c>
      <c r="W72" s="636">
        <v>0</v>
      </c>
      <c r="X72" s="636">
        <v>0</v>
      </c>
      <c r="Y72" s="636">
        <v>0</v>
      </c>
      <c r="Z72" s="636">
        <v>94134</v>
      </c>
      <c r="AA72" s="636">
        <v>0</v>
      </c>
      <c r="AB72" s="686" t="e">
        <v>#VALUE!</v>
      </c>
      <c r="AC72" s="686">
        <v>2646621</v>
      </c>
      <c r="AD72" s="686" t="e">
        <v>#VALUE!</v>
      </c>
      <c r="AE72" s="686">
        <v>0</v>
      </c>
      <c r="AF72" s="686">
        <v>268890</v>
      </c>
      <c r="AG72" s="686">
        <v>145000</v>
      </c>
      <c r="AH72" s="686">
        <v>972554</v>
      </c>
      <c r="AI72" s="686">
        <v>0</v>
      </c>
      <c r="AJ72" s="686">
        <v>0</v>
      </c>
      <c r="AK72" s="686">
        <v>0</v>
      </c>
      <c r="AL72" s="686">
        <v>0</v>
      </c>
      <c r="AM72" s="686">
        <v>0</v>
      </c>
      <c r="AN72" s="686">
        <v>6584</v>
      </c>
      <c r="AO72" s="686">
        <v>0</v>
      </c>
      <c r="AP72" s="686">
        <v>0</v>
      </c>
      <c r="AQ72" s="686">
        <v>0</v>
      </c>
      <c r="AR72" s="686">
        <v>0</v>
      </c>
      <c r="AS72" s="686">
        <v>596626</v>
      </c>
      <c r="AT72" s="686">
        <v>0</v>
      </c>
      <c r="AU72" s="686">
        <v>495000</v>
      </c>
      <c r="AV72" s="686">
        <v>0</v>
      </c>
      <c r="AW72" s="686">
        <v>363391</v>
      </c>
      <c r="AX72" s="686">
        <v>0</v>
      </c>
      <c r="AY72" s="686">
        <v>0</v>
      </c>
      <c r="AZ72" s="686">
        <v>0</v>
      </c>
      <c r="BA72" s="686">
        <v>0</v>
      </c>
      <c r="BB72" s="686">
        <v>0</v>
      </c>
      <c r="BC72" s="686">
        <v>0</v>
      </c>
      <c r="BD72" s="686">
        <v>0</v>
      </c>
      <c r="BE72" s="686">
        <v>44130</v>
      </c>
      <c r="BF72" s="686">
        <v>0</v>
      </c>
      <c r="BG72" s="686">
        <v>16959</v>
      </c>
      <c r="BH72" s="686">
        <v>0</v>
      </c>
      <c r="BI72" s="686">
        <v>0</v>
      </c>
      <c r="BJ72" s="686">
        <v>0</v>
      </c>
      <c r="BK72" s="686">
        <v>0</v>
      </c>
      <c r="BL72" s="686">
        <v>392283</v>
      </c>
      <c r="BM72" s="686">
        <v>0</v>
      </c>
      <c r="BN72" s="686">
        <v>98100</v>
      </c>
      <c r="BO72" s="686">
        <v>0</v>
      </c>
      <c r="BP72" s="686">
        <v>0</v>
      </c>
      <c r="BQ72" s="686">
        <v>0</v>
      </c>
      <c r="BR72" s="686">
        <v>0</v>
      </c>
      <c r="BS72" s="686">
        <v>0</v>
      </c>
      <c r="BT72" s="686">
        <v>0</v>
      </c>
      <c r="BU72" s="686">
        <v>15750</v>
      </c>
      <c r="BV72" s="686">
        <v>0</v>
      </c>
      <c r="BW72" s="686">
        <v>0</v>
      </c>
      <c r="BX72" s="686">
        <v>2130597</v>
      </c>
      <c r="BY72" s="686">
        <v>0</v>
      </c>
      <c r="BZ72" s="686">
        <v>0</v>
      </c>
      <c r="CA72" s="686">
        <v>679168</v>
      </c>
      <c r="CB72" s="686">
        <v>0</v>
      </c>
      <c r="CC72" s="686">
        <v>0</v>
      </c>
      <c r="CD72" s="686">
        <v>0</v>
      </c>
      <c r="CE72" s="686">
        <v>0</v>
      </c>
    </row>
    <row r="73" spans="1:83" x14ac:dyDescent="0.25">
      <c r="A73" s="622">
        <v>192</v>
      </c>
      <c r="B73" s="625">
        <v>192</v>
      </c>
      <c r="C73" s="653" t="s">
        <v>247</v>
      </c>
      <c r="D73" s="701" t="s">
        <v>385</v>
      </c>
      <c r="E73" s="638">
        <v>0</v>
      </c>
      <c r="F73" s="621">
        <v>0</v>
      </c>
      <c r="G73" s="621">
        <v>0</v>
      </c>
      <c r="H73" s="621">
        <v>0</v>
      </c>
      <c r="I73" s="621">
        <v>0</v>
      </c>
      <c r="J73" s="621">
        <v>0</v>
      </c>
      <c r="K73" s="672">
        <v>0</v>
      </c>
      <c r="L73" s="686">
        <v>0</v>
      </c>
      <c r="M73" s="686">
        <v>0</v>
      </c>
      <c r="N73" s="636">
        <v>0</v>
      </c>
      <c r="O73" s="636">
        <v>0</v>
      </c>
      <c r="P73" s="636">
        <v>0</v>
      </c>
      <c r="Q73" s="636">
        <v>0</v>
      </c>
      <c r="R73" s="636">
        <v>10000</v>
      </c>
      <c r="S73" s="636">
        <v>0</v>
      </c>
      <c r="T73" s="636">
        <v>0</v>
      </c>
      <c r="U73" s="636">
        <v>0</v>
      </c>
      <c r="V73" s="636">
        <v>0</v>
      </c>
      <c r="W73" s="636">
        <v>0</v>
      </c>
      <c r="X73" s="636">
        <v>0</v>
      </c>
      <c r="Y73" s="636">
        <v>0</v>
      </c>
      <c r="Z73" s="636">
        <v>0</v>
      </c>
      <c r="AA73" s="636">
        <v>0</v>
      </c>
      <c r="AB73" s="686" t="e">
        <v>#VALUE!</v>
      </c>
      <c r="AC73" s="686">
        <v>0</v>
      </c>
      <c r="AD73" s="686" t="e">
        <v>#VALUE!</v>
      </c>
      <c r="AE73" s="686">
        <v>0</v>
      </c>
      <c r="AF73" s="686">
        <v>0</v>
      </c>
      <c r="AG73" s="686">
        <v>0</v>
      </c>
      <c r="AH73" s="686">
        <v>0</v>
      </c>
      <c r="AI73" s="686">
        <v>0</v>
      </c>
      <c r="AJ73" s="686">
        <v>0</v>
      </c>
      <c r="AK73" s="686">
        <v>0</v>
      </c>
      <c r="AL73" s="686">
        <v>0</v>
      </c>
      <c r="AM73" s="686">
        <v>0</v>
      </c>
      <c r="AN73" s="686">
        <v>0</v>
      </c>
      <c r="AO73" s="686">
        <v>0</v>
      </c>
      <c r="AP73" s="686">
        <v>0</v>
      </c>
      <c r="AQ73" s="686">
        <v>0</v>
      </c>
      <c r="AR73" s="686">
        <v>0</v>
      </c>
      <c r="AS73" s="686">
        <v>0</v>
      </c>
      <c r="AT73" s="686">
        <v>0</v>
      </c>
      <c r="AU73" s="686">
        <v>0</v>
      </c>
      <c r="AV73" s="686">
        <v>0</v>
      </c>
      <c r="AW73" s="686">
        <v>0</v>
      </c>
      <c r="AX73" s="686">
        <v>0</v>
      </c>
      <c r="AY73" s="686">
        <v>0</v>
      </c>
      <c r="AZ73" s="686">
        <v>0</v>
      </c>
      <c r="BA73" s="686">
        <v>0</v>
      </c>
      <c r="BB73" s="686">
        <v>0</v>
      </c>
      <c r="BC73" s="686">
        <v>0</v>
      </c>
      <c r="BD73" s="686">
        <v>0</v>
      </c>
      <c r="BE73" s="686">
        <v>0</v>
      </c>
      <c r="BF73" s="686">
        <v>0</v>
      </c>
      <c r="BG73" s="686">
        <v>0</v>
      </c>
      <c r="BH73" s="686">
        <v>0</v>
      </c>
      <c r="BI73" s="686">
        <v>0</v>
      </c>
      <c r="BJ73" s="686">
        <v>0</v>
      </c>
      <c r="BK73" s="686">
        <v>0</v>
      </c>
      <c r="BL73" s="686">
        <v>0</v>
      </c>
      <c r="BM73" s="686">
        <v>0</v>
      </c>
      <c r="BN73" s="686">
        <v>0</v>
      </c>
      <c r="BO73" s="686">
        <v>0</v>
      </c>
      <c r="BP73" s="686">
        <v>0</v>
      </c>
      <c r="BQ73" s="686">
        <v>0</v>
      </c>
      <c r="BR73" s="686">
        <v>0</v>
      </c>
      <c r="BS73" s="686">
        <v>0</v>
      </c>
      <c r="BT73" s="686">
        <v>0</v>
      </c>
      <c r="BU73" s="686">
        <v>0</v>
      </c>
      <c r="BV73" s="686">
        <v>0</v>
      </c>
      <c r="BW73" s="686">
        <v>0</v>
      </c>
      <c r="BX73" s="686">
        <v>0</v>
      </c>
      <c r="BY73" s="686">
        <v>0</v>
      </c>
      <c r="BZ73" s="686">
        <v>0</v>
      </c>
      <c r="CA73" s="686">
        <v>0</v>
      </c>
      <c r="CB73" s="686">
        <v>0</v>
      </c>
      <c r="CC73" s="686">
        <v>0</v>
      </c>
      <c r="CD73" s="686">
        <v>0</v>
      </c>
      <c r="CE73" s="686">
        <v>0</v>
      </c>
    </row>
    <row r="74" spans="1:83" ht="30" x14ac:dyDescent="0.25">
      <c r="A74" s="622"/>
      <c r="B74" s="625">
        <v>193</v>
      </c>
      <c r="C74" s="681" t="s">
        <v>386</v>
      </c>
      <c r="D74" s="701" t="s">
        <v>387</v>
      </c>
      <c r="E74" s="638">
        <v>0</v>
      </c>
      <c r="F74" s="621">
        <v>0</v>
      </c>
      <c r="G74" s="621">
        <v>0</v>
      </c>
      <c r="H74" s="621">
        <v>0</v>
      </c>
      <c r="I74" s="621">
        <v>0</v>
      </c>
      <c r="J74" s="621">
        <v>0</v>
      </c>
      <c r="K74" s="672">
        <v>0</v>
      </c>
      <c r="L74" s="686">
        <v>0</v>
      </c>
      <c r="M74" s="686">
        <v>0</v>
      </c>
      <c r="N74" s="636">
        <v>0</v>
      </c>
      <c r="O74" s="636">
        <v>0</v>
      </c>
      <c r="P74" s="636">
        <v>0</v>
      </c>
      <c r="Q74" s="636">
        <v>0</v>
      </c>
      <c r="R74" s="636">
        <v>0</v>
      </c>
      <c r="S74" s="636">
        <v>0</v>
      </c>
      <c r="T74" s="636">
        <v>0</v>
      </c>
      <c r="U74" s="636">
        <v>0</v>
      </c>
      <c r="V74" s="636">
        <v>0</v>
      </c>
      <c r="W74" s="636">
        <v>0</v>
      </c>
      <c r="X74" s="636">
        <v>0</v>
      </c>
      <c r="Y74" s="636">
        <v>0</v>
      </c>
      <c r="Z74" s="636">
        <v>0</v>
      </c>
      <c r="AA74" s="636">
        <v>0</v>
      </c>
      <c r="AB74" s="686" t="e">
        <v>#VALUE!</v>
      </c>
      <c r="AC74" s="686">
        <v>0</v>
      </c>
      <c r="AD74" s="686" t="e">
        <v>#VALUE!</v>
      </c>
      <c r="AE74" s="686">
        <v>0</v>
      </c>
      <c r="AF74" s="686">
        <v>0</v>
      </c>
      <c r="AG74" s="686">
        <v>0</v>
      </c>
      <c r="AH74" s="686">
        <v>0</v>
      </c>
      <c r="AI74" s="686">
        <v>0</v>
      </c>
      <c r="AJ74" s="686">
        <v>0</v>
      </c>
      <c r="AK74" s="686">
        <v>0</v>
      </c>
      <c r="AL74" s="686">
        <v>0</v>
      </c>
      <c r="AM74" s="686">
        <v>0</v>
      </c>
      <c r="AN74" s="686">
        <v>0</v>
      </c>
      <c r="AO74" s="686">
        <v>0</v>
      </c>
      <c r="AP74" s="686">
        <v>0</v>
      </c>
      <c r="AQ74" s="686">
        <v>0</v>
      </c>
      <c r="AR74" s="686">
        <v>0</v>
      </c>
      <c r="AS74" s="686">
        <v>0</v>
      </c>
      <c r="AT74" s="686">
        <v>0</v>
      </c>
      <c r="AU74" s="686">
        <v>0</v>
      </c>
      <c r="AV74" s="686">
        <v>0</v>
      </c>
      <c r="AW74" s="686">
        <v>0</v>
      </c>
      <c r="AX74" s="686">
        <v>0</v>
      </c>
      <c r="AY74" s="686">
        <v>0</v>
      </c>
      <c r="AZ74" s="686">
        <v>0</v>
      </c>
      <c r="BA74" s="686">
        <v>0</v>
      </c>
      <c r="BB74" s="686">
        <v>0</v>
      </c>
      <c r="BC74" s="686">
        <v>0</v>
      </c>
      <c r="BD74" s="686">
        <v>0</v>
      </c>
      <c r="BE74" s="686">
        <v>0</v>
      </c>
      <c r="BF74" s="686">
        <v>0</v>
      </c>
      <c r="BG74" s="686">
        <v>0</v>
      </c>
      <c r="BH74" s="686">
        <v>0</v>
      </c>
      <c r="BI74" s="686">
        <v>0</v>
      </c>
      <c r="BJ74" s="686">
        <v>0</v>
      </c>
      <c r="BK74" s="686">
        <v>0</v>
      </c>
      <c r="BL74" s="686">
        <v>0</v>
      </c>
      <c r="BM74" s="686">
        <v>0</v>
      </c>
      <c r="BN74" s="686">
        <v>0</v>
      </c>
      <c r="BO74" s="686">
        <v>0</v>
      </c>
      <c r="BP74" s="686">
        <v>0</v>
      </c>
      <c r="BQ74" s="686">
        <v>0</v>
      </c>
      <c r="BR74" s="686">
        <v>0</v>
      </c>
      <c r="BS74" s="686">
        <v>0</v>
      </c>
      <c r="BT74" s="686">
        <v>0</v>
      </c>
      <c r="BU74" s="686">
        <v>0</v>
      </c>
      <c r="BV74" s="686">
        <v>0</v>
      </c>
      <c r="BW74" s="686">
        <v>0</v>
      </c>
      <c r="BX74" s="686">
        <v>0</v>
      </c>
      <c r="BY74" s="686">
        <v>0</v>
      </c>
      <c r="BZ74" s="686">
        <v>0</v>
      </c>
      <c r="CA74" s="686">
        <v>0</v>
      </c>
      <c r="CB74" s="686">
        <v>0</v>
      </c>
      <c r="CC74" s="686">
        <v>0</v>
      </c>
      <c r="CD74" s="686">
        <v>0</v>
      </c>
      <c r="CE74" s="686">
        <v>0</v>
      </c>
    </row>
    <row r="75" spans="1:83" x14ac:dyDescent="0.25">
      <c r="A75" s="622"/>
      <c r="B75" s="625">
        <v>194</v>
      </c>
      <c r="C75" s="683" t="s">
        <v>388</v>
      </c>
      <c r="D75" s="701" t="s">
        <v>389</v>
      </c>
      <c r="E75" s="638">
        <v>0</v>
      </c>
      <c r="F75" s="621">
        <v>0</v>
      </c>
      <c r="G75" s="621">
        <v>0</v>
      </c>
      <c r="H75" s="621">
        <v>0</v>
      </c>
      <c r="I75" s="621">
        <v>0</v>
      </c>
      <c r="J75" s="621">
        <v>0</v>
      </c>
      <c r="K75" s="672">
        <v>0</v>
      </c>
      <c r="L75" s="686">
        <v>0</v>
      </c>
      <c r="M75" s="686">
        <v>0</v>
      </c>
      <c r="N75" s="636">
        <v>0</v>
      </c>
      <c r="O75" s="636">
        <v>0</v>
      </c>
      <c r="P75" s="636">
        <v>0</v>
      </c>
      <c r="Q75" s="636">
        <v>0</v>
      </c>
      <c r="R75" s="636">
        <v>0</v>
      </c>
      <c r="S75" s="636">
        <v>0</v>
      </c>
      <c r="T75" s="636">
        <v>0</v>
      </c>
      <c r="U75" s="636">
        <v>0</v>
      </c>
      <c r="V75" s="636">
        <v>0</v>
      </c>
      <c r="W75" s="636">
        <v>0</v>
      </c>
      <c r="X75" s="636">
        <v>0</v>
      </c>
      <c r="Y75" s="636">
        <v>0</v>
      </c>
      <c r="Z75" s="636">
        <v>0</v>
      </c>
      <c r="AA75" s="636">
        <v>0</v>
      </c>
      <c r="AB75" s="686" t="e">
        <v>#VALUE!</v>
      </c>
      <c r="AC75" s="686">
        <v>0</v>
      </c>
      <c r="AD75" s="686" t="e">
        <v>#VALUE!</v>
      </c>
      <c r="AE75" s="686">
        <v>0</v>
      </c>
      <c r="AF75" s="686">
        <v>0</v>
      </c>
      <c r="AG75" s="686">
        <v>0</v>
      </c>
      <c r="AH75" s="686">
        <v>0</v>
      </c>
      <c r="AI75" s="686">
        <v>0</v>
      </c>
      <c r="AJ75" s="686">
        <v>0</v>
      </c>
      <c r="AK75" s="686">
        <v>0</v>
      </c>
      <c r="AL75" s="686">
        <v>0</v>
      </c>
      <c r="AM75" s="686">
        <v>0</v>
      </c>
      <c r="AN75" s="686">
        <v>0</v>
      </c>
      <c r="AO75" s="686">
        <v>0</v>
      </c>
      <c r="AP75" s="686">
        <v>0</v>
      </c>
      <c r="AQ75" s="686">
        <v>0</v>
      </c>
      <c r="AR75" s="686">
        <v>0</v>
      </c>
      <c r="AS75" s="686">
        <v>0</v>
      </c>
      <c r="AT75" s="686">
        <v>0</v>
      </c>
      <c r="AU75" s="686">
        <v>0</v>
      </c>
      <c r="AV75" s="686">
        <v>0</v>
      </c>
      <c r="AW75" s="686">
        <v>0</v>
      </c>
      <c r="AX75" s="686">
        <v>0</v>
      </c>
      <c r="AY75" s="686">
        <v>0</v>
      </c>
      <c r="AZ75" s="686">
        <v>0</v>
      </c>
      <c r="BA75" s="686">
        <v>0</v>
      </c>
      <c r="BB75" s="686">
        <v>0</v>
      </c>
      <c r="BC75" s="686">
        <v>0</v>
      </c>
      <c r="BD75" s="686">
        <v>0</v>
      </c>
      <c r="BE75" s="686">
        <v>0</v>
      </c>
      <c r="BF75" s="686">
        <v>0</v>
      </c>
      <c r="BG75" s="686">
        <v>0</v>
      </c>
      <c r="BH75" s="686">
        <v>0</v>
      </c>
      <c r="BI75" s="686">
        <v>0</v>
      </c>
      <c r="BJ75" s="686">
        <v>0</v>
      </c>
      <c r="BK75" s="686">
        <v>0</v>
      </c>
      <c r="BL75" s="686">
        <v>0</v>
      </c>
      <c r="BM75" s="686">
        <v>0</v>
      </c>
      <c r="BN75" s="686">
        <v>0</v>
      </c>
      <c r="BO75" s="686">
        <v>0</v>
      </c>
      <c r="BP75" s="686">
        <v>0</v>
      </c>
      <c r="BQ75" s="686">
        <v>0</v>
      </c>
      <c r="BR75" s="686">
        <v>0</v>
      </c>
      <c r="BS75" s="686">
        <v>0</v>
      </c>
      <c r="BT75" s="686">
        <v>0</v>
      </c>
      <c r="BU75" s="686">
        <v>0</v>
      </c>
      <c r="BV75" s="686">
        <v>0</v>
      </c>
      <c r="BW75" s="686">
        <v>0</v>
      </c>
      <c r="BX75" s="686">
        <v>0</v>
      </c>
      <c r="BY75" s="686">
        <v>0</v>
      </c>
      <c r="BZ75" s="686">
        <v>0</v>
      </c>
      <c r="CA75" s="686">
        <v>0</v>
      </c>
      <c r="CB75" s="686">
        <v>0</v>
      </c>
      <c r="CC75" s="686">
        <v>0</v>
      </c>
      <c r="CD75" s="686">
        <v>0</v>
      </c>
      <c r="CE75" s="686">
        <v>0</v>
      </c>
    </row>
    <row r="76" spans="1:83" ht="30" x14ac:dyDescent="0.25">
      <c r="A76" s="622"/>
      <c r="B76" s="625">
        <v>231</v>
      </c>
      <c r="C76" s="653" t="s">
        <v>390</v>
      </c>
      <c r="D76" s="701" t="s">
        <v>391</v>
      </c>
      <c r="E76" s="638">
        <v>0</v>
      </c>
      <c r="F76" s="621">
        <v>0</v>
      </c>
      <c r="G76" s="621">
        <v>0</v>
      </c>
      <c r="H76" s="621">
        <v>0</v>
      </c>
      <c r="I76" s="621">
        <v>0</v>
      </c>
      <c r="J76" s="621">
        <v>0</v>
      </c>
      <c r="K76" s="672">
        <v>0</v>
      </c>
      <c r="L76" s="686">
        <v>0</v>
      </c>
      <c r="M76" s="686">
        <v>0</v>
      </c>
      <c r="N76" s="636">
        <v>0</v>
      </c>
      <c r="O76" s="636">
        <v>0</v>
      </c>
      <c r="P76" s="636">
        <v>0</v>
      </c>
      <c r="Q76" s="636">
        <v>0</v>
      </c>
      <c r="R76" s="636">
        <v>0</v>
      </c>
      <c r="S76" s="636">
        <v>0</v>
      </c>
      <c r="T76" s="636">
        <v>0</v>
      </c>
      <c r="U76" s="636">
        <v>0</v>
      </c>
      <c r="V76" s="636">
        <v>0</v>
      </c>
      <c r="W76" s="636">
        <v>0</v>
      </c>
      <c r="X76" s="636">
        <v>0</v>
      </c>
      <c r="Y76" s="636">
        <v>0</v>
      </c>
      <c r="Z76" s="636">
        <v>0</v>
      </c>
      <c r="AA76" s="636">
        <v>0</v>
      </c>
      <c r="AB76" s="686" t="e">
        <v>#VALUE!</v>
      </c>
      <c r="AC76" s="686">
        <v>0</v>
      </c>
      <c r="AD76" s="686" t="e">
        <v>#VALUE!</v>
      </c>
      <c r="AE76" s="686">
        <v>0</v>
      </c>
      <c r="AF76" s="686">
        <v>0</v>
      </c>
      <c r="AG76" s="686">
        <v>0</v>
      </c>
      <c r="AH76" s="686">
        <v>0</v>
      </c>
      <c r="AI76" s="686">
        <v>0</v>
      </c>
      <c r="AJ76" s="686">
        <v>0</v>
      </c>
      <c r="AK76" s="686">
        <v>0</v>
      </c>
      <c r="AL76" s="686">
        <v>0</v>
      </c>
      <c r="AM76" s="686">
        <v>0</v>
      </c>
      <c r="AN76" s="686">
        <v>0</v>
      </c>
      <c r="AO76" s="686">
        <v>0</v>
      </c>
      <c r="AP76" s="686">
        <v>0</v>
      </c>
      <c r="AQ76" s="686">
        <v>0</v>
      </c>
      <c r="AR76" s="686">
        <v>0</v>
      </c>
      <c r="AS76" s="686">
        <v>0</v>
      </c>
      <c r="AT76" s="686">
        <v>0</v>
      </c>
      <c r="AU76" s="686">
        <v>0</v>
      </c>
      <c r="AV76" s="686">
        <v>0</v>
      </c>
      <c r="AW76" s="686">
        <v>0</v>
      </c>
      <c r="AX76" s="686">
        <v>0</v>
      </c>
      <c r="AY76" s="686">
        <v>0</v>
      </c>
      <c r="AZ76" s="686">
        <v>0</v>
      </c>
      <c r="BA76" s="686">
        <v>0</v>
      </c>
      <c r="BB76" s="686">
        <v>0</v>
      </c>
      <c r="BC76" s="686">
        <v>0</v>
      </c>
      <c r="BD76" s="686">
        <v>0</v>
      </c>
      <c r="BE76" s="686">
        <v>0</v>
      </c>
      <c r="BF76" s="686">
        <v>0</v>
      </c>
      <c r="BG76" s="686">
        <v>0</v>
      </c>
      <c r="BH76" s="686">
        <v>0</v>
      </c>
      <c r="BI76" s="686">
        <v>0</v>
      </c>
      <c r="BJ76" s="686">
        <v>0</v>
      </c>
      <c r="BK76" s="686">
        <v>0</v>
      </c>
      <c r="BL76" s="686">
        <v>0</v>
      </c>
      <c r="BM76" s="686">
        <v>0</v>
      </c>
      <c r="BN76" s="686">
        <v>0</v>
      </c>
      <c r="BO76" s="686">
        <v>0</v>
      </c>
      <c r="BP76" s="686">
        <v>0</v>
      </c>
      <c r="BQ76" s="686">
        <v>0</v>
      </c>
      <c r="BR76" s="686">
        <v>0</v>
      </c>
      <c r="BS76" s="686">
        <v>0</v>
      </c>
      <c r="BT76" s="686">
        <v>0</v>
      </c>
      <c r="BU76" s="686">
        <v>0</v>
      </c>
      <c r="BV76" s="686">
        <v>0</v>
      </c>
      <c r="BW76" s="686">
        <v>0</v>
      </c>
      <c r="BX76" s="686">
        <v>0</v>
      </c>
      <c r="BY76" s="686">
        <v>0</v>
      </c>
      <c r="BZ76" s="686">
        <v>0</v>
      </c>
      <c r="CA76" s="686">
        <v>0</v>
      </c>
      <c r="CB76" s="686">
        <v>0</v>
      </c>
      <c r="CC76" s="686">
        <v>0</v>
      </c>
      <c r="CD76" s="686">
        <v>0</v>
      </c>
      <c r="CE76" s="686">
        <v>0</v>
      </c>
    </row>
    <row r="77" spans="1:83" ht="30" x14ac:dyDescent="0.25">
      <c r="A77" s="622"/>
      <c r="B77" s="625">
        <v>251</v>
      </c>
      <c r="C77" s="653" t="s">
        <v>392</v>
      </c>
      <c r="D77" s="701" t="s">
        <v>393</v>
      </c>
      <c r="E77" s="638">
        <v>0</v>
      </c>
      <c r="F77" s="621">
        <v>0</v>
      </c>
      <c r="G77" s="621">
        <v>0</v>
      </c>
      <c r="H77" s="621">
        <v>0</v>
      </c>
      <c r="I77" s="621">
        <v>0</v>
      </c>
      <c r="J77" s="621">
        <v>0</v>
      </c>
      <c r="K77" s="672">
        <v>0</v>
      </c>
      <c r="L77" s="686">
        <v>0</v>
      </c>
      <c r="M77" s="686">
        <v>0</v>
      </c>
      <c r="N77" s="636">
        <v>0</v>
      </c>
      <c r="O77" s="636">
        <v>0</v>
      </c>
      <c r="P77" s="636">
        <v>0</v>
      </c>
      <c r="Q77" s="636">
        <v>0</v>
      </c>
      <c r="R77" s="636">
        <v>0</v>
      </c>
      <c r="S77" s="636">
        <v>0</v>
      </c>
      <c r="T77" s="636">
        <v>0</v>
      </c>
      <c r="U77" s="636">
        <v>0</v>
      </c>
      <c r="V77" s="636">
        <v>0</v>
      </c>
      <c r="W77" s="636">
        <v>0</v>
      </c>
      <c r="X77" s="636">
        <v>0</v>
      </c>
      <c r="Y77" s="636">
        <v>0</v>
      </c>
      <c r="Z77" s="636">
        <v>0</v>
      </c>
      <c r="AA77" s="636">
        <v>0</v>
      </c>
      <c r="AB77" s="686" t="e">
        <v>#VALUE!</v>
      </c>
      <c r="AC77" s="686">
        <v>0</v>
      </c>
      <c r="AD77" s="686" t="e">
        <v>#VALUE!</v>
      </c>
      <c r="AE77" s="686">
        <v>0</v>
      </c>
      <c r="AF77" s="686">
        <v>0</v>
      </c>
      <c r="AG77" s="686">
        <v>0</v>
      </c>
      <c r="AH77" s="686">
        <v>0</v>
      </c>
      <c r="AI77" s="686">
        <v>0</v>
      </c>
      <c r="AJ77" s="686">
        <v>0</v>
      </c>
      <c r="AK77" s="686">
        <v>0</v>
      </c>
      <c r="AL77" s="686">
        <v>0</v>
      </c>
      <c r="AM77" s="686">
        <v>0</v>
      </c>
      <c r="AN77" s="686">
        <v>0</v>
      </c>
      <c r="AO77" s="686">
        <v>0</v>
      </c>
      <c r="AP77" s="686">
        <v>0</v>
      </c>
      <c r="AQ77" s="686">
        <v>0</v>
      </c>
      <c r="AR77" s="686">
        <v>0</v>
      </c>
      <c r="AS77" s="686">
        <v>0</v>
      </c>
      <c r="AT77" s="686">
        <v>0</v>
      </c>
      <c r="AU77" s="686">
        <v>0</v>
      </c>
      <c r="AV77" s="686">
        <v>0</v>
      </c>
      <c r="AW77" s="686">
        <v>0</v>
      </c>
      <c r="AX77" s="686">
        <v>0</v>
      </c>
      <c r="AY77" s="686">
        <v>0</v>
      </c>
      <c r="AZ77" s="686">
        <v>0</v>
      </c>
      <c r="BA77" s="686">
        <v>0</v>
      </c>
      <c r="BB77" s="686">
        <v>0</v>
      </c>
      <c r="BC77" s="686">
        <v>0</v>
      </c>
      <c r="BD77" s="686">
        <v>0</v>
      </c>
      <c r="BE77" s="686">
        <v>0</v>
      </c>
      <c r="BF77" s="686">
        <v>0</v>
      </c>
      <c r="BG77" s="686">
        <v>0</v>
      </c>
      <c r="BH77" s="686">
        <v>0</v>
      </c>
      <c r="BI77" s="686">
        <v>0</v>
      </c>
      <c r="BJ77" s="686">
        <v>0</v>
      </c>
      <c r="BK77" s="686">
        <v>0</v>
      </c>
      <c r="BL77" s="686">
        <v>0</v>
      </c>
      <c r="BM77" s="686">
        <v>0</v>
      </c>
      <c r="BN77" s="686">
        <v>0</v>
      </c>
      <c r="BO77" s="686">
        <v>0</v>
      </c>
      <c r="BP77" s="686">
        <v>0</v>
      </c>
      <c r="BQ77" s="686">
        <v>0</v>
      </c>
      <c r="BR77" s="686">
        <v>0</v>
      </c>
      <c r="BS77" s="686">
        <v>0</v>
      </c>
      <c r="BT77" s="686">
        <v>0</v>
      </c>
      <c r="BU77" s="686">
        <v>0</v>
      </c>
      <c r="BV77" s="686">
        <v>0</v>
      </c>
      <c r="BW77" s="686">
        <v>0</v>
      </c>
      <c r="BX77" s="686">
        <v>0</v>
      </c>
      <c r="BY77" s="686">
        <v>0</v>
      </c>
      <c r="BZ77" s="686">
        <v>0</v>
      </c>
      <c r="CA77" s="686">
        <v>0</v>
      </c>
      <c r="CB77" s="686">
        <v>0</v>
      </c>
      <c r="CC77" s="686">
        <v>0</v>
      </c>
      <c r="CD77" s="686">
        <v>0</v>
      </c>
      <c r="CE77" s="686">
        <v>0</v>
      </c>
    </row>
    <row r="78" spans="1:83" x14ac:dyDescent="0.25">
      <c r="A78" s="622">
        <v>252</v>
      </c>
      <c r="B78" s="625">
        <v>252</v>
      </c>
      <c r="C78" s="653" t="s">
        <v>105</v>
      </c>
      <c r="D78" s="701" t="s">
        <v>394</v>
      </c>
      <c r="E78" s="638">
        <v>128561</v>
      </c>
      <c r="F78" s="621">
        <v>161712</v>
      </c>
      <c r="G78" s="621">
        <v>639627</v>
      </c>
      <c r="H78" s="621">
        <v>3048321</v>
      </c>
      <c r="I78" s="621">
        <v>2144454</v>
      </c>
      <c r="J78" s="621">
        <v>4642591</v>
      </c>
      <c r="K78" s="672">
        <v>12530</v>
      </c>
      <c r="L78" s="686">
        <v>1740008</v>
      </c>
      <c r="M78" s="686">
        <v>359487</v>
      </c>
      <c r="N78" s="636">
        <v>57934071</v>
      </c>
      <c r="O78" s="636">
        <v>424096</v>
      </c>
      <c r="P78" s="636">
        <v>5935281</v>
      </c>
      <c r="Q78" s="636">
        <v>168314</v>
      </c>
      <c r="R78" s="636">
        <v>69530266</v>
      </c>
      <c r="S78" s="636">
        <v>3695360</v>
      </c>
      <c r="T78" s="636">
        <v>122557</v>
      </c>
      <c r="U78" s="636">
        <v>49327494</v>
      </c>
      <c r="V78" s="636">
        <v>30839716</v>
      </c>
      <c r="W78" s="636">
        <v>28863885</v>
      </c>
      <c r="X78" s="636">
        <v>128402016</v>
      </c>
      <c r="Y78" s="636">
        <v>239938</v>
      </c>
      <c r="Z78" s="636">
        <v>25920101</v>
      </c>
      <c r="AA78" s="636">
        <v>1408078</v>
      </c>
      <c r="AB78" s="686" t="e">
        <v>#VALUE!</v>
      </c>
      <c r="AC78" s="686">
        <v>2880413</v>
      </c>
      <c r="AD78" s="686" t="e">
        <v>#VALUE!</v>
      </c>
      <c r="AE78" s="686">
        <v>1268104</v>
      </c>
      <c r="AF78" s="686">
        <v>1547898</v>
      </c>
      <c r="AG78" s="686">
        <v>21952386</v>
      </c>
      <c r="AH78" s="686">
        <v>6510664</v>
      </c>
      <c r="AI78" s="686">
        <v>2153045</v>
      </c>
      <c r="AJ78" s="686">
        <v>52136675</v>
      </c>
      <c r="AK78" s="686">
        <v>3548414</v>
      </c>
      <c r="AL78" s="686">
        <v>2765568</v>
      </c>
      <c r="AM78" s="686">
        <v>1161329</v>
      </c>
      <c r="AN78" s="686">
        <v>9419704</v>
      </c>
      <c r="AO78" s="686">
        <v>338478</v>
      </c>
      <c r="AP78" s="686">
        <v>237984</v>
      </c>
      <c r="AQ78" s="686">
        <v>109773</v>
      </c>
      <c r="AR78" s="686">
        <v>13764739</v>
      </c>
      <c r="AS78" s="686">
        <v>42940723</v>
      </c>
      <c r="AT78" s="686">
        <v>123151</v>
      </c>
      <c r="AU78" s="686">
        <v>1541007</v>
      </c>
      <c r="AV78" s="686">
        <v>266551</v>
      </c>
      <c r="AW78" s="686">
        <v>22175880</v>
      </c>
      <c r="AX78" s="686">
        <v>6125570</v>
      </c>
      <c r="AY78" s="686">
        <v>3316373</v>
      </c>
      <c r="AZ78" s="686">
        <v>7191899</v>
      </c>
      <c r="BA78" s="686">
        <v>1953606</v>
      </c>
      <c r="BB78" s="686">
        <v>715961</v>
      </c>
      <c r="BC78" s="686">
        <v>54299</v>
      </c>
      <c r="BD78" s="686">
        <v>54651</v>
      </c>
      <c r="BE78" s="686">
        <v>5605248</v>
      </c>
      <c r="BF78" s="686">
        <v>325633</v>
      </c>
      <c r="BG78" s="686">
        <v>70293</v>
      </c>
      <c r="BH78" s="686">
        <v>65739</v>
      </c>
      <c r="BI78" s="686">
        <v>64110</v>
      </c>
      <c r="BJ78" s="686">
        <v>271568</v>
      </c>
      <c r="BK78" s="686">
        <v>211677</v>
      </c>
      <c r="BL78" s="686">
        <v>3881350</v>
      </c>
      <c r="BM78" s="686">
        <v>373142</v>
      </c>
      <c r="BN78" s="686">
        <v>1859935</v>
      </c>
      <c r="BO78" s="686">
        <v>5426594</v>
      </c>
      <c r="BP78" s="686">
        <v>339419</v>
      </c>
      <c r="BQ78" s="686">
        <v>927637</v>
      </c>
      <c r="BR78" s="686">
        <v>22631590</v>
      </c>
      <c r="BS78" s="686">
        <v>663625</v>
      </c>
      <c r="BT78" s="686">
        <v>25203522</v>
      </c>
      <c r="BU78" s="686">
        <v>717449</v>
      </c>
      <c r="BV78" s="686">
        <v>4580145</v>
      </c>
      <c r="BW78" s="686">
        <v>2832713</v>
      </c>
      <c r="BX78" s="686">
        <v>2811520</v>
      </c>
      <c r="BY78" s="686">
        <v>281230</v>
      </c>
      <c r="BZ78" s="686">
        <v>335129</v>
      </c>
      <c r="CA78" s="686">
        <v>526195</v>
      </c>
      <c r="CB78" s="686">
        <v>38791</v>
      </c>
      <c r="CC78" s="686">
        <v>255492</v>
      </c>
      <c r="CD78" s="686">
        <v>0</v>
      </c>
      <c r="CE78" s="686">
        <v>73166</v>
      </c>
    </row>
    <row r="79" spans="1:83" x14ac:dyDescent="0.25">
      <c r="A79" s="622">
        <v>253</v>
      </c>
      <c r="B79" s="625">
        <v>253</v>
      </c>
      <c r="C79" s="653" t="s">
        <v>106</v>
      </c>
      <c r="D79" s="701" t="s">
        <v>395</v>
      </c>
      <c r="E79" s="638">
        <v>71658</v>
      </c>
      <c r="F79" s="621">
        <v>39200</v>
      </c>
      <c r="G79" s="621">
        <v>150505</v>
      </c>
      <c r="H79" s="621">
        <v>614132</v>
      </c>
      <c r="I79" s="621">
        <v>191483</v>
      </c>
      <c r="J79" s="621">
        <v>298566</v>
      </c>
      <c r="K79" s="672">
        <v>113412</v>
      </c>
      <c r="L79" s="686">
        <v>61440</v>
      </c>
      <c r="M79" s="686">
        <v>19622</v>
      </c>
      <c r="N79" s="636">
        <v>1529416</v>
      </c>
      <c r="O79" s="636">
        <v>119919</v>
      </c>
      <c r="P79" s="636">
        <v>2271279</v>
      </c>
      <c r="Q79" s="636">
        <v>9969</v>
      </c>
      <c r="R79" s="636">
        <v>9654497</v>
      </c>
      <c r="S79" s="636">
        <v>390961</v>
      </c>
      <c r="T79" s="636">
        <v>6027</v>
      </c>
      <c r="U79" s="636">
        <v>9041728</v>
      </c>
      <c r="V79" s="636">
        <v>3229564</v>
      </c>
      <c r="W79" s="636">
        <v>4592854</v>
      </c>
      <c r="X79" s="636">
        <v>21205023</v>
      </c>
      <c r="Y79" s="636">
        <v>164449</v>
      </c>
      <c r="Z79" s="636">
        <v>3883357</v>
      </c>
      <c r="AA79" s="636">
        <v>249919</v>
      </c>
      <c r="AB79" s="686" t="e">
        <v>#VALUE!</v>
      </c>
      <c r="AC79" s="686">
        <v>953440</v>
      </c>
      <c r="AD79" s="686" t="e">
        <v>#VALUE!</v>
      </c>
      <c r="AE79" s="686">
        <v>619226</v>
      </c>
      <c r="AF79" s="686">
        <v>799911</v>
      </c>
      <c r="AG79" s="686">
        <v>11467485</v>
      </c>
      <c r="AH79" s="686">
        <v>414022</v>
      </c>
      <c r="AI79" s="686">
        <v>411363</v>
      </c>
      <c r="AJ79" s="686">
        <v>6853285</v>
      </c>
      <c r="AK79" s="686">
        <v>226661</v>
      </c>
      <c r="AL79" s="686">
        <v>100809</v>
      </c>
      <c r="AM79" s="686">
        <v>720865</v>
      </c>
      <c r="AN79" s="686">
        <v>3038107</v>
      </c>
      <c r="AO79" s="686">
        <v>232901</v>
      </c>
      <c r="AP79" s="686">
        <v>178488</v>
      </c>
      <c r="AQ79" s="686">
        <v>6752</v>
      </c>
      <c r="AR79" s="686">
        <v>5524130</v>
      </c>
      <c r="AS79" s="686">
        <v>2044032</v>
      </c>
      <c r="AT79" s="686">
        <v>144135</v>
      </c>
      <c r="AU79" s="686">
        <v>870841</v>
      </c>
      <c r="AV79" s="686">
        <v>52571</v>
      </c>
      <c r="AW79" s="686">
        <v>6850045</v>
      </c>
      <c r="AX79" s="686">
        <v>200468</v>
      </c>
      <c r="AY79" s="686">
        <v>812715</v>
      </c>
      <c r="AZ79" s="686">
        <v>315123</v>
      </c>
      <c r="BA79" s="686">
        <v>55669</v>
      </c>
      <c r="BB79" s="686">
        <v>448272</v>
      </c>
      <c r="BC79" s="686">
        <v>0</v>
      </c>
      <c r="BD79" s="686">
        <v>174602</v>
      </c>
      <c r="BE79" s="686">
        <v>2671904</v>
      </c>
      <c r="BF79" s="686">
        <v>54092</v>
      </c>
      <c r="BG79" s="686">
        <v>167466</v>
      </c>
      <c r="BH79" s="686">
        <v>32926</v>
      </c>
      <c r="BI79" s="686">
        <v>24618</v>
      </c>
      <c r="BJ79" s="686">
        <v>90401</v>
      </c>
      <c r="BK79" s="686">
        <v>66377</v>
      </c>
      <c r="BL79" s="686">
        <v>362592</v>
      </c>
      <c r="BM79" s="686">
        <v>309492</v>
      </c>
      <c r="BN79" s="686">
        <v>534922</v>
      </c>
      <c r="BO79" s="686">
        <v>3071101</v>
      </c>
      <c r="BP79" s="686">
        <v>338326</v>
      </c>
      <c r="BQ79" s="686">
        <v>226375</v>
      </c>
      <c r="BR79" s="686">
        <v>1884313</v>
      </c>
      <c r="BS79" s="686">
        <v>217000</v>
      </c>
      <c r="BT79" s="686">
        <v>2129435</v>
      </c>
      <c r="BU79" s="686">
        <v>454403</v>
      </c>
      <c r="BV79" s="686">
        <v>653331</v>
      </c>
      <c r="BW79" s="686">
        <v>1495317</v>
      </c>
      <c r="BX79" s="686">
        <v>717504</v>
      </c>
      <c r="BY79" s="686">
        <v>507991</v>
      </c>
      <c r="BZ79" s="686">
        <v>169875</v>
      </c>
      <c r="CA79" s="686">
        <v>54322</v>
      </c>
      <c r="CB79" s="686">
        <v>30784</v>
      </c>
      <c r="CC79" s="686">
        <v>150027</v>
      </c>
      <c r="CD79" s="686">
        <v>0</v>
      </c>
      <c r="CE79" s="686">
        <v>26460</v>
      </c>
    </row>
    <row r="80" spans="1:83" x14ac:dyDescent="0.25">
      <c r="A80" s="622">
        <v>254</v>
      </c>
      <c r="B80" s="625">
        <v>254</v>
      </c>
      <c r="C80" s="653" t="s">
        <v>107</v>
      </c>
      <c r="D80" s="701" t="s">
        <v>396</v>
      </c>
      <c r="E80" s="638">
        <v>99503</v>
      </c>
      <c r="F80" s="621">
        <v>82640</v>
      </c>
      <c r="G80" s="621">
        <v>682985</v>
      </c>
      <c r="H80" s="621">
        <v>3394731</v>
      </c>
      <c r="I80" s="621">
        <v>4298981</v>
      </c>
      <c r="J80" s="621">
        <v>4245712</v>
      </c>
      <c r="K80" s="672">
        <v>104094</v>
      </c>
      <c r="L80" s="686">
        <v>759865</v>
      </c>
      <c r="M80" s="686">
        <v>868800</v>
      </c>
      <c r="N80" s="636">
        <v>2801234</v>
      </c>
      <c r="O80" s="636">
        <v>408764</v>
      </c>
      <c r="P80" s="636">
        <v>3350059</v>
      </c>
      <c r="Q80" s="636">
        <v>255757</v>
      </c>
      <c r="R80" s="636">
        <v>-7850509</v>
      </c>
      <c r="S80" s="636">
        <v>1526914</v>
      </c>
      <c r="T80" s="636">
        <v>205806</v>
      </c>
      <c r="U80" s="636">
        <v>-26025246</v>
      </c>
      <c r="V80" s="636">
        <v>4907475</v>
      </c>
      <c r="W80" s="636">
        <v>-1626323</v>
      </c>
      <c r="X80" s="636">
        <v>13689017</v>
      </c>
      <c r="Y80" s="636">
        <v>132195</v>
      </c>
      <c r="Z80" s="636">
        <v>8352693</v>
      </c>
      <c r="AA80" s="636">
        <v>1241975</v>
      </c>
      <c r="AB80" s="686" t="e">
        <v>#VALUE!</v>
      </c>
      <c r="AC80" s="686">
        <v>83072</v>
      </c>
      <c r="AD80" s="686" t="e">
        <v>#VALUE!</v>
      </c>
      <c r="AE80" s="686">
        <v>-24332</v>
      </c>
      <c r="AF80" s="686">
        <v>2488479</v>
      </c>
      <c r="AG80" s="686">
        <v>1878340</v>
      </c>
      <c r="AH80" s="686">
        <v>3576181</v>
      </c>
      <c r="AI80" s="686">
        <v>777517</v>
      </c>
      <c r="AJ80" s="686">
        <v>-21498772</v>
      </c>
      <c r="AK80" s="686">
        <v>2963008</v>
      </c>
      <c r="AL80" s="686">
        <v>473615</v>
      </c>
      <c r="AM80" s="686">
        <v>986496</v>
      </c>
      <c r="AN80" s="686">
        <v>4788356</v>
      </c>
      <c r="AO80" s="686">
        <v>466945</v>
      </c>
      <c r="AP80" s="686">
        <v>149194</v>
      </c>
      <c r="AQ80" s="686">
        <v>80244</v>
      </c>
      <c r="AR80" s="686">
        <v>1638744</v>
      </c>
      <c r="AS80" s="686">
        <v>-134179</v>
      </c>
      <c r="AT80" s="686">
        <v>505833</v>
      </c>
      <c r="AU80" s="686">
        <v>489575</v>
      </c>
      <c r="AV80" s="686">
        <v>365962</v>
      </c>
      <c r="AW80" s="686">
        <v>9947394</v>
      </c>
      <c r="AX80" s="686">
        <v>3456000</v>
      </c>
      <c r="AY80" s="686">
        <v>283779</v>
      </c>
      <c r="AZ80" s="686">
        <v>14733461</v>
      </c>
      <c r="BA80" s="686">
        <v>1808122</v>
      </c>
      <c r="BB80" s="686">
        <v>717164</v>
      </c>
      <c r="BC80" s="686">
        <v>88430</v>
      </c>
      <c r="BD80" s="686">
        <v>436254</v>
      </c>
      <c r="BE80" s="686">
        <v>-4222474</v>
      </c>
      <c r="BF80" s="686">
        <v>443334</v>
      </c>
      <c r="BG80" s="686">
        <v>729578</v>
      </c>
      <c r="BH80" s="686">
        <v>123972</v>
      </c>
      <c r="BI80" s="686">
        <v>266113</v>
      </c>
      <c r="BJ80" s="686">
        <v>458539</v>
      </c>
      <c r="BK80" s="686">
        <v>222957</v>
      </c>
      <c r="BL80" s="686">
        <v>-175344</v>
      </c>
      <c r="BM80" s="686">
        <v>56653</v>
      </c>
      <c r="BN80" s="686">
        <v>8524</v>
      </c>
      <c r="BO80" s="686">
        <v>1968845</v>
      </c>
      <c r="BP80" s="686">
        <v>494423</v>
      </c>
      <c r="BQ80" s="686">
        <v>1734799</v>
      </c>
      <c r="BR80" s="686">
        <v>6980336</v>
      </c>
      <c r="BS80" s="686">
        <v>365236</v>
      </c>
      <c r="BT80" s="686">
        <v>12178866</v>
      </c>
      <c r="BU80" s="686">
        <v>420031</v>
      </c>
      <c r="BV80" s="686">
        <v>2845409</v>
      </c>
      <c r="BW80" s="686">
        <v>1066912</v>
      </c>
      <c r="BX80" s="686">
        <v>802518</v>
      </c>
      <c r="BY80" s="686">
        <v>1068217</v>
      </c>
      <c r="BZ80" s="686">
        <v>165507</v>
      </c>
      <c r="CA80" s="686">
        <v>203998</v>
      </c>
      <c r="CB80" s="686">
        <v>90298</v>
      </c>
      <c r="CC80" s="686">
        <v>144081</v>
      </c>
      <c r="CD80" s="686">
        <v>0</v>
      </c>
      <c r="CE80" s="686">
        <v>348688</v>
      </c>
    </row>
    <row r="81" spans="1:83" x14ac:dyDescent="0.25">
      <c r="A81" s="622">
        <v>255</v>
      </c>
      <c r="B81" s="625">
        <v>255</v>
      </c>
      <c r="C81" s="653" t="s">
        <v>200</v>
      </c>
      <c r="D81" s="701" t="s">
        <v>397</v>
      </c>
      <c r="E81" s="638">
        <v>17817</v>
      </c>
      <c r="F81" s="621">
        <v>34340</v>
      </c>
      <c r="G81" s="621">
        <v>93198</v>
      </c>
      <c r="H81" s="621">
        <v>278572</v>
      </c>
      <c r="I81" s="621">
        <v>722355</v>
      </c>
      <c r="J81" s="621">
        <v>762837</v>
      </c>
      <c r="K81" s="672">
        <v>17793</v>
      </c>
      <c r="L81" s="686">
        <v>76870</v>
      </c>
      <c r="M81" s="686">
        <v>77284</v>
      </c>
      <c r="N81" s="636">
        <v>13981155</v>
      </c>
      <c r="O81" s="636">
        <v>40076</v>
      </c>
      <c r="P81" s="636">
        <v>172242</v>
      </c>
      <c r="Q81" s="636">
        <v>15136</v>
      </c>
      <c r="R81" s="636">
        <v>-289984</v>
      </c>
      <c r="S81" s="636">
        <v>179744</v>
      </c>
      <c r="T81" s="636">
        <v>-7727</v>
      </c>
      <c r="U81" s="636">
        <v>4741967</v>
      </c>
      <c r="V81" s="636">
        <v>1380725</v>
      </c>
      <c r="W81" s="636">
        <v>662226</v>
      </c>
      <c r="X81" s="636">
        <v>17329750</v>
      </c>
      <c r="Y81" s="636">
        <v>-25460</v>
      </c>
      <c r="Z81" s="636">
        <v>-821661</v>
      </c>
      <c r="AA81" s="636">
        <v>159826</v>
      </c>
      <c r="AB81" s="686" t="e">
        <v>#VALUE!</v>
      </c>
      <c r="AC81" s="686">
        <v>-243234</v>
      </c>
      <c r="AD81" s="686" t="e">
        <v>#VALUE!</v>
      </c>
      <c r="AE81" s="686">
        <v>-226679</v>
      </c>
      <c r="AF81" s="686">
        <v>-158658</v>
      </c>
      <c r="AG81" s="686">
        <v>3355692</v>
      </c>
      <c r="AH81" s="686">
        <v>931999</v>
      </c>
      <c r="AI81" s="686">
        <v>-42227</v>
      </c>
      <c r="AJ81" s="686">
        <v>822478</v>
      </c>
      <c r="AK81" s="686">
        <v>161270</v>
      </c>
      <c r="AL81" s="686">
        <v>93425</v>
      </c>
      <c r="AM81" s="686">
        <v>91628</v>
      </c>
      <c r="AN81" s="686">
        <v>772598</v>
      </c>
      <c r="AO81" s="686">
        <v>34959</v>
      </c>
      <c r="AP81" s="686">
        <v>49014</v>
      </c>
      <c r="AQ81" s="686">
        <v>3576</v>
      </c>
      <c r="AR81" s="686">
        <v>1498037</v>
      </c>
      <c r="AS81" s="686">
        <v>-831890</v>
      </c>
      <c r="AT81" s="686">
        <v>-29185</v>
      </c>
      <c r="AU81" s="686">
        <v>-158571</v>
      </c>
      <c r="AV81" s="686">
        <v>-8053</v>
      </c>
      <c r="AW81" s="686">
        <v>2327643</v>
      </c>
      <c r="AX81" s="686">
        <v>572112</v>
      </c>
      <c r="AY81" s="686">
        <v>107350</v>
      </c>
      <c r="AZ81" s="686">
        <v>1275391</v>
      </c>
      <c r="BA81" s="686">
        <v>-7850</v>
      </c>
      <c r="BB81" s="686">
        <v>144456</v>
      </c>
      <c r="BC81" s="686">
        <v>11613</v>
      </c>
      <c r="BD81" s="686">
        <v>63787</v>
      </c>
      <c r="BE81" s="686">
        <v>963020</v>
      </c>
      <c r="BF81" s="686">
        <v>-11132</v>
      </c>
      <c r="BG81" s="686">
        <v>207575</v>
      </c>
      <c r="BH81" s="686">
        <v>-12414</v>
      </c>
      <c r="BI81" s="686">
        <v>21048</v>
      </c>
      <c r="BJ81" s="686">
        <v>-5894</v>
      </c>
      <c r="BK81" s="686">
        <v>41959</v>
      </c>
      <c r="BL81" s="686">
        <v>51727</v>
      </c>
      <c r="BM81" s="686">
        <v>46338</v>
      </c>
      <c r="BN81" s="686">
        <v>-123261</v>
      </c>
      <c r="BO81" s="686">
        <v>849736</v>
      </c>
      <c r="BP81" s="686">
        <v>100717</v>
      </c>
      <c r="BQ81" s="686">
        <v>57555</v>
      </c>
      <c r="BR81" s="686">
        <v>1754817</v>
      </c>
      <c r="BS81" s="686">
        <v>-63762</v>
      </c>
      <c r="BT81" s="686">
        <v>3429513</v>
      </c>
      <c r="BU81" s="686">
        <v>25294</v>
      </c>
      <c r="BV81" s="686">
        <v>523348</v>
      </c>
      <c r="BW81" s="686">
        <v>-3779</v>
      </c>
      <c r="BX81" s="686">
        <v>48123</v>
      </c>
      <c r="BY81" s="686">
        <v>139968</v>
      </c>
      <c r="BZ81" s="686">
        <v>-2039</v>
      </c>
      <c r="CA81" s="686">
        <v>19946</v>
      </c>
      <c r="CB81" s="686">
        <v>20618</v>
      </c>
      <c r="CC81" s="686">
        <v>-32824</v>
      </c>
      <c r="CD81" s="686">
        <v>0</v>
      </c>
      <c r="CE81" s="686">
        <v>-6464</v>
      </c>
    </row>
    <row r="82" spans="1:83" x14ac:dyDescent="0.25">
      <c r="A82" s="622"/>
      <c r="B82" s="625">
        <v>274</v>
      </c>
      <c r="C82" s="681" t="s">
        <v>398</v>
      </c>
      <c r="D82" s="701" t="s">
        <v>399</v>
      </c>
      <c r="E82" s="638"/>
      <c r="F82" s="621"/>
      <c r="G82" s="621"/>
      <c r="H82" s="621"/>
      <c r="I82" s="621"/>
      <c r="J82" s="621"/>
      <c r="K82" s="672"/>
      <c r="L82" s="686"/>
      <c r="M82" s="686"/>
      <c r="N82" s="636"/>
      <c r="O82" s="636"/>
      <c r="P82" s="636"/>
      <c r="Q82" s="636"/>
      <c r="R82" s="636"/>
      <c r="S82" s="636"/>
      <c r="T82" s="636"/>
      <c r="U82" s="636"/>
      <c r="V82" s="636"/>
      <c r="W82" s="636"/>
      <c r="X82" s="636"/>
      <c r="Y82" s="636"/>
      <c r="Z82" s="636"/>
      <c r="AA82" s="636"/>
      <c r="AB82" s="686"/>
      <c r="AC82" s="686"/>
      <c r="AD82" s="686"/>
      <c r="AE82" s="686"/>
      <c r="AF82" s="686"/>
      <c r="AG82" s="686"/>
      <c r="AH82" s="686"/>
      <c r="AI82" s="686"/>
      <c r="AJ82" s="686"/>
      <c r="AK82" s="686"/>
      <c r="AL82" s="686"/>
      <c r="AM82" s="686"/>
      <c r="AN82" s="686"/>
      <c r="AO82" s="686"/>
      <c r="AP82" s="686"/>
      <c r="AQ82" s="686"/>
      <c r="AR82" s="686"/>
      <c r="AS82" s="686"/>
      <c r="AT82" s="686"/>
      <c r="AU82" s="686"/>
      <c r="AV82" s="686"/>
      <c r="AW82" s="686"/>
      <c r="AX82" s="686"/>
      <c r="AY82" s="686"/>
      <c r="AZ82" s="686"/>
      <c r="BA82" s="686"/>
      <c r="BB82" s="686"/>
      <c r="BC82" s="686"/>
      <c r="BD82" s="686"/>
      <c r="BE82" s="686"/>
      <c r="BF82" s="686"/>
      <c r="BG82" s="686"/>
      <c r="BH82" s="686"/>
      <c r="BI82" s="686"/>
      <c r="BJ82" s="686"/>
      <c r="BK82" s="686"/>
      <c r="BL82" s="686"/>
      <c r="BM82" s="686"/>
      <c r="BN82" s="686"/>
      <c r="BO82" s="686"/>
      <c r="BP82" s="686"/>
      <c r="BQ82" s="686"/>
      <c r="BR82" s="686"/>
      <c r="BS82" s="686"/>
      <c r="BT82" s="686"/>
      <c r="BU82" s="686"/>
      <c r="BV82" s="686"/>
      <c r="BW82" s="686"/>
      <c r="BX82" s="686"/>
      <c r="BY82" s="686"/>
      <c r="BZ82" s="686"/>
      <c r="CA82" s="686"/>
      <c r="CB82" s="686"/>
      <c r="CC82" s="686"/>
      <c r="CD82" s="686"/>
      <c r="CE82" s="686"/>
    </row>
    <row r="83" spans="1:83" x14ac:dyDescent="0.25">
      <c r="A83" s="622"/>
      <c r="B83" s="625">
        <v>294</v>
      </c>
      <c r="C83" s="683" t="s">
        <v>1065</v>
      </c>
      <c r="D83" s="701" t="s">
        <v>400</v>
      </c>
      <c r="E83" s="638"/>
      <c r="F83" s="621"/>
      <c r="G83" s="621"/>
      <c r="H83" s="621"/>
      <c r="I83" s="621"/>
      <c r="J83" s="621"/>
      <c r="K83" s="672"/>
      <c r="L83" s="686"/>
      <c r="M83" s="686"/>
      <c r="N83" s="636"/>
      <c r="O83" s="636"/>
      <c r="P83" s="636"/>
      <c r="Q83" s="636"/>
      <c r="R83" s="636"/>
      <c r="S83" s="636"/>
      <c r="T83" s="636"/>
      <c r="U83" s="636"/>
      <c r="V83" s="636"/>
      <c r="W83" s="636"/>
      <c r="X83" s="636"/>
      <c r="Y83" s="636"/>
      <c r="Z83" s="636"/>
      <c r="AA83" s="636"/>
      <c r="AB83" s="686"/>
      <c r="AC83" s="686"/>
      <c r="AD83" s="686"/>
      <c r="AE83" s="686"/>
      <c r="AF83" s="686"/>
      <c r="AG83" s="686"/>
      <c r="AH83" s="686"/>
      <c r="AI83" s="686"/>
      <c r="AJ83" s="686"/>
      <c r="AK83" s="686"/>
      <c r="AL83" s="686"/>
      <c r="AM83" s="686"/>
      <c r="AN83" s="686"/>
      <c r="AO83" s="686"/>
      <c r="AP83" s="686"/>
      <c r="AQ83" s="686"/>
      <c r="AR83" s="686"/>
      <c r="AS83" s="686"/>
      <c r="AT83" s="686"/>
      <c r="AU83" s="686"/>
      <c r="AV83" s="686"/>
      <c r="AW83" s="686"/>
      <c r="AX83" s="686"/>
      <c r="AY83" s="686"/>
      <c r="AZ83" s="686"/>
      <c r="BA83" s="686"/>
      <c r="BB83" s="686"/>
      <c r="BC83" s="686"/>
      <c r="BD83" s="686"/>
      <c r="BE83" s="686"/>
      <c r="BF83" s="686"/>
      <c r="BG83" s="686"/>
      <c r="BH83" s="686"/>
      <c r="BI83" s="686"/>
      <c r="BJ83" s="686"/>
      <c r="BK83" s="686"/>
      <c r="BL83" s="686"/>
      <c r="BM83" s="686"/>
      <c r="BN83" s="686"/>
      <c r="BO83" s="686"/>
      <c r="BP83" s="686"/>
      <c r="BQ83" s="686"/>
      <c r="BR83" s="686"/>
      <c r="BS83" s="686"/>
      <c r="BT83" s="686"/>
      <c r="BU83" s="686"/>
      <c r="BV83" s="686"/>
      <c r="BW83" s="686"/>
      <c r="BX83" s="686"/>
      <c r="BY83" s="686"/>
      <c r="BZ83" s="686"/>
      <c r="CA83" s="686"/>
      <c r="CB83" s="686"/>
      <c r="CC83" s="686"/>
      <c r="CD83" s="686"/>
      <c r="CE83" s="686"/>
    </row>
    <row r="84" spans="1:83" ht="25.5" x14ac:dyDescent="0.25">
      <c r="A84" s="622"/>
      <c r="B84" s="625">
        <v>314</v>
      </c>
      <c r="C84" s="683" t="s">
        <v>401</v>
      </c>
      <c r="D84" s="701" t="s">
        <v>402</v>
      </c>
      <c r="E84" s="638"/>
      <c r="F84" s="621"/>
      <c r="G84" s="621"/>
      <c r="H84" s="621"/>
      <c r="I84" s="621"/>
      <c r="J84" s="621"/>
      <c r="K84" s="672"/>
      <c r="L84" s="686"/>
      <c r="M84" s="686"/>
      <c r="N84" s="636"/>
      <c r="O84" s="636"/>
      <c r="P84" s="636"/>
      <c r="Q84" s="636"/>
      <c r="R84" s="636"/>
      <c r="S84" s="636"/>
      <c r="T84" s="636"/>
      <c r="U84" s="636"/>
      <c r="V84" s="636"/>
      <c r="W84" s="636"/>
      <c r="X84" s="636"/>
      <c r="Y84" s="636"/>
      <c r="Z84" s="636"/>
      <c r="AA84" s="636"/>
      <c r="AB84" s="686"/>
      <c r="AC84" s="686"/>
      <c r="AD84" s="686"/>
      <c r="AE84" s="686"/>
      <c r="AF84" s="686"/>
      <c r="AG84" s="686"/>
      <c r="AH84" s="686"/>
      <c r="AI84" s="686"/>
      <c r="AJ84" s="686"/>
      <c r="AK84" s="686"/>
      <c r="AL84" s="686"/>
      <c r="AM84" s="686"/>
      <c r="AN84" s="686"/>
      <c r="AO84" s="686"/>
      <c r="AP84" s="686"/>
      <c r="AQ84" s="686"/>
      <c r="AR84" s="686"/>
      <c r="AS84" s="686"/>
      <c r="AT84" s="686"/>
      <c r="AU84" s="686"/>
      <c r="AV84" s="686"/>
      <c r="AW84" s="686"/>
      <c r="AX84" s="686"/>
      <c r="AY84" s="686"/>
      <c r="AZ84" s="686"/>
      <c r="BA84" s="686"/>
      <c r="BB84" s="686"/>
      <c r="BC84" s="686"/>
      <c r="BD84" s="686"/>
      <c r="BE84" s="686"/>
      <c r="BF84" s="686"/>
      <c r="BG84" s="686"/>
      <c r="BH84" s="686"/>
      <c r="BI84" s="686"/>
      <c r="BJ84" s="686"/>
      <c r="BK84" s="686"/>
      <c r="BL84" s="686"/>
      <c r="BM84" s="686"/>
      <c r="BN84" s="686"/>
      <c r="BO84" s="686"/>
      <c r="BP84" s="686"/>
      <c r="BQ84" s="686"/>
      <c r="BR84" s="686"/>
      <c r="BS84" s="686"/>
      <c r="BT84" s="686"/>
      <c r="BU84" s="686"/>
      <c r="BV84" s="686"/>
      <c r="BW84" s="686"/>
      <c r="BX84" s="686"/>
      <c r="BY84" s="686"/>
      <c r="BZ84" s="686"/>
      <c r="CA84" s="686"/>
      <c r="CB84" s="686"/>
      <c r="CC84" s="686"/>
      <c r="CD84" s="686"/>
      <c r="CE84" s="686"/>
    </row>
    <row r="85" spans="1:83" ht="25.5" x14ac:dyDescent="0.25">
      <c r="A85" s="622"/>
      <c r="B85" s="625">
        <v>315</v>
      </c>
      <c r="C85" s="683" t="s">
        <v>403</v>
      </c>
      <c r="D85" s="701" t="s">
        <v>404</v>
      </c>
      <c r="E85" s="638"/>
      <c r="F85" s="621"/>
      <c r="G85" s="621"/>
      <c r="H85" s="621"/>
      <c r="I85" s="621"/>
      <c r="J85" s="621"/>
      <c r="K85" s="672"/>
      <c r="L85" s="686"/>
      <c r="M85" s="686"/>
      <c r="N85" s="636"/>
      <c r="O85" s="636"/>
      <c r="P85" s="636"/>
      <c r="Q85" s="636"/>
      <c r="R85" s="636"/>
      <c r="S85" s="636"/>
      <c r="T85" s="636"/>
      <c r="U85" s="636"/>
      <c r="V85" s="636"/>
      <c r="W85" s="636"/>
      <c r="X85" s="636"/>
      <c r="Y85" s="636"/>
      <c r="Z85" s="636"/>
      <c r="AA85" s="636"/>
      <c r="AB85" s="686"/>
      <c r="AC85" s="686"/>
      <c r="AD85" s="686"/>
      <c r="AE85" s="686"/>
      <c r="AF85" s="686"/>
      <c r="AG85" s="686"/>
      <c r="AH85" s="686"/>
      <c r="AI85" s="686"/>
      <c r="AJ85" s="686"/>
      <c r="AK85" s="686"/>
      <c r="AL85" s="686"/>
      <c r="AM85" s="686"/>
      <c r="AN85" s="686"/>
      <c r="AO85" s="686"/>
      <c r="AP85" s="686"/>
      <c r="AQ85" s="686"/>
      <c r="AR85" s="686"/>
      <c r="AS85" s="686"/>
      <c r="AT85" s="686"/>
      <c r="AU85" s="686"/>
      <c r="AV85" s="686"/>
      <c r="AW85" s="686"/>
      <c r="AX85" s="686"/>
      <c r="AY85" s="686"/>
      <c r="AZ85" s="686"/>
      <c r="BA85" s="686"/>
      <c r="BB85" s="686"/>
      <c r="BC85" s="686"/>
      <c r="BD85" s="686"/>
      <c r="BE85" s="686"/>
      <c r="BF85" s="686"/>
      <c r="BG85" s="686"/>
      <c r="BH85" s="686"/>
      <c r="BI85" s="686"/>
      <c r="BJ85" s="686"/>
      <c r="BK85" s="686"/>
      <c r="BL85" s="686"/>
      <c r="BM85" s="686"/>
      <c r="BN85" s="686"/>
      <c r="BO85" s="686"/>
      <c r="BP85" s="686"/>
      <c r="BQ85" s="686"/>
      <c r="BR85" s="686"/>
      <c r="BS85" s="686"/>
      <c r="BT85" s="686"/>
      <c r="BU85" s="686"/>
      <c r="BV85" s="686"/>
      <c r="BW85" s="686"/>
      <c r="BX85" s="686"/>
      <c r="BY85" s="686"/>
      <c r="BZ85" s="686"/>
      <c r="CA85" s="686"/>
      <c r="CB85" s="686"/>
      <c r="CC85" s="686"/>
      <c r="CD85" s="686"/>
      <c r="CE85" s="686"/>
    </row>
    <row r="86" spans="1:83" x14ac:dyDescent="0.25">
      <c r="A86" s="622"/>
      <c r="B86" s="625">
        <v>316</v>
      </c>
      <c r="C86" s="683" t="s">
        <v>405</v>
      </c>
      <c r="D86" s="701" t="s">
        <v>406</v>
      </c>
      <c r="E86" s="638"/>
      <c r="F86" s="621"/>
      <c r="G86" s="621"/>
      <c r="H86" s="621"/>
      <c r="I86" s="621"/>
      <c r="J86" s="621"/>
      <c r="K86" s="672"/>
      <c r="L86" s="686"/>
      <c r="M86" s="686"/>
      <c r="N86" s="636"/>
      <c r="O86" s="636"/>
      <c r="P86" s="636"/>
      <c r="Q86" s="636"/>
      <c r="R86" s="636"/>
      <c r="S86" s="636"/>
      <c r="T86" s="636"/>
      <c r="U86" s="636"/>
      <c r="V86" s="636"/>
      <c r="W86" s="636"/>
      <c r="X86" s="636"/>
      <c r="Y86" s="636"/>
      <c r="Z86" s="636"/>
      <c r="AA86" s="636"/>
      <c r="AB86" s="686"/>
      <c r="AC86" s="686"/>
      <c r="AD86" s="686"/>
      <c r="AE86" s="686"/>
      <c r="AF86" s="686"/>
      <c r="AG86" s="686"/>
      <c r="AH86" s="686"/>
      <c r="AI86" s="686"/>
      <c r="AJ86" s="686"/>
      <c r="AK86" s="686"/>
      <c r="AL86" s="686"/>
      <c r="AM86" s="686"/>
      <c r="AN86" s="686"/>
      <c r="AO86" s="686"/>
      <c r="AP86" s="686"/>
      <c r="AQ86" s="686"/>
      <c r="AR86" s="686"/>
      <c r="AS86" s="686"/>
      <c r="AT86" s="686"/>
      <c r="AU86" s="686"/>
      <c r="AV86" s="686"/>
      <c r="AW86" s="686"/>
      <c r="AX86" s="686"/>
      <c r="AY86" s="686"/>
      <c r="AZ86" s="686"/>
      <c r="BA86" s="686"/>
      <c r="BB86" s="686"/>
      <c r="BC86" s="686"/>
      <c r="BD86" s="686"/>
      <c r="BE86" s="686"/>
      <c r="BF86" s="686"/>
      <c r="BG86" s="686"/>
      <c r="BH86" s="686"/>
      <c r="BI86" s="686"/>
      <c r="BJ86" s="686"/>
      <c r="BK86" s="686"/>
      <c r="BL86" s="686"/>
      <c r="BM86" s="686"/>
      <c r="BN86" s="686"/>
      <c r="BO86" s="686"/>
      <c r="BP86" s="686"/>
      <c r="BQ86" s="686"/>
      <c r="BR86" s="686"/>
      <c r="BS86" s="686"/>
      <c r="BT86" s="686"/>
      <c r="BU86" s="686"/>
      <c r="BV86" s="686"/>
      <c r="BW86" s="686"/>
      <c r="BX86" s="686"/>
      <c r="BY86" s="686"/>
      <c r="BZ86" s="686"/>
      <c r="CA86" s="686"/>
      <c r="CB86" s="686"/>
      <c r="CC86" s="686"/>
      <c r="CD86" s="686"/>
      <c r="CE86" s="686"/>
    </row>
    <row r="87" spans="1:83" s="281" customFormat="1" x14ac:dyDescent="0.25">
      <c r="A87" s="622"/>
      <c r="B87" s="616">
        <v>320</v>
      </c>
      <c r="C87" s="617" t="s">
        <v>261</v>
      </c>
      <c r="D87" s="624" t="s">
        <v>407</v>
      </c>
      <c r="E87" s="671">
        <v>0</v>
      </c>
      <c r="F87" s="628">
        <v>0</v>
      </c>
      <c r="G87" s="628">
        <v>0</v>
      </c>
      <c r="H87" s="628">
        <v>0</v>
      </c>
      <c r="I87" s="628">
        <v>0</v>
      </c>
      <c r="J87" s="628">
        <v>0</v>
      </c>
      <c r="K87" s="626">
        <v>0</v>
      </c>
      <c r="L87" s="659">
        <v>0</v>
      </c>
      <c r="M87" s="659">
        <v>0</v>
      </c>
      <c r="N87" s="627">
        <v>0</v>
      </c>
      <c r="O87" s="627">
        <v>0</v>
      </c>
      <c r="P87" s="627">
        <v>0</v>
      </c>
      <c r="Q87" s="627">
        <v>0</v>
      </c>
      <c r="R87" s="627">
        <v>0</v>
      </c>
      <c r="S87" s="627">
        <v>0</v>
      </c>
      <c r="T87" s="627">
        <v>0</v>
      </c>
      <c r="U87" s="627">
        <v>0</v>
      </c>
      <c r="V87" s="627">
        <v>0</v>
      </c>
      <c r="W87" s="627">
        <v>0</v>
      </c>
      <c r="X87" s="627">
        <v>0</v>
      </c>
      <c r="Y87" s="627">
        <v>0</v>
      </c>
      <c r="Z87" s="627">
        <v>0</v>
      </c>
      <c r="AA87" s="627">
        <v>0</v>
      </c>
      <c r="AB87" s="659" t="e">
        <v>#VALUE!</v>
      </c>
      <c r="AC87" s="659">
        <v>0</v>
      </c>
      <c r="AD87" s="659" t="e">
        <v>#VALUE!</v>
      </c>
      <c r="AE87" s="659">
        <v>0</v>
      </c>
      <c r="AF87" s="659">
        <v>0</v>
      </c>
      <c r="AG87" s="659">
        <v>0</v>
      </c>
      <c r="AH87" s="659">
        <v>0</v>
      </c>
      <c r="AI87" s="659">
        <v>0</v>
      </c>
      <c r="AJ87" s="659">
        <v>0</v>
      </c>
      <c r="AK87" s="659">
        <v>0</v>
      </c>
      <c r="AL87" s="659">
        <v>0</v>
      </c>
      <c r="AM87" s="659">
        <v>0</v>
      </c>
      <c r="AN87" s="659">
        <v>0</v>
      </c>
      <c r="AO87" s="659">
        <v>0</v>
      </c>
      <c r="AP87" s="659">
        <v>0</v>
      </c>
      <c r="AQ87" s="659">
        <v>0</v>
      </c>
      <c r="AR87" s="659">
        <v>0</v>
      </c>
      <c r="AS87" s="659">
        <v>0</v>
      </c>
      <c r="AT87" s="659">
        <v>0</v>
      </c>
      <c r="AU87" s="659">
        <v>0</v>
      </c>
      <c r="AV87" s="659">
        <v>0</v>
      </c>
      <c r="AW87" s="659">
        <v>0</v>
      </c>
      <c r="AX87" s="659">
        <v>0</v>
      </c>
      <c r="AY87" s="659">
        <v>0</v>
      </c>
      <c r="AZ87" s="659">
        <v>0</v>
      </c>
      <c r="BA87" s="659">
        <v>0</v>
      </c>
      <c r="BB87" s="659">
        <v>0</v>
      </c>
      <c r="BC87" s="659">
        <v>0</v>
      </c>
      <c r="BD87" s="659">
        <v>0</v>
      </c>
      <c r="BE87" s="659">
        <v>0</v>
      </c>
      <c r="BF87" s="659">
        <v>0</v>
      </c>
      <c r="BG87" s="659">
        <v>0</v>
      </c>
      <c r="BH87" s="659">
        <v>0</v>
      </c>
      <c r="BI87" s="659">
        <v>0</v>
      </c>
      <c r="BJ87" s="659">
        <v>0</v>
      </c>
      <c r="BK87" s="659">
        <v>0</v>
      </c>
      <c r="BL87" s="659">
        <v>0</v>
      </c>
      <c r="BM87" s="659">
        <v>0</v>
      </c>
      <c r="BN87" s="659">
        <v>0</v>
      </c>
      <c r="BO87" s="659">
        <v>0</v>
      </c>
      <c r="BP87" s="659">
        <v>0</v>
      </c>
      <c r="BQ87" s="659">
        <v>0</v>
      </c>
      <c r="BR87" s="659">
        <v>0</v>
      </c>
      <c r="BS87" s="659">
        <v>0</v>
      </c>
      <c r="BT87" s="659">
        <v>0</v>
      </c>
      <c r="BU87" s="659">
        <v>0</v>
      </c>
      <c r="BV87" s="659">
        <v>0</v>
      </c>
      <c r="BW87" s="659">
        <v>0</v>
      </c>
      <c r="BX87" s="659">
        <v>0</v>
      </c>
      <c r="BY87" s="659">
        <v>0</v>
      </c>
      <c r="BZ87" s="659">
        <v>0</v>
      </c>
      <c r="CA87" s="659">
        <v>0</v>
      </c>
      <c r="CB87" s="659">
        <v>0</v>
      </c>
      <c r="CC87" s="659">
        <v>0</v>
      </c>
      <c r="CD87" s="659">
        <v>0</v>
      </c>
      <c r="CE87" s="659">
        <v>0</v>
      </c>
    </row>
    <row r="88" spans="1:83" s="281" customFormat="1" x14ac:dyDescent="0.25">
      <c r="A88" s="622"/>
      <c r="B88" s="616">
        <v>321</v>
      </c>
      <c r="C88" s="617" t="s">
        <v>1066</v>
      </c>
      <c r="D88" s="624" t="s">
        <v>408</v>
      </c>
      <c r="E88" s="671">
        <v>0</v>
      </c>
      <c r="F88" s="628">
        <v>0</v>
      </c>
      <c r="G88" s="628">
        <v>0</v>
      </c>
      <c r="H88" s="628">
        <v>0</v>
      </c>
      <c r="I88" s="628">
        <v>0</v>
      </c>
      <c r="J88" s="628">
        <v>0</v>
      </c>
      <c r="K88" s="626">
        <v>0</v>
      </c>
      <c r="L88" s="659">
        <v>0</v>
      </c>
      <c r="M88" s="659">
        <v>0</v>
      </c>
      <c r="N88" s="627">
        <v>0</v>
      </c>
      <c r="O88" s="627">
        <v>0</v>
      </c>
      <c r="P88" s="627">
        <v>0</v>
      </c>
      <c r="Q88" s="627">
        <v>0</v>
      </c>
      <c r="R88" s="627">
        <v>0</v>
      </c>
      <c r="S88" s="627">
        <v>0</v>
      </c>
      <c r="T88" s="627">
        <v>0</v>
      </c>
      <c r="U88" s="627">
        <v>0</v>
      </c>
      <c r="V88" s="627">
        <v>0</v>
      </c>
      <c r="W88" s="627">
        <v>0</v>
      </c>
      <c r="X88" s="627">
        <v>0</v>
      </c>
      <c r="Y88" s="627">
        <v>0</v>
      </c>
      <c r="Z88" s="627">
        <v>0</v>
      </c>
      <c r="AA88" s="627">
        <v>0</v>
      </c>
      <c r="AB88" s="659" t="e">
        <v>#VALUE!</v>
      </c>
      <c r="AC88" s="659">
        <v>0</v>
      </c>
      <c r="AD88" s="659" t="e">
        <v>#VALUE!</v>
      </c>
      <c r="AE88" s="659">
        <v>0</v>
      </c>
      <c r="AF88" s="659">
        <v>0</v>
      </c>
      <c r="AG88" s="659">
        <v>0</v>
      </c>
      <c r="AH88" s="659">
        <v>0</v>
      </c>
      <c r="AI88" s="659">
        <v>0</v>
      </c>
      <c r="AJ88" s="659">
        <v>0</v>
      </c>
      <c r="AK88" s="659">
        <v>0</v>
      </c>
      <c r="AL88" s="659">
        <v>0</v>
      </c>
      <c r="AM88" s="659">
        <v>0</v>
      </c>
      <c r="AN88" s="659">
        <v>0</v>
      </c>
      <c r="AO88" s="659">
        <v>0</v>
      </c>
      <c r="AP88" s="659">
        <v>0</v>
      </c>
      <c r="AQ88" s="659">
        <v>0</v>
      </c>
      <c r="AR88" s="659">
        <v>0</v>
      </c>
      <c r="AS88" s="659">
        <v>0</v>
      </c>
      <c r="AT88" s="659">
        <v>0</v>
      </c>
      <c r="AU88" s="659">
        <v>0</v>
      </c>
      <c r="AV88" s="659">
        <v>0</v>
      </c>
      <c r="AW88" s="659">
        <v>0</v>
      </c>
      <c r="AX88" s="659">
        <v>0</v>
      </c>
      <c r="AY88" s="659">
        <v>0</v>
      </c>
      <c r="AZ88" s="659">
        <v>0</v>
      </c>
      <c r="BA88" s="659">
        <v>0</v>
      </c>
      <c r="BB88" s="659">
        <v>0</v>
      </c>
      <c r="BC88" s="659">
        <v>0</v>
      </c>
      <c r="BD88" s="659">
        <v>0</v>
      </c>
      <c r="BE88" s="659">
        <v>0</v>
      </c>
      <c r="BF88" s="659">
        <v>0</v>
      </c>
      <c r="BG88" s="659">
        <v>0</v>
      </c>
      <c r="BH88" s="659">
        <v>0</v>
      </c>
      <c r="BI88" s="659">
        <v>0</v>
      </c>
      <c r="BJ88" s="659">
        <v>0</v>
      </c>
      <c r="BK88" s="659">
        <v>0</v>
      </c>
      <c r="BL88" s="659">
        <v>0</v>
      </c>
      <c r="BM88" s="659">
        <v>0</v>
      </c>
      <c r="BN88" s="659">
        <v>0</v>
      </c>
      <c r="BO88" s="659">
        <v>0</v>
      </c>
      <c r="BP88" s="659">
        <v>0</v>
      </c>
      <c r="BQ88" s="659">
        <v>0</v>
      </c>
      <c r="BR88" s="659">
        <v>0</v>
      </c>
      <c r="BS88" s="659">
        <v>0</v>
      </c>
      <c r="BT88" s="659">
        <v>0</v>
      </c>
      <c r="BU88" s="659">
        <v>0</v>
      </c>
      <c r="BV88" s="659">
        <v>0</v>
      </c>
      <c r="BW88" s="659">
        <v>0</v>
      </c>
      <c r="BX88" s="659">
        <v>0</v>
      </c>
      <c r="BY88" s="659">
        <v>0</v>
      </c>
      <c r="BZ88" s="659">
        <v>0</v>
      </c>
      <c r="CA88" s="659">
        <v>0</v>
      </c>
      <c r="CB88" s="659">
        <v>0</v>
      </c>
      <c r="CC88" s="659">
        <v>0</v>
      </c>
      <c r="CD88" s="659">
        <v>0</v>
      </c>
      <c r="CE88" s="659">
        <v>0</v>
      </c>
    </row>
    <row r="89" spans="1:83" s="281" customFormat="1" x14ac:dyDescent="0.25">
      <c r="A89" s="622"/>
      <c r="B89" s="616">
        <v>322</v>
      </c>
      <c r="C89" s="617" t="s">
        <v>263</v>
      </c>
      <c r="D89" s="624" t="s">
        <v>409</v>
      </c>
      <c r="E89" s="671">
        <v>0</v>
      </c>
      <c r="F89" s="628">
        <v>0</v>
      </c>
      <c r="G89" s="628">
        <v>0</v>
      </c>
      <c r="H89" s="628">
        <v>0</v>
      </c>
      <c r="I89" s="628">
        <v>0</v>
      </c>
      <c r="J89" s="628">
        <v>0</v>
      </c>
      <c r="K89" s="626">
        <v>0</v>
      </c>
      <c r="L89" s="659">
        <v>0</v>
      </c>
      <c r="M89" s="659">
        <v>0</v>
      </c>
      <c r="N89" s="627">
        <v>0</v>
      </c>
      <c r="O89" s="627">
        <v>0</v>
      </c>
      <c r="P89" s="627">
        <v>0</v>
      </c>
      <c r="Q89" s="627">
        <v>0</v>
      </c>
      <c r="R89" s="627">
        <v>0</v>
      </c>
      <c r="S89" s="627">
        <v>0</v>
      </c>
      <c r="T89" s="627">
        <v>0</v>
      </c>
      <c r="U89" s="627">
        <v>0</v>
      </c>
      <c r="V89" s="627">
        <v>0</v>
      </c>
      <c r="W89" s="627">
        <v>0</v>
      </c>
      <c r="X89" s="627">
        <v>0</v>
      </c>
      <c r="Y89" s="627">
        <v>0</v>
      </c>
      <c r="Z89" s="627">
        <v>0</v>
      </c>
      <c r="AA89" s="627">
        <v>0</v>
      </c>
      <c r="AB89" s="659" t="e">
        <v>#VALUE!</v>
      </c>
      <c r="AC89" s="659">
        <v>0</v>
      </c>
      <c r="AD89" s="659" t="e">
        <v>#VALUE!</v>
      </c>
      <c r="AE89" s="659">
        <v>0</v>
      </c>
      <c r="AF89" s="659">
        <v>0</v>
      </c>
      <c r="AG89" s="659">
        <v>0</v>
      </c>
      <c r="AH89" s="659">
        <v>0</v>
      </c>
      <c r="AI89" s="659">
        <v>0</v>
      </c>
      <c r="AJ89" s="659">
        <v>0</v>
      </c>
      <c r="AK89" s="659">
        <v>0</v>
      </c>
      <c r="AL89" s="659">
        <v>0</v>
      </c>
      <c r="AM89" s="659">
        <v>0</v>
      </c>
      <c r="AN89" s="659">
        <v>0</v>
      </c>
      <c r="AO89" s="659">
        <v>0</v>
      </c>
      <c r="AP89" s="659">
        <v>0</v>
      </c>
      <c r="AQ89" s="659">
        <v>0</v>
      </c>
      <c r="AR89" s="659">
        <v>0</v>
      </c>
      <c r="AS89" s="659">
        <v>0</v>
      </c>
      <c r="AT89" s="659">
        <v>0</v>
      </c>
      <c r="AU89" s="659">
        <v>0</v>
      </c>
      <c r="AV89" s="659">
        <v>0</v>
      </c>
      <c r="AW89" s="659">
        <v>0</v>
      </c>
      <c r="AX89" s="659">
        <v>0</v>
      </c>
      <c r="AY89" s="659">
        <v>0</v>
      </c>
      <c r="AZ89" s="659">
        <v>0</v>
      </c>
      <c r="BA89" s="659">
        <v>0</v>
      </c>
      <c r="BB89" s="659">
        <v>0</v>
      </c>
      <c r="BC89" s="659">
        <v>0</v>
      </c>
      <c r="BD89" s="659">
        <v>0</v>
      </c>
      <c r="BE89" s="659">
        <v>0</v>
      </c>
      <c r="BF89" s="659">
        <v>0</v>
      </c>
      <c r="BG89" s="659">
        <v>0</v>
      </c>
      <c r="BH89" s="659">
        <v>0</v>
      </c>
      <c r="BI89" s="659">
        <v>0</v>
      </c>
      <c r="BJ89" s="659">
        <v>0</v>
      </c>
      <c r="BK89" s="659">
        <v>0</v>
      </c>
      <c r="BL89" s="659">
        <v>0</v>
      </c>
      <c r="BM89" s="659">
        <v>0</v>
      </c>
      <c r="BN89" s="659">
        <v>0</v>
      </c>
      <c r="BO89" s="659">
        <v>0</v>
      </c>
      <c r="BP89" s="659">
        <v>0</v>
      </c>
      <c r="BQ89" s="659">
        <v>0</v>
      </c>
      <c r="BR89" s="659">
        <v>0</v>
      </c>
      <c r="BS89" s="659">
        <v>0</v>
      </c>
      <c r="BT89" s="659">
        <v>0</v>
      </c>
      <c r="BU89" s="659">
        <v>0</v>
      </c>
      <c r="BV89" s="659">
        <v>0</v>
      </c>
      <c r="BW89" s="659">
        <v>0</v>
      </c>
      <c r="BX89" s="659">
        <v>0</v>
      </c>
      <c r="BY89" s="659">
        <v>0</v>
      </c>
      <c r="BZ89" s="659">
        <v>0</v>
      </c>
      <c r="CA89" s="659">
        <v>0</v>
      </c>
      <c r="CB89" s="659">
        <v>0</v>
      </c>
      <c r="CC89" s="659">
        <v>0</v>
      </c>
      <c r="CD89" s="659">
        <v>0</v>
      </c>
      <c r="CE89" s="659">
        <v>0</v>
      </c>
    </row>
    <row r="90" spans="1:83" s="281" customFormat="1" x14ac:dyDescent="0.25">
      <c r="A90" s="622"/>
      <c r="B90" s="616">
        <v>323</v>
      </c>
      <c r="C90" s="617" t="s">
        <v>262</v>
      </c>
      <c r="D90" s="624" t="s">
        <v>410</v>
      </c>
      <c r="E90" s="671">
        <v>0</v>
      </c>
      <c r="F90" s="628">
        <v>0</v>
      </c>
      <c r="G90" s="628">
        <v>0</v>
      </c>
      <c r="H90" s="628">
        <v>0</v>
      </c>
      <c r="I90" s="628">
        <v>0</v>
      </c>
      <c r="J90" s="628">
        <v>0</v>
      </c>
      <c r="K90" s="626">
        <v>0</v>
      </c>
      <c r="L90" s="659">
        <v>0</v>
      </c>
      <c r="M90" s="659">
        <v>0</v>
      </c>
      <c r="N90" s="627">
        <v>0</v>
      </c>
      <c r="O90" s="627">
        <v>0</v>
      </c>
      <c r="P90" s="627">
        <v>0</v>
      </c>
      <c r="Q90" s="627">
        <v>0</v>
      </c>
      <c r="R90" s="627">
        <v>0</v>
      </c>
      <c r="S90" s="627">
        <v>0</v>
      </c>
      <c r="T90" s="627">
        <v>0</v>
      </c>
      <c r="U90" s="627">
        <v>0</v>
      </c>
      <c r="V90" s="627">
        <v>0</v>
      </c>
      <c r="W90" s="627">
        <v>0</v>
      </c>
      <c r="X90" s="627">
        <v>0</v>
      </c>
      <c r="Y90" s="627">
        <v>0</v>
      </c>
      <c r="Z90" s="627">
        <v>0</v>
      </c>
      <c r="AA90" s="627">
        <v>0</v>
      </c>
      <c r="AB90" s="659" t="e">
        <v>#VALUE!</v>
      </c>
      <c r="AC90" s="659">
        <v>0</v>
      </c>
      <c r="AD90" s="659" t="e">
        <v>#VALUE!</v>
      </c>
      <c r="AE90" s="659">
        <v>0</v>
      </c>
      <c r="AF90" s="659">
        <v>0</v>
      </c>
      <c r="AG90" s="659">
        <v>0</v>
      </c>
      <c r="AH90" s="659">
        <v>0</v>
      </c>
      <c r="AI90" s="659">
        <v>0</v>
      </c>
      <c r="AJ90" s="659">
        <v>0</v>
      </c>
      <c r="AK90" s="659">
        <v>0</v>
      </c>
      <c r="AL90" s="659">
        <v>0</v>
      </c>
      <c r="AM90" s="659">
        <v>0</v>
      </c>
      <c r="AN90" s="659">
        <v>0</v>
      </c>
      <c r="AO90" s="659">
        <v>0</v>
      </c>
      <c r="AP90" s="659">
        <v>0</v>
      </c>
      <c r="AQ90" s="659">
        <v>0</v>
      </c>
      <c r="AR90" s="659">
        <v>0</v>
      </c>
      <c r="AS90" s="659">
        <v>0</v>
      </c>
      <c r="AT90" s="659">
        <v>0</v>
      </c>
      <c r="AU90" s="659">
        <v>0</v>
      </c>
      <c r="AV90" s="659">
        <v>0</v>
      </c>
      <c r="AW90" s="659">
        <v>0</v>
      </c>
      <c r="AX90" s="659">
        <v>0</v>
      </c>
      <c r="AY90" s="659">
        <v>0</v>
      </c>
      <c r="AZ90" s="659">
        <v>0</v>
      </c>
      <c r="BA90" s="659">
        <v>0</v>
      </c>
      <c r="BB90" s="659">
        <v>0</v>
      </c>
      <c r="BC90" s="659">
        <v>0</v>
      </c>
      <c r="BD90" s="659">
        <v>0</v>
      </c>
      <c r="BE90" s="659">
        <v>0</v>
      </c>
      <c r="BF90" s="659">
        <v>0</v>
      </c>
      <c r="BG90" s="659">
        <v>0</v>
      </c>
      <c r="BH90" s="659">
        <v>0</v>
      </c>
      <c r="BI90" s="659">
        <v>0</v>
      </c>
      <c r="BJ90" s="659">
        <v>0</v>
      </c>
      <c r="BK90" s="659">
        <v>0</v>
      </c>
      <c r="BL90" s="659">
        <v>0</v>
      </c>
      <c r="BM90" s="659">
        <v>0</v>
      </c>
      <c r="BN90" s="659">
        <v>0</v>
      </c>
      <c r="BO90" s="659">
        <v>0</v>
      </c>
      <c r="BP90" s="659">
        <v>0</v>
      </c>
      <c r="BQ90" s="659">
        <v>0</v>
      </c>
      <c r="BR90" s="659">
        <v>0</v>
      </c>
      <c r="BS90" s="659">
        <v>0</v>
      </c>
      <c r="BT90" s="659">
        <v>0</v>
      </c>
      <c r="BU90" s="659">
        <v>0</v>
      </c>
      <c r="BV90" s="659">
        <v>0</v>
      </c>
      <c r="BW90" s="659">
        <v>0</v>
      </c>
      <c r="BX90" s="659">
        <v>0</v>
      </c>
      <c r="BY90" s="659">
        <v>0</v>
      </c>
      <c r="BZ90" s="659">
        <v>0</v>
      </c>
      <c r="CA90" s="659">
        <v>0</v>
      </c>
      <c r="CB90" s="659">
        <v>0</v>
      </c>
      <c r="CC90" s="659">
        <v>0</v>
      </c>
      <c r="CD90" s="659">
        <v>0</v>
      </c>
      <c r="CE90" s="659">
        <v>0</v>
      </c>
    </row>
    <row r="91" spans="1:83" s="281" customFormat="1" x14ac:dyDescent="0.25">
      <c r="A91" s="622"/>
      <c r="B91" s="616">
        <v>324</v>
      </c>
      <c r="C91" s="617" t="s">
        <v>260</v>
      </c>
      <c r="D91" s="624" t="s">
        <v>411</v>
      </c>
      <c r="E91" s="671">
        <v>0</v>
      </c>
      <c r="F91" s="628">
        <v>0</v>
      </c>
      <c r="G91" s="628">
        <v>0</v>
      </c>
      <c r="H91" s="628">
        <v>0</v>
      </c>
      <c r="I91" s="628">
        <v>0</v>
      </c>
      <c r="J91" s="628">
        <v>0</v>
      </c>
      <c r="K91" s="626">
        <v>0</v>
      </c>
      <c r="L91" s="659">
        <v>0</v>
      </c>
      <c r="M91" s="659">
        <v>0</v>
      </c>
      <c r="N91" s="627">
        <v>0</v>
      </c>
      <c r="O91" s="627">
        <v>0</v>
      </c>
      <c r="P91" s="627">
        <v>0</v>
      </c>
      <c r="Q91" s="627">
        <v>0</v>
      </c>
      <c r="R91" s="627">
        <v>0</v>
      </c>
      <c r="S91" s="627">
        <v>0</v>
      </c>
      <c r="T91" s="627">
        <v>0</v>
      </c>
      <c r="U91" s="627">
        <v>0</v>
      </c>
      <c r="V91" s="627">
        <v>0</v>
      </c>
      <c r="W91" s="627">
        <v>0</v>
      </c>
      <c r="X91" s="627">
        <v>0</v>
      </c>
      <c r="Y91" s="627">
        <v>0</v>
      </c>
      <c r="Z91" s="627">
        <v>0</v>
      </c>
      <c r="AA91" s="627">
        <v>0</v>
      </c>
      <c r="AB91" s="659" t="e">
        <v>#VALUE!</v>
      </c>
      <c r="AC91" s="659">
        <v>0</v>
      </c>
      <c r="AD91" s="659" t="e">
        <v>#VALUE!</v>
      </c>
      <c r="AE91" s="659">
        <v>0</v>
      </c>
      <c r="AF91" s="659">
        <v>0</v>
      </c>
      <c r="AG91" s="659">
        <v>0</v>
      </c>
      <c r="AH91" s="659">
        <v>0</v>
      </c>
      <c r="AI91" s="659">
        <v>0</v>
      </c>
      <c r="AJ91" s="659">
        <v>0</v>
      </c>
      <c r="AK91" s="659">
        <v>0</v>
      </c>
      <c r="AL91" s="659">
        <v>0</v>
      </c>
      <c r="AM91" s="659">
        <v>0</v>
      </c>
      <c r="AN91" s="659">
        <v>0</v>
      </c>
      <c r="AO91" s="659">
        <v>0</v>
      </c>
      <c r="AP91" s="659">
        <v>0</v>
      </c>
      <c r="AQ91" s="659">
        <v>0</v>
      </c>
      <c r="AR91" s="659">
        <v>0</v>
      </c>
      <c r="AS91" s="659">
        <v>0</v>
      </c>
      <c r="AT91" s="659">
        <v>0</v>
      </c>
      <c r="AU91" s="659">
        <v>0</v>
      </c>
      <c r="AV91" s="659">
        <v>0</v>
      </c>
      <c r="AW91" s="659">
        <v>0</v>
      </c>
      <c r="AX91" s="659">
        <v>0</v>
      </c>
      <c r="AY91" s="659">
        <v>0</v>
      </c>
      <c r="AZ91" s="659">
        <v>0</v>
      </c>
      <c r="BA91" s="659">
        <v>0</v>
      </c>
      <c r="BB91" s="659">
        <v>0</v>
      </c>
      <c r="BC91" s="659">
        <v>0</v>
      </c>
      <c r="BD91" s="659">
        <v>0</v>
      </c>
      <c r="BE91" s="659">
        <v>0</v>
      </c>
      <c r="BF91" s="659">
        <v>0</v>
      </c>
      <c r="BG91" s="659">
        <v>0</v>
      </c>
      <c r="BH91" s="659">
        <v>0</v>
      </c>
      <c r="BI91" s="659">
        <v>0</v>
      </c>
      <c r="BJ91" s="659">
        <v>0</v>
      </c>
      <c r="BK91" s="659">
        <v>0</v>
      </c>
      <c r="BL91" s="659">
        <v>0</v>
      </c>
      <c r="BM91" s="659">
        <v>0</v>
      </c>
      <c r="BN91" s="659">
        <v>0</v>
      </c>
      <c r="BO91" s="659">
        <v>0</v>
      </c>
      <c r="BP91" s="659">
        <v>0</v>
      </c>
      <c r="BQ91" s="659">
        <v>0</v>
      </c>
      <c r="BR91" s="659">
        <v>0</v>
      </c>
      <c r="BS91" s="659">
        <v>0</v>
      </c>
      <c r="BT91" s="659">
        <v>0</v>
      </c>
      <c r="BU91" s="659">
        <v>0</v>
      </c>
      <c r="BV91" s="659">
        <v>0</v>
      </c>
      <c r="BW91" s="659">
        <v>0</v>
      </c>
      <c r="BX91" s="659">
        <v>0</v>
      </c>
      <c r="BY91" s="659">
        <v>0</v>
      </c>
      <c r="BZ91" s="659">
        <v>0</v>
      </c>
      <c r="CA91" s="659">
        <v>0</v>
      </c>
      <c r="CB91" s="659">
        <v>0</v>
      </c>
      <c r="CC91" s="659">
        <v>0</v>
      </c>
      <c r="CD91" s="659">
        <v>0</v>
      </c>
      <c r="CE91" s="659">
        <v>0</v>
      </c>
    </row>
    <row r="92" spans="1:83" s="281" customFormat="1" x14ac:dyDescent="0.25">
      <c r="A92" s="622"/>
      <c r="B92" s="616">
        <v>325</v>
      </c>
      <c r="C92" s="617" t="s">
        <v>264</v>
      </c>
      <c r="D92" s="624" t="s">
        <v>412</v>
      </c>
      <c r="E92" s="684">
        <v>0</v>
      </c>
      <c r="F92" s="635">
        <v>0</v>
      </c>
      <c r="G92" s="635">
        <v>0</v>
      </c>
      <c r="H92" s="635">
        <v>0</v>
      </c>
      <c r="I92" s="635">
        <v>0</v>
      </c>
      <c r="J92" s="635">
        <v>0</v>
      </c>
      <c r="K92" s="673">
        <v>0</v>
      </c>
      <c r="L92" s="687">
        <v>0</v>
      </c>
      <c r="M92" s="687">
        <v>0</v>
      </c>
      <c r="N92" s="647">
        <v>0</v>
      </c>
      <c r="O92" s="647">
        <v>0</v>
      </c>
      <c r="P92" s="647">
        <v>0</v>
      </c>
      <c r="Q92" s="647">
        <v>0</v>
      </c>
      <c r="R92" s="647">
        <v>0</v>
      </c>
      <c r="S92" s="647">
        <v>0</v>
      </c>
      <c r="T92" s="647">
        <v>0</v>
      </c>
      <c r="U92" s="647">
        <v>0</v>
      </c>
      <c r="V92" s="647">
        <v>0</v>
      </c>
      <c r="W92" s="647">
        <v>0</v>
      </c>
      <c r="X92" s="647">
        <v>0</v>
      </c>
      <c r="Y92" s="647">
        <v>0</v>
      </c>
      <c r="Z92" s="647">
        <v>0</v>
      </c>
      <c r="AA92" s="647">
        <v>0</v>
      </c>
      <c r="AB92" s="687" t="e">
        <v>#VALUE!</v>
      </c>
      <c r="AC92" s="687">
        <v>0</v>
      </c>
      <c r="AD92" s="687" t="e">
        <v>#VALUE!</v>
      </c>
      <c r="AE92" s="687">
        <v>0</v>
      </c>
      <c r="AF92" s="687">
        <v>0</v>
      </c>
      <c r="AG92" s="687">
        <v>0</v>
      </c>
      <c r="AH92" s="687">
        <v>0</v>
      </c>
      <c r="AI92" s="687">
        <v>0</v>
      </c>
      <c r="AJ92" s="687">
        <v>0</v>
      </c>
      <c r="AK92" s="687">
        <v>0</v>
      </c>
      <c r="AL92" s="687">
        <v>0</v>
      </c>
      <c r="AM92" s="687">
        <v>0</v>
      </c>
      <c r="AN92" s="687">
        <v>0</v>
      </c>
      <c r="AO92" s="687">
        <v>0</v>
      </c>
      <c r="AP92" s="687">
        <v>0</v>
      </c>
      <c r="AQ92" s="687">
        <v>0</v>
      </c>
      <c r="AR92" s="687">
        <v>0</v>
      </c>
      <c r="AS92" s="687">
        <v>0</v>
      </c>
      <c r="AT92" s="687">
        <v>0</v>
      </c>
      <c r="AU92" s="687">
        <v>0</v>
      </c>
      <c r="AV92" s="687">
        <v>0</v>
      </c>
      <c r="AW92" s="687">
        <v>0</v>
      </c>
      <c r="AX92" s="687">
        <v>0</v>
      </c>
      <c r="AY92" s="687">
        <v>0</v>
      </c>
      <c r="AZ92" s="687">
        <v>0</v>
      </c>
      <c r="BA92" s="687">
        <v>0</v>
      </c>
      <c r="BB92" s="687">
        <v>0</v>
      </c>
      <c r="BC92" s="687">
        <v>0</v>
      </c>
      <c r="BD92" s="687">
        <v>0</v>
      </c>
      <c r="BE92" s="687">
        <v>0</v>
      </c>
      <c r="BF92" s="687">
        <v>0</v>
      </c>
      <c r="BG92" s="687">
        <v>0</v>
      </c>
      <c r="BH92" s="687">
        <v>0</v>
      </c>
      <c r="BI92" s="687">
        <v>0</v>
      </c>
      <c r="BJ92" s="687">
        <v>0</v>
      </c>
      <c r="BK92" s="687">
        <v>0</v>
      </c>
      <c r="BL92" s="687">
        <v>0</v>
      </c>
      <c r="BM92" s="687">
        <v>0</v>
      </c>
      <c r="BN92" s="687">
        <v>0</v>
      </c>
      <c r="BO92" s="687">
        <v>0</v>
      </c>
      <c r="BP92" s="687">
        <v>0</v>
      </c>
      <c r="BQ92" s="687">
        <v>0</v>
      </c>
      <c r="BR92" s="687">
        <v>0</v>
      </c>
      <c r="BS92" s="687">
        <v>0</v>
      </c>
      <c r="BT92" s="687">
        <v>0</v>
      </c>
      <c r="BU92" s="687">
        <v>0</v>
      </c>
      <c r="BV92" s="687">
        <v>0</v>
      </c>
      <c r="BW92" s="687">
        <v>0</v>
      </c>
      <c r="BX92" s="687">
        <v>0</v>
      </c>
      <c r="BY92" s="687">
        <v>0</v>
      </c>
      <c r="BZ92" s="687">
        <v>0</v>
      </c>
      <c r="CA92" s="687">
        <v>0</v>
      </c>
      <c r="CB92" s="687">
        <v>0</v>
      </c>
      <c r="CC92" s="687">
        <v>0</v>
      </c>
      <c r="CD92" s="687">
        <v>0</v>
      </c>
      <c r="CE92" s="687">
        <v>0</v>
      </c>
    </row>
    <row r="93" spans="1:83" x14ac:dyDescent="0.25">
      <c r="A93" s="622"/>
      <c r="B93" s="625">
        <v>326</v>
      </c>
      <c r="C93" s="653" t="s">
        <v>710</v>
      </c>
      <c r="D93" s="701" t="s">
        <v>413</v>
      </c>
      <c r="E93" s="638"/>
      <c r="F93" s="621"/>
      <c r="G93" s="621"/>
      <c r="H93" s="621"/>
      <c r="I93" s="621"/>
      <c r="J93" s="621"/>
      <c r="K93" s="672"/>
      <c r="L93" s="686"/>
      <c r="M93" s="686"/>
      <c r="N93" s="636"/>
      <c r="O93" s="636"/>
      <c r="P93" s="636"/>
      <c r="Q93" s="636"/>
      <c r="R93" s="636"/>
      <c r="S93" s="636"/>
      <c r="T93" s="636"/>
      <c r="U93" s="636"/>
      <c r="V93" s="636"/>
      <c r="W93" s="636"/>
      <c r="X93" s="636"/>
      <c r="Y93" s="636"/>
      <c r="Z93" s="636"/>
      <c r="AA93" s="636"/>
      <c r="AB93" s="686"/>
      <c r="AC93" s="686"/>
      <c r="AD93" s="686"/>
      <c r="AE93" s="686"/>
      <c r="AF93" s="686"/>
      <c r="AG93" s="686"/>
      <c r="AH93" s="686"/>
      <c r="AI93" s="686"/>
      <c r="AJ93" s="686"/>
      <c r="AK93" s="686"/>
      <c r="AL93" s="686"/>
      <c r="AM93" s="686"/>
      <c r="AN93" s="686"/>
      <c r="AO93" s="686"/>
      <c r="AP93" s="686"/>
      <c r="AQ93" s="686"/>
      <c r="AR93" s="686"/>
      <c r="AS93" s="686"/>
      <c r="AT93" s="686"/>
      <c r="AU93" s="686"/>
      <c r="AV93" s="686"/>
      <c r="AW93" s="686"/>
      <c r="AX93" s="686"/>
      <c r="AY93" s="686"/>
      <c r="AZ93" s="686"/>
      <c r="BA93" s="686"/>
      <c r="BB93" s="686"/>
      <c r="BC93" s="686"/>
      <c r="BD93" s="686"/>
      <c r="BE93" s="686"/>
      <c r="BF93" s="686"/>
      <c r="BG93" s="686"/>
      <c r="BH93" s="686"/>
      <c r="BI93" s="686"/>
      <c r="BJ93" s="686"/>
      <c r="BK93" s="686"/>
      <c r="BL93" s="686"/>
      <c r="BM93" s="686"/>
      <c r="BN93" s="686"/>
      <c r="BO93" s="686"/>
      <c r="BP93" s="686"/>
      <c r="BQ93" s="686"/>
      <c r="BR93" s="686"/>
      <c r="BS93" s="686"/>
      <c r="BT93" s="686"/>
      <c r="BU93" s="686"/>
      <c r="BV93" s="686"/>
      <c r="BW93" s="686"/>
      <c r="BX93" s="686"/>
      <c r="BY93" s="686"/>
      <c r="BZ93" s="686"/>
      <c r="CA93" s="686"/>
      <c r="CB93" s="686"/>
      <c r="CC93" s="686"/>
      <c r="CD93" s="686"/>
      <c r="CE93" s="686"/>
    </row>
    <row r="94" spans="1:83" x14ac:dyDescent="0.25">
      <c r="A94" s="622">
        <v>327</v>
      </c>
      <c r="B94" s="625">
        <v>327</v>
      </c>
      <c r="C94" s="653" t="s">
        <v>639</v>
      </c>
      <c r="D94" s="701" t="s">
        <v>414</v>
      </c>
      <c r="E94" s="638">
        <v>24457</v>
      </c>
      <c r="F94" s="621">
        <v>0</v>
      </c>
      <c r="G94" s="621">
        <v>0</v>
      </c>
      <c r="H94" s="621">
        <v>0</v>
      </c>
      <c r="I94" s="621">
        <v>0</v>
      </c>
      <c r="J94" s="621">
        <v>0</v>
      </c>
      <c r="K94" s="672">
        <v>53983</v>
      </c>
      <c r="L94" s="686">
        <v>0</v>
      </c>
      <c r="M94" s="686">
        <v>0</v>
      </c>
      <c r="N94" s="636">
        <v>0</v>
      </c>
      <c r="O94" s="636">
        <v>0</v>
      </c>
      <c r="P94" s="636">
        <v>3056</v>
      </c>
      <c r="Q94" s="636">
        <v>0</v>
      </c>
      <c r="R94" s="636">
        <v>829827</v>
      </c>
      <c r="S94" s="636">
        <v>367968</v>
      </c>
      <c r="T94" s="636">
        <v>0</v>
      </c>
      <c r="U94" s="636">
        <v>3881259</v>
      </c>
      <c r="V94" s="636">
        <v>1269360</v>
      </c>
      <c r="W94" s="636">
        <v>14979085</v>
      </c>
      <c r="X94" s="636">
        <v>0</v>
      </c>
      <c r="Y94" s="636">
        <v>0</v>
      </c>
      <c r="Z94" s="636">
        <v>745155</v>
      </c>
      <c r="AA94" s="636">
        <v>4000</v>
      </c>
      <c r="AB94" s="686" t="e">
        <v>#VALUE!</v>
      </c>
      <c r="AC94" s="686">
        <v>23252</v>
      </c>
      <c r="AD94" s="686" t="e">
        <v>#VALUE!</v>
      </c>
      <c r="AE94" s="686">
        <v>882432</v>
      </c>
      <c r="AF94" s="686">
        <v>0</v>
      </c>
      <c r="AG94" s="686">
        <v>1853473</v>
      </c>
      <c r="AH94" s="686">
        <v>514809</v>
      </c>
      <c r="AI94" s="686">
        <v>19050</v>
      </c>
      <c r="AJ94" s="686">
        <v>13241990</v>
      </c>
      <c r="AK94" s="686">
        <v>6500</v>
      </c>
      <c r="AL94" s="686">
        <v>63005</v>
      </c>
      <c r="AM94" s="686">
        <v>312764</v>
      </c>
      <c r="AN94" s="686">
        <v>210332</v>
      </c>
      <c r="AO94" s="686">
        <v>42297</v>
      </c>
      <c r="AP94" s="686">
        <v>0</v>
      </c>
      <c r="AQ94" s="686">
        <v>0</v>
      </c>
      <c r="AR94" s="686">
        <v>0</v>
      </c>
      <c r="AS94" s="686">
        <v>44618</v>
      </c>
      <c r="AT94" s="686">
        <v>0</v>
      </c>
      <c r="AU94" s="686">
        <v>552989</v>
      </c>
      <c r="AV94" s="686">
        <v>0</v>
      </c>
      <c r="AW94" s="686">
        <v>3568204</v>
      </c>
      <c r="AX94" s="686">
        <v>0</v>
      </c>
      <c r="AY94" s="686">
        <v>76640</v>
      </c>
      <c r="AZ94" s="686">
        <v>1346936</v>
      </c>
      <c r="BA94" s="686">
        <v>5006</v>
      </c>
      <c r="BB94" s="686">
        <v>0</v>
      </c>
      <c r="BC94" s="686">
        <v>0</v>
      </c>
      <c r="BD94" s="686">
        <v>0</v>
      </c>
      <c r="BE94" s="686">
        <v>217472</v>
      </c>
      <c r="BF94" s="686">
        <v>0</v>
      </c>
      <c r="BG94" s="686">
        <v>0</v>
      </c>
      <c r="BH94" s="686">
        <v>0</v>
      </c>
      <c r="BI94" s="686">
        <v>0</v>
      </c>
      <c r="BJ94" s="686">
        <v>474</v>
      </c>
      <c r="BK94" s="686">
        <v>0</v>
      </c>
      <c r="BL94" s="686">
        <v>140972</v>
      </c>
      <c r="BM94" s="686">
        <v>1067342</v>
      </c>
      <c r="BN94" s="686">
        <v>168864</v>
      </c>
      <c r="BO94" s="686">
        <v>0</v>
      </c>
      <c r="BP94" s="686">
        <v>39115</v>
      </c>
      <c r="BQ94" s="686">
        <v>12100</v>
      </c>
      <c r="BR94" s="686">
        <v>0</v>
      </c>
      <c r="BS94" s="686">
        <v>25500</v>
      </c>
      <c r="BT94" s="686">
        <v>0</v>
      </c>
      <c r="BU94" s="686">
        <v>341062</v>
      </c>
      <c r="BV94" s="686">
        <v>10200</v>
      </c>
      <c r="BW94" s="686">
        <v>0</v>
      </c>
      <c r="BX94" s="686">
        <v>107630</v>
      </c>
      <c r="BY94" s="686">
        <v>81232</v>
      </c>
      <c r="BZ94" s="686">
        <v>0</v>
      </c>
      <c r="CA94" s="686">
        <v>21695</v>
      </c>
      <c r="CB94" s="686">
        <v>49000</v>
      </c>
      <c r="CC94" s="686">
        <v>24280</v>
      </c>
      <c r="CD94" s="686">
        <v>0</v>
      </c>
      <c r="CE94" s="686">
        <v>0</v>
      </c>
    </row>
    <row r="95" spans="1:83" x14ac:dyDescent="0.25">
      <c r="A95" s="622">
        <v>328</v>
      </c>
      <c r="B95" s="625">
        <v>328</v>
      </c>
      <c r="C95" s="653" t="s">
        <v>554</v>
      </c>
      <c r="D95" s="701" t="s">
        <v>415</v>
      </c>
      <c r="E95" s="638">
        <v>0</v>
      </c>
      <c r="F95" s="621">
        <v>0</v>
      </c>
      <c r="G95" s="621">
        <v>0</v>
      </c>
      <c r="H95" s="621">
        <v>0</v>
      </c>
      <c r="I95" s="621">
        <v>0</v>
      </c>
      <c r="J95" s="621">
        <v>0</v>
      </c>
      <c r="K95" s="672">
        <v>0</v>
      </c>
      <c r="L95" s="686">
        <v>0</v>
      </c>
      <c r="M95" s="686">
        <v>0</v>
      </c>
      <c r="N95" s="636">
        <v>0</v>
      </c>
      <c r="O95" s="636">
        <v>0</v>
      </c>
      <c r="P95" s="636">
        <v>0</v>
      </c>
      <c r="Q95" s="636">
        <v>0</v>
      </c>
      <c r="R95" s="636">
        <v>2529452</v>
      </c>
      <c r="S95" s="636">
        <v>0</v>
      </c>
      <c r="T95" s="636">
        <v>0</v>
      </c>
      <c r="U95" s="636">
        <v>11166437</v>
      </c>
      <c r="V95" s="636">
        <v>3319255</v>
      </c>
      <c r="W95" s="636">
        <v>5500001</v>
      </c>
      <c r="X95" s="636">
        <v>0</v>
      </c>
      <c r="Y95" s="636">
        <v>0</v>
      </c>
      <c r="Z95" s="636">
        <v>497826</v>
      </c>
      <c r="AA95" s="636">
        <v>137500</v>
      </c>
      <c r="AB95" s="686" t="e">
        <v>#VALUE!</v>
      </c>
      <c r="AC95" s="686">
        <v>3676756</v>
      </c>
      <c r="AD95" s="686" t="e">
        <v>#VALUE!</v>
      </c>
      <c r="AE95" s="686">
        <v>0</v>
      </c>
      <c r="AF95" s="686">
        <v>268890</v>
      </c>
      <c r="AG95" s="686">
        <v>0</v>
      </c>
      <c r="AH95" s="686">
        <v>2479115</v>
      </c>
      <c r="AI95" s="686">
        <v>0</v>
      </c>
      <c r="AJ95" s="686">
        <v>8445046</v>
      </c>
      <c r="AK95" s="686">
        <v>0</v>
      </c>
      <c r="AL95" s="686">
        <v>0</v>
      </c>
      <c r="AM95" s="686">
        <v>323923</v>
      </c>
      <c r="AN95" s="686">
        <v>100095</v>
      </c>
      <c r="AO95" s="686">
        <v>0</v>
      </c>
      <c r="AP95" s="686">
        <v>0</v>
      </c>
      <c r="AQ95" s="686">
        <v>0</v>
      </c>
      <c r="AR95" s="686">
        <v>0</v>
      </c>
      <c r="AS95" s="686">
        <v>1399678</v>
      </c>
      <c r="AT95" s="686">
        <v>0</v>
      </c>
      <c r="AU95" s="686">
        <v>32525</v>
      </c>
      <c r="AV95" s="686">
        <v>0</v>
      </c>
      <c r="AW95" s="686">
        <v>2462274</v>
      </c>
      <c r="AX95" s="686">
        <v>0</v>
      </c>
      <c r="AY95" s="686">
        <v>0</v>
      </c>
      <c r="AZ95" s="686">
        <v>0</v>
      </c>
      <c r="BA95" s="686">
        <v>0</v>
      </c>
      <c r="BB95" s="686">
        <v>0</v>
      </c>
      <c r="BC95" s="686">
        <v>0</v>
      </c>
      <c r="BD95" s="686">
        <v>0</v>
      </c>
      <c r="BE95" s="686">
        <v>1254680</v>
      </c>
      <c r="BF95" s="686">
        <v>0</v>
      </c>
      <c r="BG95" s="686">
        <v>12750</v>
      </c>
      <c r="BH95" s="686">
        <v>0</v>
      </c>
      <c r="BI95" s="686">
        <v>0</v>
      </c>
      <c r="BJ95" s="686">
        <v>54000</v>
      </c>
      <c r="BK95" s="686">
        <v>0</v>
      </c>
      <c r="BL95" s="686">
        <v>0</v>
      </c>
      <c r="BM95" s="686">
        <v>0</v>
      </c>
      <c r="BN95" s="686">
        <v>118675</v>
      </c>
      <c r="BO95" s="686">
        <v>16438</v>
      </c>
      <c r="BP95" s="686">
        <v>0</v>
      </c>
      <c r="BQ95" s="686">
        <v>0</v>
      </c>
      <c r="BR95" s="686">
        <v>0</v>
      </c>
      <c r="BS95" s="686">
        <v>0</v>
      </c>
      <c r="BT95" s="686">
        <v>0</v>
      </c>
      <c r="BU95" s="686">
        <v>17550</v>
      </c>
      <c r="BV95" s="686">
        <v>1391861</v>
      </c>
      <c r="BW95" s="686">
        <v>0</v>
      </c>
      <c r="BX95" s="686">
        <v>2817710</v>
      </c>
      <c r="BY95" s="686">
        <v>40000</v>
      </c>
      <c r="BZ95" s="686">
        <v>0</v>
      </c>
      <c r="CA95" s="686">
        <v>46525</v>
      </c>
      <c r="CB95" s="686">
        <v>0</v>
      </c>
      <c r="CC95" s="686">
        <v>0</v>
      </c>
      <c r="CD95" s="686">
        <v>0</v>
      </c>
      <c r="CE95" s="686">
        <v>0</v>
      </c>
    </row>
    <row r="96" spans="1:83" x14ac:dyDescent="0.25">
      <c r="A96" s="622"/>
      <c r="B96" s="625">
        <v>330</v>
      </c>
      <c r="C96" s="653" t="s">
        <v>640</v>
      </c>
      <c r="D96" s="701" t="s">
        <v>416</v>
      </c>
      <c r="E96" s="638"/>
      <c r="F96" s="621"/>
      <c r="G96" s="621"/>
      <c r="H96" s="621"/>
      <c r="I96" s="621"/>
      <c r="J96" s="621"/>
      <c r="K96" s="672"/>
      <c r="L96" s="686"/>
      <c r="M96" s="686"/>
      <c r="N96" s="636"/>
      <c r="O96" s="636"/>
      <c r="P96" s="636"/>
      <c r="Q96" s="636"/>
      <c r="R96" s="636"/>
      <c r="S96" s="636"/>
      <c r="T96" s="636"/>
      <c r="U96" s="636"/>
      <c r="V96" s="636"/>
      <c r="W96" s="636"/>
      <c r="X96" s="636"/>
      <c r="Y96" s="636"/>
      <c r="Z96" s="636"/>
      <c r="AA96" s="636"/>
      <c r="AB96" s="686"/>
      <c r="AC96" s="686"/>
      <c r="AD96" s="686"/>
      <c r="AE96" s="686"/>
      <c r="AF96" s="686"/>
      <c r="AG96" s="686"/>
      <c r="AH96" s="686"/>
      <c r="AI96" s="686"/>
      <c r="AJ96" s="686"/>
      <c r="AK96" s="686"/>
      <c r="AL96" s="686"/>
      <c r="AM96" s="686"/>
      <c r="AN96" s="686"/>
      <c r="AO96" s="686"/>
      <c r="AP96" s="686"/>
      <c r="AQ96" s="686"/>
      <c r="AR96" s="686"/>
      <c r="AS96" s="686"/>
      <c r="AT96" s="686"/>
      <c r="AU96" s="686"/>
      <c r="AV96" s="686"/>
      <c r="AW96" s="686"/>
      <c r="AX96" s="686"/>
      <c r="AY96" s="686"/>
      <c r="AZ96" s="686"/>
      <c r="BA96" s="686"/>
      <c r="BB96" s="686"/>
      <c r="BC96" s="686"/>
      <c r="BD96" s="686"/>
      <c r="BE96" s="686"/>
      <c r="BF96" s="686"/>
      <c r="BG96" s="686"/>
      <c r="BH96" s="686"/>
      <c r="BI96" s="686"/>
      <c r="BJ96" s="686"/>
      <c r="BK96" s="686"/>
      <c r="BL96" s="686"/>
      <c r="BM96" s="686"/>
      <c r="BN96" s="686"/>
      <c r="BO96" s="686"/>
      <c r="BP96" s="686"/>
      <c r="BQ96" s="686"/>
      <c r="BR96" s="686"/>
      <c r="BS96" s="686"/>
      <c r="BT96" s="686"/>
      <c r="BU96" s="686"/>
      <c r="BV96" s="686"/>
      <c r="BW96" s="686"/>
      <c r="BX96" s="686"/>
      <c r="BY96" s="686"/>
      <c r="BZ96" s="686"/>
      <c r="CA96" s="686"/>
      <c r="CB96" s="686"/>
      <c r="CC96" s="686"/>
      <c r="CD96" s="686"/>
      <c r="CE96" s="686"/>
    </row>
    <row r="97" spans="1:83" x14ac:dyDescent="0.25">
      <c r="A97" s="622">
        <v>331</v>
      </c>
      <c r="B97" s="625">
        <v>331</v>
      </c>
      <c r="C97" s="653" t="s">
        <v>250</v>
      </c>
      <c r="D97" s="701" t="s">
        <v>417</v>
      </c>
      <c r="E97" s="638">
        <v>22000</v>
      </c>
      <c r="F97" s="621">
        <v>0</v>
      </c>
      <c r="G97" s="621">
        <v>112813</v>
      </c>
      <c r="H97" s="621">
        <v>0</v>
      </c>
      <c r="I97" s="621">
        <v>0</v>
      </c>
      <c r="J97" s="621">
        <v>0</v>
      </c>
      <c r="K97" s="672">
        <v>12500</v>
      </c>
      <c r="L97" s="686">
        <v>0</v>
      </c>
      <c r="M97" s="686">
        <v>0</v>
      </c>
      <c r="N97" s="636">
        <v>0</v>
      </c>
      <c r="O97" s="636">
        <v>0</v>
      </c>
      <c r="P97" s="636">
        <v>0</v>
      </c>
      <c r="Q97" s="636">
        <v>0</v>
      </c>
      <c r="R97" s="636">
        <v>1144072</v>
      </c>
      <c r="S97" s="636">
        <v>83927</v>
      </c>
      <c r="T97" s="636">
        <v>0</v>
      </c>
      <c r="U97" s="636">
        <v>3897951</v>
      </c>
      <c r="V97" s="636">
        <v>1119741</v>
      </c>
      <c r="W97" s="636">
        <v>1774977</v>
      </c>
      <c r="X97" s="636">
        <v>0</v>
      </c>
      <c r="Y97" s="636">
        <v>0</v>
      </c>
      <c r="Z97" s="636">
        <v>1164949</v>
      </c>
      <c r="AA97" s="636">
        <v>27000</v>
      </c>
      <c r="AB97" s="686" t="e">
        <v>#VALUE!</v>
      </c>
      <c r="AC97" s="686">
        <v>321678</v>
      </c>
      <c r="AD97" s="686" t="e">
        <v>#VALUE!</v>
      </c>
      <c r="AE97" s="686">
        <v>312366</v>
      </c>
      <c r="AF97" s="686">
        <v>32920</v>
      </c>
      <c r="AG97" s="686">
        <v>144227</v>
      </c>
      <c r="AH97" s="686">
        <v>45500</v>
      </c>
      <c r="AI97" s="686">
        <v>31908</v>
      </c>
      <c r="AJ97" s="686">
        <v>5225128</v>
      </c>
      <c r="AK97" s="686">
        <v>0</v>
      </c>
      <c r="AL97" s="686">
        <v>39250</v>
      </c>
      <c r="AM97" s="686">
        <v>568411</v>
      </c>
      <c r="AN97" s="686">
        <v>1497473</v>
      </c>
      <c r="AO97" s="686">
        <v>18000</v>
      </c>
      <c r="AP97" s="686">
        <v>36862</v>
      </c>
      <c r="AQ97" s="686">
        <v>0</v>
      </c>
      <c r="AR97" s="686">
        <v>0</v>
      </c>
      <c r="AS97" s="686">
        <v>546423</v>
      </c>
      <c r="AT97" s="686">
        <v>61052</v>
      </c>
      <c r="AU97" s="686">
        <v>305023</v>
      </c>
      <c r="AV97" s="686">
        <v>0</v>
      </c>
      <c r="AW97" s="686">
        <v>3507181</v>
      </c>
      <c r="AX97" s="686">
        <v>0</v>
      </c>
      <c r="AY97" s="686">
        <v>337765</v>
      </c>
      <c r="AZ97" s="686">
        <v>0</v>
      </c>
      <c r="BA97" s="686">
        <v>29000</v>
      </c>
      <c r="BB97" s="686">
        <v>0</v>
      </c>
      <c r="BC97" s="686">
        <v>0</v>
      </c>
      <c r="BD97" s="686">
        <v>0</v>
      </c>
      <c r="BE97" s="686">
        <v>774966</v>
      </c>
      <c r="BF97" s="686">
        <v>0</v>
      </c>
      <c r="BG97" s="686">
        <v>28072</v>
      </c>
      <c r="BH97" s="686">
        <v>0</v>
      </c>
      <c r="BI97" s="686">
        <v>0</v>
      </c>
      <c r="BJ97" s="686">
        <v>5558</v>
      </c>
      <c r="BK97" s="686">
        <v>0</v>
      </c>
      <c r="BL97" s="686">
        <v>85474</v>
      </c>
      <c r="BM97" s="686">
        <v>25000</v>
      </c>
      <c r="BN97" s="686">
        <v>107073</v>
      </c>
      <c r="BO97" s="686">
        <v>138000</v>
      </c>
      <c r="BP97" s="686">
        <v>52742</v>
      </c>
      <c r="BQ97" s="686">
        <v>39966</v>
      </c>
      <c r="BR97" s="686">
        <v>0</v>
      </c>
      <c r="BS97" s="686">
        <v>0</v>
      </c>
      <c r="BT97" s="686">
        <v>0</v>
      </c>
      <c r="BU97" s="686">
        <v>17963</v>
      </c>
      <c r="BV97" s="686">
        <v>170756</v>
      </c>
      <c r="BW97" s="686">
        <v>0</v>
      </c>
      <c r="BX97" s="686">
        <v>191442</v>
      </c>
      <c r="BY97" s="686">
        <v>0</v>
      </c>
      <c r="BZ97" s="686">
        <v>0</v>
      </c>
      <c r="CA97" s="686">
        <v>31083</v>
      </c>
      <c r="CB97" s="686">
        <v>7000</v>
      </c>
      <c r="CC97" s="686">
        <v>78136</v>
      </c>
      <c r="CD97" s="686">
        <v>0</v>
      </c>
      <c r="CE97" s="686">
        <v>0</v>
      </c>
    </row>
    <row r="98" spans="1:83" x14ac:dyDescent="0.25">
      <c r="A98" s="622">
        <v>332</v>
      </c>
      <c r="B98" s="625">
        <v>332</v>
      </c>
      <c r="C98" s="653" t="s">
        <v>251</v>
      </c>
      <c r="D98" s="701" t="s">
        <v>418</v>
      </c>
      <c r="E98" s="638">
        <v>5000</v>
      </c>
      <c r="F98" s="621">
        <v>0</v>
      </c>
      <c r="G98" s="621">
        <v>10832</v>
      </c>
      <c r="H98" s="621">
        <v>0</v>
      </c>
      <c r="I98" s="621">
        <v>0</v>
      </c>
      <c r="J98" s="621">
        <v>0</v>
      </c>
      <c r="K98" s="672">
        <v>0</v>
      </c>
      <c r="L98" s="686">
        <v>0</v>
      </c>
      <c r="M98" s="686">
        <v>0</v>
      </c>
      <c r="N98" s="636">
        <v>0</v>
      </c>
      <c r="O98" s="636">
        <v>0</v>
      </c>
      <c r="P98" s="636">
        <v>659482</v>
      </c>
      <c r="Q98" s="636">
        <v>0</v>
      </c>
      <c r="R98" s="636">
        <v>8037181</v>
      </c>
      <c r="S98" s="636">
        <v>0</v>
      </c>
      <c r="T98" s="636">
        <v>0</v>
      </c>
      <c r="U98" s="636">
        <v>3541877</v>
      </c>
      <c r="V98" s="636">
        <v>2093939</v>
      </c>
      <c r="W98" s="636">
        <v>6198938</v>
      </c>
      <c r="X98" s="636">
        <v>0</v>
      </c>
      <c r="Y98" s="636">
        <v>27638</v>
      </c>
      <c r="Z98" s="636">
        <v>681463</v>
      </c>
      <c r="AA98" s="636">
        <v>113181</v>
      </c>
      <c r="AB98" s="686" t="e">
        <v>#VALUE!</v>
      </c>
      <c r="AC98" s="686">
        <v>3307649</v>
      </c>
      <c r="AD98" s="686" t="e">
        <v>#VALUE!</v>
      </c>
      <c r="AE98" s="686">
        <v>0</v>
      </c>
      <c r="AF98" s="686">
        <v>364952</v>
      </c>
      <c r="AG98" s="686">
        <v>172049</v>
      </c>
      <c r="AH98" s="686">
        <v>2044835</v>
      </c>
      <c r="AI98" s="686">
        <v>0</v>
      </c>
      <c r="AJ98" s="686">
        <v>4895625</v>
      </c>
      <c r="AK98" s="686">
        <v>0</v>
      </c>
      <c r="AL98" s="686">
        <v>0</v>
      </c>
      <c r="AM98" s="686">
        <v>138459</v>
      </c>
      <c r="AN98" s="686">
        <v>1289586</v>
      </c>
      <c r="AO98" s="686">
        <v>63559</v>
      </c>
      <c r="AP98" s="686">
        <v>0</v>
      </c>
      <c r="AQ98" s="686">
        <v>0</v>
      </c>
      <c r="AR98" s="686">
        <v>0</v>
      </c>
      <c r="AS98" s="686">
        <v>636455</v>
      </c>
      <c r="AT98" s="686">
        <v>0</v>
      </c>
      <c r="AU98" s="686">
        <v>993051</v>
      </c>
      <c r="AV98" s="686">
        <v>0</v>
      </c>
      <c r="AW98" s="686">
        <v>2960925</v>
      </c>
      <c r="AX98" s="686">
        <v>0</v>
      </c>
      <c r="AY98" s="686">
        <v>176900</v>
      </c>
      <c r="AZ98" s="686">
        <v>207780</v>
      </c>
      <c r="BA98" s="686">
        <v>0</v>
      </c>
      <c r="BB98" s="686">
        <v>0</v>
      </c>
      <c r="BC98" s="686">
        <v>0</v>
      </c>
      <c r="BD98" s="686">
        <v>0</v>
      </c>
      <c r="BE98" s="686">
        <v>1515049</v>
      </c>
      <c r="BF98" s="686">
        <v>0</v>
      </c>
      <c r="BG98" s="686">
        <v>16959</v>
      </c>
      <c r="BH98" s="686">
        <v>0</v>
      </c>
      <c r="BI98" s="686">
        <v>0</v>
      </c>
      <c r="BJ98" s="686">
        <v>0</v>
      </c>
      <c r="BK98" s="686">
        <v>0</v>
      </c>
      <c r="BL98" s="686">
        <v>446224</v>
      </c>
      <c r="BM98" s="686">
        <v>925465</v>
      </c>
      <c r="BN98" s="686">
        <v>202894</v>
      </c>
      <c r="BO98" s="686">
        <v>16163</v>
      </c>
      <c r="BP98" s="686">
        <v>1345</v>
      </c>
      <c r="BQ98" s="686">
        <v>0</v>
      </c>
      <c r="BR98" s="686">
        <v>0</v>
      </c>
      <c r="BS98" s="686">
        <v>23145</v>
      </c>
      <c r="BT98" s="686">
        <v>0</v>
      </c>
      <c r="BU98" s="686">
        <v>25623</v>
      </c>
      <c r="BV98" s="686">
        <v>1317463</v>
      </c>
      <c r="BW98" s="686">
        <v>0</v>
      </c>
      <c r="BX98" s="686">
        <v>1846628</v>
      </c>
      <c r="BY98" s="686">
        <v>6340</v>
      </c>
      <c r="BZ98" s="686">
        <v>0</v>
      </c>
      <c r="CA98" s="686">
        <v>478633</v>
      </c>
      <c r="CB98" s="686">
        <v>0</v>
      </c>
      <c r="CC98" s="686">
        <v>3708</v>
      </c>
      <c r="CD98" s="686">
        <v>0</v>
      </c>
      <c r="CE98" s="686">
        <v>0</v>
      </c>
    </row>
    <row r="99" spans="1:83" x14ac:dyDescent="0.25">
      <c r="A99" s="622">
        <v>333</v>
      </c>
      <c r="B99" s="625">
        <v>333</v>
      </c>
      <c r="C99" s="653" t="s">
        <v>187</v>
      </c>
      <c r="D99" s="701" t="s">
        <v>419</v>
      </c>
      <c r="E99" s="638">
        <v>129528</v>
      </c>
      <c r="F99" s="621">
        <v>82149</v>
      </c>
      <c r="G99" s="621">
        <v>704125</v>
      </c>
      <c r="H99" s="621">
        <v>3434813</v>
      </c>
      <c r="I99" s="621">
        <v>4323708</v>
      </c>
      <c r="J99" s="621">
        <v>4324868</v>
      </c>
      <c r="K99" s="672">
        <v>96988</v>
      </c>
      <c r="L99" s="686">
        <v>748966</v>
      </c>
      <c r="M99" s="686">
        <v>871340</v>
      </c>
      <c r="N99" s="636">
        <v>7883017</v>
      </c>
      <c r="O99" s="636">
        <v>514382</v>
      </c>
      <c r="P99" s="636">
        <v>5774120</v>
      </c>
      <c r="Q99" s="636">
        <v>251464</v>
      </c>
      <c r="R99" s="636">
        <v>35942514</v>
      </c>
      <c r="S99" s="636">
        <v>1823516</v>
      </c>
      <c r="T99" s="636">
        <v>203605</v>
      </c>
      <c r="U99" s="636">
        <v>29333501</v>
      </c>
      <c r="V99" s="636">
        <v>10765605</v>
      </c>
      <c r="W99" s="636">
        <v>17147303</v>
      </c>
      <c r="X99" s="636">
        <v>35033610</v>
      </c>
      <c r="Y99" s="636">
        <v>92759</v>
      </c>
      <c r="Z99" s="636">
        <v>13049043</v>
      </c>
      <c r="AA99" s="636">
        <v>1373503</v>
      </c>
      <c r="AB99" s="686" t="e">
        <v>#VALUE!</v>
      </c>
      <c r="AC99" s="686">
        <v>533069</v>
      </c>
      <c r="AD99" s="686" t="e">
        <v>#VALUE!</v>
      </c>
      <c r="AE99" s="686">
        <v>705702</v>
      </c>
      <c r="AF99" s="686">
        <v>3271047</v>
      </c>
      <c r="AG99" s="686">
        <v>10203426</v>
      </c>
      <c r="AH99" s="686">
        <v>4545656</v>
      </c>
      <c r="AI99" s="686">
        <v>735407</v>
      </c>
      <c r="AJ99" s="686">
        <v>21881190</v>
      </c>
      <c r="AK99" s="686">
        <v>2827919</v>
      </c>
      <c r="AL99" s="686">
        <v>586653</v>
      </c>
      <c r="AM99" s="686">
        <v>1713779</v>
      </c>
      <c r="AN99" s="686">
        <v>8934260</v>
      </c>
      <c r="AO99" s="686">
        <v>555703</v>
      </c>
      <c r="AP99" s="686">
        <v>192389</v>
      </c>
      <c r="AQ99" s="686">
        <v>80867</v>
      </c>
      <c r="AR99" s="686">
        <v>2897513</v>
      </c>
      <c r="AS99" s="686">
        <v>16396972</v>
      </c>
      <c r="AT99" s="686">
        <v>473161</v>
      </c>
      <c r="AU99" s="686">
        <v>1062081</v>
      </c>
      <c r="AV99" s="686">
        <v>346830</v>
      </c>
      <c r="AW99" s="686">
        <v>16641719</v>
      </c>
      <c r="AX99" s="686">
        <v>3537955</v>
      </c>
      <c r="AY99" s="686">
        <v>1011330</v>
      </c>
      <c r="AZ99" s="686">
        <v>15199879</v>
      </c>
      <c r="BA99" s="686">
        <v>1888718</v>
      </c>
      <c r="BB99" s="686">
        <v>733296</v>
      </c>
      <c r="BC99" s="686">
        <v>88430</v>
      </c>
      <c r="BD99" s="686">
        <v>275454</v>
      </c>
      <c r="BE99" s="686">
        <v>3189465</v>
      </c>
      <c r="BF99" s="686">
        <v>437697</v>
      </c>
      <c r="BG99" s="686">
        <v>705937</v>
      </c>
      <c r="BH99" s="686">
        <v>105323</v>
      </c>
      <c r="BI99" s="686">
        <v>266786</v>
      </c>
      <c r="BJ99" s="686">
        <v>452871</v>
      </c>
      <c r="BK99" s="686">
        <v>219285</v>
      </c>
      <c r="BL99" s="686">
        <v>1309704</v>
      </c>
      <c r="BM99" s="686">
        <v>131108</v>
      </c>
      <c r="BN99" s="686">
        <v>597802</v>
      </c>
      <c r="BO99" s="686">
        <v>5101132</v>
      </c>
      <c r="BP99" s="686">
        <v>709155</v>
      </c>
      <c r="BQ99" s="686">
        <v>1827425</v>
      </c>
      <c r="BR99" s="686">
        <v>10107104</v>
      </c>
      <c r="BS99" s="686">
        <v>491214</v>
      </c>
      <c r="BT99" s="686">
        <v>20152643</v>
      </c>
      <c r="BU99" s="686">
        <v>567969</v>
      </c>
      <c r="BV99" s="686">
        <v>4782841</v>
      </c>
      <c r="BW99" s="686">
        <v>2505637</v>
      </c>
      <c r="BX99" s="686">
        <v>988992</v>
      </c>
      <c r="BY99" s="686">
        <v>1575596</v>
      </c>
      <c r="BZ99" s="686">
        <v>157282</v>
      </c>
      <c r="CA99" s="686">
        <v>214239</v>
      </c>
      <c r="CB99" s="686">
        <v>89850</v>
      </c>
      <c r="CC99" s="686">
        <v>315962</v>
      </c>
      <c r="CD99" s="686">
        <v>0</v>
      </c>
      <c r="CE99" s="686">
        <v>342372</v>
      </c>
    </row>
    <row r="100" spans="1:83" x14ac:dyDescent="0.25">
      <c r="A100" s="622">
        <v>334</v>
      </c>
      <c r="B100" s="625">
        <v>334</v>
      </c>
      <c r="C100" s="653" t="s">
        <v>279</v>
      </c>
      <c r="D100" s="701" t="s">
        <v>420</v>
      </c>
      <c r="E100" s="638">
        <v>491559</v>
      </c>
      <c r="F100" s="621">
        <v>237086</v>
      </c>
      <c r="G100" s="621">
        <v>1585962</v>
      </c>
      <c r="H100" s="621">
        <v>3307344</v>
      </c>
      <c r="I100" s="621">
        <v>1858233</v>
      </c>
      <c r="J100" s="621">
        <v>3739723</v>
      </c>
      <c r="K100" s="672">
        <v>63968</v>
      </c>
      <c r="L100" s="686">
        <v>1132759</v>
      </c>
      <c r="M100" s="686">
        <v>579509</v>
      </c>
      <c r="N100" s="636">
        <v>71533527</v>
      </c>
      <c r="O100" s="636">
        <v>673490</v>
      </c>
      <c r="P100" s="636">
        <v>11426524</v>
      </c>
      <c r="Q100" s="636">
        <v>238647</v>
      </c>
      <c r="R100" s="636">
        <v>144043920</v>
      </c>
      <c r="S100" s="636">
        <v>3097895</v>
      </c>
      <c r="T100" s="636">
        <v>273576</v>
      </c>
      <c r="U100" s="636">
        <v>235920385</v>
      </c>
      <c r="V100" s="636">
        <v>39204844</v>
      </c>
      <c r="W100" s="636">
        <v>98595938</v>
      </c>
      <c r="X100" s="636">
        <v>126793040</v>
      </c>
      <c r="Y100" s="636">
        <v>401865</v>
      </c>
      <c r="Z100" s="636">
        <v>47113103</v>
      </c>
      <c r="AA100" s="636">
        <v>2695564</v>
      </c>
      <c r="AB100" s="686" t="e">
        <v>#VALUE!</v>
      </c>
      <c r="AC100" s="686">
        <v>10603479</v>
      </c>
      <c r="AD100" s="686" t="e">
        <v>#VALUE!</v>
      </c>
      <c r="AE100" s="686">
        <v>4332400</v>
      </c>
      <c r="AF100" s="686">
        <v>6337816</v>
      </c>
      <c r="AG100" s="686">
        <v>61735705</v>
      </c>
      <c r="AH100" s="686">
        <v>10771193</v>
      </c>
      <c r="AI100" s="686">
        <v>3460690</v>
      </c>
      <c r="AJ100" s="686">
        <v>75441825</v>
      </c>
      <c r="AK100" s="686">
        <v>4128305</v>
      </c>
      <c r="AL100" s="686">
        <v>2600241</v>
      </c>
      <c r="AM100" s="686">
        <v>3735249</v>
      </c>
      <c r="AN100" s="686">
        <v>31918326</v>
      </c>
      <c r="AO100" s="686">
        <v>676639</v>
      </c>
      <c r="AP100" s="686">
        <v>618122</v>
      </c>
      <c r="AQ100" s="686">
        <v>147732</v>
      </c>
      <c r="AR100" s="686">
        <v>36871376</v>
      </c>
      <c r="AS100" s="686">
        <v>49197782</v>
      </c>
      <c r="AT100" s="686">
        <v>550715</v>
      </c>
      <c r="AU100" s="686">
        <v>3977943</v>
      </c>
      <c r="AV100" s="686">
        <v>563154</v>
      </c>
      <c r="AW100" s="686">
        <v>30506377</v>
      </c>
      <c r="AX100" s="686">
        <v>5967086</v>
      </c>
      <c r="AY100" s="686">
        <v>4366412</v>
      </c>
      <c r="AZ100" s="686">
        <v>6165294</v>
      </c>
      <c r="BA100" s="686">
        <v>3191565</v>
      </c>
      <c r="BB100" s="686">
        <v>925854</v>
      </c>
      <c r="BC100" s="686">
        <v>68878</v>
      </c>
      <c r="BD100" s="686">
        <v>24018</v>
      </c>
      <c r="BE100" s="686">
        <v>14478384</v>
      </c>
      <c r="BF100" s="686">
        <v>513212</v>
      </c>
      <c r="BG100" s="686">
        <v>294151</v>
      </c>
      <c r="BH100" s="686">
        <v>245598</v>
      </c>
      <c r="BI100" s="686">
        <v>137781</v>
      </c>
      <c r="BJ100" s="686">
        <v>532961</v>
      </c>
      <c r="BK100" s="686">
        <v>148773</v>
      </c>
      <c r="BL100" s="686">
        <v>9409752</v>
      </c>
      <c r="BM100" s="686">
        <v>849432</v>
      </c>
      <c r="BN100" s="686">
        <v>3286700</v>
      </c>
      <c r="BO100" s="686">
        <v>8731103</v>
      </c>
      <c r="BP100" s="686">
        <v>2352834</v>
      </c>
      <c r="BQ100" s="686">
        <v>4410103</v>
      </c>
      <c r="BR100" s="686">
        <v>38003058</v>
      </c>
      <c r="BS100" s="686">
        <v>2112461</v>
      </c>
      <c r="BT100" s="686">
        <v>37179323</v>
      </c>
      <c r="BU100" s="686">
        <v>2519048</v>
      </c>
      <c r="BV100" s="686">
        <v>6400418</v>
      </c>
      <c r="BW100" s="686">
        <v>2578864</v>
      </c>
      <c r="BX100" s="686">
        <v>5656047</v>
      </c>
      <c r="BY100" s="686">
        <v>803075</v>
      </c>
      <c r="BZ100" s="686">
        <v>173082</v>
      </c>
      <c r="CA100" s="686">
        <v>896533</v>
      </c>
      <c r="CB100" s="686">
        <v>84874</v>
      </c>
      <c r="CC100" s="686">
        <v>2060120</v>
      </c>
      <c r="CD100" s="686">
        <v>0</v>
      </c>
      <c r="CE100" s="686">
        <v>199375</v>
      </c>
    </row>
    <row r="101" spans="1:83" ht="30" x14ac:dyDescent="0.25">
      <c r="A101" s="622">
        <v>335</v>
      </c>
      <c r="B101" s="625">
        <v>335</v>
      </c>
      <c r="C101" s="653" t="s">
        <v>119</v>
      </c>
      <c r="D101" s="701" t="s">
        <v>421</v>
      </c>
      <c r="E101" s="638">
        <v>0</v>
      </c>
      <c r="F101" s="621">
        <v>0</v>
      </c>
      <c r="G101" s="621">
        <v>0</v>
      </c>
      <c r="H101" s="621">
        <v>0</v>
      </c>
      <c r="I101" s="621">
        <v>0</v>
      </c>
      <c r="J101" s="621">
        <v>0</v>
      </c>
      <c r="K101" s="672">
        <v>0</v>
      </c>
      <c r="L101" s="686">
        <v>0</v>
      </c>
      <c r="M101" s="686">
        <v>0</v>
      </c>
      <c r="N101" s="636">
        <v>0</v>
      </c>
      <c r="O101" s="636">
        <v>0</v>
      </c>
      <c r="P101" s="636">
        <v>0</v>
      </c>
      <c r="Q101" s="636">
        <v>0</v>
      </c>
      <c r="R101" s="636">
        <v>2232</v>
      </c>
      <c r="S101" s="636">
        <v>0</v>
      </c>
      <c r="T101" s="636">
        <v>0</v>
      </c>
      <c r="U101" s="636">
        <v>166817</v>
      </c>
      <c r="V101" s="636">
        <v>0</v>
      </c>
      <c r="W101" s="636">
        <v>0</v>
      </c>
      <c r="X101" s="636">
        <v>350000</v>
      </c>
      <c r="Y101" s="636">
        <v>0</v>
      </c>
      <c r="Z101" s="636">
        <v>122676</v>
      </c>
      <c r="AA101" s="636">
        <v>0</v>
      </c>
      <c r="AB101" s="686" t="e">
        <v>#VALUE!</v>
      </c>
      <c r="AC101" s="686">
        <v>0</v>
      </c>
      <c r="AD101" s="686" t="e">
        <v>#VALUE!</v>
      </c>
      <c r="AE101" s="686">
        <v>0</v>
      </c>
      <c r="AF101" s="686">
        <v>0</v>
      </c>
      <c r="AG101" s="686">
        <v>205</v>
      </c>
      <c r="AH101" s="686">
        <v>0</v>
      </c>
      <c r="AI101" s="686">
        <v>0</v>
      </c>
      <c r="AJ101" s="686">
        <v>0</v>
      </c>
      <c r="AK101" s="686">
        <v>0</v>
      </c>
      <c r="AL101" s="686">
        <v>0</v>
      </c>
      <c r="AM101" s="686">
        <v>0</v>
      </c>
      <c r="AN101" s="686">
        <v>0</v>
      </c>
      <c r="AO101" s="686">
        <v>0</v>
      </c>
      <c r="AP101" s="686">
        <v>0</v>
      </c>
      <c r="AQ101" s="686">
        <v>0</v>
      </c>
      <c r="AR101" s="686">
        <v>0</v>
      </c>
      <c r="AS101" s="686">
        <v>0</v>
      </c>
      <c r="AT101" s="686">
        <v>0</v>
      </c>
      <c r="AU101" s="686">
        <v>6048</v>
      </c>
      <c r="AV101" s="686">
        <v>0</v>
      </c>
      <c r="AW101" s="686">
        <v>0</v>
      </c>
      <c r="AX101" s="686">
        <v>25067</v>
      </c>
      <c r="AY101" s="686">
        <v>0</v>
      </c>
      <c r="AZ101" s="686">
        <v>0</v>
      </c>
      <c r="BA101" s="686">
        <v>0</v>
      </c>
      <c r="BB101" s="686">
        <v>0</v>
      </c>
      <c r="BC101" s="686">
        <v>0</v>
      </c>
      <c r="BD101" s="686">
        <v>0</v>
      </c>
      <c r="BE101" s="686">
        <v>0</v>
      </c>
      <c r="BF101" s="686">
        <v>0</v>
      </c>
      <c r="BG101" s="686">
        <v>0</v>
      </c>
      <c r="BH101" s="686">
        <v>0</v>
      </c>
      <c r="BI101" s="686">
        <v>0</v>
      </c>
      <c r="BJ101" s="686">
        <v>0</v>
      </c>
      <c r="BK101" s="686">
        <v>0</v>
      </c>
      <c r="BL101" s="686">
        <v>0</v>
      </c>
      <c r="BM101" s="686">
        <v>0</v>
      </c>
      <c r="BN101" s="686">
        <v>0</v>
      </c>
      <c r="BO101" s="686">
        <v>14853</v>
      </c>
      <c r="BP101" s="686">
        <v>0</v>
      </c>
      <c r="BQ101" s="686">
        <v>0</v>
      </c>
      <c r="BR101" s="686">
        <v>0</v>
      </c>
      <c r="BS101" s="686">
        <v>0</v>
      </c>
      <c r="BT101" s="686">
        <v>0</v>
      </c>
      <c r="BU101" s="686">
        <v>0</v>
      </c>
      <c r="BV101" s="686">
        <v>0</v>
      </c>
      <c r="BW101" s="686">
        <v>0</v>
      </c>
      <c r="BX101" s="686">
        <v>0</v>
      </c>
      <c r="BY101" s="686">
        <v>0</v>
      </c>
      <c r="BZ101" s="686">
        <v>0</v>
      </c>
      <c r="CA101" s="686">
        <v>0</v>
      </c>
      <c r="CB101" s="686">
        <v>0</v>
      </c>
      <c r="CC101" s="686">
        <v>0</v>
      </c>
      <c r="CD101" s="686">
        <v>0</v>
      </c>
      <c r="CE101" s="686">
        <v>0</v>
      </c>
    </row>
    <row r="102" spans="1:83" x14ac:dyDescent="0.25">
      <c r="A102" s="622">
        <v>336</v>
      </c>
      <c r="B102" s="625">
        <v>336</v>
      </c>
      <c r="C102" s="653" t="s">
        <v>641</v>
      </c>
      <c r="D102" s="701" t="s">
        <v>422</v>
      </c>
      <c r="E102" s="638">
        <v>25249</v>
      </c>
      <c r="F102" s="621">
        <v>4059</v>
      </c>
      <c r="G102" s="621">
        <v>14196</v>
      </c>
      <c r="H102" s="621">
        <v>101375</v>
      </c>
      <c r="I102" s="621">
        <v>38594</v>
      </c>
      <c r="J102" s="621">
        <v>136941</v>
      </c>
      <c r="K102" s="672">
        <v>630</v>
      </c>
      <c r="L102" s="686">
        <v>1692</v>
      </c>
      <c r="M102" s="686">
        <v>7165</v>
      </c>
      <c r="N102" s="636">
        <v>1074090</v>
      </c>
      <c r="O102" s="636">
        <v>44900</v>
      </c>
      <c r="P102" s="636">
        <v>292480</v>
      </c>
      <c r="Q102" s="636">
        <v>892</v>
      </c>
      <c r="R102" s="636">
        <v>3134666</v>
      </c>
      <c r="S102" s="636">
        <v>116869</v>
      </c>
      <c r="T102" s="636">
        <v>3092</v>
      </c>
      <c r="U102" s="636">
        <v>13595614</v>
      </c>
      <c r="V102" s="636">
        <v>1570507</v>
      </c>
      <c r="W102" s="636">
        <v>2642108</v>
      </c>
      <c r="X102" s="636">
        <v>4371795</v>
      </c>
      <c r="Y102" s="636">
        <v>18154</v>
      </c>
      <c r="Z102" s="636">
        <v>1097554</v>
      </c>
      <c r="AA102" s="636">
        <v>74813</v>
      </c>
      <c r="AB102" s="686" t="e">
        <v>#VALUE!</v>
      </c>
      <c r="AC102" s="686">
        <v>242874</v>
      </c>
      <c r="AD102" s="686" t="e">
        <v>#VALUE!</v>
      </c>
      <c r="AE102" s="686">
        <v>101061</v>
      </c>
      <c r="AF102" s="686">
        <v>101303</v>
      </c>
      <c r="AG102" s="686">
        <v>1439126</v>
      </c>
      <c r="AH102" s="686">
        <v>120764</v>
      </c>
      <c r="AI102" s="686">
        <v>29280</v>
      </c>
      <c r="AJ102" s="686">
        <v>6378164</v>
      </c>
      <c r="AK102" s="686">
        <v>7138</v>
      </c>
      <c r="AL102" s="686">
        <v>53730</v>
      </c>
      <c r="AM102" s="686">
        <v>157160</v>
      </c>
      <c r="AN102" s="686">
        <v>2434734</v>
      </c>
      <c r="AO102" s="686">
        <v>8697</v>
      </c>
      <c r="AP102" s="686">
        <v>47309</v>
      </c>
      <c r="AQ102" s="686">
        <v>623</v>
      </c>
      <c r="AR102" s="686">
        <v>702025</v>
      </c>
      <c r="AS102" s="686">
        <v>327521</v>
      </c>
      <c r="AT102" s="686">
        <v>35595</v>
      </c>
      <c r="AU102" s="686">
        <v>98495</v>
      </c>
      <c r="AV102" s="686">
        <v>12904</v>
      </c>
      <c r="AW102" s="686">
        <v>1946228</v>
      </c>
      <c r="AX102" s="686">
        <v>53402</v>
      </c>
      <c r="AY102" s="686">
        <v>103678</v>
      </c>
      <c r="AZ102" s="686">
        <v>524460</v>
      </c>
      <c r="BA102" s="686">
        <v>41221</v>
      </c>
      <c r="BB102" s="686">
        <v>42664</v>
      </c>
      <c r="BC102" s="686">
        <v>0</v>
      </c>
      <c r="BD102" s="686">
        <v>7453</v>
      </c>
      <c r="BE102" s="686">
        <v>5688833</v>
      </c>
      <c r="BF102" s="686">
        <v>1434</v>
      </c>
      <c r="BG102" s="686">
        <v>7100</v>
      </c>
      <c r="BH102" s="686">
        <v>13361</v>
      </c>
      <c r="BI102" s="686">
        <v>1381</v>
      </c>
      <c r="BJ102" s="686">
        <v>7129</v>
      </c>
      <c r="BK102" s="686">
        <v>18613</v>
      </c>
      <c r="BL102" s="686">
        <v>326557</v>
      </c>
      <c r="BM102" s="686">
        <v>16543</v>
      </c>
      <c r="BN102" s="686">
        <v>76211</v>
      </c>
      <c r="BO102" s="686">
        <v>358269</v>
      </c>
      <c r="BP102" s="686">
        <v>46769</v>
      </c>
      <c r="BQ102" s="686">
        <v>73303</v>
      </c>
      <c r="BR102" s="686">
        <v>1283215</v>
      </c>
      <c r="BS102" s="686">
        <v>86947</v>
      </c>
      <c r="BT102" s="686">
        <v>1691030</v>
      </c>
      <c r="BU102" s="686">
        <v>35372</v>
      </c>
      <c r="BV102" s="686">
        <v>241347</v>
      </c>
      <c r="BW102" s="686">
        <v>21307</v>
      </c>
      <c r="BX102" s="686">
        <v>202467</v>
      </c>
      <c r="BY102" s="686">
        <v>35950</v>
      </c>
      <c r="BZ102" s="686">
        <v>4756</v>
      </c>
      <c r="CA102" s="686">
        <v>4004</v>
      </c>
      <c r="CB102" s="686">
        <v>1212</v>
      </c>
      <c r="CC102" s="686">
        <v>152738</v>
      </c>
      <c r="CD102" s="686">
        <v>0</v>
      </c>
      <c r="CE102" s="686">
        <v>3647</v>
      </c>
    </row>
    <row r="103" spans="1:83" x14ac:dyDescent="0.25">
      <c r="A103" s="622">
        <v>337</v>
      </c>
      <c r="B103" s="625">
        <v>337</v>
      </c>
      <c r="C103" s="653" t="s">
        <v>257</v>
      </c>
      <c r="D103" s="701" t="s">
        <v>423</v>
      </c>
      <c r="E103" s="638">
        <v>8770</v>
      </c>
      <c r="F103" s="621">
        <v>12900</v>
      </c>
      <c r="G103" s="621">
        <v>22000</v>
      </c>
      <c r="H103" s="621">
        <v>671882</v>
      </c>
      <c r="I103" s="621">
        <v>0</v>
      </c>
      <c r="J103" s="621">
        <v>573895</v>
      </c>
      <c r="K103" s="672">
        <v>0</v>
      </c>
      <c r="L103" s="686">
        <v>0</v>
      </c>
      <c r="M103" s="686">
        <v>0</v>
      </c>
      <c r="N103" s="636">
        <v>1105692</v>
      </c>
      <c r="O103" s="636">
        <v>54913</v>
      </c>
      <c r="P103" s="636">
        <v>1385000</v>
      </c>
      <c r="Q103" s="636">
        <v>0</v>
      </c>
      <c r="R103" s="636">
        <v>7348694</v>
      </c>
      <c r="S103" s="636">
        <v>136461</v>
      </c>
      <c r="T103" s="636">
        <v>0</v>
      </c>
      <c r="U103" s="636">
        <v>119984863</v>
      </c>
      <c r="V103" s="636">
        <v>9940276</v>
      </c>
      <c r="W103" s="636">
        <v>4509435</v>
      </c>
      <c r="X103" s="636">
        <v>19276562</v>
      </c>
      <c r="Y103" s="636">
        <v>0</v>
      </c>
      <c r="Z103" s="636">
        <v>360000</v>
      </c>
      <c r="AA103" s="636">
        <v>34002</v>
      </c>
      <c r="AB103" s="686" t="e">
        <v>#VALUE!</v>
      </c>
      <c r="AC103" s="686">
        <v>689536</v>
      </c>
      <c r="AD103" s="686" t="e">
        <v>#VALUE!</v>
      </c>
      <c r="AE103" s="686">
        <v>0</v>
      </c>
      <c r="AF103" s="686">
        <v>1714319</v>
      </c>
      <c r="AG103" s="686">
        <v>2103996</v>
      </c>
      <c r="AH103" s="686">
        <v>0</v>
      </c>
      <c r="AI103" s="686">
        <v>245275</v>
      </c>
      <c r="AJ103" s="686">
        <v>8627381</v>
      </c>
      <c r="AK103" s="686">
        <v>0</v>
      </c>
      <c r="AL103" s="686">
        <v>34358</v>
      </c>
      <c r="AM103" s="686">
        <v>14063</v>
      </c>
      <c r="AN103" s="686">
        <v>7845057</v>
      </c>
      <c r="AO103" s="686">
        <v>0</v>
      </c>
      <c r="AP103" s="686">
        <v>76867</v>
      </c>
      <c r="AQ103" s="686">
        <v>0</v>
      </c>
      <c r="AR103" s="686">
        <v>16082078</v>
      </c>
      <c r="AS103" s="686">
        <v>566143</v>
      </c>
      <c r="AT103" s="686">
        <v>16751</v>
      </c>
      <c r="AU103" s="686">
        <v>351835</v>
      </c>
      <c r="AV103" s="686">
        <v>0</v>
      </c>
      <c r="AW103" s="686">
        <v>4900883</v>
      </c>
      <c r="AX103" s="686">
        <v>0</v>
      </c>
      <c r="AY103" s="686">
        <v>0</v>
      </c>
      <c r="AZ103" s="686">
        <v>3021404</v>
      </c>
      <c r="BA103" s="686">
        <v>0</v>
      </c>
      <c r="BB103" s="686">
        <v>0</v>
      </c>
      <c r="BC103" s="686">
        <v>0</v>
      </c>
      <c r="BD103" s="686">
        <v>0</v>
      </c>
      <c r="BE103" s="686">
        <v>219595</v>
      </c>
      <c r="BF103" s="686">
        <v>0</v>
      </c>
      <c r="BG103" s="686">
        <v>0</v>
      </c>
      <c r="BH103" s="686">
        <v>0</v>
      </c>
      <c r="BI103" s="686">
        <v>0</v>
      </c>
      <c r="BJ103" s="686">
        <v>0</v>
      </c>
      <c r="BK103" s="686">
        <v>87766</v>
      </c>
      <c r="BL103" s="686">
        <v>2386024</v>
      </c>
      <c r="BM103" s="686">
        <v>0</v>
      </c>
      <c r="BN103" s="686">
        <v>218417</v>
      </c>
      <c r="BO103" s="686">
        <v>1204248</v>
      </c>
      <c r="BP103" s="686">
        <v>689994</v>
      </c>
      <c r="BQ103" s="686">
        <v>1746949</v>
      </c>
      <c r="BR103" s="686">
        <v>737569</v>
      </c>
      <c r="BS103" s="686">
        <v>248559</v>
      </c>
      <c r="BT103" s="686">
        <v>1632750</v>
      </c>
      <c r="BU103" s="686">
        <v>276511</v>
      </c>
      <c r="BV103" s="686">
        <v>192838</v>
      </c>
      <c r="BW103" s="686">
        <v>0</v>
      </c>
      <c r="BX103" s="686">
        <v>441568</v>
      </c>
      <c r="BY103" s="686">
        <v>4794</v>
      </c>
      <c r="BZ103" s="686">
        <v>0</v>
      </c>
      <c r="CA103" s="686">
        <v>0</v>
      </c>
      <c r="CB103" s="686">
        <v>0</v>
      </c>
      <c r="CC103" s="686">
        <v>716719</v>
      </c>
      <c r="CD103" s="686">
        <v>0</v>
      </c>
      <c r="CE103" s="686">
        <v>0</v>
      </c>
    </row>
    <row r="104" spans="1:83" x14ac:dyDescent="0.25">
      <c r="A104" s="622">
        <v>338</v>
      </c>
      <c r="B104" s="625">
        <v>338</v>
      </c>
      <c r="C104" s="653" t="s">
        <v>118</v>
      </c>
      <c r="D104" s="701" t="s">
        <v>424</v>
      </c>
      <c r="E104" s="638">
        <v>63184</v>
      </c>
      <c r="F104" s="621">
        <v>13359</v>
      </c>
      <c r="G104" s="621">
        <v>126790</v>
      </c>
      <c r="H104" s="621">
        <v>777742</v>
      </c>
      <c r="I104" s="621">
        <v>60865</v>
      </c>
      <c r="J104" s="621">
        <v>749623</v>
      </c>
      <c r="K104" s="672">
        <v>630</v>
      </c>
      <c r="L104" s="686">
        <v>39983</v>
      </c>
      <c r="M104" s="686">
        <v>7165</v>
      </c>
      <c r="N104" s="636">
        <v>7496684</v>
      </c>
      <c r="O104" s="636">
        <v>224597</v>
      </c>
      <c r="P104" s="636">
        <v>2715055</v>
      </c>
      <c r="Q104" s="636">
        <v>2396</v>
      </c>
      <c r="R104" s="636">
        <v>52126501</v>
      </c>
      <c r="S104" s="636">
        <v>554540</v>
      </c>
      <c r="T104" s="636">
        <v>3092</v>
      </c>
      <c r="U104" s="636">
        <v>184411370</v>
      </c>
      <c r="V104" s="636">
        <v>17016993</v>
      </c>
      <c r="W104" s="636">
        <v>25933755</v>
      </c>
      <c r="X104" s="636">
        <v>30923717</v>
      </c>
      <c r="Y104" s="636">
        <v>26442</v>
      </c>
      <c r="Z104" s="636">
        <v>5533662</v>
      </c>
      <c r="AA104" s="636">
        <v>266816</v>
      </c>
      <c r="AB104" s="686" t="e">
        <v>#VALUE!</v>
      </c>
      <c r="AC104" s="686">
        <v>1595117</v>
      </c>
      <c r="AD104" s="686" t="e">
        <v>#VALUE!</v>
      </c>
      <c r="AE104" s="686">
        <v>613141</v>
      </c>
      <c r="AF104" s="686">
        <v>2245099</v>
      </c>
      <c r="AG104" s="686">
        <v>9643961</v>
      </c>
      <c r="AH104" s="686">
        <v>1823458</v>
      </c>
      <c r="AI104" s="686">
        <v>362086</v>
      </c>
      <c r="AJ104" s="686">
        <v>55781030</v>
      </c>
      <c r="AK104" s="686">
        <v>7138</v>
      </c>
      <c r="AL104" s="686">
        <v>225271</v>
      </c>
      <c r="AM104" s="686">
        <v>910547</v>
      </c>
      <c r="AN104" s="686">
        <v>13479860</v>
      </c>
      <c r="AO104" s="686">
        <v>112232</v>
      </c>
      <c r="AP104" s="686">
        <v>187762</v>
      </c>
      <c r="AQ104" s="686">
        <v>623</v>
      </c>
      <c r="AR104" s="686">
        <v>17152417</v>
      </c>
      <c r="AS104" s="686">
        <v>54205171</v>
      </c>
      <c r="AT104" s="686">
        <v>105645</v>
      </c>
      <c r="AU104" s="686">
        <v>955109</v>
      </c>
      <c r="AV104" s="686">
        <v>13556</v>
      </c>
      <c r="AW104" s="686">
        <v>9931316</v>
      </c>
      <c r="AX104" s="686">
        <v>169821</v>
      </c>
      <c r="AY104" s="686">
        <v>306836</v>
      </c>
      <c r="AZ104" s="686">
        <v>4165876</v>
      </c>
      <c r="BA104" s="686">
        <v>164838</v>
      </c>
      <c r="BB104" s="686">
        <v>132952</v>
      </c>
      <c r="BC104" s="686">
        <v>0</v>
      </c>
      <c r="BD104" s="686">
        <v>9278</v>
      </c>
      <c r="BE104" s="686">
        <v>8705335</v>
      </c>
      <c r="BF104" s="686">
        <v>1434</v>
      </c>
      <c r="BG104" s="686">
        <v>32448</v>
      </c>
      <c r="BH104" s="686">
        <v>13361</v>
      </c>
      <c r="BI104" s="686">
        <v>1381</v>
      </c>
      <c r="BJ104" s="686">
        <v>25173</v>
      </c>
      <c r="BK104" s="686">
        <v>89712</v>
      </c>
      <c r="BL104" s="686">
        <v>4213937</v>
      </c>
      <c r="BM104" s="686">
        <v>154807</v>
      </c>
      <c r="BN104" s="686">
        <v>938668</v>
      </c>
      <c r="BO104" s="686">
        <v>2134607</v>
      </c>
      <c r="BP104" s="686">
        <v>956782</v>
      </c>
      <c r="BQ104" s="686">
        <v>1903020</v>
      </c>
      <c r="BR104" s="686">
        <v>5091248</v>
      </c>
      <c r="BS104" s="686">
        <v>532586</v>
      </c>
      <c r="BT104" s="686">
        <v>9336216</v>
      </c>
      <c r="BU104" s="686">
        <v>487753</v>
      </c>
      <c r="BV104" s="686">
        <v>2493180</v>
      </c>
      <c r="BW104" s="686">
        <v>21307</v>
      </c>
      <c r="BX104" s="686">
        <v>814125</v>
      </c>
      <c r="BY104" s="686">
        <v>610883</v>
      </c>
      <c r="BZ104" s="686">
        <v>4756</v>
      </c>
      <c r="CA104" s="686">
        <v>28308</v>
      </c>
      <c r="CB104" s="686">
        <v>1607</v>
      </c>
      <c r="CC104" s="686">
        <v>948299</v>
      </c>
      <c r="CD104" s="686">
        <v>0</v>
      </c>
      <c r="CE104" s="686">
        <v>3647</v>
      </c>
    </row>
    <row r="105" spans="1:83" x14ac:dyDescent="0.25">
      <c r="A105" s="622">
        <v>339</v>
      </c>
      <c r="B105" s="625">
        <v>339</v>
      </c>
      <c r="C105" s="653" t="s">
        <v>193</v>
      </c>
      <c r="D105" s="701" t="s">
        <v>425</v>
      </c>
      <c r="E105" s="638">
        <v>56349</v>
      </c>
      <c r="F105" s="621">
        <v>11653</v>
      </c>
      <c r="G105" s="621">
        <v>149314</v>
      </c>
      <c r="H105" s="621">
        <v>26743</v>
      </c>
      <c r="I105" s="621">
        <v>0</v>
      </c>
      <c r="J105" s="621">
        <v>8813</v>
      </c>
      <c r="K105" s="672">
        <v>0</v>
      </c>
      <c r="L105" s="686">
        <v>4435</v>
      </c>
      <c r="M105" s="686">
        <v>3934</v>
      </c>
      <c r="N105" s="636">
        <v>0</v>
      </c>
      <c r="O105" s="636">
        <v>265000</v>
      </c>
      <c r="P105" s="636">
        <v>120287</v>
      </c>
      <c r="Q105" s="636">
        <v>545</v>
      </c>
      <c r="R105" s="636">
        <v>8203805</v>
      </c>
      <c r="S105" s="636">
        <v>94784</v>
      </c>
      <c r="T105" s="636">
        <v>0</v>
      </c>
      <c r="U105" s="636">
        <v>5107651</v>
      </c>
      <c r="V105" s="636">
        <v>2224339</v>
      </c>
      <c r="W105" s="636">
        <v>2938440</v>
      </c>
      <c r="X105" s="636">
        <v>2936307</v>
      </c>
      <c r="Y105" s="636">
        <v>45814</v>
      </c>
      <c r="Z105" s="636">
        <v>1500267</v>
      </c>
      <c r="AA105" s="636">
        <v>110286</v>
      </c>
      <c r="AB105" s="686" t="e">
        <v>#VALUE!</v>
      </c>
      <c r="AC105" s="686">
        <v>549885</v>
      </c>
      <c r="AD105" s="686" t="e">
        <v>#VALUE!</v>
      </c>
      <c r="AE105" s="686">
        <v>311926</v>
      </c>
      <c r="AF105" s="686">
        <v>35182</v>
      </c>
      <c r="AG105" s="686">
        <v>560781</v>
      </c>
      <c r="AH105" s="686">
        <v>680259</v>
      </c>
      <c r="AI105" s="686">
        <v>44728</v>
      </c>
      <c r="AJ105" s="686">
        <v>4432486</v>
      </c>
      <c r="AK105" s="686">
        <v>3095</v>
      </c>
      <c r="AL105" s="686">
        <v>72391</v>
      </c>
      <c r="AM105" s="686">
        <v>871252</v>
      </c>
      <c r="AN105" s="686">
        <v>1200260</v>
      </c>
      <c r="AO105" s="686">
        <v>39690</v>
      </c>
      <c r="AP105" s="686">
        <v>34244</v>
      </c>
      <c r="AQ105" s="686">
        <v>0</v>
      </c>
      <c r="AR105" s="686">
        <v>642268</v>
      </c>
      <c r="AS105" s="686">
        <v>508426</v>
      </c>
      <c r="AT105" s="686">
        <v>0</v>
      </c>
      <c r="AU105" s="686">
        <v>74758</v>
      </c>
      <c r="AV105" s="686">
        <v>250</v>
      </c>
      <c r="AW105" s="686">
        <v>3516587</v>
      </c>
      <c r="AX105" s="686">
        <v>77638</v>
      </c>
      <c r="AY105" s="686">
        <v>71789</v>
      </c>
      <c r="AZ105" s="686">
        <v>1558949</v>
      </c>
      <c r="BA105" s="686">
        <v>44841</v>
      </c>
      <c r="BB105" s="686">
        <v>136141</v>
      </c>
      <c r="BC105" s="686">
        <v>0</v>
      </c>
      <c r="BD105" s="686">
        <v>20866</v>
      </c>
      <c r="BE105" s="686">
        <v>2638228</v>
      </c>
      <c r="BF105" s="686">
        <v>17020</v>
      </c>
      <c r="BG105" s="686">
        <v>44412</v>
      </c>
      <c r="BH105" s="686">
        <v>0</v>
      </c>
      <c r="BI105" s="686">
        <v>0</v>
      </c>
      <c r="BJ105" s="686">
        <v>31529</v>
      </c>
      <c r="BK105" s="686">
        <v>2318</v>
      </c>
      <c r="BL105" s="686">
        <v>611064</v>
      </c>
      <c r="BM105" s="686">
        <v>106310</v>
      </c>
      <c r="BN105" s="686">
        <v>148035</v>
      </c>
      <c r="BO105" s="686">
        <v>794701</v>
      </c>
      <c r="BP105" s="686">
        <v>251885</v>
      </c>
      <c r="BQ105" s="686">
        <v>40631</v>
      </c>
      <c r="BR105" s="686">
        <v>1472018</v>
      </c>
      <c r="BS105" s="686">
        <v>134746</v>
      </c>
      <c r="BT105" s="686">
        <v>1074707</v>
      </c>
      <c r="BU105" s="686">
        <v>104127</v>
      </c>
      <c r="BV105" s="686">
        <v>556801</v>
      </c>
      <c r="BW105" s="686">
        <v>144723</v>
      </c>
      <c r="BX105" s="686">
        <v>156453</v>
      </c>
      <c r="BY105" s="686">
        <v>42920</v>
      </c>
      <c r="BZ105" s="686">
        <v>0</v>
      </c>
      <c r="CA105" s="686">
        <v>86</v>
      </c>
      <c r="CB105" s="686">
        <v>20687</v>
      </c>
      <c r="CC105" s="686">
        <v>188980</v>
      </c>
      <c r="CD105" s="686">
        <v>0</v>
      </c>
      <c r="CE105" s="686">
        <v>0</v>
      </c>
    </row>
    <row r="106" spans="1:83" x14ac:dyDescent="0.25">
      <c r="A106" s="622"/>
      <c r="B106" s="625">
        <v>340</v>
      </c>
      <c r="C106" s="653" t="s">
        <v>642</v>
      </c>
      <c r="D106" s="701" t="s">
        <v>426</v>
      </c>
      <c r="E106" s="638"/>
      <c r="F106" s="621"/>
      <c r="G106" s="621"/>
      <c r="H106" s="621"/>
      <c r="I106" s="621"/>
      <c r="J106" s="621"/>
      <c r="K106" s="672"/>
      <c r="L106" s="686"/>
      <c r="M106" s="686"/>
      <c r="N106" s="636"/>
      <c r="O106" s="636"/>
      <c r="P106" s="636"/>
      <c r="Q106" s="636"/>
      <c r="R106" s="636"/>
      <c r="S106" s="636"/>
      <c r="T106" s="636"/>
      <c r="U106" s="636"/>
      <c r="V106" s="636"/>
      <c r="W106" s="636"/>
      <c r="X106" s="636"/>
      <c r="Y106" s="636"/>
      <c r="Z106" s="636"/>
      <c r="AA106" s="636"/>
      <c r="AB106" s="686"/>
      <c r="AC106" s="686"/>
      <c r="AD106" s="686"/>
      <c r="AE106" s="686"/>
      <c r="AF106" s="686"/>
      <c r="AG106" s="686"/>
      <c r="AH106" s="686"/>
      <c r="AI106" s="686"/>
      <c r="AJ106" s="686"/>
      <c r="AK106" s="686"/>
      <c r="AL106" s="686"/>
      <c r="AM106" s="686"/>
      <c r="AN106" s="686"/>
      <c r="AO106" s="686"/>
      <c r="AP106" s="686"/>
      <c r="AQ106" s="686"/>
      <c r="AR106" s="686"/>
      <c r="AS106" s="686"/>
      <c r="AT106" s="686"/>
      <c r="AU106" s="686"/>
      <c r="AV106" s="686"/>
      <c r="AW106" s="686"/>
      <c r="AX106" s="686"/>
      <c r="AY106" s="686"/>
      <c r="AZ106" s="686"/>
      <c r="BA106" s="686"/>
      <c r="BB106" s="686"/>
      <c r="BC106" s="686"/>
      <c r="BD106" s="686"/>
      <c r="BE106" s="686"/>
      <c r="BF106" s="686"/>
      <c r="BG106" s="686"/>
      <c r="BH106" s="686"/>
      <c r="BI106" s="686"/>
      <c r="BJ106" s="686"/>
      <c r="BK106" s="686"/>
      <c r="BL106" s="686"/>
      <c r="BM106" s="686"/>
      <c r="BN106" s="686"/>
      <c r="BO106" s="686"/>
      <c r="BP106" s="686"/>
      <c r="BQ106" s="686"/>
      <c r="BR106" s="686"/>
      <c r="BS106" s="686"/>
      <c r="BT106" s="686"/>
      <c r="BU106" s="686"/>
      <c r="BV106" s="686"/>
      <c r="BW106" s="686"/>
      <c r="BX106" s="686"/>
      <c r="BY106" s="686"/>
      <c r="BZ106" s="686"/>
      <c r="CA106" s="686"/>
      <c r="CB106" s="686"/>
      <c r="CC106" s="686"/>
      <c r="CD106" s="686"/>
      <c r="CE106" s="686"/>
    </row>
    <row r="107" spans="1:83" x14ac:dyDescent="0.25">
      <c r="A107" s="622">
        <v>341</v>
      </c>
      <c r="B107" s="625">
        <v>341</v>
      </c>
      <c r="C107" s="653" t="s">
        <v>196</v>
      </c>
      <c r="D107" s="701" t="s">
        <v>427</v>
      </c>
      <c r="E107" s="638">
        <v>190236</v>
      </c>
      <c r="F107" s="621">
        <v>50086</v>
      </c>
      <c r="G107" s="621">
        <v>540178</v>
      </c>
      <c r="H107" s="621">
        <v>1634232</v>
      </c>
      <c r="I107" s="621">
        <v>1511805</v>
      </c>
      <c r="J107" s="621">
        <v>3435631</v>
      </c>
      <c r="K107" s="672">
        <v>74257</v>
      </c>
      <c r="L107" s="686">
        <v>347042</v>
      </c>
      <c r="M107" s="686">
        <v>215011</v>
      </c>
      <c r="N107" s="636">
        <v>12277286</v>
      </c>
      <c r="O107" s="636">
        <v>228428</v>
      </c>
      <c r="P107" s="636">
        <v>4453055</v>
      </c>
      <c r="Q107" s="636">
        <v>78976</v>
      </c>
      <c r="R107" s="636">
        <v>31907114</v>
      </c>
      <c r="S107" s="636">
        <v>1416586</v>
      </c>
      <c r="T107" s="636">
        <v>32586</v>
      </c>
      <c r="U107" s="636">
        <v>60436512</v>
      </c>
      <c r="V107" s="636">
        <v>11608516</v>
      </c>
      <c r="W107" s="636">
        <v>16481243</v>
      </c>
      <c r="X107" s="636">
        <v>28805076</v>
      </c>
      <c r="Y107" s="636">
        <v>195455</v>
      </c>
      <c r="Z107" s="636">
        <v>10691817</v>
      </c>
      <c r="AA107" s="636">
        <v>993532</v>
      </c>
      <c r="AB107" s="686" t="e">
        <v>#VALUE!</v>
      </c>
      <c r="AC107" s="686">
        <v>3030331</v>
      </c>
      <c r="AD107" s="686" t="e">
        <v>#VALUE!</v>
      </c>
      <c r="AE107" s="686">
        <v>1921382</v>
      </c>
      <c r="AF107" s="686">
        <v>2143919</v>
      </c>
      <c r="AG107" s="686">
        <v>15010142</v>
      </c>
      <c r="AH107" s="686">
        <v>4455665</v>
      </c>
      <c r="AI107" s="686">
        <v>800527</v>
      </c>
      <c r="AJ107" s="686">
        <v>25988477</v>
      </c>
      <c r="AK107" s="686">
        <v>542600</v>
      </c>
      <c r="AL107" s="686">
        <v>775553</v>
      </c>
      <c r="AM107" s="686">
        <v>2522239</v>
      </c>
      <c r="AN107" s="686">
        <v>11018307</v>
      </c>
      <c r="AO107" s="686">
        <v>486125</v>
      </c>
      <c r="AP107" s="686">
        <v>648286</v>
      </c>
      <c r="AQ107" s="686">
        <v>38721</v>
      </c>
      <c r="AR107" s="686">
        <v>6683478</v>
      </c>
      <c r="AS107" s="686">
        <v>6238857</v>
      </c>
      <c r="AT107" s="686">
        <v>379450</v>
      </c>
      <c r="AU107" s="686">
        <v>1995544</v>
      </c>
      <c r="AV107" s="686">
        <v>130865</v>
      </c>
      <c r="AW107" s="686">
        <v>12393992</v>
      </c>
      <c r="AX107" s="686">
        <v>1584287</v>
      </c>
      <c r="AY107" s="686">
        <v>1312253</v>
      </c>
      <c r="AZ107" s="686">
        <v>6585599</v>
      </c>
      <c r="BA107" s="686">
        <v>746077</v>
      </c>
      <c r="BB107" s="686">
        <v>810524</v>
      </c>
      <c r="BC107" s="686">
        <v>28969</v>
      </c>
      <c r="BD107" s="686">
        <v>220417</v>
      </c>
      <c r="BE107" s="686">
        <v>6283309</v>
      </c>
      <c r="BF107" s="686">
        <v>102824</v>
      </c>
      <c r="BG107" s="686">
        <v>443101</v>
      </c>
      <c r="BH107" s="686">
        <v>107644</v>
      </c>
      <c r="BI107" s="686">
        <v>71927</v>
      </c>
      <c r="BJ107" s="686">
        <v>168767</v>
      </c>
      <c r="BK107" s="686">
        <v>108040</v>
      </c>
      <c r="BL107" s="686">
        <v>2540523</v>
      </c>
      <c r="BM107" s="686">
        <v>739130</v>
      </c>
      <c r="BN107" s="686">
        <v>1395847</v>
      </c>
      <c r="BO107" s="686">
        <v>3253290</v>
      </c>
      <c r="BP107" s="686">
        <v>835320</v>
      </c>
      <c r="BQ107" s="686">
        <v>1154779</v>
      </c>
      <c r="BR107" s="686">
        <v>16181302</v>
      </c>
      <c r="BS107" s="686">
        <v>597918</v>
      </c>
      <c r="BT107" s="686">
        <v>9949389</v>
      </c>
      <c r="BU107" s="686">
        <v>323413</v>
      </c>
      <c r="BV107" s="686">
        <v>3997695</v>
      </c>
      <c r="BW107" s="686">
        <v>444819</v>
      </c>
      <c r="BX107" s="686">
        <v>1793924</v>
      </c>
      <c r="BY107" s="686">
        <v>875564</v>
      </c>
      <c r="BZ107" s="686">
        <v>61029</v>
      </c>
      <c r="CA107" s="686">
        <v>131782</v>
      </c>
      <c r="CB107" s="686">
        <v>93993</v>
      </c>
      <c r="CC107" s="686">
        <v>722055</v>
      </c>
      <c r="CD107" s="686">
        <v>0</v>
      </c>
      <c r="CE107" s="686">
        <v>44508</v>
      </c>
    </row>
    <row r="108" spans="1:83" x14ac:dyDescent="0.25">
      <c r="A108" s="622">
        <v>343</v>
      </c>
      <c r="B108" s="625">
        <v>342</v>
      </c>
      <c r="C108" s="653" t="s">
        <v>643</v>
      </c>
      <c r="D108" s="701" t="s">
        <v>428</v>
      </c>
      <c r="E108" s="638"/>
      <c r="F108" s="621"/>
      <c r="G108" s="621"/>
      <c r="H108" s="621"/>
      <c r="I108" s="621"/>
      <c r="J108" s="621"/>
      <c r="K108" s="672"/>
      <c r="L108" s="686"/>
      <c r="M108" s="686"/>
      <c r="N108" s="636"/>
      <c r="O108" s="636"/>
      <c r="P108" s="636"/>
      <c r="Q108" s="636"/>
      <c r="R108" s="636"/>
      <c r="S108" s="636"/>
      <c r="T108" s="636"/>
      <c r="U108" s="636"/>
      <c r="V108" s="636"/>
      <c r="W108" s="636"/>
      <c r="X108" s="636"/>
      <c r="Y108" s="636"/>
      <c r="Z108" s="636"/>
      <c r="AA108" s="636"/>
      <c r="AB108" s="686"/>
      <c r="AC108" s="686"/>
      <c r="AD108" s="686"/>
      <c r="AE108" s="686"/>
      <c r="AF108" s="686"/>
      <c r="AG108" s="686"/>
      <c r="AH108" s="686"/>
      <c r="AI108" s="686"/>
      <c r="AJ108" s="686"/>
      <c r="AK108" s="686"/>
      <c r="AL108" s="686"/>
      <c r="AM108" s="686"/>
      <c r="AN108" s="686"/>
      <c r="AO108" s="686"/>
      <c r="AP108" s="686"/>
      <c r="AQ108" s="686"/>
      <c r="AR108" s="686"/>
      <c r="AS108" s="686"/>
      <c r="AT108" s="686"/>
      <c r="AU108" s="686"/>
      <c r="AV108" s="686"/>
      <c r="AW108" s="686"/>
      <c r="AX108" s="686"/>
      <c r="AY108" s="686"/>
      <c r="AZ108" s="686"/>
      <c r="BA108" s="686"/>
      <c r="BB108" s="686"/>
      <c r="BC108" s="686"/>
      <c r="BD108" s="686"/>
      <c r="BE108" s="686"/>
      <c r="BF108" s="686"/>
      <c r="BG108" s="686"/>
      <c r="BH108" s="686"/>
      <c r="BI108" s="686"/>
      <c r="BJ108" s="686"/>
      <c r="BK108" s="686"/>
      <c r="BL108" s="686"/>
      <c r="BM108" s="686"/>
      <c r="BN108" s="686"/>
      <c r="BO108" s="686"/>
      <c r="BP108" s="686"/>
      <c r="BQ108" s="686"/>
      <c r="BR108" s="686"/>
      <c r="BS108" s="686"/>
      <c r="BT108" s="686"/>
      <c r="BU108" s="686"/>
      <c r="BV108" s="686"/>
      <c r="BW108" s="686"/>
      <c r="BX108" s="686"/>
      <c r="BY108" s="686"/>
      <c r="BZ108" s="686"/>
      <c r="CA108" s="686"/>
      <c r="CB108" s="686"/>
      <c r="CC108" s="686"/>
      <c r="CD108" s="686"/>
      <c r="CE108" s="686"/>
    </row>
    <row r="109" spans="1:83" x14ac:dyDescent="0.25">
      <c r="A109" s="622">
        <v>344</v>
      </c>
      <c r="B109" s="625">
        <v>343</v>
      </c>
      <c r="C109" s="653" t="s">
        <v>258</v>
      </c>
      <c r="D109" s="701" t="s">
        <v>429</v>
      </c>
      <c r="E109" s="638">
        <v>1600</v>
      </c>
      <c r="F109" s="621">
        <v>3600</v>
      </c>
      <c r="G109" s="621">
        <v>0</v>
      </c>
      <c r="H109" s="621">
        <v>39523</v>
      </c>
      <c r="I109" s="621">
        <v>65800</v>
      </c>
      <c r="J109" s="621">
        <v>50313</v>
      </c>
      <c r="K109" s="672">
        <v>0</v>
      </c>
      <c r="L109" s="686">
        <v>0</v>
      </c>
      <c r="M109" s="686">
        <v>0</v>
      </c>
      <c r="N109" s="636">
        <v>557713</v>
      </c>
      <c r="O109" s="636">
        <v>18778</v>
      </c>
      <c r="P109" s="636">
        <v>100000</v>
      </c>
      <c r="Q109" s="636">
        <v>0</v>
      </c>
      <c r="R109" s="636">
        <v>1212594</v>
      </c>
      <c r="S109" s="636">
        <v>29677</v>
      </c>
      <c r="T109" s="636">
        <v>0</v>
      </c>
      <c r="U109" s="636">
        <v>8677538</v>
      </c>
      <c r="V109" s="636">
        <v>432126</v>
      </c>
      <c r="W109" s="636">
        <v>1673751</v>
      </c>
      <c r="X109" s="636">
        <v>1657014</v>
      </c>
      <c r="Y109" s="636">
        <v>0</v>
      </c>
      <c r="Z109" s="636">
        <v>0</v>
      </c>
      <c r="AA109" s="636">
        <v>24946</v>
      </c>
      <c r="AB109" s="686" t="e">
        <v>#VALUE!</v>
      </c>
      <c r="AC109" s="686">
        <v>75839</v>
      </c>
      <c r="AD109" s="686" t="e">
        <v>#VALUE!</v>
      </c>
      <c r="AE109" s="686">
        <v>0</v>
      </c>
      <c r="AF109" s="686">
        <v>38896</v>
      </c>
      <c r="AG109" s="686">
        <v>1216638</v>
      </c>
      <c r="AH109" s="686">
        <v>0</v>
      </c>
      <c r="AI109" s="686">
        <v>22438</v>
      </c>
      <c r="AJ109" s="686">
        <v>1988779</v>
      </c>
      <c r="AK109" s="686">
        <v>0</v>
      </c>
      <c r="AL109" s="686">
        <v>28901</v>
      </c>
      <c r="AM109" s="686">
        <v>51857</v>
      </c>
      <c r="AN109" s="686">
        <v>1012028</v>
      </c>
      <c r="AO109" s="686">
        <v>7614</v>
      </c>
      <c r="AP109" s="686">
        <v>7121</v>
      </c>
      <c r="AQ109" s="686">
        <v>0</v>
      </c>
      <c r="AR109" s="686">
        <v>1068896</v>
      </c>
      <c r="AS109" s="686">
        <v>149893</v>
      </c>
      <c r="AT109" s="686">
        <v>5258</v>
      </c>
      <c r="AU109" s="686">
        <v>53165</v>
      </c>
      <c r="AV109" s="686">
        <v>0</v>
      </c>
      <c r="AW109" s="686">
        <v>1633627</v>
      </c>
      <c r="AX109" s="686">
        <v>0</v>
      </c>
      <c r="AY109" s="686">
        <v>31829</v>
      </c>
      <c r="AZ109" s="686">
        <v>280803</v>
      </c>
      <c r="BA109" s="686">
        <v>16634</v>
      </c>
      <c r="BB109" s="686">
        <v>0</v>
      </c>
      <c r="BC109" s="686">
        <v>0</v>
      </c>
      <c r="BD109" s="686">
        <v>0</v>
      </c>
      <c r="BE109" s="686">
        <v>281558</v>
      </c>
      <c r="BF109" s="686">
        <v>0</v>
      </c>
      <c r="BG109" s="686">
        <v>0</v>
      </c>
      <c r="BH109" s="686">
        <v>0</v>
      </c>
      <c r="BI109" s="686">
        <v>0</v>
      </c>
      <c r="BJ109" s="686">
        <v>0</v>
      </c>
      <c r="BK109" s="686">
        <v>16247</v>
      </c>
      <c r="BL109" s="686">
        <v>207860</v>
      </c>
      <c r="BM109" s="686">
        <v>0</v>
      </c>
      <c r="BN109" s="686">
        <v>34656</v>
      </c>
      <c r="BO109" s="686">
        <v>208317</v>
      </c>
      <c r="BP109" s="686">
        <v>17630</v>
      </c>
      <c r="BQ109" s="686">
        <v>14415</v>
      </c>
      <c r="BR109" s="686">
        <v>329223</v>
      </c>
      <c r="BS109" s="686">
        <v>12745</v>
      </c>
      <c r="BT109" s="686">
        <v>788500</v>
      </c>
      <c r="BU109" s="686">
        <v>18251</v>
      </c>
      <c r="BV109" s="686">
        <v>134701</v>
      </c>
      <c r="BW109" s="686">
        <v>0</v>
      </c>
      <c r="BX109" s="686">
        <v>96792</v>
      </c>
      <c r="BY109" s="686">
        <v>770</v>
      </c>
      <c r="BZ109" s="686">
        <v>0</v>
      </c>
      <c r="CA109" s="686">
        <v>0</v>
      </c>
      <c r="CB109" s="686">
        <v>0</v>
      </c>
      <c r="CC109" s="686">
        <v>75000</v>
      </c>
      <c r="CD109" s="686">
        <v>0</v>
      </c>
      <c r="CE109" s="686">
        <v>0</v>
      </c>
    </row>
    <row r="110" spans="1:83" x14ac:dyDescent="0.25">
      <c r="A110" s="622"/>
      <c r="B110" s="625">
        <v>344</v>
      </c>
      <c r="C110" s="653" t="s">
        <v>191</v>
      </c>
      <c r="D110" s="701" t="s">
        <v>430</v>
      </c>
      <c r="E110" s="638">
        <v>324</v>
      </c>
      <c r="F110" s="621">
        <v>0</v>
      </c>
      <c r="G110" s="621">
        <v>0</v>
      </c>
      <c r="H110" s="621">
        <v>14096</v>
      </c>
      <c r="I110" s="621">
        <v>581</v>
      </c>
      <c r="J110" s="621">
        <v>24703</v>
      </c>
      <c r="K110" s="672">
        <v>0</v>
      </c>
      <c r="L110" s="686">
        <v>0</v>
      </c>
      <c r="M110" s="686">
        <v>0</v>
      </c>
      <c r="N110" s="636">
        <v>66629</v>
      </c>
      <c r="O110" s="636">
        <v>926</v>
      </c>
      <c r="P110" s="636">
        <v>0</v>
      </c>
      <c r="Q110" s="636">
        <v>0</v>
      </c>
      <c r="R110" s="636">
        <v>199984</v>
      </c>
      <c r="S110" s="636">
        <v>3278</v>
      </c>
      <c r="T110" s="636">
        <v>0</v>
      </c>
      <c r="U110" s="636">
        <v>5053693</v>
      </c>
      <c r="V110" s="636">
        <v>370413</v>
      </c>
      <c r="W110" s="636">
        <v>136483</v>
      </c>
      <c r="X110" s="636">
        <v>534806</v>
      </c>
      <c r="Y110" s="636">
        <v>0</v>
      </c>
      <c r="Z110" s="636">
        <v>0</v>
      </c>
      <c r="AA110" s="636">
        <v>1767</v>
      </c>
      <c r="AB110" s="686" t="e">
        <v>#VALUE!</v>
      </c>
      <c r="AC110" s="686">
        <v>76216</v>
      </c>
      <c r="AD110" s="686" t="e">
        <v>#VALUE!</v>
      </c>
      <c r="AE110" s="686">
        <v>0</v>
      </c>
      <c r="AF110" s="686">
        <v>75968</v>
      </c>
      <c r="AG110" s="686">
        <v>41470</v>
      </c>
      <c r="AH110" s="686">
        <v>0</v>
      </c>
      <c r="AI110" s="686">
        <v>7926</v>
      </c>
      <c r="AJ110" s="686">
        <v>160982</v>
      </c>
      <c r="AK110" s="686">
        <v>0</v>
      </c>
      <c r="AL110" s="686">
        <v>2926</v>
      </c>
      <c r="AM110" s="686">
        <v>2443</v>
      </c>
      <c r="AN110" s="686">
        <v>175088</v>
      </c>
      <c r="AO110" s="686">
        <v>0</v>
      </c>
      <c r="AP110" s="686">
        <v>1980</v>
      </c>
      <c r="AQ110" s="686">
        <v>0</v>
      </c>
      <c r="AR110" s="686">
        <v>536070</v>
      </c>
      <c r="AS110" s="686">
        <v>15391</v>
      </c>
      <c r="AT110" s="686">
        <v>667</v>
      </c>
      <c r="AU110" s="686">
        <v>10455</v>
      </c>
      <c r="AV110" s="686">
        <v>0</v>
      </c>
      <c r="AW110" s="686">
        <v>147026</v>
      </c>
      <c r="AX110" s="686">
        <v>0</v>
      </c>
      <c r="AY110" s="686">
        <v>0</v>
      </c>
      <c r="AZ110" s="686">
        <v>41892</v>
      </c>
      <c r="BA110" s="686">
        <v>323</v>
      </c>
      <c r="BB110" s="686">
        <v>0</v>
      </c>
      <c r="BC110" s="686">
        <v>0</v>
      </c>
      <c r="BD110" s="686">
        <v>0</v>
      </c>
      <c r="BE110" s="686">
        <v>7643</v>
      </c>
      <c r="BF110" s="686">
        <v>0</v>
      </c>
      <c r="BG110" s="686">
        <v>0</v>
      </c>
      <c r="BH110" s="686">
        <v>0</v>
      </c>
      <c r="BI110" s="686">
        <v>0</v>
      </c>
      <c r="BJ110" s="686">
        <v>0</v>
      </c>
      <c r="BK110" s="686">
        <v>2694</v>
      </c>
      <c r="BL110" s="686">
        <v>77483</v>
      </c>
      <c r="BM110" s="686">
        <v>0</v>
      </c>
      <c r="BN110" s="686">
        <v>6149</v>
      </c>
      <c r="BO110" s="686">
        <v>31243</v>
      </c>
      <c r="BP110" s="686">
        <v>25552</v>
      </c>
      <c r="BQ110" s="686">
        <v>43977</v>
      </c>
      <c r="BR110" s="686">
        <v>28933</v>
      </c>
      <c r="BS110" s="686">
        <v>8819</v>
      </c>
      <c r="BT110" s="686">
        <v>65962</v>
      </c>
      <c r="BU110" s="686">
        <v>13186</v>
      </c>
      <c r="BV110" s="686">
        <v>5986</v>
      </c>
      <c r="BW110" s="686">
        <v>0</v>
      </c>
      <c r="BX110" s="686">
        <v>11605</v>
      </c>
      <c r="BY110" s="686">
        <v>0</v>
      </c>
      <c r="BZ110" s="686">
        <v>0</v>
      </c>
      <c r="CA110" s="686">
        <v>0</v>
      </c>
      <c r="CB110" s="686">
        <v>0</v>
      </c>
      <c r="CC110" s="686">
        <v>18554</v>
      </c>
      <c r="CD110" s="686">
        <v>0</v>
      </c>
      <c r="CE110" s="686">
        <v>0</v>
      </c>
    </row>
    <row r="111" spans="1:83" x14ac:dyDescent="0.25">
      <c r="A111" s="622"/>
      <c r="B111" s="625">
        <v>346</v>
      </c>
      <c r="C111" s="653" t="s">
        <v>644</v>
      </c>
      <c r="D111" s="701" t="s">
        <v>431</v>
      </c>
      <c r="E111" s="638"/>
      <c r="F111" s="621"/>
      <c r="G111" s="621"/>
      <c r="H111" s="621"/>
      <c r="I111" s="621"/>
      <c r="J111" s="621"/>
      <c r="K111" s="672"/>
      <c r="L111" s="686"/>
      <c r="M111" s="686"/>
      <c r="N111" s="636"/>
      <c r="O111" s="636"/>
      <c r="P111" s="636"/>
      <c r="Q111" s="636"/>
      <c r="R111" s="636"/>
      <c r="S111" s="636"/>
      <c r="T111" s="636"/>
      <c r="U111" s="636"/>
      <c r="V111" s="636"/>
      <c r="W111" s="636"/>
      <c r="X111" s="636"/>
      <c r="Y111" s="636"/>
      <c r="Z111" s="636"/>
      <c r="AA111" s="636"/>
      <c r="AB111" s="686"/>
      <c r="AC111" s="686"/>
      <c r="AD111" s="686"/>
      <c r="AE111" s="686"/>
      <c r="AF111" s="686"/>
      <c r="AG111" s="686"/>
      <c r="AH111" s="686"/>
      <c r="AI111" s="686"/>
      <c r="AJ111" s="686"/>
      <c r="AK111" s="686"/>
      <c r="AL111" s="686"/>
      <c r="AM111" s="686"/>
      <c r="AN111" s="686"/>
      <c r="AO111" s="686"/>
      <c r="AP111" s="686"/>
      <c r="AQ111" s="686"/>
      <c r="AR111" s="686"/>
      <c r="AS111" s="686"/>
      <c r="AT111" s="686"/>
      <c r="AU111" s="686"/>
      <c r="AV111" s="686"/>
      <c r="AW111" s="686"/>
      <c r="AX111" s="686"/>
      <c r="AY111" s="686"/>
      <c r="AZ111" s="686"/>
      <c r="BA111" s="686"/>
      <c r="BB111" s="686"/>
      <c r="BC111" s="686"/>
      <c r="BD111" s="686"/>
      <c r="BE111" s="686"/>
      <c r="BF111" s="686"/>
      <c r="BG111" s="686"/>
      <c r="BH111" s="686"/>
      <c r="BI111" s="686"/>
      <c r="BJ111" s="686"/>
      <c r="BK111" s="686"/>
      <c r="BL111" s="686"/>
      <c r="BM111" s="686"/>
      <c r="BN111" s="686"/>
      <c r="BO111" s="686"/>
      <c r="BP111" s="686"/>
      <c r="BQ111" s="686"/>
      <c r="BR111" s="686"/>
      <c r="BS111" s="686"/>
      <c r="BT111" s="686"/>
      <c r="BU111" s="686"/>
      <c r="BV111" s="686"/>
      <c r="BW111" s="686"/>
      <c r="BX111" s="686"/>
      <c r="BY111" s="686"/>
      <c r="BZ111" s="686"/>
      <c r="CA111" s="686"/>
      <c r="CB111" s="686"/>
      <c r="CC111" s="686"/>
      <c r="CD111" s="686"/>
      <c r="CE111" s="686"/>
    </row>
    <row r="112" spans="1:83" x14ac:dyDescent="0.25">
      <c r="A112" s="622"/>
      <c r="B112" s="625">
        <v>347</v>
      </c>
      <c r="C112" s="653" t="s">
        <v>645</v>
      </c>
      <c r="D112" s="701" t="s">
        <v>432</v>
      </c>
      <c r="E112" s="638"/>
      <c r="F112" s="621"/>
      <c r="G112" s="621"/>
      <c r="H112" s="621"/>
      <c r="I112" s="621"/>
      <c r="J112" s="621"/>
      <c r="K112" s="672"/>
      <c r="L112" s="686"/>
      <c r="M112" s="686"/>
      <c r="N112" s="636"/>
      <c r="O112" s="636"/>
      <c r="P112" s="636"/>
      <c r="Q112" s="636"/>
      <c r="R112" s="636"/>
      <c r="S112" s="636"/>
      <c r="T112" s="636"/>
      <c r="U112" s="636"/>
      <c r="V112" s="636"/>
      <c r="W112" s="636"/>
      <c r="X112" s="636"/>
      <c r="Y112" s="636"/>
      <c r="Z112" s="636"/>
      <c r="AA112" s="636"/>
      <c r="AB112" s="686"/>
      <c r="AC112" s="686"/>
      <c r="AD112" s="686"/>
      <c r="AE112" s="686"/>
      <c r="AF112" s="686"/>
      <c r="AG112" s="686"/>
      <c r="AH112" s="686"/>
      <c r="AI112" s="686"/>
      <c r="AJ112" s="686"/>
      <c r="AK112" s="686"/>
      <c r="AL112" s="686"/>
      <c r="AM112" s="686"/>
      <c r="AN112" s="686"/>
      <c r="AO112" s="686"/>
      <c r="AP112" s="686"/>
      <c r="AQ112" s="686"/>
      <c r="AR112" s="686"/>
      <c r="AS112" s="686"/>
      <c r="AT112" s="686"/>
      <c r="AU112" s="686"/>
      <c r="AV112" s="686"/>
      <c r="AW112" s="686"/>
      <c r="AX112" s="686"/>
      <c r="AY112" s="686"/>
      <c r="AZ112" s="686"/>
      <c r="BA112" s="686"/>
      <c r="BB112" s="686"/>
      <c r="BC112" s="686"/>
      <c r="BD112" s="686"/>
      <c r="BE112" s="686"/>
      <c r="BF112" s="686"/>
      <c r="BG112" s="686"/>
      <c r="BH112" s="686"/>
      <c r="BI112" s="686"/>
      <c r="BJ112" s="686"/>
      <c r="BK112" s="686"/>
      <c r="BL112" s="686"/>
      <c r="BM112" s="686"/>
      <c r="BN112" s="686"/>
      <c r="BO112" s="686"/>
      <c r="BP112" s="686"/>
      <c r="BQ112" s="686"/>
      <c r="BR112" s="686"/>
      <c r="BS112" s="686"/>
      <c r="BT112" s="686"/>
      <c r="BU112" s="686"/>
      <c r="BV112" s="686"/>
      <c r="BW112" s="686"/>
      <c r="BX112" s="686"/>
      <c r="BY112" s="686"/>
      <c r="BZ112" s="686"/>
      <c r="CA112" s="686"/>
      <c r="CB112" s="686"/>
      <c r="CC112" s="686"/>
      <c r="CD112" s="686"/>
      <c r="CE112" s="686"/>
    </row>
    <row r="113" spans="1:83" x14ac:dyDescent="0.25">
      <c r="A113" s="622">
        <v>349</v>
      </c>
      <c r="B113" s="625">
        <v>349</v>
      </c>
      <c r="C113" s="653" t="s">
        <v>124</v>
      </c>
      <c r="D113" s="701" t="s">
        <v>433</v>
      </c>
      <c r="E113" s="638">
        <v>152359</v>
      </c>
      <c r="F113" s="621">
        <v>0</v>
      </c>
      <c r="G113" s="621">
        <v>218520</v>
      </c>
      <c r="H113" s="621">
        <v>0</v>
      </c>
      <c r="I113" s="621">
        <v>0</v>
      </c>
      <c r="J113" s="621">
        <v>0</v>
      </c>
      <c r="K113" s="672">
        <v>565138</v>
      </c>
      <c r="L113" s="686">
        <v>0</v>
      </c>
      <c r="M113" s="686">
        <v>0</v>
      </c>
      <c r="N113" s="636">
        <v>0</v>
      </c>
      <c r="O113" s="636">
        <v>0</v>
      </c>
      <c r="P113" s="636">
        <v>1571792</v>
      </c>
      <c r="Q113" s="636">
        <v>0</v>
      </c>
      <c r="R113" s="636">
        <v>33637552</v>
      </c>
      <c r="S113" s="636">
        <v>562487</v>
      </c>
      <c r="T113" s="636">
        <v>0</v>
      </c>
      <c r="U113" s="636">
        <v>75245081</v>
      </c>
      <c r="V113" s="636">
        <v>20648946</v>
      </c>
      <c r="W113" s="636">
        <v>24472897</v>
      </c>
      <c r="X113" s="636">
        <v>0</v>
      </c>
      <c r="Y113" s="636">
        <v>21219</v>
      </c>
      <c r="Z113" s="636">
        <v>10012934</v>
      </c>
      <c r="AA113" s="636">
        <v>1366701</v>
      </c>
      <c r="AB113" s="686" t="e">
        <v>#VALUE!</v>
      </c>
      <c r="AC113" s="686">
        <v>8438056</v>
      </c>
      <c r="AD113" s="686" t="e">
        <v>#VALUE!</v>
      </c>
      <c r="AE113" s="686">
        <v>2963571</v>
      </c>
      <c r="AF113" s="686">
        <v>637065</v>
      </c>
      <c r="AG113" s="686">
        <v>1400835</v>
      </c>
      <c r="AH113" s="686">
        <v>828964</v>
      </c>
      <c r="AI113" s="686">
        <v>790052</v>
      </c>
      <c r="AJ113" s="686">
        <v>37730332</v>
      </c>
      <c r="AK113" s="686">
        <v>18297</v>
      </c>
      <c r="AL113" s="686">
        <v>913795</v>
      </c>
      <c r="AM113" s="686">
        <v>9336362</v>
      </c>
      <c r="AN113" s="686">
        <v>11007849</v>
      </c>
      <c r="AO113" s="686">
        <v>384682</v>
      </c>
      <c r="AP113" s="686">
        <v>1864967</v>
      </c>
      <c r="AQ113" s="686">
        <v>0</v>
      </c>
      <c r="AR113" s="686">
        <v>0</v>
      </c>
      <c r="AS113" s="686">
        <v>3067685</v>
      </c>
      <c r="AT113" s="686">
        <v>1200540</v>
      </c>
      <c r="AU113" s="686">
        <v>2282737</v>
      </c>
      <c r="AV113" s="686">
        <v>0</v>
      </c>
      <c r="AW113" s="686">
        <v>92752853</v>
      </c>
      <c r="AX113" s="686">
        <v>0</v>
      </c>
      <c r="AY113" s="686">
        <v>1170412</v>
      </c>
      <c r="AZ113" s="686">
        <v>459983</v>
      </c>
      <c r="BA113" s="686">
        <v>860269</v>
      </c>
      <c r="BB113" s="686">
        <v>79649</v>
      </c>
      <c r="BC113" s="686">
        <v>0</v>
      </c>
      <c r="BD113" s="686">
        <v>153921</v>
      </c>
      <c r="BE113" s="686">
        <v>12637247</v>
      </c>
      <c r="BF113" s="686">
        <v>0</v>
      </c>
      <c r="BG113" s="686">
        <v>506134</v>
      </c>
      <c r="BH113" s="686">
        <v>5856</v>
      </c>
      <c r="BI113" s="686">
        <v>0</v>
      </c>
      <c r="BJ113" s="686">
        <v>111869</v>
      </c>
      <c r="BK113" s="686">
        <v>0</v>
      </c>
      <c r="BL113" s="686">
        <v>2500055</v>
      </c>
      <c r="BM113" s="686">
        <v>1969587</v>
      </c>
      <c r="BN113" s="686">
        <v>839206</v>
      </c>
      <c r="BO113" s="686">
        <v>2983569</v>
      </c>
      <c r="BP113" s="686">
        <v>1121846</v>
      </c>
      <c r="BQ113" s="686">
        <v>120823</v>
      </c>
      <c r="BR113" s="686">
        <v>0</v>
      </c>
      <c r="BS113" s="686">
        <v>92231</v>
      </c>
      <c r="BT113" s="686">
        <v>0</v>
      </c>
      <c r="BU113" s="686">
        <v>1146580</v>
      </c>
      <c r="BV113" s="686">
        <v>2522194</v>
      </c>
      <c r="BW113" s="686">
        <v>0</v>
      </c>
      <c r="BX113" s="686">
        <v>2513785</v>
      </c>
      <c r="BY113" s="686">
        <v>138546</v>
      </c>
      <c r="BZ113" s="686">
        <v>5453</v>
      </c>
      <c r="CA113" s="686">
        <v>932068</v>
      </c>
      <c r="CB113" s="686">
        <v>439094</v>
      </c>
      <c r="CC113" s="686">
        <v>1420159</v>
      </c>
      <c r="CD113" s="686">
        <v>0</v>
      </c>
      <c r="CE113" s="686">
        <v>2630</v>
      </c>
    </row>
    <row r="114" spans="1:83" x14ac:dyDescent="0.25">
      <c r="A114" s="622">
        <v>350</v>
      </c>
      <c r="B114" s="625">
        <v>350</v>
      </c>
      <c r="C114" s="653" t="s">
        <v>234</v>
      </c>
      <c r="D114" s="701" t="s">
        <v>434</v>
      </c>
      <c r="E114" s="638">
        <v>19</v>
      </c>
      <c r="F114" s="621">
        <v>0</v>
      </c>
      <c r="G114" s="621">
        <v>2326</v>
      </c>
      <c r="H114" s="621">
        <v>0</v>
      </c>
      <c r="I114" s="621">
        <v>0</v>
      </c>
      <c r="J114" s="621">
        <v>0</v>
      </c>
      <c r="K114" s="672">
        <v>0</v>
      </c>
      <c r="L114" s="686">
        <v>0</v>
      </c>
      <c r="M114" s="686">
        <v>0</v>
      </c>
      <c r="N114" s="636">
        <v>0</v>
      </c>
      <c r="O114" s="636">
        <v>0</v>
      </c>
      <c r="P114" s="636">
        <v>2029</v>
      </c>
      <c r="Q114" s="636">
        <v>0</v>
      </c>
      <c r="R114" s="636">
        <v>205458</v>
      </c>
      <c r="S114" s="636">
        <v>3886</v>
      </c>
      <c r="T114" s="636">
        <v>0</v>
      </c>
      <c r="U114" s="636">
        <v>4933148</v>
      </c>
      <c r="V114" s="636">
        <v>123523</v>
      </c>
      <c r="W114" s="636">
        <v>124360</v>
      </c>
      <c r="X114" s="636">
        <v>0</v>
      </c>
      <c r="Y114" s="636">
        <v>2724</v>
      </c>
      <c r="Z114" s="636">
        <v>57834</v>
      </c>
      <c r="AA114" s="636">
        <v>26472</v>
      </c>
      <c r="AB114" s="686" t="e">
        <v>#VALUE!</v>
      </c>
      <c r="AC114" s="686">
        <v>2381</v>
      </c>
      <c r="AD114" s="686" t="e">
        <v>#VALUE!</v>
      </c>
      <c r="AE114" s="686">
        <v>2739</v>
      </c>
      <c r="AF114" s="686">
        <v>89943</v>
      </c>
      <c r="AG114" s="686">
        <v>22186</v>
      </c>
      <c r="AH114" s="686">
        <v>6876</v>
      </c>
      <c r="AI114" s="686">
        <v>199</v>
      </c>
      <c r="AJ114" s="686">
        <v>141195</v>
      </c>
      <c r="AK114" s="686">
        <v>3774</v>
      </c>
      <c r="AL114" s="686">
        <v>1</v>
      </c>
      <c r="AM114" s="686">
        <v>88</v>
      </c>
      <c r="AN114" s="686">
        <v>496673</v>
      </c>
      <c r="AO114" s="686">
        <v>115618</v>
      </c>
      <c r="AP114" s="686">
        <v>14634</v>
      </c>
      <c r="AQ114" s="686">
        <v>0</v>
      </c>
      <c r="AR114" s="686">
        <v>0</v>
      </c>
      <c r="AS114" s="686">
        <v>94517</v>
      </c>
      <c r="AT114" s="686">
        <v>887</v>
      </c>
      <c r="AU114" s="686">
        <v>8516</v>
      </c>
      <c r="AV114" s="686">
        <v>0</v>
      </c>
      <c r="AW114" s="686">
        <v>268436</v>
      </c>
      <c r="AX114" s="686">
        <v>0</v>
      </c>
      <c r="AY114" s="686">
        <v>2437</v>
      </c>
      <c r="AZ114" s="686">
        <v>102728</v>
      </c>
      <c r="BA114" s="686">
        <v>95260</v>
      </c>
      <c r="BB114" s="686">
        <v>651</v>
      </c>
      <c r="BC114" s="686">
        <v>0</v>
      </c>
      <c r="BD114" s="686">
        <v>737</v>
      </c>
      <c r="BE114" s="686">
        <v>72916</v>
      </c>
      <c r="BF114" s="686">
        <v>0</v>
      </c>
      <c r="BG114" s="686">
        <v>28</v>
      </c>
      <c r="BH114" s="686">
        <v>0</v>
      </c>
      <c r="BI114" s="686">
        <v>0</v>
      </c>
      <c r="BJ114" s="686">
        <v>263</v>
      </c>
      <c r="BK114" s="686">
        <v>0</v>
      </c>
      <c r="BL114" s="686">
        <v>9167</v>
      </c>
      <c r="BM114" s="686">
        <v>30</v>
      </c>
      <c r="BN114" s="686">
        <v>33623</v>
      </c>
      <c r="BO114" s="686">
        <v>80603</v>
      </c>
      <c r="BP114" s="686">
        <v>396</v>
      </c>
      <c r="BQ114" s="686">
        <v>1105</v>
      </c>
      <c r="BR114" s="686">
        <v>0</v>
      </c>
      <c r="BS114" s="686">
        <v>0</v>
      </c>
      <c r="BT114" s="686">
        <v>0</v>
      </c>
      <c r="BU114" s="686">
        <v>639</v>
      </c>
      <c r="BV114" s="686">
        <v>1881</v>
      </c>
      <c r="BW114" s="686">
        <v>0</v>
      </c>
      <c r="BX114" s="686">
        <v>136074</v>
      </c>
      <c r="BY114" s="686">
        <v>680</v>
      </c>
      <c r="BZ114" s="686">
        <v>0</v>
      </c>
      <c r="CA114" s="686">
        <v>3518</v>
      </c>
      <c r="CB114" s="686">
        <v>90</v>
      </c>
      <c r="CC114" s="686">
        <v>25475</v>
      </c>
      <c r="CD114" s="686">
        <v>0</v>
      </c>
      <c r="CE114" s="686">
        <v>1</v>
      </c>
    </row>
    <row r="115" spans="1:83" x14ac:dyDescent="0.25">
      <c r="A115" s="622">
        <v>351</v>
      </c>
      <c r="B115" s="625">
        <v>351</v>
      </c>
      <c r="C115" s="653" t="s">
        <v>235</v>
      </c>
      <c r="D115" s="701" t="s">
        <v>435</v>
      </c>
      <c r="E115" s="638">
        <v>6527</v>
      </c>
      <c r="F115" s="621">
        <v>0</v>
      </c>
      <c r="G115" s="621">
        <v>5189</v>
      </c>
      <c r="H115" s="621">
        <v>0</v>
      </c>
      <c r="I115" s="621">
        <v>0</v>
      </c>
      <c r="J115" s="621">
        <v>0</v>
      </c>
      <c r="K115" s="672">
        <v>8805</v>
      </c>
      <c r="L115" s="686">
        <v>0</v>
      </c>
      <c r="M115" s="686">
        <v>0</v>
      </c>
      <c r="N115" s="636">
        <v>0</v>
      </c>
      <c r="O115" s="636">
        <v>0</v>
      </c>
      <c r="P115" s="636">
        <v>0</v>
      </c>
      <c r="Q115" s="636">
        <v>0</v>
      </c>
      <c r="R115" s="636">
        <v>1288284</v>
      </c>
      <c r="S115" s="636">
        <v>12126</v>
      </c>
      <c r="T115" s="636">
        <v>0</v>
      </c>
      <c r="U115" s="636">
        <v>2789813</v>
      </c>
      <c r="V115" s="636">
        <v>922510</v>
      </c>
      <c r="W115" s="636">
        <v>436664</v>
      </c>
      <c r="X115" s="636">
        <v>0</v>
      </c>
      <c r="Y115" s="636">
        <v>0</v>
      </c>
      <c r="Z115" s="636">
        <v>312352</v>
      </c>
      <c r="AA115" s="636">
        <v>40716</v>
      </c>
      <c r="AB115" s="686" t="e">
        <v>#VALUE!</v>
      </c>
      <c r="AC115" s="686">
        <v>402240</v>
      </c>
      <c r="AD115" s="686" t="e">
        <v>#VALUE!</v>
      </c>
      <c r="AE115" s="686">
        <v>59134</v>
      </c>
      <c r="AF115" s="686">
        <v>0</v>
      </c>
      <c r="AG115" s="686">
        <v>4880</v>
      </c>
      <c r="AH115" s="686">
        <v>4392</v>
      </c>
      <c r="AI115" s="686">
        <v>13953</v>
      </c>
      <c r="AJ115" s="686">
        <v>879571</v>
      </c>
      <c r="AK115" s="686">
        <v>0</v>
      </c>
      <c r="AL115" s="686">
        <v>40564</v>
      </c>
      <c r="AM115" s="686">
        <v>110087</v>
      </c>
      <c r="AN115" s="686">
        <v>268831</v>
      </c>
      <c r="AO115" s="686">
        <v>17833</v>
      </c>
      <c r="AP115" s="686">
        <v>43388</v>
      </c>
      <c r="AQ115" s="686">
        <v>0</v>
      </c>
      <c r="AR115" s="686">
        <v>0</v>
      </c>
      <c r="AS115" s="686">
        <v>32651</v>
      </c>
      <c r="AT115" s="686">
        <v>26458</v>
      </c>
      <c r="AU115" s="686">
        <v>50150</v>
      </c>
      <c r="AV115" s="686">
        <v>0</v>
      </c>
      <c r="AW115" s="686">
        <v>3169100</v>
      </c>
      <c r="AX115" s="686">
        <v>0</v>
      </c>
      <c r="AY115" s="686">
        <v>0</v>
      </c>
      <c r="AZ115" s="686">
        <v>0</v>
      </c>
      <c r="BA115" s="686">
        <v>36073</v>
      </c>
      <c r="BB115" s="686">
        <v>0</v>
      </c>
      <c r="BC115" s="686">
        <v>0</v>
      </c>
      <c r="BD115" s="686">
        <v>0</v>
      </c>
      <c r="BE115" s="686">
        <v>112480</v>
      </c>
      <c r="BF115" s="686">
        <v>0</v>
      </c>
      <c r="BG115" s="686">
        <v>1299</v>
      </c>
      <c r="BH115" s="686">
        <v>0</v>
      </c>
      <c r="BI115" s="686">
        <v>0</v>
      </c>
      <c r="BJ115" s="686">
        <v>0</v>
      </c>
      <c r="BK115" s="686">
        <v>0</v>
      </c>
      <c r="BL115" s="686">
        <v>55030</v>
      </c>
      <c r="BM115" s="686">
        <v>21127</v>
      </c>
      <c r="BN115" s="686">
        <v>31113</v>
      </c>
      <c r="BO115" s="686">
        <v>121296</v>
      </c>
      <c r="BP115" s="686">
        <v>33210</v>
      </c>
      <c r="BQ115" s="686">
        <v>1875</v>
      </c>
      <c r="BR115" s="686">
        <v>0</v>
      </c>
      <c r="BS115" s="686">
        <v>0</v>
      </c>
      <c r="BT115" s="686">
        <v>0</v>
      </c>
      <c r="BU115" s="686">
        <v>28118</v>
      </c>
      <c r="BV115" s="686">
        <v>20128</v>
      </c>
      <c r="BW115" s="686">
        <v>0</v>
      </c>
      <c r="BX115" s="686">
        <v>25810</v>
      </c>
      <c r="BY115" s="686">
        <v>0</v>
      </c>
      <c r="BZ115" s="686">
        <v>0</v>
      </c>
      <c r="CA115" s="686">
        <v>33142</v>
      </c>
      <c r="CB115" s="686">
        <v>9856</v>
      </c>
      <c r="CC115" s="686">
        <v>50015</v>
      </c>
      <c r="CD115" s="686">
        <v>0</v>
      </c>
      <c r="CE115" s="686">
        <v>0</v>
      </c>
    </row>
    <row r="116" spans="1:83" x14ac:dyDescent="0.25">
      <c r="A116" s="622">
        <v>352</v>
      </c>
      <c r="B116" s="625">
        <v>352</v>
      </c>
      <c r="C116" s="653" t="s">
        <v>237</v>
      </c>
      <c r="D116" s="701" t="s">
        <v>436</v>
      </c>
      <c r="E116" s="638">
        <v>0</v>
      </c>
      <c r="F116" s="621">
        <v>0</v>
      </c>
      <c r="G116" s="621">
        <v>0</v>
      </c>
      <c r="H116" s="621">
        <v>0</v>
      </c>
      <c r="I116" s="621">
        <v>0</v>
      </c>
      <c r="J116" s="621">
        <v>0</v>
      </c>
      <c r="K116" s="672">
        <v>0</v>
      </c>
      <c r="L116" s="686">
        <v>0</v>
      </c>
      <c r="M116" s="686">
        <v>0</v>
      </c>
      <c r="N116" s="636">
        <v>0</v>
      </c>
      <c r="O116" s="636">
        <v>0</v>
      </c>
      <c r="P116" s="636">
        <v>0</v>
      </c>
      <c r="Q116" s="636">
        <v>0</v>
      </c>
      <c r="R116" s="636">
        <v>0</v>
      </c>
      <c r="S116" s="636">
        <v>0</v>
      </c>
      <c r="T116" s="636">
        <v>0</v>
      </c>
      <c r="U116" s="636">
        <v>0</v>
      </c>
      <c r="V116" s="636">
        <v>0</v>
      </c>
      <c r="W116" s="636">
        <v>0</v>
      </c>
      <c r="X116" s="636">
        <v>0</v>
      </c>
      <c r="Y116" s="636">
        <v>0</v>
      </c>
      <c r="Z116" s="636">
        <v>0</v>
      </c>
      <c r="AA116" s="636">
        <v>0</v>
      </c>
      <c r="AB116" s="686" t="e">
        <v>#VALUE!</v>
      </c>
      <c r="AC116" s="686">
        <v>0</v>
      </c>
      <c r="AD116" s="686" t="e">
        <v>#VALUE!</v>
      </c>
      <c r="AE116" s="686">
        <v>0</v>
      </c>
      <c r="AF116" s="686">
        <v>0</v>
      </c>
      <c r="AG116" s="686">
        <v>0</v>
      </c>
      <c r="AH116" s="686">
        <v>0</v>
      </c>
      <c r="AI116" s="686">
        <v>0</v>
      </c>
      <c r="AJ116" s="686">
        <v>0</v>
      </c>
      <c r="AK116" s="686">
        <v>65000</v>
      </c>
      <c r="AL116" s="686">
        <v>0</v>
      </c>
      <c r="AM116" s="686">
        <v>0</v>
      </c>
      <c r="AN116" s="686">
        <v>40827</v>
      </c>
      <c r="AO116" s="686">
        <v>0</v>
      </c>
      <c r="AP116" s="686">
        <v>0</v>
      </c>
      <c r="AQ116" s="686">
        <v>0</v>
      </c>
      <c r="AR116" s="686">
        <v>0</v>
      </c>
      <c r="AS116" s="686">
        <v>0</v>
      </c>
      <c r="AT116" s="686">
        <v>30000</v>
      </c>
      <c r="AU116" s="686">
        <v>0</v>
      </c>
      <c r="AV116" s="686">
        <v>0</v>
      </c>
      <c r="AW116" s="686">
        <v>617230</v>
      </c>
      <c r="AX116" s="686">
        <v>0</v>
      </c>
      <c r="AY116" s="686">
        <v>0</v>
      </c>
      <c r="AZ116" s="686">
        <v>0</v>
      </c>
      <c r="BA116" s="686">
        <v>0</v>
      </c>
      <c r="BB116" s="686">
        <v>0</v>
      </c>
      <c r="BC116" s="686">
        <v>0</v>
      </c>
      <c r="BD116" s="686">
        <v>0</v>
      </c>
      <c r="BE116" s="686">
        <v>0</v>
      </c>
      <c r="BF116" s="686">
        <v>0</v>
      </c>
      <c r="BG116" s="686">
        <v>0</v>
      </c>
      <c r="BH116" s="686">
        <v>0</v>
      </c>
      <c r="BI116" s="686">
        <v>0</v>
      </c>
      <c r="BJ116" s="686">
        <v>0</v>
      </c>
      <c r="BK116" s="686">
        <v>0</v>
      </c>
      <c r="BL116" s="686">
        <v>0</v>
      </c>
      <c r="BM116" s="686">
        <v>0</v>
      </c>
      <c r="BN116" s="686">
        <v>34611</v>
      </c>
      <c r="BO116" s="686">
        <v>0</v>
      </c>
      <c r="BP116" s="686">
        <v>0</v>
      </c>
      <c r="BQ116" s="686">
        <v>0</v>
      </c>
      <c r="BR116" s="686">
        <v>0</v>
      </c>
      <c r="BS116" s="686">
        <v>0</v>
      </c>
      <c r="BT116" s="686">
        <v>0</v>
      </c>
      <c r="BU116" s="686">
        <v>11300</v>
      </c>
      <c r="BV116" s="686">
        <v>328490</v>
      </c>
      <c r="BW116" s="686">
        <v>0</v>
      </c>
      <c r="BX116" s="686">
        <v>115250</v>
      </c>
      <c r="BY116" s="686">
        <v>95000</v>
      </c>
      <c r="BZ116" s="686">
        <v>0</v>
      </c>
      <c r="CA116" s="686">
        <v>0</v>
      </c>
      <c r="CB116" s="686">
        <v>0</v>
      </c>
      <c r="CC116" s="686">
        <v>0</v>
      </c>
      <c r="CD116" s="686">
        <v>0</v>
      </c>
      <c r="CE116" s="686">
        <v>0</v>
      </c>
    </row>
    <row r="117" spans="1:83" x14ac:dyDescent="0.25">
      <c r="A117" s="622">
        <v>353</v>
      </c>
      <c r="B117" s="625">
        <v>353</v>
      </c>
      <c r="C117" s="653" t="s">
        <v>238</v>
      </c>
      <c r="D117" s="701" t="s">
        <v>437</v>
      </c>
      <c r="E117" s="638">
        <v>0</v>
      </c>
      <c r="F117" s="621">
        <v>0</v>
      </c>
      <c r="G117" s="621">
        <v>0</v>
      </c>
      <c r="H117" s="621">
        <v>0</v>
      </c>
      <c r="I117" s="621">
        <v>0</v>
      </c>
      <c r="J117" s="621">
        <v>0</v>
      </c>
      <c r="K117" s="672">
        <v>0</v>
      </c>
      <c r="L117" s="686">
        <v>0</v>
      </c>
      <c r="M117" s="686">
        <v>0</v>
      </c>
      <c r="N117" s="636">
        <v>0</v>
      </c>
      <c r="O117" s="636">
        <v>0</v>
      </c>
      <c r="P117" s="636">
        <v>0</v>
      </c>
      <c r="Q117" s="636">
        <v>0</v>
      </c>
      <c r="R117" s="636">
        <v>0</v>
      </c>
      <c r="S117" s="636">
        <v>0</v>
      </c>
      <c r="T117" s="636">
        <v>0</v>
      </c>
      <c r="U117" s="636">
        <v>0</v>
      </c>
      <c r="V117" s="636">
        <v>0</v>
      </c>
      <c r="W117" s="636">
        <v>0</v>
      </c>
      <c r="X117" s="636">
        <v>0</v>
      </c>
      <c r="Y117" s="636">
        <v>0</v>
      </c>
      <c r="Z117" s="636">
        <v>0</v>
      </c>
      <c r="AA117" s="636">
        <v>2645</v>
      </c>
      <c r="AB117" s="686" t="e">
        <v>#VALUE!</v>
      </c>
      <c r="AC117" s="686">
        <v>0</v>
      </c>
      <c r="AD117" s="686" t="e">
        <v>#VALUE!</v>
      </c>
      <c r="AE117" s="686">
        <v>0</v>
      </c>
      <c r="AF117" s="686">
        <v>0</v>
      </c>
      <c r="AG117" s="686">
        <v>0</v>
      </c>
      <c r="AH117" s="686">
        <v>86498</v>
      </c>
      <c r="AI117" s="686">
        <v>0</v>
      </c>
      <c r="AJ117" s="686">
        <v>102394</v>
      </c>
      <c r="AK117" s="686">
        <v>0</v>
      </c>
      <c r="AL117" s="686">
        <v>0</v>
      </c>
      <c r="AM117" s="686">
        <v>0</v>
      </c>
      <c r="AN117" s="686">
        <v>0</v>
      </c>
      <c r="AO117" s="686">
        <v>0</v>
      </c>
      <c r="AP117" s="686">
        <v>0</v>
      </c>
      <c r="AQ117" s="686">
        <v>0</v>
      </c>
      <c r="AR117" s="686">
        <v>0</v>
      </c>
      <c r="AS117" s="686">
        <v>0</v>
      </c>
      <c r="AT117" s="686">
        <v>0</v>
      </c>
      <c r="AU117" s="686">
        <v>0</v>
      </c>
      <c r="AV117" s="686">
        <v>0</v>
      </c>
      <c r="AW117" s="686">
        <v>270417</v>
      </c>
      <c r="AX117" s="686">
        <v>0</v>
      </c>
      <c r="AY117" s="686">
        <v>0</v>
      </c>
      <c r="AZ117" s="686">
        <v>0</v>
      </c>
      <c r="BA117" s="686">
        <v>0</v>
      </c>
      <c r="BB117" s="686">
        <v>0</v>
      </c>
      <c r="BC117" s="686">
        <v>0</v>
      </c>
      <c r="BD117" s="686">
        <v>0</v>
      </c>
      <c r="BE117" s="686">
        <v>225975</v>
      </c>
      <c r="BF117" s="686">
        <v>0</v>
      </c>
      <c r="BG117" s="686">
        <v>0</v>
      </c>
      <c r="BH117" s="686">
        <v>0</v>
      </c>
      <c r="BI117" s="686">
        <v>0</v>
      </c>
      <c r="BJ117" s="686">
        <v>0</v>
      </c>
      <c r="BK117" s="686">
        <v>0</v>
      </c>
      <c r="BL117" s="686">
        <v>0</v>
      </c>
      <c r="BM117" s="686">
        <v>0</v>
      </c>
      <c r="BN117" s="686">
        <v>0</v>
      </c>
      <c r="BO117" s="686">
        <v>0</v>
      </c>
      <c r="BP117" s="686">
        <v>0</v>
      </c>
      <c r="BQ117" s="686">
        <v>0</v>
      </c>
      <c r="BR117" s="686">
        <v>0</v>
      </c>
      <c r="BS117" s="686">
        <v>305000</v>
      </c>
      <c r="BT117" s="686">
        <v>0</v>
      </c>
      <c r="BU117" s="686">
        <v>0</v>
      </c>
      <c r="BV117" s="686">
        <v>328490</v>
      </c>
      <c r="BW117" s="686">
        <v>0</v>
      </c>
      <c r="BX117" s="686">
        <v>0</v>
      </c>
      <c r="BY117" s="686">
        <v>0</v>
      </c>
      <c r="BZ117" s="686">
        <v>0</v>
      </c>
      <c r="CA117" s="686">
        <v>0</v>
      </c>
      <c r="CB117" s="686">
        <v>0</v>
      </c>
      <c r="CC117" s="686">
        <v>0</v>
      </c>
      <c r="CD117" s="686">
        <v>0</v>
      </c>
      <c r="CE117" s="686">
        <v>0</v>
      </c>
    </row>
    <row r="118" spans="1:83" ht="30" x14ac:dyDescent="0.25">
      <c r="A118" s="622">
        <v>356</v>
      </c>
      <c r="B118" s="625">
        <v>356</v>
      </c>
      <c r="C118" s="653" t="s">
        <v>555</v>
      </c>
      <c r="D118" s="701" t="s">
        <v>438</v>
      </c>
      <c r="E118" s="638">
        <v>0</v>
      </c>
      <c r="F118" s="621">
        <v>0</v>
      </c>
      <c r="G118" s="621">
        <v>0</v>
      </c>
      <c r="H118" s="621">
        <v>0</v>
      </c>
      <c r="I118" s="621">
        <v>0</v>
      </c>
      <c r="J118" s="621">
        <v>0</v>
      </c>
      <c r="K118" s="672">
        <v>0</v>
      </c>
      <c r="L118" s="686">
        <v>0</v>
      </c>
      <c r="M118" s="686">
        <v>0</v>
      </c>
      <c r="N118" s="636">
        <v>0</v>
      </c>
      <c r="O118" s="636">
        <v>0</v>
      </c>
      <c r="P118" s="636">
        <v>0</v>
      </c>
      <c r="Q118" s="636">
        <v>0</v>
      </c>
      <c r="R118" s="636">
        <v>124596880</v>
      </c>
      <c r="S118" s="636">
        <v>0</v>
      </c>
      <c r="T118" s="636">
        <v>0</v>
      </c>
      <c r="U118" s="636">
        <v>0</v>
      </c>
      <c r="V118" s="636">
        <v>0</v>
      </c>
      <c r="W118" s="636">
        <v>24717460</v>
      </c>
      <c r="X118" s="636">
        <v>0</v>
      </c>
      <c r="Y118" s="636">
        <v>0</v>
      </c>
      <c r="Z118" s="636">
        <v>0</v>
      </c>
      <c r="AA118" s="636">
        <v>0</v>
      </c>
      <c r="AB118" s="686" t="e">
        <v>#VALUE!</v>
      </c>
      <c r="AC118" s="686">
        <v>0</v>
      </c>
      <c r="AD118" s="686" t="e">
        <v>#VALUE!</v>
      </c>
      <c r="AE118" s="686">
        <v>0</v>
      </c>
      <c r="AF118" s="686">
        <v>0</v>
      </c>
      <c r="AG118" s="686">
        <v>0</v>
      </c>
      <c r="AH118" s="686">
        <v>0</v>
      </c>
      <c r="AI118" s="686">
        <v>0</v>
      </c>
      <c r="AJ118" s="686">
        <v>72429582</v>
      </c>
      <c r="AK118" s="686">
        <v>0</v>
      </c>
      <c r="AL118" s="686">
        <v>0</v>
      </c>
      <c r="AM118" s="686">
        <v>0</v>
      </c>
      <c r="AN118" s="686">
        <v>25817558</v>
      </c>
      <c r="AO118" s="686">
        <v>0</v>
      </c>
      <c r="AP118" s="686">
        <v>0</v>
      </c>
      <c r="AQ118" s="686">
        <v>0</v>
      </c>
      <c r="AR118" s="686">
        <v>0</v>
      </c>
      <c r="AS118" s="686">
        <v>0</v>
      </c>
      <c r="AT118" s="686">
        <v>0</v>
      </c>
      <c r="AU118" s="686">
        <v>0</v>
      </c>
      <c r="AV118" s="686">
        <v>223574</v>
      </c>
      <c r="AW118" s="686">
        <v>0</v>
      </c>
      <c r="AX118" s="686">
        <v>0</v>
      </c>
      <c r="AY118" s="686">
        <v>0</v>
      </c>
      <c r="AZ118" s="686">
        <v>0</v>
      </c>
      <c r="BA118" s="686">
        <v>0</v>
      </c>
      <c r="BB118" s="686">
        <v>0</v>
      </c>
      <c r="BC118" s="686">
        <v>0</v>
      </c>
      <c r="BD118" s="686">
        <v>0</v>
      </c>
      <c r="BE118" s="686">
        <v>0</v>
      </c>
      <c r="BF118" s="686">
        <v>0</v>
      </c>
      <c r="BG118" s="686">
        <v>0</v>
      </c>
      <c r="BH118" s="686">
        <v>0</v>
      </c>
      <c r="BI118" s="686">
        <v>0</v>
      </c>
      <c r="BJ118" s="686">
        <v>0</v>
      </c>
      <c r="BK118" s="686">
        <v>0</v>
      </c>
      <c r="BL118" s="686">
        <v>0</v>
      </c>
      <c r="BM118" s="686">
        <v>1963104</v>
      </c>
      <c r="BN118" s="686">
        <v>0</v>
      </c>
      <c r="BO118" s="686">
        <v>0</v>
      </c>
      <c r="BP118" s="686">
        <v>0</v>
      </c>
      <c r="BQ118" s="686">
        <v>0</v>
      </c>
      <c r="BR118" s="686">
        <v>0</v>
      </c>
      <c r="BS118" s="686">
        <v>1454712</v>
      </c>
      <c r="BT118" s="686">
        <v>17509463</v>
      </c>
      <c r="BU118" s="686">
        <v>0</v>
      </c>
      <c r="BV118" s="686">
        <v>0</v>
      </c>
      <c r="BW118" s="686">
        <v>0</v>
      </c>
      <c r="BX118" s="686">
        <v>0</v>
      </c>
      <c r="BY118" s="686">
        <v>0</v>
      </c>
      <c r="BZ118" s="686">
        <v>0</v>
      </c>
      <c r="CA118" s="686">
        <v>0</v>
      </c>
      <c r="CB118" s="686">
        <v>0</v>
      </c>
      <c r="CC118" s="686">
        <v>0</v>
      </c>
      <c r="CD118" s="686">
        <v>0</v>
      </c>
      <c r="CE118" s="686">
        <v>0</v>
      </c>
    </row>
    <row r="119" spans="1:83" x14ac:dyDescent="0.25">
      <c r="A119" s="622">
        <v>357</v>
      </c>
      <c r="B119" s="625">
        <v>357</v>
      </c>
      <c r="C119" s="653" t="s">
        <v>556</v>
      </c>
      <c r="D119" s="701" t="s">
        <v>439</v>
      </c>
      <c r="E119" s="638">
        <v>0</v>
      </c>
      <c r="F119" s="621">
        <v>0</v>
      </c>
      <c r="G119" s="621">
        <v>0</v>
      </c>
      <c r="H119" s="621">
        <v>0</v>
      </c>
      <c r="I119" s="621">
        <v>0</v>
      </c>
      <c r="J119" s="621">
        <v>0</v>
      </c>
      <c r="K119" s="672">
        <v>0</v>
      </c>
      <c r="L119" s="686">
        <v>0</v>
      </c>
      <c r="M119" s="686">
        <v>0</v>
      </c>
      <c r="N119" s="636">
        <v>0</v>
      </c>
      <c r="O119" s="636">
        <v>0</v>
      </c>
      <c r="P119" s="636">
        <v>0</v>
      </c>
      <c r="Q119" s="636">
        <v>0</v>
      </c>
      <c r="R119" s="636">
        <v>46018425</v>
      </c>
      <c r="S119" s="636">
        <v>0</v>
      </c>
      <c r="T119" s="636">
        <v>0</v>
      </c>
      <c r="U119" s="636">
        <v>0</v>
      </c>
      <c r="V119" s="636">
        <v>0</v>
      </c>
      <c r="W119" s="636">
        <v>15115435</v>
      </c>
      <c r="X119" s="636">
        <v>0</v>
      </c>
      <c r="Y119" s="636">
        <v>0</v>
      </c>
      <c r="Z119" s="636">
        <v>0</v>
      </c>
      <c r="AA119" s="636">
        <v>0</v>
      </c>
      <c r="AB119" s="686" t="e">
        <v>#VALUE!</v>
      </c>
      <c r="AC119" s="686">
        <v>0</v>
      </c>
      <c r="AD119" s="686" t="e">
        <v>#VALUE!</v>
      </c>
      <c r="AE119" s="686">
        <v>0</v>
      </c>
      <c r="AF119" s="686">
        <v>0</v>
      </c>
      <c r="AG119" s="686">
        <v>0</v>
      </c>
      <c r="AH119" s="686">
        <v>0</v>
      </c>
      <c r="AI119" s="686">
        <v>0</v>
      </c>
      <c r="AJ119" s="686">
        <v>44239876</v>
      </c>
      <c r="AK119" s="686">
        <v>0</v>
      </c>
      <c r="AL119" s="686">
        <v>0</v>
      </c>
      <c r="AM119" s="686">
        <v>0</v>
      </c>
      <c r="AN119" s="686">
        <v>12024360</v>
      </c>
      <c r="AO119" s="686">
        <v>0</v>
      </c>
      <c r="AP119" s="686">
        <v>0</v>
      </c>
      <c r="AQ119" s="686">
        <v>0</v>
      </c>
      <c r="AR119" s="686">
        <v>0</v>
      </c>
      <c r="AS119" s="686">
        <v>0</v>
      </c>
      <c r="AT119" s="686">
        <v>0</v>
      </c>
      <c r="AU119" s="686">
        <v>0</v>
      </c>
      <c r="AV119" s="686">
        <v>212145</v>
      </c>
      <c r="AW119" s="686">
        <v>0</v>
      </c>
      <c r="AX119" s="686">
        <v>0</v>
      </c>
      <c r="AY119" s="686">
        <v>0</v>
      </c>
      <c r="AZ119" s="686">
        <v>0</v>
      </c>
      <c r="BA119" s="686">
        <v>0</v>
      </c>
      <c r="BB119" s="686">
        <v>0</v>
      </c>
      <c r="BC119" s="686">
        <v>0</v>
      </c>
      <c r="BD119" s="686">
        <v>0</v>
      </c>
      <c r="BE119" s="686">
        <v>0</v>
      </c>
      <c r="BF119" s="686">
        <v>0</v>
      </c>
      <c r="BG119" s="686">
        <v>0</v>
      </c>
      <c r="BH119" s="686">
        <v>0</v>
      </c>
      <c r="BI119" s="686">
        <v>0</v>
      </c>
      <c r="BJ119" s="686">
        <v>0</v>
      </c>
      <c r="BK119" s="686">
        <v>0</v>
      </c>
      <c r="BL119" s="686">
        <v>0</v>
      </c>
      <c r="BM119" s="686">
        <v>1469109</v>
      </c>
      <c r="BN119" s="686">
        <v>0</v>
      </c>
      <c r="BO119" s="686">
        <v>0</v>
      </c>
      <c r="BP119" s="686">
        <v>0</v>
      </c>
      <c r="BQ119" s="686">
        <v>0</v>
      </c>
      <c r="BR119" s="686">
        <v>0</v>
      </c>
      <c r="BS119" s="686">
        <v>1091600</v>
      </c>
      <c r="BT119" s="686">
        <v>9360933</v>
      </c>
      <c r="BU119" s="686">
        <v>0</v>
      </c>
      <c r="BV119" s="686">
        <v>0</v>
      </c>
      <c r="BW119" s="686">
        <v>0</v>
      </c>
      <c r="BX119" s="686">
        <v>0</v>
      </c>
      <c r="BY119" s="686">
        <v>0</v>
      </c>
      <c r="BZ119" s="686">
        <v>0</v>
      </c>
      <c r="CA119" s="686">
        <v>0</v>
      </c>
      <c r="CB119" s="686">
        <v>0</v>
      </c>
      <c r="CC119" s="686">
        <v>0</v>
      </c>
      <c r="CD119" s="686">
        <v>0</v>
      </c>
      <c r="CE119" s="686">
        <v>0</v>
      </c>
    </row>
    <row r="120" spans="1:83" x14ac:dyDescent="0.25">
      <c r="A120" s="622">
        <v>359</v>
      </c>
      <c r="B120" s="625">
        <v>359</v>
      </c>
      <c r="C120" s="653" t="s">
        <v>259</v>
      </c>
      <c r="D120" s="701" t="s">
        <v>440</v>
      </c>
      <c r="E120" s="638">
        <v>0</v>
      </c>
      <c r="F120" s="621">
        <v>0</v>
      </c>
      <c r="G120" s="621">
        <v>0</v>
      </c>
      <c r="H120" s="621">
        <v>0</v>
      </c>
      <c r="I120" s="621">
        <v>0</v>
      </c>
      <c r="J120" s="621">
        <v>0</v>
      </c>
      <c r="K120" s="672">
        <v>0</v>
      </c>
      <c r="L120" s="686">
        <v>0</v>
      </c>
      <c r="M120" s="686">
        <v>0</v>
      </c>
      <c r="N120" s="636">
        <v>0</v>
      </c>
      <c r="O120" s="636">
        <v>0</v>
      </c>
      <c r="P120" s="636">
        <v>0</v>
      </c>
      <c r="Q120" s="636">
        <v>0</v>
      </c>
      <c r="R120" s="636">
        <v>17446137</v>
      </c>
      <c r="S120" s="636">
        <v>0</v>
      </c>
      <c r="T120" s="636">
        <v>0</v>
      </c>
      <c r="U120" s="636">
        <v>0</v>
      </c>
      <c r="V120" s="636">
        <v>0</v>
      </c>
      <c r="W120" s="636">
        <v>543647</v>
      </c>
      <c r="X120" s="636">
        <v>0</v>
      </c>
      <c r="Y120" s="636">
        <v>0</v>
      </c>
      <c r="Z120" s="636">
        <v>0</v>
      </c>
      <c r="AA120" s="636">
        <v>0</v>
      </c>
      <c r="AB120" s="686" t="e">
        <v>#VALUE!</v>
      </c>
      <c r="AC120" s="686">
        <v>0</v>
      </c>
      <c r="AD120" s="686" t="e">
        <v>#VALUE!</v>
      </c>
      <c r="AE120" s="686">
        <v>0</v>
      </c>
      <c r="AF120" s="686">
        <v>0</v>
      </c>
      <c r="AG120" s="686">
        <v>0</v>
      </c>
      <c r="AH120" s="686">
        <v>0</v>
      </c>
      <c r="AI120" s="686">
        <v>0</v>
      </c>
      <c r="AJ120" s="686">
        <v>10088858</v>
      </c>
      <c r="AK120" s="686">
        <v>0</v>
      </c>
      <c r="AL120" s="686">
        <v>0</v>
      </c>
      <c r="AM120" s="686">
        <v>0</v>
      </c>
      <c r="AN120" s="686">
        <v>5566126</v>
      </c>
      <c r="AO120" s="686">
        <v>0</v>
      </c>
      <c r="AP120" s="686">
        <v>0</v>
      </c>
      <c r="AQ120" s="686">
        <v>0</v>
      </c>
      <c r="AR120" s="686">
        <v>0</v>
      </c>
      <c r="AS120" s="686">
        <v>0</v>
      </c>
      <c r="AT120" s="686">
        <v>0</v>
      </c>
      <c r="AU120" s="686">
        <v>0</v>
      </c>
      <c r="AV120" s="686">
        <v>0</v>
      </c>
      <c r="AW120" s="686">
        <v>0</v>
      </c>
      <c r="AX120" s="686">
        <v>0</v>
      </c>
      <c r="AY120" s="686">
        <v>0</v>
      </c>
      <c r="AZ120" s="686">
        <v>0</v>
      </c>
      <c r="BA120" s="686">
        <v>0</v>
      </c>
      <c r="BB120" s="686">
        <v>0</v>
      </c>
      <c r="BC120" s="686">
        <v>0</v>
      </c>
      <c r="BD120" s="686">
        <v>0</v>
      </c>
      <c r="BE120" s="686">
        <v>0</v>
      </c>
      <c r="BF120" s="686">
        <v>0</v>
      </c>
      <c r="BG120" s="686">
        <v>0</v>
      </c>
      <c r="BH120" s="686">
        <v>0</v>
      </c>
      <c r="BI120" s="686">
        <v>0</v>
      </c>
      <c r="BJ120" s="686">
        <v>0</v>
      </c>
      <c r="BK120" s="686">
        <v>0</v>
      </c>
      <c r="BL120" s="686">
        <v>0</v>
      </c>
      <c r="BM120" s="686">
        <v>300175</v>
      </c>
      <c r="BN120" s="686">
        <v>0</v>
      </c>
      <c r="BO120" s="686">
        <v>0</v>
      </c>
      <c r="BP120" s="686">
        <v>0</v>
      </c>
      <c r="BQ120" s="686">
        <v>0</v>
      </c>
      <c r="BR120" s="686">
        <v>0</v>
      </c>
      <c r="BS120" s="686">
        <v>43109</v>
      </c>
      <c r="BT120" s="686">
        <v>0</v>
      </c>
      <c r="BU120" s="686">
        <v>0</v>
      </c>
      <c r="BV120" s="686">
        <v>0</v>
      </c>
      <c r="BW120" s="686">
        <v>0</v>
      </c>
      <c r="BX120" s="686">
        <v>0</v>
      </c>
      <c r="BY120" s="686">
        <v>0</v>
      </c>
      <c r="BZ120" s="686">
        <v>0</v>
      </c>
      <c r="CA120" s="686">
        <v>0</v>
      </c>
      <c r="CB120" s="686">
        <v>0</v>
      </c>
      <c r="CC120" s="686">
        <v>0</v>
      </c>
      <c r="CD120" s="686">
        <v>0</v>
      </c>
      <c r="CE120" s="686">
        <v>0</v>
      </c>
    </row>
    <row r="121" spans="1:83" x14ac:dyDescent="0.25">
      <c r="A121" s="622">
        <v>360</v>
      </c>
      <c r="B121" s="625">
        <v>360</v>
      </c>
      <c r="C121" s="653" t="s">
        <v>127</v>
      </c>
      <c r="D121" s="701" t="s">
        <v>441</v>
      </c>
      <c r="E121" s="638">
        <v>0</v>
      </c>
      <c r="F121" s="621">
        <v>0</v>
      </c>
      <c r="G121" s="621">
        <v>0</v>
      </c>
      <c r="H121" s="621">
        <v>0</v>
      </c>
      <c r="I121" s="621">
        <v>0</v>
      </c>
      <c r="J121" s="621">
        <v>0</v>
      </c>
      <c r="K121" s="672">
        <v>0</v>
      </c>
      <c r="L121" s="686">
        <v>0</v>
      </c>
      <c r="M121" s="686">
        <v>0</v>
      </c>
      <c r="N121" s="636">
        <v>0</v>
      </c>
      <c r="O121" s="636">
        <v>0</v>
      </c>
      <c r="P121" s="636">
        <v>0</v>
      </c>
      <c r="Q121" s="636">
        <v>0</v>
      </c>
      <c r="R121" s="636">
        <v>26504920</v>
      </c>
      <c r="S121" s="636">
        <v>0</v>
      </c>
      <c r="T121" s="636">
        <v>0</v>
      </c>
      <c r="U121" s="636">
        <v>0</v>
      </c>
      <c r="V121" s="636">
        <v>0</v>
      </c>
      <c r="W121" s="636">
        <v>6132910</v>
      </c>
      <c r="X121" s="636">
        <v>0</v>
      </c>
      <c r="Y121" s="636">
        <v>0</v>
      </c>
      <c r="Z121" s="636">
        <v>0</v>
      </c>
      <c r="AA121" s="636">
        <v>0</v>
      </c>
      <c r="AB121" s="686" t="e">
        <v>#VALUE!</v>
      </c>
      <c r="AC121" s="686">
        <v>0</v>
      </c>
      <c r="AD121" s="686" t="e">
        <v>#VALUE!</v>
      </c>
      <c r="AE121" s="686">
        <v>0</v>
      </c>
      <c r="AF121" s="686">
        <v>0</v>
      </c>
      <c r="AG121" s="686">
        <v>0</v>
      </c>
      <c r="AH121" s="686">
        <v>0</v>
      </c>
      <c r="AI121" s="686">
        <v>0</v>
      </c>
      <c r="AJ121" s="686">
        <v>18066940</v>
      </c>
      <c r="AK121" s="686">
        <v>0</v>
      </c>
      <c r="AL121" s="686">
        <v>0</v>
      </c>
      <c r="AM121" s="686">
        <v>0</v>
      </c>
      <c r="AN121" s="686">
        <v>7423420</v>
      </c>
      <c r="AO121" s="686">
        <v>0</v>
      </c>
      <c r="AP121" s="686">
        <v>0</v>
      </c>
      <c r="AQ121" s="686">
        <v>0</v>
      </c>
      <c r="AR121" s="686">
        <v>0</v>
      </c>
      <c r="AS121" s="686">
        <v>0</v>
      </c>
      <c r="AT121" s="686">
        <v>0</v>
      </c>
      <c r="AU121" s="686">
        <v>0</v>
      </c>
      <c r="AV121" s="686">
        <v>53828</v>
      </c>
      <c r="AW121" s="686">
        <v>0</v>
      </c>
      <c r="AX121" s="686">
        <v>0</v>
      </c>
      <c r="AY121" s="686">
        <v>0</v>
      </c>
      <c r="AZ121" s="686">
        <v>0</v>
      </c>
      <c r="BA121" s="686">
        <v>0</v>
      </c>
      <c r="BB121" s="686">
        <v>0</v>
      </c>
      <c r="BC121" s="686">
        <v>0</v>
      </c>
      <c r="BD121" s="686">
        <v>0</v>
      </c>
      <c r="BE121" s="686">
        <v>0</v>
      </c>
      <c r="BF121" s="686">
        <v>0</v>
      </c>
      <c r="BG121" s="686">
        <v>0</v>
      </c>
      <c r="BH121" s="686">
        <v>0</v>
      </c>
      <c r="BI121" s="686">
        <v>0</v>
      </c>
      <c r="BJ121" s="686">
        <v>0</v>
      </c>
      <c r="BK121" s="686">
        <v>0</v>
      </c>
      <c r="BL121" s="686">
        <v>0</v>
      </c>
      <c r="BM121" s="686">
        <v>440261</v>
      </c>
      <c r="BN121" s="686">
        <v>0</v>
      </c>
      <c r="BO121" s="686">
        <v>0</v>
      </c>
      <c r="BP121" s="686">
        <v>0</v>
      </c>
      <c r="BQ121" s="686">
        <v>0</v>
      </c>
      <c r="BR121" s="686">
        <v>0</v>
      </c>
      <c r="BS121" s="686">
        <v>414045</v>
      </c>
      <c r="BT121" s="686">
        <v>1517957</v>
      </c>
      <c r="BU121" s="686">
        <v>0</v>
      </c>
      <c r="BV121" s="686">
        <v>0</v>
      </c>
      <c r="BW121" s="686">
        <v>0</v>
      </c>
      <c r="BX121" s="686">
        <v>0</v>
      </c>
      <c r="BY121" s="686">
        <v>0</v>
      </c>
      <c r="BZ121" s="686">
        <v>0</v>
      </c>
      <c r="CA121" s="686">
        <v>0</v>
      </c>
      <c r="CB121" s="686">
        <v>0</v>
      </c>
      <c r="CC121" s="686">
        <v>0</v>
      </c>
      <c r="CD121" s="686">
        <v>0</v>
      </c>
      <c r="CE121" s="686">
        <v>0</v>
      </c>
    </row>
    <row r="122" spans="1:83" x14ac:dyDescent="0.25">
      <c r="A122" s="622">
        <v>361</v>
      </c>
      <c r="B122" s="625">
        <v>361</v>
      </c>
      <c r="C122" s="653" t="s">
        <v>108</v>
      </c>
      <c r="D122" s="701" t="s">
        <v>442</v>
      </c>
      <c r="E122" s="638">
        <v>0</v>
      </c>
      <c r="F122" s="621">
        <v>0</v>
      </c>
      <c r="G122" s="621">
        <v>0</v>
      </c>
      <c r="H122" s="621">
        <v>0</v>
      </c>
      <c r="I122" s="621">
        <v>0</v>
      </c>
      <c r="J122" s="621">
        <v>0</v>
      </c>
      <c r="K122" s="672">
        <v>0</v>
      </c>
      <c r="L122" s="686">
        <v>0</v>
      </c>
      <c r="M122" s="686">
        <v>0</v>
      </c>
      <c r="N122" s="636">
        <v>0</v>
      </c>
      <c r="O122" s="636">
        <v>0</v>
      </c>
      <c r="P122" s="636">
        <v>0</v>
      </c>
      <c r="Q122" s="636">
        <v>0</v>
      </c>
      <c r="R122" s="636">
        <v>50247591</v>
      </c>
      <c r="S122" s="636">
        <v>0</v>
      </c>
      <c r="T122" s="636">
        <v>0</v>
      </c>
      <c r="U122" s="636">
        <v>0</v>
      </c>
      <c r="V122" s="636">
        <v>0</v>
      </c>
      <c r="W122" s="636">
        <v>6656698</v>
      </c>
      <c r="X122" s="636">
        <v>0</v>
      </c>
      <c r="Y122" s="636">
        <v>0</v>
      </c>
      <c r="Z122" s="636">
        <v>0</v>
      </c>
      <c r="AA122" s="636">
        <v>0</v>
      </c>
      <c r="AB122" s="686" t="e">
        <v>#VALUE!</v>
      </c>
      <c r="AC122" s="686">
        <v>0</v>
      </c>
      <c r="AD122" s="686" t="e">
        <v>#VALUE!</v>
      </c>
      <c r="AE122" s="686">
        <v>0</v>
      </c>
      <c r="AF122" s="686">
        <v>0</v>
      </c>
      <c r="AG122" s="686">
        <v>0</v>
      </c>
      <c r="AH122" s="686">
        <v>0</v>
      </c>
      <c r="AI122" s="686">
        <v>0</v>
      </c>
      <c r="AJ122" s="686">
        <v>23522220</v>
      </c>
      <c r="AK122" s="686">
        <v>0</v>
      </c>
      <c r="AL122" s="686">
        <v>0</v>
      </c>
      <c r="AM122" s="686">
        <v>0</v>
      </c>
      <c r="AN122" s="686">
        <v>5750482</v>
      </c>
      <c r="AO122" s="686">
        <v>0</v>
      </c>
      <c r="AP122" s="686">
        <v>0</v>
      </c>
      <c r="AQ122" s="686">
        <v>0</v>
      </c>
      <c r="AR122" s="686">
        <v>0</v>
      </c>
      <c r="AS122" s="686">
        <v>0</v>
      </c>
      <c r="AT122" s="686">
        <v>0</v>
      </c>
      <c r="AU122" s="686">
        <v>0</v>
      </c>
      <c r="AV122" s="686">
        <v>756844</v>
      </c>
      <c r="AW122" s="686">
        <v>0</v>
      </c>
      <c r="AX122" s="686">
        <v>0</v>
      </c>
      <c r="AY122" s="686">
        <v>0</v>
      </c>
      <c r="AZ122" s="686">
        <v>0</v>
      </c>
      <c r="BA122" s="686">
        <v>0</v>
      </c>
      <c r="BB122" s="686">
        <v>0</v>
      </c>
      <c r="BC122" s="686">
        <v>0</v>
      </c>
      <c r="BD122" s="686">
        <v>0</v>
      </c>
      <c r="BE122" s="686">
        <v>0</v>
      </c>
      <c r="BF122" s="686">
        <v>0</v>
      </c>
      <c r="BG122" s="686">
        <v>0</v>
      </c>
      <c r="BH122" s="686">
        <v>0</v>
      </c>
      <c r="BI122" s="686">
        <v>0</v>
      </c>
      <c r="BJ122" s="686">
        <v>0</v>
      </c>
      <c r="BK122" s="686">
        <v>0</v>
      </c>
      <c r="BL122" s="686">
        <v>0</v>
      </c>
      <c r="BM122" s="686">
        <v>1554815</v>
      </c>
      <c r="BN122" s="686">
        <v>0</v>
      </c>
      <c r="BO122" s="686">
        <v>0</v>
      </c>
      <c r="BP122" s="686">
        <v>0</v>
      </c>
      <c r="BQ122" s="686">
        <v>0</v>
      </c>
      <c r="BR122" s="686">
        <v>0</v>
      </c>
      <c r="BS122" s="686">
        <v>193297</v>
      </c>
      <c r="BT122" s="686">
        <v>2717023</v>
      </c>
      <c r="BU122" s="686">
        <v>0</v>
      </c>
      <c r="BV122" s="686">
        <v>0</v>
      </c>
      <c r="BW122" s="686">
        <v>0</v>
      </c>
      <c r="BX122" s="686">
        <v>0</v>
      </c>
      <c r="BY122" s="686">
        <v>0</v>
      </c>
      <c r="BZ122" s="686">
        <v>0</v>
      </c>
      <c r="CA122" s="686">
        <v>0</v>
      </c>
      <c r="CB122" s="686">
        <v>0</v>
      </c>
      <c r="CC122" s="686">
        <v>0</v>
      </c>
      <c r="CD122" s="686">
        <v>0</v>
      </c>
      <c r="CE122" s="686">
        <v>0</v>
      </c>
    </row>
    <row r="123" spans="1:83" x14ac:dyDescent="0.25">
      <c r="A123" s="622">
        <v>362</v>
      </c>
      <c r="B123" s="625">
        <v>362</v>
      </c>
      <c r="C123" s="653" t="s">
        <v>109</v>
      </c>
      <c r="D123" s="701" t="s">
        <v>443</v>
      </c>
      <c r="E123" s="638">
        <v>0</v>
      </c>
      <c r="F123" s="621">
        <v>0</v>
      </c>
      <c r="G123" s="621">
        <v>0</v>
      </c>
      <c r="H123" s="621">
        <v>0</v>
      </c>
      <c r="I123" s="621">
        <v>0</v>
      </c>
      <c r="J123" s="621">
        <v>0</v>
      </c>
      <c r="K123" s="672">
        <v>0</v>
      </c>
      <c r="L123" s="686">
        <v>0</v>
      </c>
      <c r="M123" s="686">
        <v>0</v>
      </c>
      <c r="N123" s="636">
        <v>0</v>
      </c>
      <c r="O123" s="636">
        <v>0</v>
      </c>
      <c r="P123" s="636">
        <v>0</v>
      </c>
      <c r="Q123" s="636">
        <v>0</v>
      </c>
      <c r="R123" s="636">
        <v>122348260</v>
      </c>
      <c r="S123" s="636">
        <v>0</v>
      </c>
      <c r="T123" s="636">
        <v>0</v>
      </c>
      <c r="U123" s="636">
        <v>0</v>
      </c>
      <c r="V123" s="636">
        <v>0</v>
      </c>
      <c r="W123" s="636">
        <v>15771026</v>
      </c>
      <c r="X123" s="636">
        <v>0</v>
      </c>
      <c r="Y123" s="636">
        <v>0</v>
      </c>
      <c r="Z123" s="636">
        <v>0</v>
      </c>
      <c r="AA123" s="636">
        <v>0</v>
      </c>
      <c r="AB123" s="686" t="e">
        <v>#VALUE!</v>
      </c>
      <c r="AC123" s="686">
        <v>0</v>
      </c>
      <c r="AD123" s="686" t="e">
        <v>#VALUE!</v>
      </c>
      <c r="AE123" s="686">
        <v>0</v>
      </c>
      <c r="AF123" s="686">
        <v>0</v>
      </c>
      <c r="AG123" s="686">
        <v>0</v>
      </c>
      <c r="AH123" s="686">
        <v>0</v>
      </c>
      <c r="AI123" s="686">
        <v>0</v>
      </c>
      <c r="AJ123" s="686">
        <v>49564830</v>
      </c>
      <c r="AK123" s="686">
        <v>0</v>
      </c>
      <c r="AL123" s="686">
        <v>0</v>
      </c>
      <c r="AM123" s="686">
        <v>0</v>
      </c>
      <c r="AN123" s="686">
        <v>14891226</v>
      </c>
      <c r="AO123" s="686">
        <v>0</v>
      </c>
      <c r="AP123" s="686">
        <v>0</v>
      </c>
      <c r="AQ123" s="686">
        <v>0</v>
      </c>
      <c r="AR123" s="686">
        <v>0</v>
      </c>
      <c r="AS123" s="686">
        <v>0</v>
      </c>
      <c r="AT123" s="686">
        <v>0</v>
      </c>
      <c r="AU123" s="686">
        <v>0</v>
      </c>
      <c r="AV123" s="686">
        <v>775678</v>
      </c>
      <c r="AW123" s="686">
        <v>0</v>
      </c>
      <c r="AX123" s="686">
        <v>0</v>
      </c>
      <c r="AY123" s="686">
        <v>0</v>
      </c>
      <c r="AZ123" s="686">
        <v>0</v>
      </c>
      <c r="BA123" s="686">
        <v>0</v>
      </c>
      <c r="BB123" s="686">
        <v>0</v>
      </c>
      <c r="BC123" s="686">
        <v>0</v>
      </c>
      <c r="BD123" s="686">
        <v>0</v>
      </c>
      <c r="BE123" s="686">
        <v>0</v>
      </c>
      <c r="BF123" s="686">
        <v>0</v>
      </c>
      <c r="BG123" s="686">
        <v>0</v>
      </c>
      <c r="BH123" s="686">
        <v>0</v>
      </c>
      <c r="BI123" s="686">
        <v>0</v>
      </c>
      <c r="BJ123" s="686">
        <v>0</v>
      </c>
      <c r="BK123" s="686">
        <v>0</v>
      </c>
      <c r="BL123" s="686">
        <v>0</v>
      </c>
      <c r="BM123" s="686">
        <v>1748635</v>
      </c>
      <c r="BN123" s="686">
        <v>0</v>
      </c>
      <c r="BO123" s="686">
        <v>0</v>
      </c>
      <c r="BP123" s="686">
        <v>0</v>
      </c>
      <c r="BQ123" s="686">
        <v>0</v>
      </c>
      <c r="BR123" s="686">
        <v>0</v>
      </c>
      <c r="BS123" s="686">
        <v>524900</v>
      </c>
      <c r="BT123" s="686">
        <v>15428070</v>
      </c>
      <c r="BU123" s="686">
        <v>0</v>
      </c>
      <c r="BV123" s="686">
        <v>0</v>
      </c>
      <c r="BW123" s="686">
        <v>0</v>
      </c>
      <c r="BX123" s="686">
        <v>0</v>
      </c>
      <c r="BY123" s="686">
        <v>0</v>
      </c>
      <c r="BZ123" s="686">
        <v>0</v>
      </c>
      <c r="CA123" s="686">
        <v>0</v>
      </c>
      <c r="CB123" s="686">
        <v>0</v>
      </c>
      <c r="CC123" s="686">
        <v>0</v>
      </c>
      <c r="CD123" s="686">
        <v>0</v>
      </c>
      <c r="CE123" s="686">
        <v>0</v>
      </c>
    </row>
    <row r="124" spans="1:83" x14ac:dyDescent="0.25">
      <c r="A124" s="622">
        <v>363</v>
      </c>
      <c r="B124" s="625">
        <v>363</v>
      </c>
      <c r="C124" s="653" t="s">
        <v>245</v>
      </c>
      <c r="D124" s="701" t="s">
        <v>444</v>
      </c>
      <c r="E124" s="638">
        <v>0</v>
      </c>
      <c r="F124" s="621">
        <v>0</v>
      </c>
      <c r="G124" s="621">
        <v>0</v>
      </c>
      <c r="H124" s="621">
        <v>0</v>
      </c>
      <c r="I124" s="621">
        <v>0</v>
      </c>
      <c r="J124" s="621">
        <v>0</v>
      </c>
      <c r="K124" s="672">
        <v>0</v>
      </c>
      <c r="L124" s="686">
        <v>0</v>
      </c>
      <c r="M124" s="686">
        <v>0</v>
      </c>
      <c r="N124" s="636">
        <v>0</v>
      </c>
      <c r="O124" s="636">
        <v>0</v>
      </c>
      <c r="P124" s="636">
        <v>0</v>
      </c>
      <c r="Q124" s="636">
        <v>0</v>
      </c>
      <c r="R124" s="636">
        <v>271652</v>
      </c>
      <c r="S124" s="636">
        <v>0</v>
      </c>
      <c r="T124" s="636">
        <v>0</v>
      </c>
      <c r="U124" s="636">
        <v>0</v>
      </c>
      <c r="V124" s="636">
        <v>0</v>
      </c>
      <c r="W124" s="636">
        <v>100106</v>
      </c>
      <c r="X124" s="636">
        <v>0</v>
      </c>
      <c r="Y124" s="636">
        <v>0</v>
      </c>
      <c r="Z124" s="636">
        <v>0</v>
      </c>
      <c r="AA124" s="636">
        <v>0</v>
      </c>
      <c r="AB124" s="686" t="e">
        <v>#VALUE!</v>
      </c>
      <c r="AC124" s="686">
        <v>0</v>
      </c>
      <c r="AD124" s="686" t="e">
        <v>#VALUE!</v>
      </c>
      <c r="AE124" s="686">
        <v>0</v>
      </c>
      <c r="AF124" s="686">
        <v>0</v>
      </c>
      <c r="AG124" s="686">
        <v>0</v>
      </c>
      <c r="AH124" s="686">
        <v>0</v>
      </c>
      <c r="AI124" s="686">
        <v>0</v>
      </c>
      <c r="AJ124" s="686">
        <v>175395</v>
      </c>
      <c r="AK124" s="686">
        <v>0</v>
      </c>
      <c r="AL124" s="686">
        <v>0</v>
      </c>
      <c r="AM124" s="686">
        <v>0</v>
      </c>
      <c r="AN124" s="686">
        <v>918265</v>
      </c>
      <c r="AO124" s="686">
        <v>0</v>
      </c>
      <c r="AP124" s="686">
        <v>0</v>
      </c>
      <c r="AQ124" s="686">
        <v>0</v>
      </c>
      <c r="AR124" s="686">
        <v>0</v>
      </c>
      <c r="AS124" s="686">
        <v>0</v>
      </c>
      <c r="AT124" s="686">
        <v>0</v>
      </c>
      <c r="AU124" s="686">
        <v>0</v>
      </c>
      <c r="AV124" s="686">
        <v>10553</v>
      </c>
      <c r="AW124" s="686">
        <v>0</v>
      </c>
      <c r="AX124" s="686">
        <v>0</v>
      </c>
      <c r="AY124" s="686">
        <v>0</v>
      </c>
      <c r="AZ124" s="686">
        <v>0</v>
      </c>
      <c r="BA124" s="686">
        <v>0</v>
      </c>
      <c r="BB124" s="686">
        <v>0</v>
      </c>
      <c r="BC124" s="686">
        <v>0</v>
      </c>
      <c r="BD124" s="686">
        <v>0</v>
      </c>
      <c r="BE124" s="686">
        <v>0</v>
      </c>
      <c r="BF124" s="686">
        <v>0</v>
      </c>
      <c r="BG124" s="686">
        <v>0</v>
      </c>
      <c r="BH124" s="686">
        <v>0</v>
      </c>
      <c r="BI124" s="686">
        <v>0</v>
      </c>
      <c r="BJ124" s="686">
        <v>0</v>
      </c>
      <c r="BK124" s="686">
        <v>0</v>
      </c>
      <c r="BL124" s="686">
        <v>0</v>
      </c>
      <c r="BM124" s="686">
        <v>1919</v>
      </c>
      <c r="BN124" s="686">
        <v>0</v>
      </c>
      <c r="BO124" s="686">
        <v>0</v>
      </c>
      <c r="BP124" s="686">
        <v>0</v>
      </c>
      <c r="BQ124" s="686">
        <v>0</v>
      </c>
      <c r="BR124" s="686">
        <v>0</v>
      </c>
      <c r="BS124" s="686">
        <v>97</v>
      </c>
      <c r="BT124" s="686">
        <v>30383</v>
      </c>
      <c r="BU124" s="686">
        <v>0</v>
      </c>
      <c r="BV124" s="686">
        <v>0</v>
      </c>
      <c r="BW124" s="686">
        <v>0</v>
      </c>
      <c r="BX124" s="686">
        <v>0</v>
      </c>
      <c r="BY124" s="686">
        <v>0</v>
      </c>
      <c r="BZ124" s="686">
        <v>0</v>
      </c>
      <c r="CA124" s="686">
        <v>0</v>
      </c>
      <c r="CB124" s="686">
        <v>0</v>
      </c>
      <c r="CC124" s="686">
        <v>0</v>
      </c>
      <c r="CD124" s="686">
        <v>0</v>
      </c>
      <c r="CE124" s="686">
        <v>0</v>
      </c>
    </row>
    <row r="125" spans="1:83" x14ac:dyDescent="0.25">
      <c r="A125" s="622">
        <v>364</v>
      </c>
      <c r="B125" s="625">
        <v>364</v>
      </c>
      <c r="C125" s="653" t="s">
        <v>246</v>
      </c>
      <c r="D125" s="701" t="s">
        <v>445</v>
      </c>
      <c r="E125" s="638">
        <v>0</v>
      </c>
      <c r="F125" s="621">
        <v>0</v>
      </c>
      <c r="G125" s="621">
        <v>0</v>
      </c>
      <c r="H125" s="621">
        <v>0</v>
      </c>
      <c r="I125" s="621">
        <v>0</v>
      </c>
      <c r="J125" s="621">
        <v>0</v>
      </c>
      <c r="K125" s="672">
        <v>0</v>
      </c>
      <c r="L125" s="686">
        <v>0</v>
      </c>
      <c r="M125" s="686">
        <v>0</v>
      </c>
      <c r="N125" s="636">
        <v>0</v>
      </c>
      <c r="O125" s="636">
        <v>0</v>
      </c>
      <c r="P125" s="636">
        <v>0</v>
      </c>
      <c r="Q125" s="636">
        <v>0</v>
      </c>
      <c r="R125" s="636">
        <v>1318542</v>
      </c>
      <c r="S125" s="636">
        <v>0</v>
      </c>
      <c r="T125" s="636">
        <v>0</v>
      </c>
      <c r="U125" s="636">
        <v>0</v>
      </c>
      <c r="V125" s="636">
        <v>0</v>
      </c>
      <c r="W125" s="636">
        <v>7896</v>
      </c>
      <c r="X125" s="636">
        <v>0</v>
      </c>
      <c r="Y125" s="636">
        <v>0</v>
      </c>
      <c r="Z125" s="636">
        <v>0</v>
      </c>
      <c r="AA125" s="636">
        <v>0</v>
      </c>
      <c r="AB125" s="686" t="e">
        <v>#VALUE!</v>
      </c>
      <c r="AC125" s="686">
        <v>0</v>
      </c>
      <c r="AD125" s="686" t="e">
        <v>#VALUE!</v>
      </c>
      <c r="AE125" s="686">
        <v>0</v>
      </c>
      <c r="AF125" s="686">
        <v>0</v>
      </c>
      <c r="AG125" s="686">
        <v>0</v>
      </c>
      <c r="AH125" s="686">
        <v>0</v>
      </c>
      <c r="AI125" s="686">
        <v>0</v>
      </c>
      <c r="AJ125" s="686">
        <v>212251</v>
      </c>
      <c r="AK125" s="686">
        <v>0</v>
      </c>
      <c r="AL125" s="686">
        <v>0</v>
      </c>
      <c r="AM125" s="686">
        <v>0</v>
      </c>
      <c r="AN125" s="686">
        <v>148362</v>
      </c>
      <c r="AO125" s="686">
        <v>0</v>
      </c>
      <c r="AP125" s="686">
        <v>0</v>
      </c>
      <c r="AQ125" s="686">
        <v>0</v>
      </c>
      <c r="AR125" s="686">
        <v>0</v>
      </c>
      <c r="AS125" s="686">
        <v>0</v>
      </c>
      <c r="AT125" s="686">
        <v>0</v>
      </c>
      <c r="AU125" s="686">
        <v>0</v>
      </c>
      <c r="AV125" s="686">
        <v>0</v>
      </c>
      <c r="AW125" s="686">
        <v>0</v>
      </c>
      <c r="AX125" s="686">
        <v>0</v>
      </c>
      <c r="AY125" s="686">
        <v>0</v>
      </c>
      <c r="AZ125" s="686">
        <v>0</v>
      </c>
      <c r="BA125" s="686">
        <v>0</v>
      </c>
      <c r="BB125" s="686">
        <v>0</v>
      </c>
      <c r="BC125" s="686">
        <v>0</v>
      </c>
      <c r="BD125" s="686">
        <v>0</v>
      </c>
      <c r="BE125" s="686">
        <v>0</v>
      </c>
      <c r="BF125" s="686">
        <v>0</v>
      </c>
      <c r="BG125" s="686">
        <v>0</v>
      </c>
      <c r="BH125" s="686">
        <v>0</v>
      </c>
      <c r="BI125" s="686">
        <v>0</v>
      </c>
      <c r="BJ125" s="686">
        <v>0</v>
      </c>
      <c r="BK125" s="686">
        <v>0</v>
      </c>
      <c r="BL125" s="686">
        <v>0</v>
      </c>
      <c r="BM125" s="686">
        <v>14104</v>
      </c>
      <c r="BN125" s="686">
        <v>0</v>
      </c>
      <c r="BO125" s="686">
        <v>0</v>
      </c>
      <c r="BP125" s="686">
        <v>0</v>
      </c>
      <c r="BQ125" s="686">
        <v>0</v>
      </c>
      <c r="BR125" s="686">
        <v>0</v>
      </c>
      <c r="BS125" s="686">
        <v>8058</v>
      </c>
      <c r="BT125" s="686">
        <v>0</v>
      </c>
      <c r="BU125" s="686">
        <v>0</v>
      </c>
      <c r="BV125" s="686">
        <v>0</v>
      </c>
      <c r="BW125" s="686">
        <v>0</v>
      </c>
      <c r="BX125" s="686">
        <v>0</v>
      </c>
      <c r="BY125" s="686">
        <v>0</v>
      </c>
      <c r="BZ125" s="686">
        <v>0</v>
      </c>
      <c r="CA125" s="686">
        <v>0</v>
      </c>
      <c r="CB125" s="686">
        <v>0</v>
      </c>
      <c r="CC125" s="686">
        <v>0</v>
      </c>
      <c r="CD125" s="686">
        <v>0</v>
      </c>
      <c r="CE125" s="686">
        <v>0</v>
      </c>
    </row>
    <row r="126" spans="1:83" x14ac:dyDescent="0.25">
      <c r="A126" s="622">
        <v>365</v>
      </c>
      <c r="B126" s="625">
        <v>365</v>
      </c>
      <c r="C126" s="653" t="s">
        <v>248</v>
      </c>
      <c r="D126" s="701" t="s">
        <v>446</v>
      </c>
      <c r="E126" s="638">
        <v>0</v>
      </c>
      <c r="F126" s="621">
        <v>0</v>
      </c>
      <c r="G126" s="621">
        <v>0</v>
      </c>
      <c r="H126" s="621">
        <v>0</v>
      </c>
      <c r="I126" s="621">
        <v>0</v>
      </c>
      <c r="J126" s="621">
        <v>0</v>
      </c>
      <c r="K126" s="672">
        <v>0</v>
      </c>
      <c r="L126" s="686">
        <v>0</v>
      </c>
      <c r="M126" s="686">
        <v>0</v>
      </c>
      <c r="N126" s="636">
        <v>0</v>
      </c>
      <c r="O126" s="636">
        <v>0</v>
      </c>
      <c r="P126" s="636">
        <v>0</v>
      </c>
      <c r="Q126" s="636">
        <v>0</v>
      </c>
      <c r="R126" s="636">
        <v>0</v>
      </c>
      <c r="S126" s="636">
        <v>0</v>
      </c>
      <c r="T126" s="636">
        <v>0</v>
      </c>
      <c r="U126" s="636">
        <v>0</v>
      </c>
      <c r="V126" s="636">
        <v>0</v>
      </c>
      <c r="W126" s="636">
        <v>0</v>
      </c>
      <c r="X126" s="636">
        <v>0</v>
      </c>
      <c r="Y126" s="636">
        <v>0</v>
      </c>
      <c r="Z126" s="636">
        <v>0</v>
      </c>
      <c r="AA126" s="636">
        <v>0</v>
      </c>
      <c r="AB126" s="686" t="e">
        <v>#VALUE!</v>
      </c>
      <c r="AC126" s="686">
        <v>0</v>
      </c>
      <c r="AD126" s="686" t="e">
        <v>#VALUE!</v>
      </c>
      <c r="AE126" s="686">
        <v>0</v>
      </c>
      <c r="AF126" s="686">
        <v>0</v>
      </c>
      <c r="AG126" s="686">
        <v>0</v>
      </c>
      <c r="AH126" s="686">
        <v>0</v>
      </c>
      <c r="AI126" s="686">
        <v>0</v>
      </c>
      <c r="AJ126" s="686">
        <v>0</v>
      </c>
      <c r="AK126" s="686">
        <v>0</v>
      </c>
      <c r="AL126" s="686">
        <v>0</v>
      </c>
      <c r="AM126" s="686">
        <v>0</v>
      </c>
      <c r="AN126" s="686">
        <v>0</v>
      </c>
      <c r="AO126" s="686">
        <v>0</v>
      </c>
      <c r="AP126" s="686">
        <v>0</v>
      </c>
      <c r="AQ126" s="686">
        <v>0</v>
      </c>
      <c r="AR126" s="686">
        <v>0</v>
      </c>
      <c r="AS126" s="686">
        <v>0</v>
      </c>
      <c r="AT126" s="686">
        <v>0</v>
      </c>
      <c r="AU126" s="686">
        <v>0</v>
      </c>
      <c r="AV126" s="686">
        <v>0</v>
      </c>
      <c r="AW126" s="686">
        <v>0</v>
      </c>
      <c r="AX126" s="686">
        <v>0</v>
      </c>
      <c r="AY126" s="686">
        <v>0</v>
      </c>
      <c r="AZ126" s="686">
        <v>0</v>
      </c>
      <c r="BA126" s="686">
        <v>0</v>
      </c>
      <c r="BB126" s="686">
        <v>0</v>
      </c>
      <c r="BC126" s="686">
        <v>0</v>
      </c>
      <c r="BD126" s="686">
        <v>0</v>
      </c>
      <c r="BE126" s="686">
        <v>0</v>
      </c>
      <c r="BF126" s="686">
        <v>0</v>
      </c>
      <c r="BG126" s="686">
        <v>0</v>
      </c>
      <c r="BH126" s="686">
        <v>0</v>
      </c>
      <c r="BI126" s="686">
        <v>0</v>
      </c>
      <c r="BJ126" s="686">
        <v>0</v>
      </c>
      <c r="BK126" s="686">
        <v>0</v>
      </c>
      <c r="BL126" s="686">
        <v>0</v>
      </c>
      <c r="BM126" s="686">
        <v>0</v>
      </c>
      <c r="BN126" s="686">
        <v>0</v>
      </c>
      <c r="BO126" s="686">
        <v>0</v>
      </c>
      <c r="BP126" s="686">
        <v>0</v>
      </c>
      <c r="BQ126" s="686">
        <v>0</v>
      </c>
      <c r="BR126" s="686">
        <v>0</v>
      </c>
      <c r="BS126" s="686">
        <v>0</v>
      </c>
      <c r="BT126" s="686">
        <v>0</v>
      </c>
      <c r="BU126" s="686">
        <v>0</v>
      </c>
      <c r="BV126" s="686">
        <v>0</v>
      </c>
      <c r="BW126" s="686">
        <v>0</v>
      </c>
      <c r="BX126" s="686">
        <v>0</v>
      </c>
      <c r="BY126" s="686">
        <v>0</v>
      </c>
      <c r="BZ126" s="686">
        <v>0</v>
      </c>
      <c r="CA126" s="686">
        <v>0</v>
      </c>
      <c r="CB126" s="686">
        <v>0</v>
      </c>
      <c r="CC126" s="686">
        <v>0</v>
      </c>
      <c r="CD126" s="686">
        <v>0</v>
      </c>
      <c r="CE126" s="686">
        <v>0</v>
      </c>
    </row>
    <row r="127" spans="1:83" x14ac:dyDescent="0.25">
      <c r="A127" s="622">
        <v>366</v>
      </c>
      <c r="B127" s="625">
        <v>366</v>
      </c>
      <c r="C127" s="653" t="s">
        <v>539</v>
      </c>
      <c r="D127" s="701" t="s">
        <v>447</v>
      </c>
      <c r="E127" s="638">
        <v>0</v>
      </c>
      <c r="F127" s="621">
        <v>0</v>
      </c>
      <c r="G127" s="621">
        <v>0</v>
      </c>
      <c r="H127" s="621">
        <v>0</v>
      </c>
      <c r="I127" s="621">
        <v>0</v>
      </c>
      <c r="J127" s="621">
        <v>0</v>
      </c>
      <c r="K127" s="672">
        <v>0</v>
      </c>
      <c r="L127" s="686">
        <v>0</v>
      </c>
      <c r="M127" s="686">
        <v>0</v>
      </c>
      <c r="N127" s="636">
        <v>0</v>
      </c>
      <c r="O127" s="636">
        <v>0</v>
      </c>
      <c r="P127" s="636">
        <v>0</v>
      </c>
      <c r="Q127" s="636">
        <v>0</v>
      </c>
      <c r="R127" s="636">
        <v>516309</v>
      </c>
      <c r="S127" s="636">
        <v>0</v>
      </c>
      <c r="T127" s="636">
        <v>0</v>
      </c>
      <c r="U127" s="636">
        <v>0</v>
      </c>
      <c r="V127" s="636">
        <v>0</v>
      </c>
      <c r="W127" s="636">
        <v>704552</v>
      </c>
      <c r="X127" s="636">
        <v>0</v>
      </c>
      <c r="Y127" s="636">
        <v>0</v>
      </c>
      <c r="Z127" s="636">
        <v>0</v>
      </c>
      <c r="AA127" s="636">
        <v>0</v>
      </c>
      <c r="AB127" s="686" t="e">
        <v>#VALUE!</v>
      </c>
      <c r="AC127" s="686">
        <v>0</v>
      </c>
      <c r="AD127" s="686" t="e">
        <v>#VALUE!</v>
      </c>
      <c r="AE127" s="686">
        <v>0</v>
      </c>
      <c r="AF127" s="686">
        <v>0</v>
      </c>
      <c r="AG127" s="686">
        <v>0</v>
      </c>
      <c r="AH127" s="686">
        <v>0</v>
      </c>
      <c r="AI127" s="686">
        <v>0</v>
      </c>
      <c r="AJ127" s="686">
        <v>2765412</v>
      </c>
      <c r="AK127" s="686">
        <v>0</v>
      </c>
      <c r="AL127" s="686">
        <v>0</v>
      </c>
      <c r="AM127" s="686">
        <v>0</v>
      </c>
      <c r="AN127" s="686">
        <v>40827</v>
      </c>
      <c r="AO127" s="686">
        <v>0</v>
      </c>
      <c r="AP127" s="686">
        <v>0</v>
      </c>
      <c r="AQ127" s="686">
        <v>0</v>
      </c>
      <c r="AR127" s="686">
        <v>0</v>
      </c>
      <c r="AS127" s="686">
        <v>0</v>
      </c>
      <c r="AT127" s="686">
        <v>0</v>
      </c>
      <c r="AU127" s="686">
        <v>0</v>
      </c>
      <c r="AV127" s="686">
        <v>55000</v>
      </c>
      <c r="AW127" s="686">
        <v>0</v>
      </c>
      <c r="AX127" s="686">
        <v>0</v>
      </c>
      <c r="AY127" s="686">
        <v>0</v>
      </c>
      <c r="AZ127" s="686">
        <v>0</v>
      </c>
      <c r="BA127" s="686">
        <v>0</v>
      </c>
      <c r="BB127" s="686">
        <v>0</v>
      </c>
      <c r="BC127" s="686">
        <v>0</v>
      </c>
      <c r="BD127" s="686">
        <v>0</v>
      </c>
      <c r="BE127" s="686">
        <v>0</v>
      </c>
      <c r="BF127" s="686">
        <v>0</v>
      </c>
      <c r="BG127" s="686">
        <v>0</v>
      </c>
      <c r="BH127" s="686">
        <v>0</v>
      </c>
      <c r="BI127" s="686">
        <v>0</v>
      </c>
      <c r="BJ127" s="686">
        <v>0</v>
      </c>
      <c r="BK127" s="686">
        <v>0</v>
      </c>
      <c r="BL127" s="686">
        <v>0</v>
      </c>
      <c r="BM127" s="686">
        <v>0</v>
      </c>
      <c r="BN127" s="686">
        <v>0</v>
      </c>
      <c r="BO127" s="686">
        <v>0</v>
      </c>
      <c r="BP127" s="686">
        <v>0</v>
      </c>
      <c r="BQ127" s="686">
        <v>0</v>
      </c>
      <c r="BR127" s="686">
        <v>0</v>
      </c>
      <c r="BS127" s="686">
        <v>297000</v>
      </c>
      <c r="BT127" s="686">
        <v>21641</v>
      </c>
      <c r="BU127" s="686">
        <v>0</v>
      </c>
      <c r="BV127" s="686">
        <v>0</v>
      </c>
      <c r="BW127" s="686">
        <v>0</v>
      </c>
      <c r="BX127" s="686">
        <v>0</v>
      </c>
      <c r="BY127" s="686">
        <v>0</v>
      </c>
      <c r="BZ127" s="686">
        <v>0</v>
      </c>
      <c r="CA127" s="686">
        <v>0</v>
      </c>
      <c r="CB127" s="686">
        <v>0</v>
      </c>
      <c r="CC127" s="686">
        <v>0</v>
      </c>
      <c r="CD127" s="686">
        <v>0</v>
      </c>
      <c r="CE127" s="686">
        <v>0</v>
      </c>
    </row>
    <row r="128" spans="1:83" x14ac:dyDescent="0.25">
      <c r="A128" s="622"/>
      <c r="B128" s="625">
        <v>367</v>
      </c>
      <c r="C128" s="653" t="s">
        <v>646</v>
      </c>
      <c r="D128" s="701" t="s">
        <v>448</v>
      </c>
      <c r="E128" s="638"/>
      <c r="F128" s="621"/>
      <c r="G128" s="621"/>
      <c r="H128" s="621"/>
      <c r="I128" s="621"/>
      <c r="J128" s="621"/>
      <c r="K128" s="672"/>
      <c r="L128" s="686"/>
      <c r="M128" s="686"/>
      <c r="N128" s="636"/>
      <c r="O128" s="636"/>
      <c r="P128" s="636"/>
      <c r="Q128" s="636"/>
      <c r="R128" s="636"/>
      <c r="S128" s="636"/>
      <c r="T128" s="636"/>
      <c r="U128" s="636"/>
      <c r="V128" s="636"/>
      <c r="W128" s="636"/>
      <c r="X128" s="636"/>
      <c r="Y128" s="636"/>
      <c r="Z128" s="636"/>
      <c r="AA128" s="636"/>
      <c r="AB128" s="686"/>
      <c r="AC128" s="686"/>
      <c r="AD128" s="686"/>
      <c r="AE128" s="686"/>
      <c r="AF128" s="686"/>
      <c r="AG128" s="686"/>
      <c r="AH128" s="686"/>
      <c r="AI128" s="686"/>
      <c r="AJ128" s="686"/>
      <c r="AK128" s="686"/>
      <c r="AL128" s="686"/>
      <c r="AM128" s="686"/>
      <c r="AN128" s="686"/>
      <c r="AO128" s="686"/>
      <c r="AP128" s="686"/>
      <c r="AQ128" s="686"/>
      <c r="AR128" s="686"/>
      <c r="AS128" s="686"/>
      <c r="AT128" s="686"/>
      <c r="AU128" s="686"/>
      <c r="AV128" s="686"/>
      <c r="AW128" s="686"/>
      <c r="AX128" s="686"/>
      <c r="AY128" s="686"/>
      <c r="AZ128" s="686"/>
      <c r="BA128" s="686"/>
      <c r="BB128" s="686"/>
      <c r="BC128" s="686"/>
      <c r="BD128" s="686"/>
      <c r="BE128" s="686"/>
      <c r="BF128" s="686"/>
      <c r="BG128" s="686"/>
      <c r="BH128" s="686"/>
      <c r="BI128" s="686"/>
      <c r="BJ128" s="686"/>
      <c r="BK128" s="686"/>
      <c r="BL128" s="686"/>
      <c r="BM128" s="686"/>
      <c r="BN128" s="686"/>
      <c r="BO128" s="686"/>
      <c r="BP128" s="686"/>
      <c r="BQ128" s="686"/>
      <c r="BR128" s="686"/>
      <c r="BS128" s="686"/>
      <c r="BT128" s="686"/>
      <c r="BU128" s="686"/>
      <c r="BV128" s="686"/>
      <c r="BW128" s="686"/>
      <c r="BX128" s="686"/>
      <c r="BY128" s="686"/>
      <c r="BZ128" s="686"/>
      <c r="CA128" s="686"/>
      <c r="CB128" s="686"/>
      <c r="CC128" s="686"/>
      <c r="CD128" s="686"/>
      <c r="CE128" s="686"/>
    </row>
    <row r="129" spans="1:83" x14ac:dyDescent="0.25">
      <c r="A129" s="622">
        <v>368</v>
      </c>
      <c r="B129" s="625">
        <v>368</v>
      </c>
      <c r="C129" s="653" t="s">
        <v>203</v>
      </c>
      <c r="D129" s="701" t="s">
        <v>449</v>
      </c>
      <c r="E129" s="638">
        <v>0</v>
      </c>
      <c r="F129" s="621">
        <v>0</v>
      </c>
      <c r="G129" s="621">
        <v>0</v>
      </c>
      <c r="H129" s="621">
        <v>0</v>
      </c>
      <c r="I129" s="621">
        <v>0</v>
      </c>
      <c r="J129" s="621">
        <v>0</v>
      </c>
      <c r="K129" s="672">
        <v>0</v>
      </c>
      <c r="L129" s="686">
        <v>21195</v>
      </c>
      <c r="M129" s="686">
        <v>0</v>
      </c>
      <c r="N129" s="636">
        <v>118115</v>
      </c>
      <c r="O129" s="636">
        <v>0</v>
      </c>
      <c r="P129" s="636">
        <v>0</v>
      </c>
      <c r="Q129" s="636">
        <v>0</v>
      </c>
      <c r="R129" s="636">
        <v>30829</v>
      </c>
      <c r="S129" s="636">
        <v>0</v>
      </c>
      <c r="T129" s="636">
        <v>0</v>
      </c>
      <c r="U129" s="636">
        <v>191146</v>
      </c>
      <c r="V129" s="636">
        <v>0</v>
      </c>
      <c r="W129" s="636">
        <v>0</v>
      </c>
      <c r="X129" s="636">
        <v>0</v>
      </c>
      <c r="Y129" s="636">
        <v>0</v>
      </c>
      <c r="Z129" s="636">
        <v>374088</v>
      </c>
      <c r="AA129" s="636">
        <v>0</v>
      </c>
      <c r="AB129" s="686" t="e">
        <v>#VALUE!</v>
      </c>
      <c r="AC129" s="686">
        <v>0</v>
      </c>
      <c r="AD129" s="686" t="e">
        <v>#VALUE!</v>
      </c>
      <c r="AE129" s="686">
        <v>0</v>
      </c>
      <c r="AF129" s="686">
        <v>0</v>
      </c>
      <c r="AG129" s="686">
        <v>2700</v>
      </c>
      <c r="AH129" s="686">
        <v>0</v>
      </c>
      <c r="AI129" s="686">
        <v>0</v>
      </c>
      <c r="AJ129" s="686">
        <v>0</v>
      </c>
      <c r="AK129" s="686">
        <v>0</v>
      </c>
      <c r="AL129" s="686">
        <v>0</v>
      </c>
      <c r="AM129" s="686">
        <v>0</v>
      </c>
      <c r="AN129" s="686">
        <v>23380</v>
      </c>
      <c r="AO129" s="686">
        <v>0</v>
      </c>
      <c r="AP129" s="686">
        <v>0</v>
      </c>
      <c r="AQ129" s="686">
        <v>0</v>
      </c>
      <c r="AR129" s="686">
        <v>0</v>
      </c>
      <c r="AS129" s="686">
        <v>0</v>
      </c>
      <c r="AT129" s="686">
        <v>0</v>
      </c>
      <c r="AU129" s="686">
        <v>0</v>
      </c>
      <c r="AV129" s="686">
        <v>0</v>
      </c>
      <c r="AW129" s="686">
        <v>0</v>
      </c>
      <c r="AX129" s="686">
        <v>12902</v>
      </c>
      <c r="AY129" s="686">
        <v>33000</v>
      </c>
      <c r="AZ129" s="686">
        <v>106979</v>
      </c>
      <c r="BA129" s="686">
        <v>0</v>
      </c>
      <c r="BB129" s="686">
        <v>0</v>
      </c>
      <c r="BC129" s="686">
        <v>0</v>
      </c>
      <c r="BD129" s="686">
        <v>1825</v>
      </c>
      <c r="BE129" s="686">
        <v>0</v>
      </c>
      <c r="BF129" s="686">
        <v>0</v>
      </c>
      <c r="BG129" s="686">
        <v>0</v>
      </c>
      <c r="BH129" s="686">
        <v>0</v>
      </c>
      <c r="BI129" s="686">
        <v>0</v>
      </c>
      <c r="BJ129" s="686">
        <v>0</v>
      </c>
      <c r="BK129" s="686">
        <v>0</v>
      </c>
      <c r="BL129" s="686">
        <v>0</v>
      </c>
      <c r="BM129" s="686">
        <v>0</v>
      </c>
      <c r="BN129" s="686">
        <v>0</v>
      </c>
      <c r="BO129" s="686">
        <v>22500</v>
      </c>
      <c r="BP129" s="686">
        <v>0</v>
      </c>
      <c r="BQ129" s="686">
        <v>0</v>
      </c>
      <c r="BR129" s="686">
        <v>0</v>
      </c>
      <c r="BS129" s="686">
        <v>0</v>
      </c>
      <c r="BT129" s="686">
        <v>0</v>
      </c>
      <c r="BU129" s="686">
        <v>0</v>
      </c>
      <c r="BV129" s="686">
        <v>0</v>
      </c>
      <c r="BW129" s="686">
        <v>0</v>
      </c>
      <c r="BX129" s="686">
        <v>0</v>
      </c>
      <c r="BY129" s="686">
        <v>0</v>
      </c>
      <c r="BZ129" s="686">
        <v>0</v>
      </c>
      <c r="CA129" s="686">
        <v>0</v>
      </c>
      <c r="CB129" s="686">
        <v>0</v>
      </c>
      <c r="CC129" s="686">
        <v>0</v>
      </c>
      <c r="CD129" s="686">
        <v>0</v>
      </c>
      <c r="CE129" s="686">
        <v>0</v>
      </c>
    </row>
    <row r="130" spans="1:83" x14ac:dyDescent="0.25">
      <c r="A130" s="622">
        <v>369</v>
      </c>
      <c r="B130" s="625">
        <v>369</v>
      </c>
      <c r="C130" s="653" t="s">
        <v>208</v>
      </c>
      <c r="D130" s="701" t="s">
        <v>450</v>
      </c>
      <c r="E130" s="638">
        <v>107147</v>
      </c>
      <c r="F130" s="621">
        <v>28278</v>
      </c>
      <c r="G130" s="621">
        <v>296816</v>
      </c>
      <c r="H130" s="621">
        <v>862497</v>
      </c>
      <c r="I130" s="621">
        <v>1372365</v>
      </c>
      <c r="J130" s="621">
        <v>1214436</v>
      </c>
      <c r="K130" s="672">
        <v>8972</v>
      </c>
      <c r="L130" s="686">
        <v>269564</v>
      </c>
      <c r="M130" s="686">
        <v>88902</v>
      </c>
      <c r="N130" s="636">
        <v>4350103</v>
      </c>
      <c r="O130" s="636">
        <v>200045</v>
      </c>
      <c r="P130" s="636">
        <v>1159887</v>
      </c>
      <c r="Q130" s="636">
        <v>10359</v>
      </c>
      <c r="R130" s="636">
        <v>11652664</v>
      </c>
      <c r="S130" s="636">
        <v>140260</v>
      </c>
      <c r="T130" s="636">
        <v>5125</v>
      </c>
      <c r="U130" s="636">
        <v>19042579</v>
      </c>
      <c r="V130" s="636">
        <v>4878716</v>
      </c>
      <c r="W130" s="636">
        <v>3152247</v>
      </c>
      <c r="X130" s="636">
        <v>9470590</v>
      </c>
      <c r="Y130" s="636">
        <v>143669</v>
      </c>
      <c r="Z130" s="636">
        <v>4586485</v>
      </c>
      <c r="AA130" s="636">
        <v>403650</v>
      </c>
      <c r="AB130" s="686" t="e">
        <v>#VALUE!</v>
      </c>
      <c r="AC130" s="686">
        <v>1732605</v>
      </c>
      <c r="AD130" s="686" t="e">
        <v>#VALUE!</v>
      </c>
      <c r="AE130" s="686">
        <v>800298</v>
      </c>
      <c r="AF130" s="686">
        <v>1042513</v>
      </c>
      <c r="AG130" s="686">
        <v>1518006</v>
      </c>
      <c r="AH130" s="686">
        <v>1806854</v>
      </c>
      <c r="AI130" s="686">
        <v>614312</v>
      </c>
      <c r="AJ130" s="686">
        <v>11810293</v>
      </c>
      <c r="AK130" s="686">
        <v>343702</v>
      </c>
      <c r="AL130" s="686">
        <v>495436</v>
      </c>
      <c r="AM130" s="686">
        <v>1027640</v>
      </c>
      <c r="AN130" s="686">
        <v>2033160</v>
      </c>
      <c r="AO130" s="686">
        <v>257136</v>
      </c>
      <c r="AP130" s="686">
        <v>442239</v>
      </c>
      <c r="AQ130" s="686">
        <v>44361</v>
      </c>
      <c r="AR130" s="686">
        <v>1328461</v>
      </c>
      <c r="AS130" s="686">
        <v>1982427</v>
      </c>
      <c r="AT130" s="686">
        <v>272391</v>
      </c>
      <c r="AU130" s="686">
        <v>826633</v>
      </c>
      <c r="AV130" s="686">
        <v>61865</v>
      </c>
      <c r="AW130" s="686">
        <v>2845524</v>
      </c>
      <c r="AX130" s="686">
        <v>753613</v>
      </c>
      <c r="AY130" s="686">
        <v>791027</v>
      </c>
      <c r="AZ130" s="686">
        <v>2308212</v>
      </c>
      <c r="BA130" s="686">
        <v>368294</v>
      </c>
      <c r="BB130" s="686">
        <v>127275</v>
      </c>
      <c r="BC130" s="686">
        <v>28969</v>
      </c>
      <c r="BD130" s="686">
        <v>23284</v>
      </c>
      <c r="BE130" s="686">
        <v>1066206</v>
      </c>
      <c r="BF130" s="686">
        <v>16401</v>
      </c>
      <c r="BG130" s="686">
        <v>50732</v>
      </c>
      <c r="BH130" s="686">
        <v>9111</v>
      </c>
      <c r="BI130" s="686">
        <v>28885</v>
      </c>
      <c r="BJ130" s="686">
        <v>125681</v>
      </c>
      <c r="BK130" s="686">
        <v>81329</v>
      </c>
      <c r="BL130" s="686">
        <v>512818</v>
      </c>
      <c r="BM130" s="686">
        <v>269985</v>
      </c>
      <c r="BN130" s="686">
        <v>603209</v>
      </c>
      <c r="BO130" s="686">
        <v>315620</v>
      </c>
      <c r="BP130" s="686">
        <v>367550</v>
      </c>
      <c r="BQ130" s="686">
        <v>882390</v>
      </c>
      <c r="BR130" s="686">
        <v>6159344</v>
      </c>
      <c r="BS130" s="686">
        <v>417727</v>
      </c>
      <c r="BT130" s="686">
        <v>5591188</v>
      </c>
      <c r="BU130" s="686">
        <v>293881</v>
      </c>
      <c r="BV130" s="686">
        <v>529463</v>
      </c>
      <c r="BW130" s="686">
        <v>234034</v>
      </c>
      <c r="BX130" s="686">
        <v>941547</v>
      </c>
      <c r="BY130" s="686">
        <v>834371</v>
      </c>
      <c r="BZ130" s="686">
        <v>25281</v>
      </c>
      <c r="CA130" s="686">
        <v>64178</v>
      </c>
      <c r="CB130" s="686">
        <v>74687</v>
      </c>
      <c r="CC130" s="686">
        <v>304456</v>
      </c>
      <c r="CD130" s="686">
        <v>0</v>
      </c>
      <c r="CE130" s="686">
        <v>37430</v>
      </c>
    </row>
    <row r="131" spans="1:83" x14ac:dyDescent="0.25">
      <c r="A131" s="622">
        <v>370</v>
      </c>
      <c r="B131" s="625">
        <v>370</v>
      </c>
      <c r="C131" s="653" t="s">
        <v>210</v>
      </c>
      <c r="D131" s="701" t="s">
        <v>451</v>
      </c>
      <c r="E131" s="638">
        <v>1924</v>
      </c>
      <c r="F131" s="621">
        <v>3600</v>
      </c>
      <c r="G131" s="621">
        <v>0</v>
      </c>
      <c r="H131" s="621">
        <v>53750</v>
      </c>
      <c r="I131" s="621">
        <v>66381</v>
      </c>
      <c r="J131" s="621">
        <v>75016</v>
      </c>
      <c r="K131" s="672">
        <v>0</v>
      </c>
      <c r="L131" s="686">
        <v>0</v>
      </c>
      <c r="M131" s="686">
        <v>0</v>
      </c>
      <c r="N131" s="636">
        <v>625407</v>
      </c>
      <c r="O131" s="636">
        <v>19704</v>
      </c>
      <c r="P131" s="636">
        <v>100000</v>
      </c>
      <c r="Q131" s="636">
        <v>0</v>
      </c>
      <c r="R131" s="636">
        <v>1412578</v>
      </c>
      <c r="S131" s="636">
        <v>33182</v>
      </c>
      <c r="T131" s="636">
        <v>0</v>
      </c>
      <c r="U131" s="636">
        <v>12956213</v>
      </c>
      <c r="V131" s="636">
        <v>705324</v>
      </c>
      <c r="W131" s="636">
        <v>1823684</v>
      </c>
      <c r="X131" s="636">
        <v>2187379</v>
      </c>
      <c r="Y131" s="636">
        <v>0</v>
      </c>
      <c r="Z131" s="636">
        <v>0</v>
      </c>
      <c r="AA131" s="636">
        <v>26713</v>
      </c>
      <c r="AB131" s="686" t="e">
        <v>#VALUE!</v>
      </c>
      <c r="AC131" s="686">
        <v>109167</v>
      </c>
      <c r="AD131" s="686" t="e">
        <v>#VALUE!</v>
      </c>
      <c r="AE131" s="686">
        <v>10224</v>
      </c>
      <c r="AF131" s="686">
        <v>115406</v>
      </c>
      <c r="AG131" s="686">
        <v>1253945</v>
      </c>
      <c r="AH131" s="686">
        <v>0</v>
      </c>
      <c r="AI131" s="686">
        <v>30364</v>
      </c>
      <c r="AJ131" s="686">
        <v>2153314</v>
      </c>
      <c r="AK131" s="686">
        <v>0</v>
      </c>
      <c r="AL131" s="686">
        <v>31827</v>
      </c>
      <c r="AM131" s="686">
        <v>40547</v>
      </c>
      <c r="AN131" s="686">
        <v>1175874</v>
      </c>
      <c r="AO131" s="686">
        <v>0</v>
      </c>
      <c r="AP131" s="686">
        <v>15303</v>
      </c>
      <c r="AQ131" s="686">
        <v>0</v>
      </c>
      <c r="AR131" s="686">
        <v>135454</v>
      </c>
      <c r="AS131" s="686">
        <v>165287</v>
      </c>
      <c r="AT131" s="686">
        <v>5925</v>
      </c>
      <c r="AU131" s="686">
        <v>64541</v>
      </c>
      <c r="AV131" s="686">
        <v>0</v>
      </c>
      <c r="AW131" s="686">
        <v>1780654</v>
      </c>
      <c r="AX131" s="686">
        <v>0</v>
      </c>
      <c r="AY131" s="686">
        <v>0</v>
      </c>
      <c r="AZ131" s="686">
        <v>322714</v>
      </c>
      <c r="BA131" s="686">
        <v>16664</v>
      </c>
      <c r="BB131" s="686">
        <v>0</v>
      </c>
      <c r="BC131" s="686">
        <v>0</v>
      </c>
      <c r="BD131" s="686">
        <v>0</v>
      </c>
      <c r="BE131" s="686">
        <v>289242</v>
      </c>
      <c r="BF131" s="686">
        <v>0</v>
      </c>
      <c r="BG131" s="686">
        <v>0</v>
      </c>
      <c r="BH131" s="686">
        <v>0</v>
      </c>
      <c r="BI131" s="686">
        <v>0</v>
      </c>
      <c r="BJ131" s="686">
        <v>0</v>
      </c>
      <c r="BK131" s="686">
        <v>18941</v>
      </c>
      <c r="BL131" s="686">
        <v>285373</v>
      </c>
      <c r="BM131" s="686">
        <v>0</v>
      </c>
      <c r="BN131" s="686">
        <v>40805</v>
      </c>
      <c r="BO131" s="686">
        <v>241401</v>
      </c>
      <c r="BP131" s="686">
        <v>35279</v>
      </c>
      <c r="BQ131" s="686">
        <v>58392</v>
      </c>
      <c r="BR131" s="686">
        <v>361383</v>
      </c>
      <c r="BS131" s="686">
        <v>21564</v>
      </c>
      <c r="BT131" s="686">
        <v>861667</v>
      </c>
      <c r="BU131" s="686">
        <v>31437</v>
      </c>
      <c r="BV131" s="686">
        <v>140688</v>
      </c>
      <c r="BW131" s="686">
        <v>0</v>
      </c>
      <c r="BX131" s="686">
        <v>108397</v>
      </c>
      <c r="BY131" s="686">
        <v>770</v>
      </c>
      <c r="BZ131" s="686">
        <v>0</v>
      </c>
      <c r="CA131" s="686">
        <v>0</v>
      </c>
      <c r="CB131" s="686">
        <v>0</v>
      </c>
      <c r="CC131" s="686">
        <v>94032</v>
      </c>
      <c r="CD131" s="686">
        <v>0</v>
      </c>
      <c r="CE131" s="686">
        <v>0</v>
      </c>
    </row>
    <row r="132" spans="1:83" x14ac:dyDescent="0.25">
      <c r="A132" s="622">
        <v>371</v>
      </c>
      <c r="B132" s="625">
        <v>371</v>
      </c>
      <c r="C132" s="653" t="s">
        <v>265</v>
      </c>
      <c r="D132" s="701" t="s">
        <v>452</v>
      </c>
      <c r="E132" s="638">
        <v>0</v>
      </c>
      <c r="F132" s="621">
        <v>0</v>
      </c>
      <c r="G132" s="621">
        <v>0</v>
      </c>
      <c r="H132" s="621">
        <v>0</v>
      </c>
      <c r="I132" s="621">
        <v>0</v>
      </c>
      <c r="J132" s="621">
        <v>0</v>
      </c>
      <c r="K132" s="672">
        <v>0</v>
      </c>
      <c r="L132" s="686">
        <v>0</v>
      </c>
      <c r="M132" s="686">
        <v>0</v>
      </c>
      <c r="N132" s="636">
        <v>0</v>
      </c>
      <c r="O132" s="636">
        <v>0</v>
      </c>
      <c r="P132" s="636">
        <v>0</v>
      </c>
      <c r="Q132" s="636">
        <v>0</v>
      </c>
      <c r="R132" s="636">
        <v>0</v>
      </c>
      <c r="S132" s="636">
        <v>0</v>
      </c>
      <c r="T132" s="636">
        <v>0</v>
      </c>
      <c r="U132" s="636">
        <v>0</v>
      </c>
      <c r="V132" s="636">
        <v>0</v>
      </c>
      <c r="W132" s="636">
        <v>0</v>
      </c>
      <c r="X132" s="636">
        <v>0</v>
      </c>
      <c r="Y132" s="636">
        <v>0</v>
      </c>
      <c r="Z132" s="636">
        <v>0</v>
      </c>
      <c r="AA132" s="636">
        <v>0</v>
      </c>
      <c r="AB132" s="686" t="e">
        <v>#VALUE!</v>
      </c>
      <c r="AC132" s="686">
        <v>0</v>
      </c>
      <c r="AD132" s="686" t="e">
        <v>#VALUE!</v>
      </c>
      <c r="AE132" s="686">
        <v>0</v>
      </c>
      <c r="AF132" s="686">
        <v>0</v>
      </c>
      <c r="AG132" s="686">
        <v>0</v>
      </c>
      <c r="AH132" s="686">
        <v>0</v>
      </c>
      <c r="AI132" s="686">
        <v>0</v>
      </c>
      <c r="AJ132" s="686">
        <v>0</v>
      </c>
      <c r="AK132" s="686">
        <v>0</v>
      </c>
      <c r="AL132" s="686">
        <v>0</v>
      </c>
      <c r="AM132" s="686">
        <v>0</v>
      </c>
      <c r="AN132" s="686">
        <v>0</v>
      </c>
      <c r="AO132" s="686">
        <v>0</v>
      </c>
      <c r="AP132" s="686">
        <v>0</v>
      </c>
      <c r="AQ132" s="686">
        <v>0</v>
      </c>
      <c r="AR132" s="686">
        <v>0</v>
      </c>
      <c r="AS132" s="686">
        <v>0</v>
      </c>
      <c r="AT132" s="686">
        <v>0</v>
      </c>
      <c r="AU132" s="686">
        <v>0</v>
      </c>
      <c r="AV132" s="686">
        <v>0</v>
      </c>
      <c r="AW132" s="686">
        <v>0</v>
      </c>
      <c r="AX132" s="686">
        <v>0</v>
      </c>
      <c r="AY132" s="686">
        <v>0</v>
      </c>
      <c r="AZ132" s="686">
        <v>0</v>
      </c>
      <c r="BA132" s="686">
        <v>0</v>
      </c>
      <c r="BB132" s="686">
        <v>0</v>
      </c>
      <c r="BC132" s="686">
        <v>0</v>
      </c>
      <c r="BD132" s="686">
        <v>0</v>
      </c>
      <c r="BE132" s="686">
        <v>0</v>
      </c>
      <c r="BF132" s="686">
        <v>0</v>
      </c>
      <c r="BG132" s="686">
        <v>0</v>
      </c>
      <c r="BH132" s="686">
        <v>0</v>
      </c>
      <c r="BI132" s="686">
        <v>0</v>
      </c>
      <c r="BJ132" s="686">
        <v>0</v>
      </c>
      <c r="BK132" s="686">
        <v>0</v>
      </c>
      <c r="BL132" s="686">
        <v>0</v>
      </c>
      <c r="BM132" s="686">
        <v>0</v>
      </c>
      <c r="BN132" s="686">
        <v>0</v>
      </c>
      <c r="BO132" s="686">
        <v>0</v>
      </c>
      <c r="BP132" s="686">
        <v>0</v>
      </c>
      <c r="BQ132" s="686">
        <v>0</v>
      </c>
      <c r="BR132" s="686">
        <v>0</v>
      </c>
      <c r="BS132" s="686">
        <v>0</v>
      </c>
      <c r="BT132" s="686">
        <v>0</v>
      </c>
      <c r="BU132" s="686">
        <v>0</v>
      </c>
      <c r="BV132" s="686">
        <v>0</v>
      </c>
      <c r="BW132" s="686">
        <v>0</v>
      </c>
      <c r="BX132" s="686">
        <v>0</v>
      </c>
      <c r="BY132" s="686">
        <v>0</v>
      </c>
      <c r="BZ132" s="686">
        <v>0</v>
      </c>
      <c r="CA132" s="686">
        <v>0</v>
      </c>
      <c r="CB132" s="686">
        <v>0</v>
      </c>
      <c r="CC132" s="686">
        <v>0</v>
      </c>
      <c r="CD132" s="686">
        <v>0</v>
      </c>
      <c r="CE132" s="686">
        <v>0</v>
      </c>
    </row>
    <row r="133" spans="1:83" x14ac:dyDescent="0.25">
      <c r="A133" s="622">
        <v>373</v>
      </c>
      <c r="B133" s="625">
        <v>373</v>
      </c>
      <c r="C133" s="653" t="s">
        <v>552</v>
      </c>
      <c r="D133" s="701" t="s">
        <v>453</v>
      </c>
      <c r="E133" s="638">
        <v>393728</v>
      </c>
      <c r="F133" s="621">
        <v>66766</v>
      </c>
      <c r="G133" s="621">
        <v>981680</v>
      </c>
      <c r="H133" s="621">
        <v>586875</v>
      </c>
      <c r="I133" s="621">
        <v>316447</v>
      </c>
      <c r="J133" s="621">
        <v>1003786</v>
      </c>
      <c r="K133" s="672">
        <v>52438</v>
      </c>
      <c r="L133" s="686">
        <v>198854</v>
      </c>
      <c r="M133" s="686">
        <v>257135</v>
      </c>
      <c r="N133" s="636">
        <v>17972125</v>
      </c>
      <c r="O133" s="636">
        <v>241166</v>
      </c>
      <c r="P133" s="636">
        <v>6488356</v>
      </c>
      <c r="Q133" s="636">
        <v>70333</v>
      </c>
      <c r="R133" s="636">
        <v>75958628</v>
      </c>
      <c r="S133" s="636">
        <v>944769</v>
      </c>
      <c r="T133" s="636">
        <v>176019</v>
      </c>
      <c r="U133" s="636">
        <v>102566684</v>
      </c>
      <c r="V133" s="636">
        <v>12123753</v>
      </c>
      <c r="W133" s="636">
        <v>78026401</v>
      </c>
      <c r="X133" s="636">
        <v>42407050</v>
      </c>
      <c r="Y133" s="636">
        <v>230327</v>
      </c>
      <c r="Z133" s="636">
        <v>28942276</v>
      </c>
      <c r="AA133" s="636">
        <v>1477269</v>
      </c>
      <c r="AB133" s="686" t="e">
        <v>#VALUE!</v>
      </c>
      <c r="AC133" s="686">
        <v>7393280</v>
      </c>
      <c r="AD133" s="686" t="e">
        <v>#VALUE!</v>
      </c>
      <c r="AE133" s="686">
        <v>3188424</v>
      </c>
      <c r="AF133" s="686">
        <v>3075599</v>
      </c>
      <c r="AG133" s="686">
        <v>49640182</v>
      </c>
      <c r="AH133" s="686">
        <v>6712040</v>
      </c>
      <c r="AI133" s="686">
        <v>1111040</v>
      </c>
      <c r="AJ133" s="686">
        <v>35746196</v>
      </c>
      <c r="AK133" s="686">
        <v>898757</v>
      </c>
      <c r="AL133" s="686">
        <v>907746</v>
      </c>
      <c r="AM133" s="686">
        <v>2912494</v>
      </c>
      <c r="AN133" s="686">
        <v>19447420</v>
      </c>
      <c r="AO133" s="686">
        <v>509129</v>
      </c>
      <c r="AP133" s="686">
        <v>370108</v>
      </c>
      <c r="AQ133" s="686">
        <v>92411</v>
      </c>
      <c r="AR133" s="686">
        <v>8628605</v>
      </c>
      <c r="AS133" s="686">
        <v>9155812</v>
      </c>
      <c r="AT133" s="686">
        <v>474793</v>
      </c>
      <c r="AU133" s="686">
        <v>2360959</v>
      </c>
      <c r="AV133" s="686">
        <v>330929</v>
      </c>
      <c r="AW133" s="686">
        <v>12918311</v>
      </c>
      <c r="AX133" s="686">
        <v>1761955</v>
      </c>
      <c r="AY133" s="686">
        <v>2262029</v>
      </c>
      <c r="AZ133" s="686">
        <v>3629210</v>
      </c>
      <c r="BA133" s="686">
        <v>1490653</v>
      </c>
      <c r="BB133" s="686">
        <v>442000</v>
      </c>
      <c r="BC133" s="686">
        <v>15079</v>
      </c>
      <c r="BD133" s="686">
        <v>15931</v>
      </c>
      <c r="BE133" s="686">
        <v>10691741</v>
      </c>
      <c r="BF133" s="686">
        <v>210181</v>
      </c>
      <c r="BG133" s="686">
        <v>237308</v>
      </c>
      <c r="BH133" s="686">
        <v>195894</v>
      </c>
      <c r="BI133" s="686">
        <v>121742</v>
      </c>
      <c r="BJ133" s="686">
        <v>337844</v>
      </c>
      <c r="BK133" s="686">
        <v>26116</v>
      </c>
      <c r="BL133" s="686">
        <v>3750878</v>
      </c>
      <c r="BM133" s="686">
        <v>616111</v>
      </c>
      <c r="BN133" s="686">
        <v>1559487</v>
      </c>
      <c r="BO133" s="686">
        <v>3924633</v>
      </c>
      <c r="BP133" s="686">
        <v>1390621</v>
      </c>
      <c r="BQ133" s="686">
        <v>2147470</v>
      </c>
      <c r="BR133" s="686">
        <v>21044989</v>
      </c>
      <c r="BS133" s="686">
        <v>1384599</v>
      </c>
      <c r="BT133" s="686">
        <v>14995972</v>
      </c>
      <c r="BU133" s="686">
        <v>1553132</v>
      </c>
      <c r="BV133" s="686">
        <v>3107564</v>
      </c>
      <c r="BW133" s="686">
        <v>677832</v>
      </c>
      <c r="BX133" s="686">
        <v>3499261</v>
      </c>
      <c r="BY133" s="686">
        <v>524881</v>
      </c>
      <c r="BZ133" s="686">
        <v>49304</v>
      </c>
      <c r="CA133" s="686">
        <v>404813</v>
      </c>
      <c r="CB133" s="686">
        <v>50208</v>
      </c>
      <c r="CC133" s="686">
        <v>1239937</v>
      </c>
      <c r="CD133" s="686">
        <v>0</v>
      </c>
      <c r="CE133" s="686">
        <v>126209</v>
      </c>
    </row>
    <row r="134" spans="1:83" x14ac:dyDescent="0.25">
      <c r="A134" s="622">
        <v>375</v>
      </c>
      <c r="B134" s="625">
        <v>375</v>
      </c>
      <c r="C134" s="653" t="s">
        <v>225</v>
      </c>
      <c r="D134" s="701" t="s">
        <v>454</v>
      </c>
      <c r="E134" s="638">
        <v>167154</v>
      </c>
      <c r="F134" s="621">
        <v>0</v>
      </c>
      <c r="G134" s="621">
        <v>561528</v>
      </c>
      <c r="H134" s="621">
        <v>0</v>
      </c>
      <c r="I134" s="621">
        <v>0</v>
      </c>
      <c r="J134" s="621">
        <v>0</v>
      </c>
      <c r="K134" s="672">
        <v>-52210</v>
      </c>
      <c r="L134" s="686">
        <v>0</v>
      </c>
      <c r="M134" s="686">
        <v>0</v>
      </c>
      <c r="N134" s="636">
        <v>0</v>
      </c>
      <c r="O134" s="636">
        <v>0</v>
      </c>
      <c r="P134" s="636">
        <v>-293629</v>
      </c>
      <c r="Q134" s="636">
        <v>0</v>
      </c>
      <c r="R134" s="636">
        <v>33351283</v>
      </c>
      <c r="S134" s="636">
        <v>881868</v>
      </c>
      <c r="T134" s="636">
        <v>0</v>
      </c>
      <c r="U134" s="636">
        <v>43642448</v>
      </c>
      <c r="V134" s="636">
        <v>12468063</v>
      </c>
      <c r="W134" s="636">
        <v>16632027</v>
      </c>
      <c r="X134" s="636">
        <v>0</v>
      </c>
      <c r="Y134" s="636">
        <v>242924</v>
      </c>
      <c r="Z134" s="636">
        <v>5135106</v>
      </c>
      <c r="AA134" s="636">
        <v>1443963</v>
      </c>
      <c r="AB134" s="686" t="e">
        <v>#VALUE!</v>
      </c>
      <c r="AC134" s="686">
        <v>-281336</v>
      </c>
      <c r="AD134" s="686" t="e">
        <v>#VALUE!</v>
      </c>
      <c r="AE134" s="686">
        <v>712537</v>
      </c>
      <c r="AF134" s="686">
        <v>1939897</v>
      </c>
      <c r="AG134" s="686">
        <v>2940906</v>
      </c>
      <c r="AH134" s="686">
        <v>2276321</v>
      </c>
      <c r="AI134" s="686">
        <v>-153878</v>
      </c>
      <c r="AJ134" s="686">
        <v>16864378</v>
      </c>
      <c r="AK134" s="686">
        <v>757944</v>
      </c>
      <c r="AL134" s="686">
        <v>368163</v>
      </c>
      <c r="AM134" s="686">
        <v>1410120</v>
      </c>
      <c r="AN134" s="686">
        <v>3124894</v>
      </c>
      <c r="AO134" s="686">
        <v>340049</v>
      </c>
      <c r="AP134" s="686">
        <v>7760</v>
      </c>
      <c r="AQ134" s="686">
        <v>0</v>
      </c>
      <c r="AR134" s="686">
        <v>0</v>
      </c>
      <c r="AS134" s="686">
        <v>2875808</v>
      </c>
      <c r="AT134" s="686">
        <v>108021</v>
      </c>
      <c r="AU134" s="686">
        <v>730641</v>
      </c>
      <c r="AV134" s="686">
        <v>0</v>
      </c>
      <c r="AW134" s="686">
        <v>28207857</v>
      </c>
      <c r="AX134" s="686">
        <v>0</v>
      </c>
      <c r="AY134" s="686">
        <v>2638384</v>
      </c>
      <c r="AZ134" s="686">
        <v>5402724</v>
      </c>
      <c r="BA134" s="686">
        <v>875055</v>
      </c>
      <c r="BB134" s="686">
        <v>174842</v>
      </c>
      <c r="BC134" s="686">
        <v>0</v>
      </c>
      <c r="BD134" s="686">
        <v>-35509</v>
      </c>
      <c r="BE134" s="686">
        <v>5493248</v>
      </c>
      <c r="BF134" s="686">
        <v>0</v>
      </c>
      <c r="BG134" s="686">
        <v>95811</v>
      </c>
      <c r="BH134" s="686">
        <v>110423</v>
      </c>
      <c r="BI134" s="686">
        <v>0</v>
      </c>
      <c r="BJ134" s="686">
        <v>171798</v>
      </c>
      <c r="BK134" s="686">
        <v>0</v>
      </c>
      <c r="BL134" s="686">
        <v>1161845</v>
      </c>
      <c r="BM134" s="686">
        <v>-678570</v>
      </c>
      <c r="BN134" s="686">
        <v>213650</v>
      </c>
      <c r="BO134" s="686">
        <v>823030</v>
      </c>
      <c r="BP134" s="686">
        <v>580086</v>
      </c>
      <c r="BQ134" s="686">
        <v>679771</v>
      </c>
      <c r="BR134" s="686">
        <v>0</v>
      </c>
      <c r="BS134" s="686">
        <v>578866</v>
      </c>
      <c r="BT134" s="686">
        <v>0</v>
      </c>
      <c r="BU134" s="686">
        <v>567953</v>
      </c>
      <c r="BV134" s="686">
        <v>2497151</v>
      </c>
      <c r="BW134" s="686">
        <v>0</v>
      </c>
      <c r="BX134" s="686">
        <v>458564</v>
      </c>
      <c r="BY134" s="686">
        <v>902312</v>
      </c>
      <c r="BZ134" s="686">
        <v>11553</v>
      </c>
      <c r="CA134" s="686">
        <v>99012</v>
      </c>
      <c r="CB134" s="686">
        <v>-3505</v>
      </c>
      <c r="CC134" s="686">
        <v>141878</v>
      </c>
      <c r="CD134" s="686">
        <v>0</v>
      </c>
      <c r="CE134" s="686">
        <v>4198</v>
      </c>
    </row>
    <row r="135" spans="1:83" x14ac:dyDescent="0.25">
      <c r="A135" s="622">
        <v>376</v>
      </c>
      <c r="B135" s="625">
        <v>376</v>
      </c>
      <c r="C135" s="653" t="s">
        <v>110</v>
      </c>
      <c r="D135" s="701" t="s">
        <v>455</v>
      </c>
      <c r="E135" s="638">
        <v>1</v>
      </c>
      <c r="F135" s="621">
        <v>249212</v>
      </c>
      <c r="G135" s="621">
        <v>7226</v>
      </c>
      <c r="H135" s="621">
        <v>0</v>
      </c>
      <c r="I135" s="621">
        <v>-1</v>
      </c>
      <c r="J135" s="621">
        <v>0</v>
      </c>
      <c r="K135" s="672">
        <v>0</v>
      </c>
      <c r="L135" s="686">
        <v>0</v>
      </c>
      <c r="M135" s="686">
        <v>0</v>
      </c>
      <c r="N135" s="636">
        <v>-1443656</v>
      </c>
      <c r="O135" s="636">
        <v>0</v>
      </c>
      <c r="P135" s="636">
        <v>-1</v>
      </c>
      <c r="Q135" s="636">
        <v>1</v>
      </c>
      <c r="R135" s="636">
        <v>-19963777</v>
      </c>
      <c r="S135" s="636">
        <v>0</v>
      </c>
      <c r="T135" s="636">
        <v>0</v>
      </c>
      <c r="U135" s="636">
        <v>-27853975</v>
      </c>
      <c r="V135" s="636">
        <v>-1005420</v>
      </c>
      <c r="W135" s="636">
        <v>-11102207</v>
      </c>
      <c r="X135" s="636">
        <v>-779718</v>
      </c>
      <c r="Y135" s="636">
        <v>0</v>
      </c>
      <c r="Z135" s="636">
        <v>0</v>
      </c>
      <c r="AA135" s="636">
        <v>0</v>
      </c>
      <c r="AB135" s="686" t="e">
        <v>#VALUE!</v>
      </c>
      <c r="AC135" s="686">
        <v>-797241</v>
      </c>
      <c r="AD135" s="686" t="e">
        <v>#VALUE!</v>
      </c>
      <c r="AE135" s="686">
        <v>-32673</v>
      </c>
      <c r="AF135" s="686">
        <v>0</v>
      </c>
      <c r="AG135" s="686">
        <v>-2244277</v>
      </c>
      <c r="AH135" s="686">
        <v>-632436</v>
      </c>
      <c r="AI135" s="686">
        <v>0</v>
      </c>
      <c r="AJ135" s="686">
        <v>-26796627</v>
      </c>
      <c r="AK135" s="686">
        <v>0</v>
      </c>
      <c r="AL135" s="686">
        <v>0</v>
      </c>
      <c r="AM135" s="686">
        <v>0</v>
      </c>
      <c r="AN135" s="686">
        <v>-826086</v>
      </c>
      <c r="AO135" s="686">
        <v>-22434</v>
      </c>
      <c r="AP135" s="686">
        <v>-5</v>
      </c>
      <c r="AQ135" s="686">
        <v>0</v>
      </c>
      <c r="AR135" s="686">
        <v>-450000</v>
      </c>
      <c r="AS135" s="686">
        <v>-1086766</v>
      </c>
      <c r="AT135" s="686">
        <v>0</v>
      </c>
      <c r="AU135" s="686">
        <v>77524</v>
      </c>
      <c r="AV135" s="686">
        <v>2384</v>
      </c>
      <c r="AW135" s="686">
        <v>-1835199</v>
      </c>
      <c r="AX135" s="686">
        <v>0</v>
      </c>
      <c r="AY135" s="686">
        <v>0</v>
      </c>
      <c r="AZ135" s="686">
        <v>0</v>
      </c>
      <c r="BA135" s="686">
        <v>0</v>
      </c>
      <c r="BB135" s="686">
        <v>0</v>
      </c>
      <c r="BC135" s="686">
        <v>0</v>
      </c>
      <c r="BD135" s="686">
        <v>0</v>
      </c>
      <c r="BE135" s="686">
        <v>-4085559</v>
      </c>
      <c r="BF135" s="686">
        <v>0</v>
      </c>
      <c r="BG135" s="686">
        <v>0</v>
      </c>
      <c r="BH135" s="686">
        <v>0</v>
      </c>
      <c r="BI135" s="686">
        <v>0</v>
      </c>
      <c r="BJ135" s="686">
        <v>0</v>
      </c>
      <c r="BK135" s="686">
        <v>0</v>
      </c>
      <c r="BL135" s="686">
        <v>-617523</v>
      </c>
      <c r="BM135" s="686">
        <v>0</v>
      </c>
      <c r="BN135" s="686">
        <v>-26627</v>
      </c>
      <c r="BO135" s="686">
        <v>0</v>
      </c>
      <c r="BP135" s="686">
        <v>0</v>
      </c>
      <c r="BQ135" s="686">
        <v>0</v>
      </c>
      <c r="BR135" s="686">
        <v>0</v>
      </c>
      <c r="BS135" s="686">
        <v>-20095</v>
      </c>
      <c r="BT135" s="686">
        <v>-1860863</v>
      </c>
      <c r="BU135" s="686">
        <v>-33075</v>
      </c>
      <c r="BV135" s="686">
        <v>-493166</v>
      </c>
      <c r="BW135" s="686">
        <v>0</v>
      </c>
      <c r="BX135" s="686">
        <v>0</v>
      </c>
      <c r="BY135" s="686">
        <v>-327853</v>
      </c>
      <c r="BZ135" s="686">
        <v>0</v>
      </c>
      <c r="CA135" s="686">
        <v>0</v>
      </c>
      <c r="CB135" s="686">
        <v>0</v>
      </c>
      <c r="CC135" s="686">
        <v>-1</v>
      </c>
      <c r="CD135" s="686">
        <v>0</v>
      </c>
      <c r="CE135" s="686">
        <v>0</v>
      </c>
    </row>
    <row r="136" spans="1:83" x14ac:dyDescent="0.25">
      <c r="A136" s="622">
        <v>377</v>
      </c>
      <c r="B136" s="625">
        <v>377</v>
      </c>
      <c r="C136" s="653" t="s">
        <v>111</v>
      </c>
      <c r="D136" s="701" t="s">
        <v>456</v>
      </c>
      <c r="E136" s="638">
        <v>0</v>
      </c>
      <c r="F136" s="621">
        <v>0</v>
      </c>
      <c r="G136" s="621">
        <v>3001</v>
      </c>
      <c r="H136" s="621">
        <v>0</v>
      </c>
      <c r="I136" s="621">
        <v>0</v>
      </c>
      <c r="J136" s="621">
        <v>0</v>
      </c>
      <c r="K136" s="672">
        <v>0</v>
      </c>
      <c r="L136" s="686">
        <v>0</v>
      </c>
      <c r="M136" s="686">
        <v>0</v>
      </c>
      <c r="N136" s="636">
        <v>0</v>
      </c>
      <c r="O136" s="636">
        <v>0</v>
      </c>
      <c r="P136" s="636">
        <v>0</v>
      </c>
      <c r="Q136" s="636">
        <v>0</v>
      </c>
      <c r="R136" s="636">
        <v>-3724852</v>
      </c>
      <c r="S136" s="636">
        <v>0</v>
      </c>
      <c r="T136" s="636">
        <v>0</v>
      </c>
      <c r="U136" s="636">
        <v>-5526586</v>
      </c>
      <c r="V136" s="636">
        <v>-263333</v>
      </c>
      <c r="W136" s="636">
        <v>-2467156</v>
      </c>
      <c r="X136" s="636">
        <v>0</v>
      </c>
      <c r="Y136" s="636">
        <v>0</v>
      </c>
      <c r="Z136" s="636">
        <v>0</v>
      </c>
      <c r="AA136" s="636">
        <v>0</v>
      </c>
      <c r="AB136" s="686" t="e">
        <v>#VALUE!</v>
      </c>
      <c r="AC136" s="686">
        <v>-12071</v>
      </c>
      <c r="AD136" s="686" t="e">
        <v>#VALUE!</v>
      </c>
      <c r="AE136" s="686">
        <v>3566</v>
      </c>
      <c r="AF136" s="686">
        <v>0</v>
      </c>
      <c r="AG136" s="686">
        <v>-231674</v>
      </c>
      <c r="AH136" s="686">
        <v>-84852</v>
      </c>
      <c r="AI136" s="686">
        <v>22790</v>
      </c>
      <c r="AJ136" s="686">
        <v>1286271</v>
      </c>
      <c r="AK136" s="686">
        <v>0</v>
      </c>
      <c r="AL136" s="686">
        <v>0</v>
      </c>
      <c r="AM136" s="686">
        <v>0</v>
      </c>
      <c r="AN136" s="686">
        <v>-244335</v>
      </c>
      <c r="AO136" s="686">
        <v>0</v>
      </c>
      <c r="AP136" s="686">
        <v>0</v>
      </c>
      <c r="AQ136" s="686">
        <v>0</v>
      </c>
      <c r="AR136" s="686">
        <v>0</v>
      </c>
      <c r="AS136" s="686">
        <v>-244800</v>
      </c>
      <c r="AT136" s="686">
        <v>0</v>
      </c>
      <c r="AU136" s="686">
        <v>36956</v>
      </c>
      <c r="AV136" s="686">
        <v>0</v>
      </c>
      <c r="AW136" s="686">
        <v>457589</v>
      </c>
      <c r="AX136" s="686">
        <v>0</v>
      </c>
      <c r="AY136" s="686">
        <v>1</v>
      </c>
      <c r="AZ136" s="686">
        <v>0</v>
      </c>
      <c r="BA136" s="686">
        <v>1</v>
      </c>
      <c r="BB136" s="686">
        <v>0</v>
      </c>
      <c r="BC136" s="686">
        <v>0</v>
      </c>
      <c r="BD136" s="686">
        <v>-1741360</v>
      </c>
      <c r="BE136" s="686">
        <v>-585701</v>
      </c>
      <c r="BF136" s="686">
        <v>0</v>
      </c>
      <c r="BG136" s="686">
        <v>0</v>
      </c>
      <c r="BH136" s="686">
        <v>0</v>
      </c>
      <c r="BI136" s="686">
        <v>0</v>
      </c>
      <c r="BJ136" s="686">
        <v>0</v>
      </c>
      <c r="BK136" s="686">
        <v>0</v>
      </c>
      <c r="BL136" s="686">
        <v>-1008220</v>
      </c>
      <c r="BM136" s="686">
        <v>0</v>
      </c>
      <c r="BN136" s="686">
        <v>-8875</v>
      </c>
      <c r="BO136" s="686">
        <v>0</v>
      </c>
      <c r="BP136" s="686">
        <v>-1</v>
      </c>
      <c r="BQ136" s="686">
        <v>0</v>
      </c>
      <c r="BR136" s="686">
        <v>0</v>
      </c>
      <c r="BS136" s="686">
        <v>-4555</v>
      </c>
      <c r="BT136" s="686">
        <v>0</v>
      </c>
      <c r="BU136" s="686">
        <v>-6025</v>
      </c>
      <c r="BV136" s="686">
        <v>-226668</v>
      </c>
      <c r="BW136" s="686">
        <v>0</v>
      </c>
      <c r="BX136" s="686">
        <v>50000</v>
      </c>
      <c r="BY136" s="686">
        <v>-45146</v>
      </c>
      <c r="BZ136" s="686">
        <v>0</v>
      </c>
      <c r="CA136" s="686">
        <v>0</v>
      </c>
      <c r="CB136" s="686">
        <v>0</v>
      </c>
      <c r="CC136" s="686">
        <v>-26784</v>
      </c>
      <c r="CD136" s="686">
        <v>0</v>
      </c>
      <c r="CE136" s="686">
        <v>0</v>
      </c>
    </row>
    <row r="137" spans="1:83" x14ac:dyDescent="0.25">
      <c r="A137" s="622">
        <v>378</v>
      </c>
      <c r="B137" s="625">
        <v>378</v>
      </c>
      <c r="C137" s="653" t="s">
        <v>112</v>
      </c>
      <c r="D137" s="701" t="s">
        <v>457</v>
      </c>
      <c r="E137" s="638">
        <v>0</v>
      </c>
      <c r="F137" s="621">
        <v>0</v>
      </c>
      <c r="G137" s="621">
        <v>0</v>
      </c>
      <c r="H137" s="621">
        <v>0</v>
      </c>
      <c r="I137" s="621">
        <v>0</v>
      </c>
      <c r="J137" s="621">
        <v>0</v>
      </c>
      <c r="K137" s="672">
        <v>0</v>
      </c>
      <c r="L137" s="686">
        <v>0</v>
      </c>
      <c r="M137" s="686">
        <v>0</v>
      </c>
      <c r="N137" s="636">
        <v>0</v>
      </c>
      <c r="O137" s="636">
        <v>0</v>
      </c>
      <c r="P137" s="636">
        <v>0</v>
      </c>
      <c r="Q137" s="636">
        <v>0</v>
      </c>
      <c r="R137" s="636">
        <v>-1625609</v>
      </c>
      <c r="S137" s="636">
        <v>0</v>
      </c>
      <c r="T137" s="636">
        <v>0</v>
      </c>
      <c r="U137" s="636">
        <v>0</v>
      </c>
      <c r="V137" s="636">
        <v>0</v>
      </c>
      <c r="W137" s="636">
        <v>-1387776</v>
      </c>
      <c r="X137" s="636">
        <v>0</v>
      </c>
      <c r="Y137" s="636">
        <v>0</v>
      </c>
      <c r="Z137" s="636">
        <v>0</v>
      </c>
      <c r="AA137" s="636">
        <v>0</v>
      </c>
      <c r="AB137" s="686" t="e">
        <v>#VALUE!</v>
      </c>
      <c r="AC137" s="686">
        <v>0</v>
      </c>
      <c r="AD137" s="686" t="e">
        <v>#VALUE!</v>
      </c>
      <c r="AE137" s="686">
        <v>0</v>
      </c>
      <c r="AF137" s="686">
        <v>0</v>
      </c>
      <c r="AG137" s="686">
        <v>0</v>
      </c>
      <c r="AH137" s="686">
        <v>0</v>
      </c>
      <c r="AI137" s="686">
        <v>0</v>
      </c>
      <c r="AJ137" s="686">
        <v>1378442</v>
      </c>
      <c r="AK137" s="686">
        <v>0</v>
      </c>
      <c r="AL137" s="686">
        <v>0</v>
      </c>
      <c r="AM137" s="686">
        <v>0</v>
      </c>
      <c r="AN137" s="686">
        <v>-93080</v>
      </c>
      <c r="AO137" s="686">
        <v>0</v>
      </c>
      <c r="AP137" s="686">
        <v>0</v>
      </c>
      <c r="AQ137" s="686">
        <v>0</v>
      </c>
      <c r="AR137" s="686">
        <v>0</v>
      </c>
      <c r="AS137" s="686">
        <v>0</v>
      </c>
      <c r="AT137" s="686">
        <v>0</v>
      </c>
      <c r="AU137" s="686">
        <v>0</v>
      </c>
      <c r="AV137" s="686">
        <v>-20084</v>
      </c>
      <c r="AW137" s="686">
        <v>0</v>
      </c>
      <c r="AX137" s="686">
        <v>0</v>
      </c>
      <c r="AY137" s="686">
        <v>0</v>
      </c>
      <c r="AZ137" s="686">
        <v>0</v>
      </c>
      <c r="BA137" s="686">
        <v>0</v>
      </c>
      <c r="BB137" s="686">
        <v>0</v>
      </c>
      <c r="BC137" s="686">
        <v>0</v>
      </c>
      <c r="BD137" s="686">
        <v>0</v>
      </c>
      <c r="BE137" s="686">
        <v>0</v>
      </c>
      <c r="BF137" s="686">
        <v>0</v>
      </c>
      <c r="BG137" s="686">
        <v>0</v>
      </c>
      <c r="BH137" s="686">
        <v>0</v>
      </c>
      <c r="BI137" s="686">
        <v>0</v>
      </c>
      <c r="BJ137" s="686">
        <v>0</v>
      </c>
      <c r="BK137" s="686">
        <v>0</v>
      </c>
      <c r="BL137" s="686">
        <v>0</v>
      </c>
      <c r="BM137" s="686">
        <v>0</v>
      </c>
      <c r="BN137" s="686">
        <v>0</v>
      </c>
      <c r="BO137" s="686">
        <v>0</v>
      </c>
      <c r="BP137" s="686">
        <v>0</v>
      </c>
      <c r="BQ137" s="686">
        <v>0</v>
      </c>
      <c r="BR137" s="686">
        <v>0</v>
      </c>
      <c r="BS137" s="686">
        <v>-14907</v>
      </c>
      <c r="BT137" s="686">
        <v>-21395</v>
      </c>
      <c r="BU137" s="686">
        <v>0</v>
      </c>
      <c r="BV137" s="686">
        <v>0</v>
      </c>
      <c r="BW137" s="686">
        <v>0</v>
      </c>
      <c r="BX137" s="686">
        <v>0</v>
      </c>
      <c r="BY137" s="686">
        <v>0</v>
      </c>
      <c r="BZ137" s="686">
        <v>0</v>
      </c>
      <c r="CA137" s="686">
        <v>0</v>
      </c>
      <c r="CB137" s="686">
        <v>0</v>
      </c>
      <c r="CC137" s="686">
        <v>0</v>
      </c>
      <c r="CD137" s="686">
        <v>0</v>
      </c>
      <c r="CE137" s="686">
        <v>0</v>
      </c>
    </row>
    <row r="138" spans="1:83" x14ac:dyDescent="0.25">
      <c r="A138" s="622">
        <v>379</v>
      </c>
      <c r="B138" s="625">
        <v>379</v>
      </c>
      <c r="C138" s="653" t="s">
        <v>120</v>
      </c>
      <c r="D138" s="701" t="s">
        <v>458</v>
      </c>
      <c r="E138" s="638">
        <v>201656</v>
      </c>
      <c r="F138" s="621">
        <v>122080</v>
      </c>
      <c r="G138" s="621">
        <v>898339</v>
      </c>
      <c r="H138" s="621">
        <v>4077703</v>
      </c>
      <c r="I138" s="621">
        <v>4530580</v>
      </c>
      <c r="J138" s="621">
        <v>4623988</v>
      </c>
      <c r="K138" s="672">
        <v>218136</v>
      </c>
      <c r="L138" s="686">
        <v>832737</v>
      </c>
      <c r="M138" s="686">
        <v>895587</v>
      </c>
      <c r="N138" s="636">
        <v>9266869</v>
      </c>
      <c r="O138" s="636">
        <v>628280</v>
      </c>
      <c r="P138" s="636">
        <v>8121620</v>
      </c>
      <c r="Q138" s="636">
        <v>262164</v>
      </c>
      <c r="R138" s="636">
        <v>32325160</v>
      </c>
      <c r="S138" s="636">
        <v>1832758</v>
      </c>
      <c r="T138" s="636">
        <v>214925</v>
      </c>
      <c r="U138" s="636">
        <v>36630383</v>
      </c>
      <c r="V138" s="636">
        <v>10595183</v>
      </c>
      <c r="W138" s="636">
        <v>19708484</v>
      </c>
      <c r="X138" s="636">
        <v>31854127</v>
      </c>
      <c r="Y138" s="636">
        <v>313356</v>
      </c>
      <c r="Z138" s="636">
        <v>14175695</v>
      </c>
      <c r="AA138" s="636">
        <v>1637812</v>
      </c>
      <c r="AB138" s="686" t="e">
        <v>#VALUE!</v>
      </c>
      <c r="AC138" s="686">
        <v>1314740</v>
      </c>
      <c r="AD138" s="686" t="e">
        <v>#VALUE!</v>
      </c>
      <c r="AE138" s="686">
        <v>1375641</v>
      </c>
      <c r="AF138" s="686">
        <v>3083740</v>
      </c>
      <c r="AG138" s="686">
        <v>17724965</v>
      </c>
      <c r="AH138" s="686">
        <v>5011239</v>
      </c>
      <c r="AI138" s="686">
        <v>1187942</v>
      </c>
      <c r="AJ138" s="686">
        <v>22686565</v>
      </c>
      <c r="AK138" s="686">
        <v>2966366</v>
      </c>
      <c r="AL138" s="686">
        <v>701685</v>
      </c>
      <c r="AM138" s="686">
        <v>1941742</v>
      </c>
      <c r="AN138" s="686">
        <v>10381486</v>
      </c>
      <c r="AO138" s="686">
        <v>780763</v>
      </c>
      <c r="AP138" s="686">
        <v>391425</v>
      </c>
      <c r="AQ138" s="686">
        <v>87619</v>
      </c>
      <c r="AR138" s="686">
        <v>2024468</v>
      </c>
      <c r="AS138" s="686">
        <v>54165549</v>
      </c>
      <c r="AT138" s="686">
        <v>711740</v>
      </c>
      <c r="AU138" s="686">
        <v>1925126</v>
      </c>
      <c r="AV138" s="686">
        <v>423484</v>
      </c>
      <c r="AW138" s="686">
        <v>15112074</v>
      </c>
      <c r="AX138" s="686">
        <v>3759881</v>
      </c>
      <c r="AY138" s="686">
        <v>1908470</v>
      </c>
      <c r="AZ138" s="686">
        <v>14533452</v>
      </c>
      <c r="BA138" s="686">
        <v>1963050</v>
      </c>
      <c r="BB138" s="686">
        <v>1245178</v>
      </c>
      <c r="BC138" s="686">
        <v>88430</v>
      </c>
      <c r="BD138" s="686">
        <v>452371</v>
      </c>
      <c r="BE138" s="686">
        <v>6040901</v>
      </c>
      <c r="BF138" s="686">
        <v>498860</v>
      </c>
      <c r="BG138" s="686">
        <v>913426</v>
      </c>
      <c r="BH138" s="686">
        <v>170259</v>
      </c>
      <c r="BI138" s="686">
        <v>271382</v>
      </c>
      <c r="BJ138" s="686">
        <v>557766</v>
      </c>
      <c r="BK138" s="686">
        <v>291280</v>
      </c>
      <c r="BL138" s="686">
        <v>1805075</v>
      </c>
      <c r="BM138" s="686">
        <v>459912</v>
      </c>
      <c r="BN138" s="686">
        <v>1135530</v>
      </c>
      <c r="BO138" s="686">
        <v>3075787</v>
      </c>
      <c r="BP138" s="686">
        <v>998358</v>
      </c>
      <c r="BQ138" s="686">
        <v>2058112</v>
      </c>
      <c r="BR138" s="686">
        <v>11714990</v>
      </c>
      <c r="BS138" s="686">
        <v>744145</v>
      </c>
      <c r="BT138" s="686">
        <v>19170552</v>
      </c>
      <c r="BU138" s="686">
        <v>766397</v>
      </c>
      <c r="BV138" s="686">
        <v>5494324</v>
      </c>
      <c r="BW138" s="686">
        <v>1132644</v>
      </c>
      <c r="BX138" s="686">
        <v>1751510</v>
      </c>
      <c r="BY138" s="686">
        <v>2108110</v>
      </c>
      <c r="BZ138" s="686">
        <v>340138</v>
      </c>
      <c r="CA138" s="686">
        <v>279605</v>
      </c>
      <c r="CB138" s="686">
        <v>122384</v>
      </c>
      <c r="CC138" s="686">
        <v>412981</v>
      </c>
      <c r="CD138" s="686">
        <v>0</v>
      </c>
      <c r="CE138" s="686">
        <v>376165</v>
      </c>
    </row>
    <row r="139" spans="1:83" ht="30" x14ac:dyDescent="0.25">
      <c r="A139" s="622">
        <v>380</v>
      </c>
      <c r="B139" s="625">
        <v>380</v>
      </c>
      <c r="C139" s="653" t="s">
        <v>123</v>
      </c>
      <c r="D139" s="701" t="s">
        <v>459</v>
      </c>
      <c r="E139" s="638">
        <v>470</v>
      </c>
      <c r="F139" s="621">
        <v>731</v>
      </c>
      <c r="G139" s="621">
        <v>43699</v>
      </c>
      <c r="H139" s="621">
        <v>28758</v>
      </c>
      <c r="I139" s="621">
        <v>15390</v>
      </c>
      <c r="J139" s="621">
        <v>36023</v>
      </c>
      <c r="K139" s="672">
        <v>7736</v>
      </c>
      <c r="L139" s="686">
        <v>1097</v>
      </c>
      <c r="M139" s="686">
        <v>4625</v>
      </c>
      <c r="N139" s="636">
        <v>162495</v>
      </c>
      <c r="O139" s="636">
        <v>1273</v>
      </c>
      <c r="P139" s="636">
        <v>76221</v>
      </c>
      <c r="Q139" s="636">
        <v>731</v>
      </c>
      <c r="R139" s="636">
        <v>1062402</v>
      </c>
      <c r="S139" s="636">
        <v>1</v>
      </c>
      <c r="T139" s="636">
        <v>0</v>
      </c>
      <c r="U139" s="636">
        <v>877131</v>
      </c>
      <c r="V139" s="636">
        <v>89456</v>
      </c>
      <c r="W139" s="636">
        <v>117011</v>
      </c>
      <c r="X139" s="636">
        <v>29873</v>
      </c>
      <c r="Y139" s="636">
        <v>56148</v>
      </c>
      <c r="Z139" s="636">
        <v>140197</v>
      </c>
      <c r="AA139" s="636">
        <v>23692</v>
      </c>
      <c r="AB139" s="686" t="e">
        <v>#VALUE!</v>
      </c>
      <c r="AC139" s="686">
        <v>114406</v>
      </c>
      <c r="AD139" s="686" t="e">
        <v>#VALUE!</v>
      </c>
      <c r="AE139" s="686">
        <v>50713</v>
      </c>
      <c r="AF139" s="686">
        <v>75572</v>
      </c>
      <c r="AG139" s="686">
        <v>11728</v>
      </c>
      <c r="AH139" s="686">
        <v>91289</v>
      </c>
      <c r="AI139" s="686">
        <v>41172</v>
      </c>
      <c r="AJ139" s="686">
        <v>904197</v>
      </c>
      <c r="AK139" s="686">
        <v>1552</v>
      </c>
      <c r="AL139" s="686">
        <v>8066</v>
      </c>
      <c r="AM139" s="686">
        <v>52710</v>
      </c>
      <c r="AN139" s="686">
        <v>487226</v>
      </c>
      <c r="AO139" s="686">
        <v>951</v>
      </c>
      <c r="AP139" s="686">
        <v>29855</v>
      </c>
      <c r="AQ139" s="686">
        <v>0</v>
      </c>
      <c r="AR139" s="686">
        <v>69669</v>
      </c>
      <c r="AS139" s="686">
        <v>36020473</v>
      </c>
      <c r="AT139" s="686">
        <v>36457</v>
      </c>
      <c r="AU139" s="686">
        <v>69998</v>
      </c>
      <c r="AV139" s="686">
        <v>24083</v>
      </c>
      <c r="AW139" s="686">
        <v>123634</v>
      </c>
      <c r="AX139" s="686">
        <v>8556</v>
      </c>
      <c r="AY139" s="686">
        <v>51426</v>
      </c>
      <c r="AZ139" s="686">
        <v>174993</v>
      </c>
      <c r="BA139" s="686">
        <v>18663</v>
      </c>
      <c r="BB139" s="686">
        <v>63610</v>
      </c>
      <c r="BC139" s="686">
        <v>0</v>
      </c>
      <c r="BD139" s="686">
        <v>490</v>
      </c>
      <c r="BE139" s="686">
        <v>97418</v>
      </c>
      <c r="BF139" s="686">
        <v>2139</v>
      </c>
      <c r="BG139" s="686">
        <v>40023</v>
      </c>
      <c r="BH139" s="686">
        <v>32010</v>
      </c>
      <c r="BI139" s="686">
        <v>708</v>
      </c>
      <c r="BJ139" s="686">
        <v>14494</v>
      </c>
      <c r="BK139" s="686">
        <v>5618</v>
      </c>
      <c r="BL139" s="686">
        <v>154532</v>
      </c>
      <c r="BM139" s="686">
        <v>17283</v>
      </c>
      <c r="BN139" s="686">
        <v>2806</v>
      </c>
      <c r="BO139" s="686">
        <v>3803</v>
      </c>
      <c r="BP139" s="686">
        <v>1654</v>
      </c>
      <c r="BQ139" s="686">
        <v>4312</v>
      </c>
      <c r="BR139" s="686">
        <v>94775</v>
      </c>
      <c r="BS139" s="686">
        <v>35931</v>
      </c>
      <c r="BT139" s="686">
        <v>37267</v>
      </c>
      <c r="BU139" s="686">
        <v>15088</v>
      </c>
      <c r="BV139" s="686">
        <v>93000</v>
      </c>
      <c r="BW139" s="686">
        <v>6218</v>
      </c>
      <c r="BX139" s="686">
        <v>294176</v>
      </c>
      <c r="BY139" s="686">
        <v>43299</v>
      </c>
      <c r="BZ139" s="686">
        <v>105</v>
      </c>
      <c r="CA139" s="686">
        <v>11044</v>
      </c>
      <c r="CB139" s="686">
        <v>1750</v>
      </c>
      <c r="CC139" s="686">
        <v>2498</v>
      </c>
      <c r="CD139" s="686">
        <v>0</v>
      </c>
      <c r="CE139" s="686">
        <v>4703</v>
      </c>
    </row>
    <row r="140" spans="1:83" x14ac:dyDescent="0.25">
      <c r="A140" s="622">
        <v>381</v>
      </c>
      <c r="B140" s="625">
        <v>381</v>
      </c>
      <c r="C140" s="653" t="s">
        <v>115</v>
      </c>
      <c r="D140" s="701" t="s">
        <v>460</v>
      </c>
      <c r="E140" s="638">
        <v>1056442</v>
      </c>
      <c r="F140" s="621">
        <v>0</v>
      </c>
      <c r="G140" s="621">
        <v>4336919</v>
      </c>
      <c r="H140" s="621">
        <v>0</v>
      </c>
      <c r="I140" s="621">
        <v>0</v>
      </c>
      <c r="J140" s="621">
        <v>0</v>
      </c>
      <c r="K140" s="672">
        <v>2584979</v>
      </c>
      <c r="L140" s="686">
        <v>0</v>
      </c>
      <c r="M140" s="686">
        <v>0</v>
      </c>
      <c r="N140" s="636">
        <v>0</v>
      </c>
      <c r="O140" s="636">
        <v>0</v>
      </c>
      <c r="P140" s="636">
        <v>15380095</v>
      </c>
      <c r="Q140" s="636">
        <v>0</v>
      </c>
      <c r="R140" s="636">
        <v>128946710</v>
      </c>
      <c r="S140" s="636">
        <v>2483037</v>
      </c>
      <c r="T140" s="636">
        <v>0</v>
      </c>
      <c r="U140" s="636">
        <v>189789820</v>
      </c>
      <c r="V140" s="636">
        <v>66882875</v>
      </c>
      <c r="W140" s="636">
        <v>80564256</v>
      </c>
      <c r="X140" s="636">
        <v>0</v>
      </c>
      <c r="Y140" s="636">
        <v>3491742</v>
      </c>
      <c r="Z140" s="636">
        <v>47379855</v>
      </c>
      <c r="AA140" s="636">
        <v>11566568</v>
      </c>
      <c r="AB140" s="686" t="e">
        <v>#VALUE!</v>
      </c>
      <c r="AC140" s="686">
        <v>25619285</v>
      </c>
      <c r="AD140" s="686" t="e">
        <v>#VALUE!</v>
      </c>
      <c r="AE140" s="686">
        <v>7989107</v>
      </c>
      <c r="AF140" s="686">
        <v>13299230</v>
      </c>
      <c r="AG140" s="686">
        <v>10562591</v>
      </c>
      <c r="AH140" s="686">
        <v>11004437</v>
      </c>
      <c r="AI140" s="686">
        <v>4315408</v>
      </c>
      <c r="AJ140" s="686">
        <v>133728462</v>
      </c>
      <c r="AK140" s="686">
        <v>2406196</v>
      </c>
      <c r="AL140" s="686">
        <v>4989342</v>
      </c>
      <c r="AM140" s="686">
        <v>14102728</v>
      </c>
      <c r="AN140" s="686">
        <v>33976496</v>
      </c>
      <c r="AO140" s="686">
        <v>1516977</v>
      </c>
      <c r="AP140" s="686">
        <v>2907785</v>
      </c>
      <c r="AQ140" s="686">
        <v>0</v>
      </c>
      <c r="AR140" s="686">
        <v>0</v>
      </c>
      <c r="AS140" s="686">
        <v>22761155</v>
      </c>
      <c r="AT140" s="686">
        <v>7338194</v>
      </c>
      <c r="AU140" s="686">
        <v>12254219</v>
      </c>
      <c r="AV140" s="686">
        <v>0</v>
      </c>
      <c r="AW140" s="686">
        <v>140802314</v>
      </c>
      <c r="AX140" s="686">
        <v>0</v>
      </c>
      <c r="AY140" s="686">
        <v>8163054</v>
      </c>
      <c r="AZ140" s="686">
        <v>10609408</v>
      </c>
      <c r="BA140" s="686">
        <v>6978429</v>
      </c>
      <c r="BB140" s="686">
        <v>1422292</v>
      </c>
      <c r="BC140" s="686">
        <v>0</v>
      </c>
      <c r="BD140" s="686">
        <v>812230</v>
      </c>
      <c r="BE140" s="686">
        <v>37768878</v>
      </c>
      <c r="BF140" s="686">
        <v>0</v>
      </c>
      <c r="BG140" s="686">
        <v>3049872</v>
      </c>
      <c r="BH140" s="686">
        <v>2508015</v>
      </c>
      <c r="BI140" s="686">
        <v>0</v>
      </c>
      <c r="BJ140" s="686">
        <v>3310431</v>
      </c>
      <c r="BK140" s="686">
        <v>0</v>
      </c>
      <c r="BL140" s="686">
        <v>16301188</v>
      </c>
      <c r="BM140" s="686">
        <v>6780328</v>
      </c>
      <c r="BN140" s="686">
        <v>6496088</v>
      </c>
      <c r="BO140" s="686">
        <v>4356471</v>
      </c>
      <c r="BP140" s="686">
        <v>2997237</v>
      </c>
      <c r="BQ140" s="686">
        <v>1412335</v>
      </c>
      <c r="BR140" s="686">
        <v>0</v>
      </c>
      <c r="BS140" s="686">
        <v>5297821</v>
      </c>
      <c r="BT140" s="686">
        <v>0</v>
      </c>
      <c r="BU140" s="686">
        <v>7629229</v>
      </c>
      <c r="BV140" s="686">
        <v>16981610</v>
      </c>
      <c r="BW140" s="686">
        <v>0</v>
      </c>
      <c r="BX140" s="686">
        <v>12864732</v>
      </c>
      <c r="BY140" s="686">
        <v>3248496</v>
      </c>
      <c r="BZ140" s="686">
        <v>684739</v>
      </c>
      <c r="CA140" s="686">
        <v>4832297</v>
      </c>
      <c r="CB140" s="686">
        <v>5025327</v>
      </c>
      <c r="CC140" s="686">
        <v>4327643</v>
      </c>
      <c r="CD140" s="686">
        <v>0</v>
      </c>
      <c r="CE140" s="686">
        <v>859213</v>
      </c>
    </row>
    <row r="141" spans="1:83" x14ac:dyDescent="0.25">
      <c r="A141" s="622">
        <v>382</v>
      </c>
      <c r="B141" s="625">
        <v>382</v>
      </c>
      <c r="C141" s="653" t="s">
        <v>116</v>
      </c>
      <c r="D141" s="701" t="s">
        <v>461</v>
      </c>
      <c r="E141" s="638">
        <v>0</v>
      </c>
      <c r="F141" s="621">
        <v>0</v>
      </c>
      <c r="G141" s="621">
        <v>0</v>
      </c>
      <c r="H141" s="621">
        <v>0</v>
      </c>
      <c r="I141" s="621">
        <v>0</v>
      </c>
      <c r="J141" s="621">
        <v>0</v>
      </c>
      <c r="K141" s="672">
        <v>0</v>
      </c>
      <c r="L141" s="686">
        <v>0</v>
      </c>
      <c r="M141" s="686">
        <v>0</v>
      </c>
      <c r="N141" s="636">
        <v>0</v>
      </c>
      <c r="O141" s="636">
        <v>0</v>
      </c>
      <c r="P141" s="636">
        <v>0</v>
      </c>
      <c r="Q141" s="636">
        <v>0</v>
      </c>
      <c r="R141" s="636">
        <v>148853180</v>
      </c>
      <c r="S141" s="636">
        <v>0</v>
      </c>
      <c r="T141" s="636">
        <v>0</v>
      </c>
      <c r="U141" s="636">
        <v>0</v>
      </c>
      <c r="V141" s="636">
        <v>0</v>
      </c>
      <c r="W141" s="636">
        <v>21903936</v>
      </c>
      <c r="X141" s="636">
        <v>0</v>
      </c>
      <c r="Y141" s="636">
        <v>0</v>
      </c>
      <c r="Z141" s="636">
        <v>0</v>
      </c>
      <c r="AA141" s="636">
        <v>0</v>
      </c>
      <c r="AB141" s="686" t="e">
        <v>#VALUE!</v>
      </c>
      <c r="AC141" s="686">
        <v>0</v>
      </c>
      <c r="AD141" s="686" t="e">
        <v>#VALUE!</v>
      </c>
      <c r="AE141" s="686">
        <v>0</v>
      </c>
      <c r="AF141" s="686">
        <v>0</v>
      </c>
      <c r="AG141" s="686">
        <v>0</v>
      </c>
      <c r="AH141" s="686">
        <v>0</v>
      </c>
      <c r="AI141" s="686">
        <v>0</v>
      </c>
      <c r="AJ141" s="686">
        <v>67631770</v>
      </c>
      <c r="AK141" s="686">
        <v>0</v>
      </c>
      <c r="AL141" s="686">
        <v>0</v>
      </c>
      <c r="AM141" s="686">
        <v>0</v>
      </c>
      <c r="AN141" s="686">
        <v>22314646</v>
      </c>
      <c r="AO141" s="686">
        <v>0</v>
      </c>
      <c r="AP141" s="686">
        <v>0</v>
      </c>
      <c r="AQ141" s="686">
        <v>0</v>
      </c>
      <c r="AR141" s="686">
        <v>0</v>
      </c>
      <c r="AS141" s="686">
        <v>0</v>
      </c>
      <c r="AT141" s="686">
        <v>0</v>
      </c>
      <c r="AU141" s="686">
        <v>0</v>
      </c>
      <c r="AV141" s="686">
        <v>829506</v>
      </c>
      <c r="AW141" s="686">
        <v>0</v>
      </c>
      <c r="AX141" s="686">
        <v>0</v>
      </c>
      <c r="AY141" s="686">
        <v>0</v>
      </c>
      <c r="AZ141" s="686">
        <v>0</v>
      </c>
      <c r="BA141" s="686">
        <v>0</v>
      </c>
      <c r="BB141" s="686">
        <v>0</v>
      </c>
      <c r="BC141" s="686">
        <v>0</v>
      </c>
      <c r="BD141" s="686">
        <v>0</v>
      </c>
      <c r="BE141" s="686">
        <v>0</v>
      </c>
      <c r="BF141" s="686">
        <v>0</v>
      </c>
      <c r="BG141" s="686">
        <v>0</v>
      </c>
      <c r="BH141" s="686">
        <v>0</v>
      </c>
      <c r="BI141" s="686">
        <v>0</v>
      </c>
      <c r="BJ141" s="686">
        <v>0</v>
      </c>
      <c r="BK141" s="686">
        <v>0</v>
      </c>
      <c r="BL141" s="686">
        <v>0</v>
      </c>
      <c r="BM141" s="686">
        <v>2188896</v>
      </c>
      <c r="BN141" s="686">
        <v>0</v>
      </c>
      <c r="BO141" s="686">
        <v>0</v>
      </c>
      <c r="BP141" s="686">
        <v>0</v>
      </c>
      <c r="BQ141" s="686">
        <v>0</v>
      </c>
      <c r="BR141" s="686">
        <v>0</v>
      </c>
      <c r="BS141" s="686">
        <v>938945</v>
      </c>
      <c r="BT141" s="686">
        <v>16946027</v>
      </c>
      <c r="BU141" s="686">
        <v>0</v>
      </c>
      <c r="BV141" s="686">
        <v>0</v>
      </c>
      <c r="BW141" s="686">
        <v>0</v>
      </c>
      <c r="BX141" s="686">
        <v>0</v>
      </c>
      <c r="BY141" s="686">
        <v>0</v>
      </c>
      <c r="BZ141" s="686">
        <v>0</v>
      </c>
      <c r="CA141" s="686">
        <v>0</v>
      </c>
      <c r="CB141" s="686">
        <v>0</v>
      </c>
      <c r="CC141" s="686">
        <v>0</v>
      </c>
      <c r="CD141" s="686">
        <v>0</v>
      </c>
      <c r="CE141" s="686">
        <v>0</v>
      </c>
    </row>
    <row r="142" spans="1:83" x14ac:dyDescent="0.25">
      <c r="A142" s="622">
        <v>383</v>
      </c>
      <c r="B142" s="625">
        <v>383</v>
      </c>
      <c r="C142" s="653" t="s">
        <v>224</v>
      </c>
      <c r="D142" s="701" t="s">
        <v>462</v>
      </c>
      <c r="E142" s="638">
        <v>0</v>
      </c>
      <c r="F142" s="621">
        <v>0</v>
      </c>
      <c r="G142" s="621">
        <v>0</v>
      </c>
      <c r="H142" s="621">
        <v>0</v>
      </c>
      <c r="I142" s="621">
        <v>0</v>
      </c>
      <c r="J142" s="621">
        <v>0</v>
      </c>
      <c r="K142" s="672">
        <v>0</v>
      </c>
      <c r="L142" s="686">
        <v>0</v>
      </c>
      <c r="M142" s="686">
        <v>0</v>
      </c>
      <c r="N142" s="636">
        <v>0</v>
      </c>
      <c r="O142" s="636">
        <v>0</v>
      </c>
      <c r="P142" s="636">
        <v>0</v>
      </c>
      <c r="Q142" s="636">
        <v>0</v>
      </c>
      <c r="R142" s="636">
        <v>0</v>
      </c>
      <c r="S142" s="636">
        <v>0</v>
      </c>
      <c r="T142" s="636">
        <v>0</v>
      </c>
      <c r="U142" s="636">
        <v>0</v>
      </c>
      <c r="V142" s="636">
        <v>0</v>
      </c>
      <c r="W142" s="636">
        <v>0</v>
      </c>
      <c r="X142" s="636">
        <v>0</v>
      </c>
      <c r="Y142" s="636">
        <v>0</v>
      </c>
      <c r="Z142" s="636">
        <v>40100</v>
      </c>
      <c r="AA142" s="636">
        <v>0</v>
      </c>
      <c r="AB142" s="686" t="e">
        <v>#VALUE!</v>
      </c>
      <c r="AC142" s="686">
        <v>0</v>
      </c>
      <c r="AD142" s="686" t="e">
        <v>#VALUE!</v>
      </c>
      <c r="AE142" s="686">
        <v>0</v>
      </c>
      <c r="AF142" s="686">
        <v>0</v>
      </c>
      <c r="AG142" s="686">
        <v>0</v>
      </c>
      <c r="AH142" s="686">
        <v>0</v>
      </c>
      <c r="AI142" s="686">
        <v>0</v>
      </c>
      <c r="AJ142" s="686">
        <v>0</v>
      </c>
      <c r="AK142" s="686">
        <v>0</v>
      </c>
      <c r="AL142" s="686">
        <v>0</v>
      </c>
      <c r="AM142" s="686">
        <v>0</v>
      </c>
      <c r="AN142" s="686">
        <v>0</v>
      </c>
      <c r="AO142" s="686">
        <v>0</v>
      </c>
      <c r="AP142" s="686">
        <v>0</v>
      </c>
      <c r="AQ142" s="686">
        <v>0</v>
      </c>
      <c r="AR142" s="686">
        <v>0</v>
      </c>
      <c r="AS142" s="686">
        <v>0</v>
      </c>
      <c r="AT142" s="686">
        <v>0</v>
      </c>
      <c r="AU142" s="686">
        <v>0</v>
      </c>
      <c r="AV142" s="686">
        <v>0</v>
      </c>
      <c r="AW142" s="686">
        <v>0</v>
      </c>
      <c r="AX142" s="686">
        <v>0</v>
      </c>
      <c r="AY142" s="686">
        <v>0</v>
      </c>
      <c r="AZ142" s="686">
        <v>0</v>
      </c>
      <c r="BA142" s="686">
        <v>0</v>
      </c>
      <c r="BB142" s="686">
        <v>0</v>
      </c>
      <c r="BC142" s="686">
        <v>0</v>
      </c>
      <c r="BD142" s="686">
        <v>0</v>
      </c>
      <c r="BE142" s="686">
        <v>0</v>
      </c>
      <c r="BF142" s="686">
        <v>0</v>
      </c>
      <c r="BG142" s="686">
        <v>0</v>
      </c>
      <c r="BH142" s="686">
        <v>0</v>
      </c>
      <c r="BI142" s="686">
        <v>0</v>
      </c>
      <c r="BJ142" s="686">
        <v>0</v>
      </c>
      <c r="BK142" s="686">
        <v>0</v>
      </c>
      <c r="BL142" s="686">
        <v>0</v>
      </c>
      <c r="BM142" s="686">
        <v>0</v>
      </c>
      <c r="BN142" s="686">
        <v>0</v>
      </c>
      <c r="BO142" s="686">
        <v>0</v>
      </c>
      <c r="BP142" s="686">
        <v>0</v>
      </c>
      <c r="BQ142" s="686">
        <v>6562</v>
      </c>
      <c r="BR142" s="686">
        <v>0</v>
      </c>
      <c r="BS142" s="686">
        <v>0</v>
      </c>
      <c r="BT142" s="686">
        <v>0</v>
      </c>
      <c r="BU142" s="686">
        <v>0</v>
      </c>
      <c r="BV142" s="686">
        <v>0</v>
      </c>
      <c r="BW142" s="686">
        <v>0</v>
      </c>
      <c r="BX142" s="686">
        <v>0</v>
      </c>
      <c r="BY142" s="686">
        <v>0</v>
      </c>
      <c r="BZ142" s="686">
        <v>0</v>
      </c>
      <c r="CA142" s="686">
        <v>0</v>
      </c>
      <c r="CB142" s="686">
        <v>0</v>
      </c>
      <c r="CC142" s="686">
        <v>0</v>
      </c>
      <c r="CD142" s="686">
        <v>0</v>
      </c>
      <c r="CE142" s="686">
        <v>0</v>
      </c>
    </row>
    <row r="143" spans="1:83" ht="30" x14ac:dyDescent="0.25">
      <c r="A143" s="622">
        <v>384</v>
      </c>
      <c r="B143" s="625">
        <v>384</v>
      </c>
      <c r="C143" s="653" t="s">
        <v>126</v>
      </c>
      <c r="D143" s="701" t="s">
        <v>463</v>
      </c>
      <c r="E143" s="638">
        <v>0</v>
      </c>
      <c r="F143" s="621">
        <v>0</v>
      </c>
      <c r="G143" s="621">
        <v>0</v>
      </c>
      <c r="H143" s="621">
        <v>0</v>
      </c>
      <c r="I143" s="621">
        <v>0</v>
      </c>
      <c r="J143" s="621">
        <v>0</v>
      </c>
      <c r="K143" s="672">
        <v>0</v>
      </c>
      <c r="L143" s="686">
        <v>0</v>
      </c>
      <c r="M143" s="686">
        <v>0</v>
      </c>
      <c r="N143" s="636">
        <v>0</v>
      </c>
      <c r="O143" s="636">
        <v>0</v>
      </c>
      <c r="P143" s="636">
        <v>0</v>
      </c>
      <c r="Q143" s="636">
        <v>0</v>
      </c>
      <c r="R143" s="636">
        <v>0</v>
      </c>
      <c r="S143" s="636">
        <v>0</v>
      </c>
      <c r="T143" s="636">
        <v>0</v>
      </c>
      <c r="U143" s="636">
        <v>0</v>
      </c>
      <c r="V143" s="636">
        <v>0</v>
      </c>
      <c r="W143" s="636">
        <v>0</v>
      </c>
      <c r="X143" s="636">
        <v>0</v>
      </c>
      <c r="Y143" s="636">
        <v>0</v>
      </c>
      <c r="Z143" s="636">
        <v>0</v>
      </c>
      <c r="AA143" s="636">
        <v>0</v>
      </c>
      <c r="AB143" s="686" t="e">
        <v>#VALUE!</v>
      </c>
      <c r="AC143" s="686">
        <v>0</v>
      </c>
      <c r="AD143" s="686" t="e">
        <v>#VALUE!</v>
      </c>
      <c r="AE143" s="686">
        <v>0</v>
      </c>
      <c r="AF143" s="686">
        <v>0</v>
      </c>
      <c r="AG143" s="686">
        <v>0</v>
      </c>
      <c r="AH143" s="686">
        <v>0</v>
      </c>
      <c r="AI143" s="686">
        <v>0</v>
      </c>
      <c r="AJ143" s="686">
        <v>0</v>
      </c>
      <c r="AK143" s="686">
        <v>0</v>
      </c>
      <c r="AL143" s="686">
        <v>0</v>
      </c>
      <c r="AM143" s="686">
        <v>0</v>
      </c>
      <c r="AN143" s="686">
        <v>0</v>
      </c>
      <c r="AO143" s="686">
        <v>0</v>
      </c>
      <c r="AP143" s="686">
        <v>0</v>
      </c>
      <c r="AQ143" s="686">
        <v>0</v>
      </c>
      <c r="AR143" s="686">
        <v>0</v>
      </c>
      <c r="AS143" s="686">
        <v>0</v>
      </c>
      <c r="AT143" s="686">
        <v>0</v>
      </c>
      <c r="AU143" s="686">
        <v>0</v>
      </c>
      <c r="AV143" s="686">
        <v>0</v>
      </c>
      <c r="AW143" s="686">
        <v>0</v>
      </c>
      <c r="AX143" s="686">
        <v>0</v>
      </c>
      <c r="AY143" s="686">
        <v>0</v>
      </c>
      <c r="AZ143" s="686">
        <v>0</v>
      </c>
      <c r="BA143" s="686">
        <v>0</v>
      </c>
      <c r="BB143" s="686">
        <v>0</v>
      </c>
      <c r="BC143" s="686">
        <v>0</v>
      </c>
      <c r="BD143" s="686">
        <v>0</v>
      </c>
      <c r="BE143" s="686">
        <v>0</v>
      </c>
      <c r="BF143" s="686">
        <v>0</v>
      </c>
      <c r="BG143" s="686">
        <v>0</v>
      </c>
      <c r="BH143" s="686">
        <v>0</v>
      </c>
      <c r="BI143" s="686">
        <v>0</v>
      </c>
      <c r="BJ143" s="686">
        <v>0</v>
      </c>
      <c r="BK143" s="686">
        <v>0</v>
      </c>
      <c r="BL143" s="686">
        <v>0</v>
      </c>
      <c r="BM143" s="686">
        <v>0</v>
      </c>
      <c r="BN143" s="686">
        <v>0</v>
      </c>
      <c r="BO143" s="686">
        <v>0</v>
      </c>
      <c r="BP143" s="686">
        <v>0</v>
      </c>
      <c r="BQ143" s="686">
        <v>0</v>
      </c>
      <c r="BR143" s="686">
        <v>0</v>
      </c>
      <c r="BS143" s="686">
        <v>0</v>
      </c>
      <c r="BT143" s="686">
        <v>0</v>
      </c>
      <c r="BU143" s="686">
        <v>0</v>
      </c>
      <c r="BV143" s="686">
        <v>0</v>
      </c>
      <c r="BW143" s="686">
        <v>0</v>
      </c>
      <c r="BX143" s="686">
        <v>0</v>
      </c>
      <c r="BY143" s="686">
        <v>0</v>
      </c>
      <c r="BZ143" s="686">
        <v>0</v>
      </c>
      <c r="CA143" s="686">
        <v>0</v>
      </c>
      <c r="CB143" s="686">
        <v>0</v>
      </c>
      <c r="CC143" s="686">
        <v>0</v>
      </c>
      <c r="CD143" s="686">
        <v>0</v>
      </c>
      <c r="CE143" s="686">
        <v>0</v>
      </c>
    </row>
    <row r="144" spans="1:83" s="295" customFormat="1" x14ac:dyDescent="0.25">
      <c r="A144" s="622">
        <v>385</v>
      </c>
      <c r="B144" s="625">
        <v>385</v>
      </c>
      <c r="C144" s="653" t="s">
        <v>117</v>
      </c>
      <c r="D144" s="701" t="s">
        <v>464</v>
      </c>
      <c r="E144" s="638">
        <v>362906</v>
      </c>
      <c r="F144" s="621">
        <v>296911</v>
      </c>
      <c r="G144" s="621">
        <v>1599907</v>
      </c>
      <c r="H144" s="621">
        <v>7834926</v>
      </c>
      <c r="I144" s="621">
        <v>6695783</v>
      </c>
      <c r="J144" s="621">
        <v>9936492</v>
      </c>
      <c r="K144" s="672">
        <v>230666</v>
      </c>
      <c r="L144" s="686">
        <v>2601296</v>
      </c>
      <c r="M144" s="686">
        <v>1255074</v>
      </c>
      <c r="N144" s="636">
        <v>69761405</v>
      </c>
      <c r="O144" s="636">
        <v>1177376</v>
      </c>
      <c r="P144" s="636">
        <v>14271674</v>
      </c>
      <c r="Q144" s="636">
        <v>436436</v>
      </c>
      <c r="R144" s="636">
        <v>123460755</v>
      </c>
      <c r="S144" s="636">
        <v>6167775</v>
      </c>
      <c r="T144" s="636">
        <v>337482</v>
      </c>
      <c r="U144" s="636">
        <v>216755346</v>
      </c>
      <c r="V144" s="636">
        <v>55993748</v>
      </c>
      <c r="W144" s="636">
        <v>57764171</v>
      </c>
      <c r="X144" s="636">
        <v>194219773</v>
      </c>
      <c r="Y144" s="636">
        <v>563024</v>
      </c>
      <c r="Z144" s="636">
        <v>43689813</v>
      </c>
      <c r="AA144" s="636">
        <v>3166788</v>
      </c>
      <c r="AB144" s="686" t="e">
        <v>#VALUE!</v>
      </c>
      <c r="AC144" s="686">
        <v>5512042</v>
      </c>
      <c r="AD144" s="686" t="e">
        <v>#VALUE!</v>
      </c>
      <c r="AE144" s="686">
        <v>2476139</v>
      </c>
      <c r="AF144" s="686">
        <v>7081387</v>
      </c>
      <c r="AG144" s="686">
        <v>44942172</v>
      </c>
      <c r="AH144" s="686">
        <v>12324325</v>
      </c>
      <c r="AI144" s="686">
        <v>3704011</v>
      </c>
      <c r="AJ144" s="686">
        <v>93272218</v>
      </c>
      <c r="AK144" s="686">
        <v>6745221</v>
      </c>
      <c r="AL144" s="686">
        <v>3565263</v>
      </c>
      <c r="AM144" s="686">
        <v>3779237</v>
      </c>
      <c r="AN144" s="686">
        <v>30726027</v>
      </c>
      <c r="AO144" s="686">
        <v>1150556</v>
      </c>
      <c r="AP144" s="686">
        <v>753428</v>
      </c>
      <c r="AQ144" s="686">
        <v>197392</v>
      </c>
      <c r="AR144" s="686">
        <v>38080030</v>
      </c>
      <c r="AS144" s="686">
        <v>99055747</v>
      </c>
      <c r="AT144" s="686">
        <v>878764</v>
      </c>
      <c r="AU144" s="686">
        <v>3856532</v>
      </c>
      <c r="AV144" s="686">
        <v>698640</v>
      </c>
      <c r="AW144" s="686">
        <v>48904635</v>
      </c>
      <c r="AX144" s="686">
        <v>9951859</v>
      </c>
      <c r="AY144" s="686">
        <v>4719703</v>
      </c>
      <c r="AZ144" s="686">
        <v>26406359</v>
      </c>
      <c r="BA144" s="686">
        <v>3982235</v>
      </c>
      <c r="BB144" s="686">
        <v>2014349</v>
      </c>
      <c r="BC144" s="686">
        <v>142729</v>
      </c>
      <c r="BD144" s="686">
        <v>674785</v>
      </c>
      <c r="BE144" s="686">
        <v>12760013</v>
      </c>
      <c r="BF144" s="686">
        <v>824493</v>
      </c>
      <c r="BG144" s="686">
        <v>999785</v>
      </c>
      <c r="BH144" s="686">
        <v>235998</v>
      </c>
      <c r="BI144" s="686">
        <v>356222</v>
      </c>
      <c r="BJ144" s="686">
        <v>845681</v>
      </c>
      <c r="BK144" s="686">
        <v>590723</v>
      </c>
      <c r="BL144" s="686">
        <v>8282535</v>
      </c>
      <c r="BM144" s="686">
        <v>894094</v>
      </c>
      <c r="BN144" s="686">
        <v>3342049</v>
      </c>
      <c r="BO144" s="686">
        <v>12601147</v>
      </c>
      <c r="BP144" s="686">
        <v>2128950</v>
      </c>
      <c r="BQ144" s="686">
        <v>4791831</v>
      </c>
      <c r="BR144" s="686">
        <v>36587487</v>
      </c>
      <c r="BS144" s="686">
        <v>1778447</v>
      </c>
      <c r="BT144" s="686">
        <v>48848039</v>
      </c>
      <c r="BU144" s="686">
        <v>2079636</v>
      </c>
      <c r="BV144" s="686">
        <v>10572065</v>
      </c>
      <c r="BW144" s="686">
        <v>5416249</v>
      </c>
      <c r="BX144" s="686">
        <v>5145667</v>
      </c>
      <c r="BY144" s="686">
        <v>2468321</v>
      </c>
      <c r="BZ144" s="686">
        <v>675267</v>
      </c>
      <c r="CA144" s="686">
        <v>812823</v>
      </c>
      <c r="CB144" s="686">
        <v>161480</v>
      </c>
      <c r="CC144" s="686">
        <v>1497899</v>
      </c>
      <c r="CD144" s="686">
        <v>0</v>
      </c>
      <c r="CE144" s="686">
        <v>451961</v>
      </c>
    </row>
    <row r="145" spans="1:83" x14ac:dyDescent="0.25">
      <c r="A145" s="622">
        <v>386</v>
      </c>
      <c r="B145" s="625">
        <v>386</v>
      </c>
      <c r="C145" s="653" t="s">
        <v>197</v>
      </c>
      <c r="D145" s="701" t="s">
        <v>465</v>
      </c>
      <c r="E145" s="638">
        <v>0</v>
      </c>
      <c r="F145" s="621">
        <v>0</v>
      </c>
      <c r="G145" s="621">
        <v>0</v>
      </c>
      <c r="H145" s="621">
        <v>0</v>
      </c>
      <c r="I145" s="621">
        <v>0</v>
      </c>
      <c r="J145" s="621">
        <v>0</v>
      </c>
      <c r="K145" s="672">
        <v>0</v>
      </c>
      <c r="L145" s="686">
        <v>0</v>
      </c>
      <c r="M145" s="686">
        <v>0</v>
      </c>
      <c r="N145" s="636">
        <v>0</v>
      </c>
      <c r="O145" s="636">
        <v>0</v>
      </c>
      <c r="P145" s="636">
        <v>0</v>
      </c>
      <c r="Q145" s="636">
        <v>0</v>
      </c>
      <c r="R145" s="636">
        <v>0</v>
      </c>
      <c r="S145" s="636">
        <v>0</v>
      </c>
      <c r="T145" s="636">
        <v>0</v>
      </c>
      <c r="U145" s="636">
        <v>0</v>
      </c>
      <c r="V145" s="636">
        <v>0</v>
      </c>
      <c r="W145" s="636">
        <v>704552</v>
      </c>
      <c r="X145" s="636">
        <v>0</v>
      </c>
      <c r="Y145" s="636">
        <v>0</v>
      </c>
      <c r="Z145" s="636">
        <v>0</v>
      </c>
      <c r="AA145" s="636">
        <v>29895</v>
      </c>
      <c r="AB145" s="686" t="e">
        <v>#VALUE!</v>
      </c>
      <c r="AC145" s="686">
        <v>0</v>
      </c>
      <c r="AD145" s="686" t="e">
        <v>#VALUE!</v>
      </c>
      <c r="AE145" s="686">
        <v>0</v>
      </c>
      <c r="AF145" s="686">
        <v>0</v>
      </c>
      <c r="AG145" s="686">
        <v>0</v>
      </c>
      <c r="AH145" s="686">
        <v>86498</v>
      </c>
      <c r="AI145" s="686">
        <v>0</v>
      </c>
      <c r="AJ145" s="686">
        <v>2874231</v>
      </c>
      <c r="AK145" s="686">
        <v>0</v>
      </c>
      <c r="AL145" s="686">
        <v>0</v>
      </c>
      <c r="AM145" s="686">
        <v>0</v>
      </c>
      <c r="AN145" s="686">
        <v>0</v>
      </c>
      <c r="AO145" s="686">
        <v>0</v>
      </c>
      <c r="AP145" s="686">
        <v>0</v>
      </c>
      <c r="AQ145" s="686">
        <v>0</v>
      </c>
      <c r="AR145" s="686">
        <v>0</v>
      </c>
      <c r="AS145" s="686">
        <v>0</v>
      </c>
      <c r="AT145" s="686">
        <v>0</v>
      </c>
      <c r="AU145" s="686">
        <v>0</v>
      </c>
      <c r="AV145" s="686">
        <v>55000</v>
      </c>
      <c r="AW145" s="686">
        <v>4026726</v>
      </c>
      <c r="AX145" s="686">
        <v>0</v>
      </c>
      <c r="AY145" s="686">
        <v>0</v>
      </c>
      <c r="AZ145" s="686">
        <v>0</v>
      </c>
      <c r="BA145" s="686">
        <v>0</v>
      </c>
      <c r="BB145" s="686">
        <v>0</v>
      </c>
      <c r="BC145" s="686">
        <v>0</v>
      </c>
      <c r="BD145" s="686">
        <v>0</v>
      </c>
      <c r="BE145" s="686">
        <v>225975</v>
      </c>
      <c r="BF145" s="686">
        <v>0</v>
      </c>
      <c r="BG145" s="686">
        <v>0</v>
      </c>
      <c r="BH145" s="686">
        <v>0</v>
      </c>
      <c r="BI145" s="686">
        <v>0</v>
      </c>
      <c r="BJ145" s="686">
        <v>0</v>
      </c>
      <c r="BK145" s="686">
        <v>0</v>
      </c>
      <c r="BL145" s="686">
        <v>0</v>
      </c>
      <c r="BM145" s="686">
        <v>0</v>
      </c>
      <c r="BN145" s="686">
        <v>0</v>
      </c>
      <c r="BO145" s="686">
        <v>0</v>
      </c>
      <c r="BP145" s="686">
        <v>0</v>
      </c>
      <c r="BQ145" s="686">
        <v>0</v>
      </c>
      <c r="BR145" s="686">
        <v>0</v>
      </c>
      <c r="BS145" s="686">
        <v>602000</v>
      </c>
      <c r="BT145" s="686">
        <v>36495</v>
      </c>
      <c r="BU145" s="686">
        <v>0</v>
      </c>
      <c r="BV145" s="686">
        <v>0</v>
      </c>
      <c r="BW145" s="686">
        <v>0</v>
      </c>
      <c r="BX145" s="686">
        <v>0</v>
      </c>
      <c r="BY145" s="686">
        <v>0</v>
      </c>
      <c r="BZ145" s="686">
        <v>0</v>
      </c>
      <c r="CA145" s="686">
        <v>0</v>
      </c>
      <c r="CB145" s="686">
        <v>0</v>
      </c>
      <c r="CC145" s="686">
        <v>0</v>
      </c>
      <c r="CD145" s="686">
        <v>0</v>
      </c>
      <c r="CE145" s="686">
        <v>0</v>
      </c>
    </row>
    <row r="146" spans="1:83" x14ac:dyDescent="0.25">
      <c r="A146" s="622">
        <v>387</v>
      </c>
      <c r="B146" s="625">
        <v>387</v>
      </c>
      <c r="C146" s="653" t="s">
        <v>198</v>
      </c>
      <c r="D146" s="701" t="s">
        <v>466</v>
      </c>
      <c r="E146" s="638">
        <v>0</v>
      </c>
      <c r="F146" s="621">
        <v>0</v>
      </c>
      <c r="G146" s="621">
        <v>0</v>
      </c>
      <c r="H146" s="621">
        <v>0</v>
      </c>
      <c r="I146" s="621">
        <v>0</v>
      </c>
      <c r="J146" s="621">
        <v>0</v>
      </c>
      <c r="K146" s="672">
        <v>0</v>
      </c>
      <c r="L146" s="686">
        <v>0</v>
      </c>
      <c r="M146" s="686">
        <v>0</v>
      </c>
      <c r="N146" s="636">
        <v>0</v>
      </c>
      <c r="O146" s="636">
        <v>0</v>
      </c>
      <c r="P146" s="636">
        <v>0</v>
      </c>
      <c r="Q146" s="636">
        <v>0</v>
      </c>
      <c r="R146" s="636">
        <v>1279079</v>
      </c>
      <c r="S146" s="636">
        <v>0</v>
      </c>
      <c r="T146" s="636">
        <v>0</v>
      </c>
      <c r="U146" s="636">
        <v>0</v>
      </c>
      <c r="V146" s="636">
        <v>0</v>
      </c>
      <c r="W146" s="636">
        <v>0</v>
      </c>
      <c r="X146" s="636">
        <v>126000</v>
      </c>
      <c r="Y146" s="636">
        <v>0</v>
      </c>
      <c r="Z146" s="636">
        <v>0</v>
      </c>
      <c r="AA146" s="636">
        <v>27250</v>
      </c>
      <c r="AB146" s="686" t="e">
        <v>#VALUE!</v>
      </c>
      <c r="AC146" s="686">
        <v>14000</v>
      </c>
      <c r="AD146" s="686" t="e">
        <v>#VALUE!</v>
      </c>
      <c r="AE146" s="686">
        <v>0</v>
      </c>
      <c r="AF146" s="686">
        <v>0</v>
      </c>
      <c r="AG146" s="686">
        <v>0</v>
      </c>
      <c r="AH146" s="686">
        <v>0</v>
      </c>
      <c r="AI146" s="686">
        <v>0</v>
      </c>
      <c r="AJ146" s="686">
        <v>0</v>
      </c>
      <c r="AK146" s="686">
        <v>65000</v>
      </c>
      <c r="AL146" s="686">
        <v>0</v>
      </c>
      <c r="AM146" s="686">
        <v>0</v>
      </c>
      <c r="AN146" s="686">
        <v>0</v>
      </c>
      <c r="AO146" s="686">
        <v>0</v>
      </c>
      <c r="AP146" s="686">
        <v>0</v>
      </c>
      <c r="AQ146" s="686">
        <v>0</v>
      </c>
      <c r="AR146" s="686">
        <v>0</v>
      </c>
      <c r="AS146" s="686">
        <v>0</v>
      </c>
      <c r="AT146" s="686">
        <v>30000</v>
      </c>
      <c r="AU146" s="686">
        <v>0</v>
      </c>
      <c r="AV146" s="686">
        <v>0</v>
      </c>
      <c r="AW146" s="686">
        <v>4723081</v>
      </c>
      <c r="AX146" s="686">
        <v>0</v>
      </c>
      <c r="AY146" s="686">
        <v>0</v>
      </c>
      <c r="AZ146" s="686">
        <v>0</v>
      </c>
      <c r="BA146" s="686">
        <v>0</v>
      </c>
      <c r="BB146" s="686">
        <v>0</v>
      </c>
      <c r="BC146" s="686">
        <v>0</v>
      </c>
      <c r="BD146" s="686">
        <v>0</v>
      </c>
      <c r="BE146" s="686">
        <v>0</v>
      </c>
      <c r="BF146" s="686">
        <v>0</v>
      </c>
      <c r="BG146" s="686">
        <v>0</v>
      </c>
      <c r="BH146" s="686">
        <v>0</v>
      </c>
      <c r="BI146" s="686">
        <v>0</v>
      </c>
      <c r="BJ146" s="686">
        <v>0</v>
      </c>
      <c r="BK146" s="686">
        <v>0</v>
      </c>
      <c r="BL146" s="686">
        <v>0</v>
      </c>
      <c r="BM146" s="686">
        <v>0</v>
      </c>
      <c r="BN146" s="686">
        <v>34611</v>
      </c>
      <c r="BO146" s="686">
        <v>0</v>
      </c>
      <c r="BP146" s="686">
        <v>0</v>
      </c>
      <c r="BQ146" s="686">
        <v>0</v>
      </c>
      <c r="BR146" s="686">
        <v>0</v>
      </c>
      <c r="BS146" s="686">
        <v>0</v>
      </c>
      <c r="BT146" s="686">
        <v>0</v>
      </c>
      <c r="BU146" s="686">
        <v>11300</v>
      </c>
      <c r="BV146" s="686">
        <v>0</v>
      </c>
      <c r="BW146" s="686">
        <v>0</v>
      </c>
      <c r="BX146" s="686">
        <v>115250</v>
      </c>
      <c r="BY146" s="686">
        <v>95000</v>
      </c>
      <c r="BZ146" s="686">
        <v>0</v>
      </c>
      <c r="CA146" s="686">
        <v>0</v>
      </c>
      <c r="CB146" s="686">
        <v>0</v>
      </c>
      <c r="CC146" s="686">
        <v>0</v>
      </c>
      <c r="CD146" s="686">
        <v>0</v>
      </c>
      <c r="CE146" s="686">
        <v>0</v>
      </c>
    </row>
    <row r="147" spans="1:83" x14ac:dyDescent="0.25">
      <c r="A147" s="622">
        <v>388</v>
      </c>
      <c r="B147" s="625">
        <v>388</v>
      </c>
      <c r="C147" s="653" t="s">
        <v>192</v>
      </c>
      <c r="D147" s="701" t="s">
        <v>467</v>
      </c>
      <c r="E147" s="638">
        <v>261352</v>
      </c>
      <c r="F147" s="621">
        <v>33960</v>
      </c>
      <c r="G147" s="621">
        <v>680541</v>
      </c>
      <c r="H147" s="621">
        <v>1467865</v>
      </c>
      <c r="I147" s="621">
        <v>864450</v>
      </c>
      <c r="J147" s="621">
        <v>2730782</v>
      </c>
      <c r="K147" s="672">
        <v>56464</v>
      </c>
      <c r="L147" s="686">
        <v>274607</v>
      </c>
      <c r="M147" s="686">
        <v>160478</v>
      </c>
      <c r="N147" s="636">
        <v>14699411</v>
      </c>
      <c r="O147" s="636">
        <v>466978</v>
      </c>
      <c r="P147" s="636">
        <v>5288232</v>
      </c>
      <c r="Q147" s="636">
        <v>64385</v>
      </c>
      <c r="R147" s="636">
        <v>42682509</v>
      </c>
      <c r="S147" s="636">
        <v>1315935</v>
      </c>
      <c r="T147" s="636">
        <v>45438</v>
      </c>
      <c r="U147" s="636">
        <v>64619293</v>
      </c>
      <c r="V147" s="636">
        <v>13859251</v>
      </c>
      <c r="W147" s="636">
        <v>20761583</v>
      </c>
      <c r="X147" s="636">
        <v>26680632</v>
      </c>
      <c r="Y147" s="636">
        <v>284450</v>
      </c>
      <c r="Z147" s="636">
        <v>13864899</v>
      </c>
      <c r="AA147" s="636">
        <v>1002684</v>
      </c>
      <c r="AB147" s="686" t="e">
        <v>#VALUE!</v>
      </c>
      <c r="AC147" s="686">
        <v>4267583</v>
      </c>
      <c r="AD147" s="686" t="e">
        <v>#VALUE!</v>
      </c>
      <c r="AE147" s="686">
        <v>2611222</v>
      </c>
      <c r="AF147" s="686">
        <v>2522740</v>
      </c>
      <c r="AG147" s="686">
        <v>13697424</v>
      </c>
      <c r="AH147" s="686">
        <v>4602974</v>
      </c>
      <c r="AI147" s="686">
        <v>942261</v>
      </c>
      <c r="AJ147" s="686">
        <v>37403459</v>
      </c>
      <c r="AK147" s="686">
        <v>339336</v>
      </c>
      <c r="AL147" s="686">
        <v>780508</v>
      </c>
      <c r="AM147" s="686">
        <v>3517475</v>
      </c>
      <c r="AN147" s="686">
        <v>12380495</v>
      </c>
      <c r="AO147" s="686">
        <v>510449</v>
      </c>
      <c r="AP147" s="686">
        <v>729075</v>
      </c>
      <c r="AQ147" s="686">
        <v>42357</v>
      </c>
      <c r="AR147" s="686">
        <v>6102516</v>
      </c>
      <c r="AS147" s="686">
        <v>7850504</v>
      </c>
      <c r="AT147" s="686">
        <v>403420</v>
      </c>
      <c r="AU147" s="686">
        <v>2391235</v>
      </c>
      <c r="AV147" s="686">
        <v>206960</v>
      </c>
      <c r="AW147" s="686">
        <v>17432352</v>
      </c>
      <c r="AX147" s="686">
        <v>1110166</v>
      </c>
      <c r="AY147" s="686">
        <v>1499767</v>
      </c>
      <c r="AZ147" s="686">
        <v>8467012</v>
      </c>
      <c r="BA147" s="686">
        <v>961225</v>
      </c>
      <c r="BB147" s="686">
        <v>950382</v>
      </c>
      <c r="BC147" s="686">
        <v>17356</v>
      </c>
      <c r="BD147" s="686">
        <v>177496</v>
      </c>
      <c r="BE147" s="686">
        <v>8428819</v>
      </c>
      <c r="BF147" s="686">
        <v>147377</v>
      </c>
      <c r="BG147" s="686">
        <v>297579</v>
      </c>
      <c r="BH147" s="686">
        <v>129169</v>
      </c>
      <c r="BI147" s="686">
        <v>58948</v>
      </c>
      <c r="BJ147" s="686">
        <v>222669</v>
      </c>
      <c r="BK147" s="686">
        <v>87363</v>
      </c>
      <c r="BL147" s="686">
        <v>3244892</v>
      </c>
      <c r="BM147" s="686">
        <v>842394</v>
      </c>
      <c r="BN147" s="686">
        <v>1711885</v>
      </c>
      <c r="BO147" s="686">
        <v>3335985</v>
      </c>
      <c r="BP147" s="686">
        <v>1054849</v>
      </c>
      <c r="BQ147" s="686">
        <v>1323855</v>
      </c>
      <c r="BR147" s="686">
        <v>16976054</v>
      </c>
      <c r="BS147" s="686">
        <v>1514667</v>
      </c>
      <c r="BT147" s="686">
        <v>10074373</v>
      </c>
      <c r="BU147" s="686">
        <v>610652</v>
      </c>
      <c r="BV147" s="686">
        <v>4447117</v>
      </c>
      <c r="BW147" s="686">
        <v>695893</v>
      </c>
      <c r="BX147" s="686">
        <v>1895219</v>
      </c>
      <c r="BY147" s="686">
        <v>774051</v>
      </c>
      <c r="BZ147" s="686">
        <v>88349</v>
      </c>
      <c r="CA147" s="686">
        <v>126828</v>
      </c>
      <c r="CB147" s="686">
        <v>101415</v>
      </c>
      <c r="CC147" s="686">
        <v>1278238</v>
      </c>
      <c r="CD147" s="686">
        <v>0</v>
      </c>
      <c r="CE147" s="686">
        <v>55131</v>
      </c>
    </row>
    <row r="148" spans="1:83" x14ac:dyDescent="0.25">
      <c r="A148" s="622">
        <v>389</v>
      </c>
      <c r="B148" s="625">
        <v>389</v>
      </c>
      <c r="C148" s="653" t="s">
        <v>199</v>
      </c>
      <c r="D148" s="701" t="s">
        <v>468</v>
      </c>
      <c r="E148" s="638">
        <v>0</v>
      </c>
      <c r="F148" s="621">
        <v>0</v>
      </c>
      <c r="G148" s="621">
        <v>0</v>
      </c>
      <c r="H148" s="621">
        <v>0</v>
      </c>
      <c r="I148" s="621">
        <v>0</v>
      </c>
      <c r="J148" s="621">
        <v>0</v>
      </c>
      <c r="K148" s="672">
        <v>0</v>
      </c>
      <c r="L148" s="686">
        <v>0</v>
      </c>
      <c r="M148" s="686">
        <v>0</v>
      </c>
      <c r="N148" s="636">
        <v>0</v>
      </c>
      <c r="O148" s="636">
        <v>0</v>
      </c>
      <c r="P148" s="636">
        <v>0</v>
      </c>
      <c r="Q148" s="636">
        <v>0</v>
      </c>
      <c r="R148" s="636">
        <v>0</v>
      </c>
      <c r="S148" s="636">
        <v>-170891</v>
      </c>
      <c r="T148" s="636">
        <v>0</v>
      </c>
      <c r="U148" s="636">
        <v>0</v>
      </c>
      <c r="V148" s="636">
        <v>0</v>
      </c>
      <c r="W148" s="636">
        <v>0</v>
      </c>
      <c r="X148" s="636">
        <v>0</v>
      </c>
      <c r="Y148" s="636">
        <v>0</v>
      </c>
      <c r="Z148" s="636">
        <v>0</v>
      </c>
      <c r="AA148" s="636">
        <v>0</v>
      </c>
      <c r="AB148" s="686" t="e">
        <v>#VALUE!</v>
      </c>
      <c r="AC148" s="686">
        <v>0</v>
      </c>
      <c r="AD148" s="686" t="e">
        <v>#VALUE!</v>
      </c>
      <c r="AE148" s="686">
        <v>0</v>
      </c>
      <c r="AF148" s="686">
        <v>0</v>
      </c>
      <c r="AG148" s="686">
        <v>0</v>
      </c>
      <c r="AH148" s="686">
        <v>0</v>
      </c>
      <c r="AI148" s="686">
        <v>0</v>
      </c>
      <c r="AJ148" s="686">
        <v>0</v>
      </c>
      <c r="AK148" s="686">
        <v>0</v>
      </c>
      <c r="AL148" s="686">
        <v>0</v>
      </c>
      <c r="AM148" s="686">
        <v>0</v>
      </c>
      <c r="AN148" s="686">
        <v>0</v>
      </c>
      <c r="AO148" s="686">
        <v>0</v>
      </c>
      <c r="AP148" s="686">
        <v>0</v>
      </c>
      <c r="AQ148" s="686">
        <v>0</v>
      </c>
      <c r="AR148" s="686">
        <v>0</v>
      </c>
      <c r="AS148" s="686">
        <v>0</v>
      </c>
      <c r="AT148" s="686">
        <v>0</v>
      </c>
      <c r="AU148" s="686">
        <v>0</v>
      </c>
      <c r="AV148" s="686">
        <v>0</v>
      </c>
      <c r="AW148" s="686">
        <v>0</v>
      </c>
      <c r="AX148" s="686">
        <v>0</v>
      </c>
      <c r="AY148" s="686">
        <v>0</v>
      </c>
      <c r="AZ148" s="686">
        <v>0</v>
      </c>
      <c r="BA148" s="686">
        <v>0</v>
      </c>
      <c r="BB148" s="686">
        <v>0</v>
      </c>
      <c r="BC148" s="686">
        <v>0</v>
      </c>
      <c r="BD148" s="686">
        <v>0</v>
      </c>
      <c r="BE148" s="686">
        <v>0</v>
      </c>
      <c r="BF148" s="686">
        <v>0</v>
      </c>
      <c r="BG148" s="686">
        <v>0</v>
      </c>
      <c r="BH148" s="686">
        <v>0</v>
      </c>
      <c r="BI148" s="686">
        <v>0</v>
      </c>
      <c r="BJ148" s="686">
        <v>0</v>
      </c>
      <c r="BK148" s="686">
        <v>0</v>
      </c>
      <c r="BL148" s="686">
        <v>0</v>
      </c>
      <c r="BM148" s="686">
        <v>0</v>
      </c>
      <c r="BN148" s="686">
        <v>0</v>
      </c>
      <c r="BO148" s="686">
        <v>0</v>
      </c>
      <c r="BP148" s="686">
        <v>0</v>
      </c>
      <c r="BQ148" s="686">
        <v>0</v>
      </c>
      <c r="BR148" s="686">
        <v>0</v>
      </c>
      <c r="BS148" s="686">
        <v>0</v>
      </c>
      <c r="BT148" s="686">
        <v>0</v>
      </c>
      <c r="BU148" s="686">
        <v>0</v>
      </c>
      <c r="BV148" s="686">
        <v>0</v>
      </c>
      <c r="BW148" s="686">
        <v>0</v>
      </c>
      <c r="BX148" s="686">
        <v>0</v>
      </c>
      <c r="BY148" s="686">
        <v>0</v>
      </c>
      <c r="BZ148" s="686">
        <v>0</v>
      </c>
      <c r="CA148" s="686">
        <v>0</v>
      </c>
      <c r="CB148" s="686">
        <v>0</v>
      </c>
      <c r="CC148" s="686">
        <v>0</v>
      </c>
      <c r="CD148" s="686">
        <v>0</v>
      </c>
      <c r="CE148" s="686">
        <v>0</v>
      </c>
    </row>
    <row r="149" spans="1:83" x14ac:dyDescent="0.25">
      <c r="A149" s="622">
        <v>391</v>
      </c>
      <c r="B149" s="625">
        <v>391</v>
      </c>
      <c r="C149" s="653" t="s">
        <v>204</v>
      </c>
      <c r="D149" s="701" t="s">
        <v>469</v>
      </c>
      <c r="E149" s="638">
        <v>23400</v>
      </c>
      <c r="F149" s="621">
        <v>5318</v>
      </c>
      <c r="G149" s="621">
        <v>62890</v>
      </c>
      <c r="H149" s="621">
        <v>374777</v>
      </c>
      <c r="I149" s="621">
        <v>191483</v>
      </c>
      <c r="J149" s="621">
        <v>263097</v>
      </c>
      <c r="K149" s="672">
        <v>113412</v>
      </c>
      <c r="L149" s="686">
        <v>61440</v>
      </c>
      <c r="M149" s="686">
        <v>19622</v>
      </c>
      <c r="N149" s="636">
        <v>1051409</v>
      </c>
      <c r="O149" s="636">
        <v>48982</v>
      </c>
      <c r="P149" s="636">
        <v>1471279</v>
      </c>
      <c r="Q149" s="636">
        <v>9969</v>
      </c>
      <c r="R149" s="636">
        <v>5534206</v>
      </c>
      <c r="S149" s="636">
        <v>103284</v>
      </c>
      <c r="T149" s="636">
        <v>6027</v>
      </c>
      <c r="U149" s="636">
        <v>5248530</v>
      </c>
      <c r="V149" s="636">
        <v>1360337</v>
      </c>
      <c r="W149" s="636">
        <v>2704382</v>
      </c>
      <c r="X149" s="636">
        <v>7250961</v>
      </c>
      <c r="Y149" s="636">
        <v>49287</v>
      </c>
      <c r="Z149" s="636">
        <v>1667708</v>
      </c>
      <c r="AA149" s="636">
        <v>114359</v>
      </c>
      <c r="AB149" s="686" t="e">
        <v>#VALUE!</v>
      </c>
      <c r="AC149" s="686">
        <v>693091</v>
      </c>
      <c r="AD149" s="686" t="e">
        <v>#VALUE!</v>
      </c>
      <c r="AE149" s="686">
        <v>583919</v>
      </c>
      <c r="AF149" s="686">
        <v>29528</v>
      </c>
      <c r="AG149" s="686">
        <v>3187758</v>
      </c>
      <c r="AH149" s="686">
        <v>159621</v>
      </c>
      <c r="AI149" s="686">
        <v>360653</v>
      </c>
      <c r="AJ149" s="686">
        <v>5202285</v>
      </c>
      <c r="AK149" s="686">
        <v>75243</v>
      </c>
      <c r="AL149" s="686">
        <v>75840</v>
      </c>
      <c r="AM149" s="686">
        <v>217364</v>
      </c>
      <c r="AN149" s="686">
        <v>1227022</v>
      </c>
      <c r="AO149" s="686">
        <v>59756</v>
      </c>
      <c r="AP149" s="686">
        <v>90915</v>
      </c>
      <c r="AQ149" s="686">
        <v>6752</v>
      </c>
      <c r="AR149" s="686">
        <v>334153</v>
      </c>
      <c r="AS149" s="686">
        <v>1935554</v>
      </c>
      <c r="AT149" s="686">
        <v>92398</v>
      </c>
      <c r="AU149" s="686">
        <v>327124</v>
      </c>
      <c r="AV149" s="686">
        <v>11538</v>
      </c>
      <c r="AW149" s="686">
        <v>519417</v>
      </c>
      <c r="AX149" s="686">
        <v>198208</v>
      </c>
      <c r="AY149" s="686">
        <v>700772</v>
      </c>
      <c r="AZ149" s="686">
        <v>217782</v>
      </c>
      <c r="BA149" s="686">
        <v>51483</v>
      </c>
      <c r="BB149" s="686">
        <v>96751</v>
      </c>
      <c r="BC149" s="686">
        <v>0</v>
      </c>
      <c r="BD149" s="686">
        <v>174602</v>
      </c>
      <c r="BE149" s="686">
        <v>2034035</v>
      </c>
      <c r="BF149" s="686">
        <v>12897</v>
      </c>
      <c r="BG149" s="686">
        <v>103981</v>
      </c>
      <c r="BH149" s="686">
        <v>7241</v>
      </c>
      <c r="BI149" s="686">
        <v>3888</v>
      </c>
      <c r="BJ149" s="686">
        <v>24148</v>
      </c>
      <c r="BK149" s="686">
        <v>21724</v>
      </c>
      <c r="BL149" s="686">
        <v>339163</v>
      </c>
      <c r="BM149" s="686">
        <v>91386</v>
      </c>
      <c r="BN149" s="686">
        <v>395887</v>
      </c>
      <c r="BO149" s="686">
        <v>350087</v>
      </c>
      <c r="BP149" s="686">
        <v>96286</v>
      </c>
      <c r="BQ149" s="686">
        <v>144004</v>
      </c>
      <c r="BR149" s="686">
        <v>1881641</v>
      </c>
      <c r="BS149" s="686">
        <v>13403</v>
      </c>
      <c r="BT149" s="686">
        <v>548847</v>
      </c>
      <c r="BU149" s="686">
        <v>75940</v>
      </c>
      <c r="BV149" s="686">
        <v>519729</v>
      </c>
      <c r="BW149" s="686">
        <v>44425</v>
      </c>
      <c r="BX149" s="686">
        <v>526399</v>
      </c>
      <c r="BY149" s="686">
        <v>136402</v>
      </c>
      <c r="BZ149" s="686">
        <v>11622</v>
      </c>
      <c r="CA149" s="686">
        <v>24056</v>
      </c>
      <c r="CB149" s="686">
        <v>23605</v>
      </c>
      <c r="CC149" s="686">
        <v>70606</v>
      </c>
      <c r="CD149" s="686">
        <v>0</v>
      </c>
      <c r="CE149" s="686">
        <v>6630</v>
      </c>
    </row>
    <row r="150" spans="1:83" x14ac:dyDescent="0.25">
      <c r="A150" s="622">
        <v>500</v>
      </c>
      <c r="B150" s="625">
        <v>500</v>
      </c>
      <c r="C150" s="653" t="s">
        <v>186</v>
      </c>
      <c r="D150" s="701" t="s">
        <v>470</v>
      </c>
      <c r="E150" s="638">
        <v>48258</v>
      </c>
      <c r="F150" s="621">
        <v>33882</v>
      </c>
      <c r="G150" s="621">
        <v>87625</v>
      </c>
      <c r="H150" s="621">
        <v>239355</v>
      </c>
      <c r="I150" s="621">
        <v>0</v>
      </c>
      <c r="J150" s="621">
        <v>0</v>
      </c>
      <c r="K150" s="672">
        <v>0</v>
      </c>
      <c r="L150" s="686">
        <v>21234</v>
      </c>
      <c r="M150" s="686">
        <v>0</v>
      </c>
      <c r="N150" s="636">
        <v>478006</v>
      </c>
      <c r="O150" s="636">
        <v>70937</v>
      </c>
      <c r="P150" s="636">
        <v>800000</v>
      </c>
      <c r="Q150" s="636">
        <v>0</v>
      </c>
      <c r="R150" s="636">
        <v>2000884</v>
      </c>
      <c r="S150" s="636">
        <v>272809</v>
      </c>
      <c r="T150" s="636">
        <v>0</v>
      </c>
      <c r="U150" s="636">
        <v>10494893</v>
      </c>
      <c r="V150" s="636">
        <v>1234840</v>
      </c>
      <c r="W150" s="636">
        <v>2145251</v>
      </c>
      <c r="X150" s="636">
        <v>10385306</v>
      </c>
      <c r="Y150" s="636">
        <v>115162</v>
      </c>
      <c r="Z150" s="636">
        <v>1438389</v>
      </c>
      <c r="AA150" s="636">
        <v>127335</v>
      </c>
      <c r="AB150" s="686" t="e">
        <v>#VALUE!</v>
      </c>
      <c r="AC150" s="686">
        <v>257555</v>
      </c>
      <c r="AD150" s="686" t="e">
        <v>#VALUE!</v>
      </c>
      <c r="AE150" s="686">
        <v>0</v>
      </c>
      <c r="AF150" s="686">
        <v>243364</v>
      </c>
      <c r="AG150" s="686">
        <v>6964688</v>
      </c>
      <c r="AH150" s="686">
        <v>536790</v>
      </c>
      <c r="AI150" s="686">
        <v>50710</v>
      </c>
      <c r="AJ150" s="686">
        <v>3034811</v>
      </c>
      <c r="AK150" s="686">
        <v>151418</v>
      </c>
      <c r="AL150" s="686">
        <v>24969</v>
      </c>
      <c r="AM150" s="686">
        <v>248830</v>
      </c>
      <c r="AN150" s="686">
        <v>4088387</v>
      </c>
      <c r="AO150" s="686">
        <v>173145</v>
      </c>
      <c r="AP150" s="686">
        <v>78267</v>
      </c>
      <c r="AQ150" s="686">
        <v>0</v>
      </c>
      <c r="AR150" s="686">
        <v>3915800</v>
      </c>
      <c r="AS150" s="686">
        <v>117978</v>
      </c>
      <c r="AT150" s="686">
        <v>99606</v>
      </c>
      <c r="AU150" s="686">
        <v>543717</v>
      </c>
      <c r="AV150" s="686">
        <v>41033</v>
      </c>
      <c r="AW150" s="686">
        <v>2893026</v>
      </c>
      <c r="AX150" s="686">
        <v>15162</v>
      </c>
      <c r="AY150" s="686">
        <v>144943</v>
      </c>
      <c r="AZ150" s="686">
        <v>121680</v>
      </c>
      <c r="BA150" s="686">
        <v>4186</v>
      </c>
      <c r="BB150" s="686">
        <v>351521</v>
      </c>
      <c r="BC150" s="686">
        <v>0</v>
      </c>
      <c r="BD150" s="686">
        <v>169588</v>
      </c>
      <c r="BE150" s="686">
        <v>655310</v>
      </c>
      <c r="BF150" s="686">
        <v>41195</v>
      </c>
      <c r="BG150" s="686">
        <v>63485</v>
      </c>
      <c r="BH150" s="686">
        <v>25685</v>
      </c>
      <c r="BI150" s="686">
        <v>20730</v>
      </c>
      <c r="BJ150" s="686">
        <v>66253</v>
      </c>
      <c r="BK150" s="686">
        <v>44653</v>
      </c>
      <c r="BL150" s="686">
        <v>23429</v>
      </c>
      <c r="BM150" s="686">
        <v>218107</v>
      </c>
      <c r="BN150" s="686">
        <v>139035</v>
      </c>
      <c r="BO150" s="686">
        <v>155546</v>
      </c>
      <c r="BP150" s="686">
        <v>215780</v>
      </c>
      <c r="BQ150" s="686">
        <v>82371</v>
      </c>
      <c r="BR150" s="686">
        <v>0</v>
      </c>
      <c r="BS150" s="686">
        <v>203597</v>
      </c>
      <c r="BT150" s="686">
        <v>367237</v>
      </c>
      <c r="BU150" s="686">
        <v>378463</v>
      </c>
      <c r="BV150" s="686">
        <v>133602</v>
      </c>
      <c r="BW150" s="686">
        <v>0</v>
      </c>
      <c r="BX150" s="686">
        <v>191105</v>
      </c>
      <c r="BY150" s="686">
        <v>352813</v>
      </c>
      <c r="BZ150" s="686">
        <v>158253</v>
      </c>
      <c r="CA150" s="686">
        <v>30266</v>
      </c>
      <c r="CB150" s="686">
        <v>7179</v>
      </c>
      <c r="CC150" s="686">
        <v>31087</v>
      </c>
      <c r="CD150" s="686">
        <v>0</v>
      </c>
      <c r="CE150" s="686">
        <v>22460</v>
      </c>
    </row>
    <row r="151" spans="1:83" x14ac:dyDescent="0.25">
      <c r="A151" s="622"/>
      <c r="B151" s="625">
        <v>501</v>
      </c>
      <c r="C151" s="653" t="s">
        <v>188</v>
      </c>
      <c r="D151" s="701" t="s">
        <v>471</v>
      </c>
      <c r="E151" s="638">
        <v>0</v>
      </c>
      <c r="F151" s="621">
        <v>0</v>
      </c>
      <c r="G151" s="621">
        <v>0</v>
      </c>
      <c r="H151" s="621">
        <v>0</v>
      </c>
      <c r="I151" s="621">
        <v>0</v>
      </c>
      <c r="J151" s="621">
        <v>0</v>
      </c>
      <c r="K151" s="672">
        <v>0</v>
      </c>
      <c r="L151" s="686">
        <v>0</v>
      </c>
      <c r="M151" s="686">
        <v>0</v>
      </c>
      <c r="N151" s="636">
        <v>0</v>
      </c>
      <c r="O151" s="636">
        <v>0</v>
      </c>
      <c r="P151" s="636">
        <v>0</v>
      </c>
      <c r="Q151" s="636">
        <v>0</v>
      </c>
      <c r="R151" s="636">
        <v>0</v>
      </c>
      <c r="S151" s="636">
        <v>0</v>
      </c>
      <c r="T151" s="636">
        <v>0</v>
      </c>
      <c r="U151" s="636">
        <v>0</v>
      </c>
      <c r="V151" s="636">
        <v>0</v>
      </c>
      <c r="W151" s="636">
        <v>0</v>
      </c>
      <c r="X151" s="636">
        <v>0</v>
      </c>
      <c r="Y151" s="636">
        <v>0</v>
      </c>
      <c r="Z151" s="636">
        <v>0</v>
      </c>
      <c r="AA151" s="636">
        <v>0</v>
      </c>
      <c r="AB151" s="686" t="e">
        <v>#VALUE!</v>
      </c>
      <c r="AC151" s="686">
        <v>0</v>
      </c>
      <c r="AD151" s="686" t="e">
        <v>#VALUE!</v>
      </c>
      <c r="AE151" s="686">
        <v>0</v>
      </c>
      <c r="AF151" s="686">
        <v>0</v>
      </c>
      <c r="AG151" s="686">
        <v>0</v>
      </c>
      <c r="AH151" s="686">
        <v>0</v>
      </c>
      <c r="AI151" s="686">
        <v>0</v>
      </c>
      <c r="AJ151" s="686">
        <v>0</v>
      </c>
      <c r="AK151" s="686">
        <v>0</v>
      </c>
      <c r="AL151" s="686">
        <v>0</v>
      </c>
      <c r="AM151" s="686">
        <v>0</v>
      </c>
      <c r="AN151" s="686">
        <v>0</v>
      </c>
      <c r="AO151" s="686">
        <v>0</v>
      </c>
      <c r="AP151" s="686">
        <v>0</v>
      </c>
      <c r="AQ151" s="686">
        <v>0</v>
      </c>
      <c r="AR151" s="686">
        <v>0</v>
      </c>
      <c r="AS151" s="686">
        <v>0</v>
      </c>
      <c r="AT151" s="686">
        <v>0</v>
      </c>
      <c r="AU151" s="686">
        <v>0</v>
      </c>
      <c r="AV151" s="686">
        <v>0</v>
      </c>
      <c r="AW151" s="686">
        <v>0</v>
      </c>
      <c r="AX151" s="686">
        <v>0</v>
      </c>
      <c r="AY151" s="686">
        <v>0</v>
      </c>
      <c r="AZ151" s="686">
        <v>0</v>
      </c>
      <c r="BA151" s="686">
        <v>0</v>
      </c>
      <c r="BB151" s="686">
        <v>0</v>
      </c>
      <c r="BC151" s="686">
        <v>0</v>
      </c>
      <c r="BD151" s="686">
        <v>0</v>
      </c>
      <c r="BE151" s="686">
        <v>0</v>
      </c>
      <c r="BF151" s="686">
        <v>0</v>
      </c>
      <c r="BG151" s="686">
        <v>0</v>
      </c>
      <c r="BH151" s="686">
        <v>0</v>
      </c>
      <c r="BI151" s="686">
        <v>0</v>
      </c>
      <c r="BJ151" s="686">
        <v>0</v>
      </c>
      <c r="BK151" s="686">
        <v>0</v>
      </c>
      <c r="BL151" s="686">
        <v>0</v>
      </c>
      <c r="BM151" s="686">
        <v>0</v>
      </c>
      <c r="BN151" s="686">
        <v>0</v>
      </c>
      <c r="BO151" s="686">
        <v>0</v>
      </c>
      <c r="BP151" s="686">
        <v>0</v>
      </c>
      <c r="BQ151" s="686">
        <v>0</v>
      </c>
      <c r="BR151" s="686">
        <v>0</v>
      </c>
      <c r="BS151" s="686">
        <v>0</v>
      </c>
      <c r="BT151" s="686">
        <v>0</v>
      </c>
      <c r="BU151" s="686">
        <v>0</v>
      </c>
      <c r="BV151" s="686">
        <v>0</v>
      </c>
      <c r="BW151" s="686">
        <v>0</v>
      </c>
      <c r="BX151" s="686">
        <v>0</v>
      </c>
      <c r="BY151" s="686">
        <v>0</v>
      </c>
      <c r="BZ151" s="686">
        <v>0</v>
      </c>
      <c r="CA151" s="686">
        <v>0</v>
      </c>
      <c r="CB151" s="686">
        <v>0</v>
      </c>
      <c r="CC151" s="686">
        <v>0</v>
      </c>
      <c r="CD151" s="686">
        <v>0</v>
      </c>
      <c r="CE151" s="686">
        <v>0</v>
      </c>
    </row>
    <row r="152" spans="1:83" x14ac:dyDescent="0.25">
      <c r="A152" s="622">
        <v>502</v>
      </c>
      <c r="B152" s="625">
        <v>502</v>
      </c>
      <c r="C152" s="653" t="s">
        <v>189</v>
      </c>
      <c r="D152" s="701" t="s">
        <v>472</v>
      </c>
      <c r="E152" s="638">
        <v>132994</v>
      </c>
      <c r="F152" s="621">
        <v>0</v>
      </c>
      <c r="G152" s="621">
        <v>533631</v>
      </c>
      <c r="H152" s="621">
        <v>0</v>
      </c>
      <c r="I152" s="621">
        <v>0</v>
      </c>
      <c r="J152" s="621">
        <v>0</v>
      </c>
      <c r="K152" s="672">
        <v>4371</v>
      </c>
      <c r="L152" s="686">
        <v>0</v>
      </c>
      <c r="M152" s="686">
        <v>0</v>
      </c>
      <c r="N152" s="636">
        <v>0</v>
      </c>
      <c r="O152" s="636">
        <v>0</v>
      </c>
      <c r="P152" s="636">
        <v>802283</v>
      </c>
      <c r="Q152" s="636">
        <v>0</v>
      </c>
      <c r="R152" s="636">
        <v>117850809</v>
      </c>
      <c r="S152" s="636">
        <v>833600</v>
      </c>
      <c r="T152" s="636">
        <v>0</v>
      </c>
      <c r="U152" s="636">
        <v>45229064</v>
      </c>
      <c r="V152" s="636">
        <v>13392459</v>
      </c>
      <c r="W152" s="636">
        <v>24390597</v>
      </c>
      <c r="X152" s="636">
        <v>1893816</v>
      </c>
      <c r="Y152" s="636">
        <v>247591</v>
      </c>
      <c r="Z152" s="636">
        <v>4862639</v>
      </c>
      <c r="AA152" s="636">
        <v>1194216</v>
      </c>
      <c r="AB152" s="686" t="e">
        <v>#VALUE!</v>
      </c>
      <c r="AC152" s="686">
        <v>75236</v>
      </c>
      <c r="AD152" s="686" t="e">
        <v>#VALUE!</v>
      </c>
      <c r="AE152" s="686">
        <v>757546</v>
      </c>
      <c r="AF152" s="686">
        <v>2432612</v>
      </c>
      <c r="AG152" s="686">
        <v>3037333</v>
      </c>
      <c r="AH152" s="686">
        <v>2255734</v>
      </c>
      <c r="AI152" s="686">
        <v>67625</v>
      </c>
      <c r="AJ152" s="686">
        <v>34726383</v>
      </c>
      <c r="AK152" s="686">
        <v>754831</v>
      </c>
      <c r="AL152" s="686">
        <v>302981</v>
      </c>
      <c r="AM152" s="686">
        <v>1158242</v>
      </c>
      <c r="AN152" s="686">
        <v>7641541</v>
      </c>
      <c r="AO152" s="686">
        <v>329753</v>
      </c>
      <c r="AP152" s="686">
        <v>57344</v>
      </c>
      <c r="AQ152" s="686">
        <v>0</v>
      </c>
      <c r="AR152" s="686">
        <v>0</v>
      </c>
      <c r="AS152" s="686">
        <v>3194228</v>
      </c>
      <c r="AT152" s="686">
        <v>169503</v>
      </c>
      <c r="AU152" s="686">
        <v>516386</v>
      </c>
      <c r="AV152" s="686">
        <v>734063</v>
      </c>
      <c r="AW152" s="686">
        <v>26764195</v>
      </c>
      <c r="AX152" s="686">
        <v>0</v>
      </c>
      <c r="AY152" s="686">
        <v>1601587</v>
      </c>
      <c r="AZ152" s="686">
        <v>5055852</v>
      </c>
      <c r="BA152" s="686">
        <v>836196</v>
      </c>
      <c r="BB152" s="686">
        <v>163239</v>
      </c>
      <c r="BC152" s="686">
        <v>0</v>
      </c>
      <c r="BD152" s="686">
        <v>92949</v>
      </c>
      <c r="BE152" s="686">
        <v>7466587</v>
      </c>
      <c r="BF152" s="686">
        <v>0</v>
      </c>
      <c r="BG152" s="686">
        <v>135003</v>
      </c>
      <c r="BH152" s="686">
        <v>93765</v>
      </c>
      <c r="BI152" s="686">
        <v>0</v>
      </c>
      <c r="BJ152" s="686">
        <v>153128</v>
      </c>
      <c r="BK152" s="686">
        <v>0</v>
      </c>
      <c r="BL152" s="686">
        <v>1861581</v>
      </c>
      <c r="BM152" s="686">
        <v>657348</v>
      </c>
      <c r="BN152" s="686">
        <v>57048</v>
      </c>
      <c r="BO152" s="686">
        <v>692013</v>
      </c>
      <c r="BP152" s="686">
        <v>519283</v>
      </c>
      <c r="BQ152" s="686">
        <v>758799</v>
      </c>
      <c r="BR152" s="686">
        <v>0</v>
      </c>
      <c r="BS152" s="686">
        <v>560072</v>
      </c>
      <c r="BT152" s="686">
        <v>5115920</v>
      </c>
      <c r="BU152" s="686">
        <v>544438</v>
      </c>
      <c r="BV152" s="686">
        <v>3306614</v>
      </c>
      <c r="BW152" s="686">
        <v>0</v>
      </c>
      <c r="BX152" s="686">
        <v>253162</v>
      </c>
      <c r="BY152" s="686">
        <v>937440</v>
      </c>
      <c r="BZ152" s="686">
        <v>3129</v>
      </c>
      <c r="CA152" s="686">
        <v>96269</v>
      </c>
      <c r="CB152" s="686">
        <v>4565</v>
      </c>
      <c r="CC152" s="686">
        <v>116419</v>
      </c>
      <c r="CD152" s="686">
        <v>0</v>
      </c>
      <c r="CE152" s="686">
        <v>6828</v>
      </c>
    </row>
    <row r="153" spans="1:83" x14ac:dyDescent="0.25">
      <c r="A153" s="622">
        <v>503</v>
      </c>
      <c r="B153" s="625">
        <v>503</v>
      </c>
      <c r="C153" s="653" t="s">
        <v>190</v>
      </c>
      <c r="D153" s="701" t="s">
        <v>473</v>
      </c>
      <c r="E153" s="638">
        <v>31238</v>
      </c>
      <c r="F153" s="621">
        <v>0</v>
      </c>
      <c r="G153" s="621">
        <v>58977</v>
      </c>
      <c r="H153" s="621">
        <v>0</v>
      </c>
      <c r="I153" s="621">
        <v>0</v>
      </c>
      <c r="J153" s="621">
        <v>0</v>
      </c>
      <c r="K153" s="672">
        <v>7329</v>
      </c>
      <c r="L153" s="686">
        <v>0</v>
      </c>
      <c r="M153" s="686">
        <v>0</v>
      </c>
      <c r="N153" s="636">
        <v>0</v>
      </c>
      <c r="O153" s="636">
        <v>0</v>
      </c>
      <c r="P153" s="636">
        <v>110875</v>
      </c>
      <c r="Q153" s="636">
        <v>0</v>
      </c>
      <c r="R153" s="636">
        <v>17545455</v>
      </c>
      <c r="S153" s="636">
        <v>7495</v>
      </c>
      <c r="T153" s="636">
        <v>0</v>
      </c>
      <c r="U153" s="636">
        <v>8753979</v>
      </c>
      <c r="V153" s="636">
        <v>84928</v>
      </c>
      <c r="W153" s="636">
        <v>826311</v>
      </c>
      <c r="X153" s="636">
        <v>0</v>
      </c>
      <c r="Y153" s="636">
        <v>0</v>
      </c>
      <c r="Z153" s="636">
        <v>43490</v>
      </c>
      <c r="AA153" s="636">
        <v>195823</v>
      </c>
      <c r="AB153" s="686" t="e">
        <v>#VALUE!</v>
      </c>
      <c r="AC153" s="686">
        <v>177798</v>
      </c>
      <c r="AD153" s="686" t="e">
        <v>#VALUE!</v>
      </c>
      <c r="AE153" s="686">
        <v>0</v>
      </c>
      <c r="AF153" s="686">
        <v>130459</v>
      </c>
      <c r="AG153" s="686">
        <v>464391</v>
      </c>
      <c r="AH153" s="686">
        <v>155405</v>
      </c>
      <c r="AI153" s="686">
        <v>0</v>
      </c>
      <c r="AJ153" s="686">
        <v>4488029</v>
      </c>
      <c r="AK153" s="686">
        <v>320</v>
      </c>
      <c r="AL153" s="686">
        <v>13325</v>
      </c>
      <c r="AM153" s="686">
        <v>70330</v>
      </c>
      <c r="AN153" s="686">
        <v>1850363</v>
      </c>
      <c r="AO153" s="686">
        <v>24266</v>
      </c>
      <c r="AP153" s="686">
        <v>89243</v>
      </c>
      <c r="AQ153" s="686">
        <v>0</v>
      </c>
      <c r="AR153" s="686">
        <v>0</v>
      </c>
      <c r="AS153" s="686">
        <v>75538</v>
      </c>
      <c r="AT153" s="686">
        <v>0</v>
      </c>
      <c r="AU153" s="686">
        <v>54229</v>
      </c>
      <c r="AV153" s="686">
        <v>27904</v>
      </c>
      <c r="AW153" s="686">
        <v>5533284</v>
      </c>
      <c r="AX153" s="686">
        <v>0</v>
      </c>
      <c r="AY153" s="686">
        <v>22548</v>
      </c>
      <c r="AZ153" s="686">
        <v>108835</v>
      </c>
      <c r="BA153" s="686">
        <v>30595</v>
      </c>
      <c r="BB153" s="686">
        <v>22852</v>
      </c>
      <c r="BC153" s="686">
        <v>0</v>
      </c>
      <c r="BD153" s="686">
        <v>7725</v>
      </c>
      <c r="BE153" s="686">
        <v>0</v>
      </c>
      <c r="BF153" s="686">
        <v>0</v>
      </c>
      <c r="BG153" s="686">
        <v>0</v>
      </c>
      <c r="BH153" s="686">
        <v>0</v>
      </c>
      <c r="BI153" s="686">
        <v>0</v>
      </c>
      <c r="BJ153" s="686">
        <v>19530</v>
      </c>
      <c r="BK153" s="686">
        <v>0</v>
      </c>
      <c r="BL153" s="686">
        <v>0</v>
      </c>
      <c r="BM153" s="686">
        <v>956280</v>
      </c>
      <c r="BN153" s="686">
        <v>35255</v>
      </c>
      <c r="BO153" s="686">
        <v>4522</v>
      </c>
      <c r="BP153" s="686">
        <v>97782</v>
      </c>
      <c r="BQ153" s="686">
        <v>0</v>
      </c>
      <c r="BR153" s="686">
        <v>0</v>
      </c>
      <c r="BS153" s="686">
        <v>121026</v>
      </c>
      <c r="BT153" s="686">
        <v>239932</v>
      </c>
      <c r="BU153" s="686">
        <v>53808</v>
      </c>
      <c r="BV153" s="686">
        <v>170852</v>
      </c>
      <c r="BW153" s="686">
        <v>0</v>
      </c>
      <c r="BX153" s="686">
        <v>165006</v>
      </c>
      <c r="BY153" s="686">
        <v>32586</v>
      </c>
      <c r="BZ153" s="686">
        <v>0</v>
      </c>
      <c r="CA153" s="686">
        <v>42610</v>
      </c>
      <c r="CB153" s="686">
        <v>7395</v>
      </c>
      <c r="CC153" s="686">
        <v>190401</v>
      </c>
      <c r="CD153" s="686">
        <v>0</v>
      </c>
      <c r="CE153" s="686">
        <v>0</v>
      </c>
    </row>
    <row r="154" spans="1:83" x14ac:dyDescent="0.25">
      <c r="A154" s="622">
        <v>504</v>
      </c>
      <c r="B154" s="625">
        <v>504</v>
      </c>
      <c r="C154" s="653" t="s">
        <v>194</v>
      </c>
      <c r="D154" s="701" t="s">
        <v>474</v>
      </c>
      <c r="E154" s="638">
        <v>32584</v>
      </c>
      <c r="F154" s="621">
        <v>6561</v>
      </c>
      <c r="G154" s="621">
        <v>34247</v>
      </c>
      <c r="H154" s="621">
        <v>85462</v>
      </c>
      <c r="I154" s="621">
        <v>75000</v>
      </c>
      <c r="J154" s="621">
        <v>0</v>
      </c>
      <c r="K154" s="672">
        <v>0</v>
      </c>
      <c r="L154" s="686">
        <v>0</v>
      </c>
      <c r="M154" s="686">
        <v>18817</v>
      </c>
      <c r="N154" s="636">
        <v>1395280</v>
      </c>
      <c r="O154" s="636">
        <v>0</v>
      </c>
      <c r="P154" s="636">
        <v>657730</v>
      </c>
      <c r="Q154" s="636">
        <v>0</v>
      </c>
      <c r="R154" s="636">
        <v>2281335</v>
      </c>
      <c r="S154" s="636">
        <v>152413</v>
      </c>
      <c r="T154" s="636">
        <v>5125</v>
      </c>
      <c r="U154" s="636">
        <v>3817097</v>
      </c>
      <c r="V154" s="636">
        <v>1117599</v>
      </c>
      <c r="W154" s="636">
        <v>979262</v>
      </c>
      <c r="X154" s="636">
        <v>935194</v>
      </c>
      <c r="Y154" s="636">
        <v>17721</v>
      </c>
      <c r="Z154" s="636">
        <v>547240</v>
      </c>
      <c r="AA154" s="636">
        <v>56047</v>
      </c>
      <c r="AB154" s="686" t="e">
        <v>#VALUE!</v>
      </c>
      <c r="AC154" s="686">
        <v>138012</v>
      </c>
      <c r="AD154" s="686" t="e">
        <v>#VALUE!</v>
      </c>
      <c r="AE154" s="686">
        <v>115417</v>
      </c>
      <c r="AF154" s="686">
        <v>184981</v>
      </c>
      <c r="AG154" s="686">
        <v>200950</v>
      </c>
      <c r="AH154" s="686">
        <v>312551</v>
      </c>
      <c r="AI154" s="686">
        <v>54779</v>
      </c>
      <c r="AJ154" s="686">
        <v>1046342</v>
      </c>
      <c r="AK154" s="686">
        <v>19911</v>
      </c>
      <c r="AL154" s="686">
        <v>25989</v>
      </c>
      <c r="AM154" s="686">
        <v>90487</v>
      </c>
      <c r="AN154" s="686">
        <v>727487</v>
      </c>
      <c r="AO154" s="686">
        <v>19593</v>
      </c>
      <c r="AP154" s="686">
        <v>95559</v>
      </c>
      <c r="AQ154" s="686">
        <v>7212</v>
      </c>
      <c r="AR154" s="686">
        <v>274807</v>
      </c>
      <c r="AS154" s="686">
        <v>168020</v>
      </c>
      <c r="AT154" s="686">
        <v>24785</v>
      </c>
      <c r="AU154" s="686">
        <v>87285</v>
      </c>
      <c r="AV154" s="686">
        <v>12792</v>
      </c>
      <c r="AW154" s="686">
        <v>412861</v>
      </c>
      <c r="AX154" s="686">
        <v>12087</v>
      </c>
      <c r="AY154" s="686">
        <v>73075</v>
      </c>
      <c r="AZ154" s="686">
        <v>1597855</v>
      </c>
      <c r="BA154" s="686">
        <v>62457</v>
      </c>
      <c r="BB154" s="686">
        <v>80173</v>
      </c>
      <c r="BC154" s="686">
        <v>0</v>
      </c>
      <c r="BD154" s="686">
        <v>0</v>
      </c>
      <c r="BE154" s="686">
        <v>239327</v>
      </c>
      <c r="BF154" s="686">
        <v>16401</v>
      </c>
      <c r="BG154" s="686">
        <v>17641</v>
      </c>
      <c r="BH154" s="686">
        <v>9111</v>
      </c>
      <c r="BI154" s="686">
        <v>8069</v>
      </c>
      <c r="BJ154" s="686">
        <v>16479</v>
      </c>
      <c r="BK154" s="686">
        <v>18964</v>
      </c>
      <c r="BL154" s="686">
        <v>145032</v>
      </c>
      <c r="BM154" s="686">
        <v>43292</v>
      </c>
      <c r="BN154" s="686">
        <v>44449</v>
      </c>
      <c r="BO154" s="686">
        <v>119130</v>
      </c>
      <c r="BP154" s="686">
        <v>68361</v>
      </c>
      <c r="BQ154" s="686">
        <v>186000</v>
      </c>
      <c r="BR154" s="686">
        <v>518202</v>
      </c>
      <c r="BS154" s="686">
        <v>46858</v>
      </c>
      <c r="BT154" s="686">
        <v>2343460</v>
      </c>
      <c r="BU154" s="686">
        <v>219706</v>
      </c>
      <c r="BV154" s="686">
        <v>393894</v>
      </c>
      <c r="BW154" s="686">
        <v>0</v>
      </c>
      <c r="BX154" s="686">
        <v>108215</v>
      </c>
      <c r="BY154" s="686">
        <v>85715</v>
      </c>
      <c r="BZ154" s="686">
        <v>25281</v>
      </c>
      <c r="CA154" s="686">
        <v>12075</v>
      </c>
      <c r="CB154" s="686">
        <v>7353</v>
      </c>
      <c r="CC154" s="686">
        <v>334379</v>
      </c>
      <c r="CD154" s="686">
        <v>0</v>
      </c>
      <c r="CE154" s="686">
        <v>4159</v>
      </c>
    </row>
    <row r="155" spans="1:83" x14ac:dyDescent="0.25">
      <c r="A155" s="622">
        <v>505</v>
      </c>
      <c r="B155" s="625">
        <v>505</v>
      </c>
      <c r="C155" s="653" t="s">
        <v>195</v>
      </c>
      <c r="D155" s="701" t="s">
        <v>475</v>
      </c>
      <c r="E155" s="638">
        <v>0</v>
      </c>
      <c r="F155" s="621">
        <v>0</v>
      </c>
      <c r="G155" s="621">
        <v>50000</v>
      </c>
      <c r="H155" s="621">
        <v>0</v>
      </c>
      <c r="I155" s="621">
        <v>0</v>
      </c>
      <c r="J155" s="621">
        <v>49175</v>
      </c>
      <c r="K155" s="672">
        <v>0</v>
      </c>
      <c r="L155" s="686">
        <v>0</v>
      </c>
      <c r="M155" s="686">
        <v>0</v>
      </c>
      <c r="N155" s="636">
        <v>15008000</v>
      </c>
      <c r="O155" s="636">
        <v>13626</v>
      </c>
      <c r="P155" s="636">
        <v>229402</v>
      </c>
      <c r="Q155" s="636">
        <v>0</v>
      </c>
      <c r="R155" s="636">
        <v>1279350</v>
      </c>
      <c r="S155" s="636">
        <v>2787</v>
      </c>
      <c r="T155" s="636">
        <v>0</v>
      </c>
      <c r="U155" s="636">
        <v>0</v>
      </c>
      <c r="V155" s="636">
        <v>289522</v>
      </c>
      <c r="W155" s="636">
        <v>320312</v>
      </c>
      <c r="X155" s="636">
        <v>11459805</v>
      </c>
      <c r="Y155" s="636">
        <v>0</v>
      </c>
      <c r="Z155" s="636">
        <v>303914</v>
      </c>
      <c r="AA155" s="636">
        <v>0</v>
      </c>
      <c r="AB155" s="686" t="e">
        <v>#VALUE!</v>
      </c>
      <c r="AC155" s="686">
        <v>320121</v>
      </c>
      <c r="AD155" s="686" t="e">
        <v>#VALUE!</v>
      </c>
      <c r="AE155" s="686">
        <v>35818</v>
      </c>
      <c r="AF155" s="686">
        <v>0</v>
      </c>
      <c r="AG155" s="686">
        <v>1281243</v>
      </c>
      <c r="AH155" s="686">
        <v>0</v>
      </c>
      <c r="AI155" s="686">
        <v>0</v>
      </c>
      <c r="AJ155" s="686">
        <v>3884401</v>
      </c>
      <c r="AK155" s="686">
        <v>0</v>
      </c>
      <c r="AL155" s="686">
        <v>0</v>
      </c>
      <c r="AM155" s="686">
        <v>125125</v>
      </c>
      <c r="AN155" s="686">
        <v>207039</v>
      </c>
      <c r="AO155" s="686">
        <v>0</v>
      </c>
      <c r="AP155" s="686">
        <v>0</v>
      </c>
      <c r="AQ155" s="686">
        <v>0</v>
      </c>
      <c r="AR155" s="686">
        <v>0</v>
      </c>
      <c r="AS155" s="686">
        <v>103311</v>
      </c>
      <c r="AT155" s="686">
        <v>0</v>
      </c>
      <c r="AU155" s="686">
        <v>75077</v>
      </c>
      <c r="AV155" s="686">
        <v>0</v>
      </c>
      <c r="AW155" s="686">
        <v>4132910</v>
      </c>
      <c r="AX155" s="686">
        <v>8266</v>
      </c>
      <c r="AY155" s="686">
        <v>150000</v>
      </c>
      <c r="AZ155" s="686">
        <v>0</v>
      </c>
      <c r="BA155" s="686">
        <v>100000</v>
      </c>
      <c r="BB155" s="686">
        <v>68000</v>
      </c>
      <c r="BC155" s="686">
        <v>0</v>
      </c>
      <c r="BD155" s="686">
        <v>0</v>
      </c>
      <c r="BE155" s="686">
        <v>5000</v>
      </c>
      <c r="BF155" s="686">
        <v>0</v>
      </c>
      <c r="BG155" s="686">
        <v>0</v>
      </c>
      <c r="BH155" s="686">
        <v>0</v>
      </c>
      <c r="BI155" s="686">
        <v>0</v>
      </c>
      <c r="BJ155" s="686">
        <v>0</v>
      </c>
      <c r="BK155" s="686">
        <v>0</v>
      </c>
      <c r="BL155" s="686">
        <v>0</v>
      </c>
      <c r="BM155" s="686">
        <v>0</v>
      </c>
      <c r="BN155" s="686">
        <v>34904</v>
      </c>
      <c r="BO155" s="686">
        <v>18600</v>
      </c>
      <c r="BP155" s="686">
        <v>0</v>
      </c>
      <c r="BQ155" s="686">
        <v>0</v>
      </c>
      <c r="BR155" s="686">
        <v>559349</v>
      </c>
      <c r="BS155" s="686">
        <v>69383</v>
      </c>
      <c r="BT155" s="686">
        <v>99835</v>
      </c>
      <c r="BU155" s="686">
        <v>0</v>
      </c>
      <c r="BV155" s="686">
        <v>22075</v>
      </c>
      <c r="BW155" s="686">
        <v>102572</v>
      </c>
      <c r="BX155" s="686">
        <v>0</v>
      </c>
      <c r="BY155" s="686">
        <v>4820</v>
      </c>
      <c r="BZ155" s="686">
        <v>0</v>
      </c>
      <c r="CA155" s="686">
        <v>2831</v>
      </c>
      <c r="CB155" s="686">
        <v>0</v>
      </c>
      <c r="CC155" s="686">
        <v>0</v>
      </c>
      <c r="CD155" s="686">
        <v>0</v>
      </c>
      <c r="CE155" s="686">
        <v>0</v>
      </c>
    </row>
    <row r="156" spans="1:83" x14ac:dyDescent="0.25">
      <c r="A156" s="622">
        <v>506</v>
      </c>
      <c r="B156" s="625">
        <v>506</v>
      </c>
      <c r="C156" s="653" t="s">
        <v>201</v>
      </c>
      <c r="D156" s="701" t="s">
        <v>476</v>
      </c>
      <c r="E156" s="638">
        <v>129528</v>
      </c>
      <c r="F156" s="621">
        <v>82149</v>
      </c>
      <c r="G156" s="621">
        <v>704125</v>
      </c>
      <c r="H156" s="621">
        <v>3434813</v>
      </c>
      <c r="I156" s="621">
        <v>4323708</v>
      </c>
      <c r="J156" s="621">
        <v>4324868</v>
      </c>
      <c r="K156" s="672">
        <v>96988</v>
      </c>
      <c r="L156" s="686">
        <v>748966</v>
      </c>
      <c r="M156" s="686">
        <v>871340</v>
      </c>
      <c r="N156" s="636">
        <v>7222220</v>
      </c>
      <c r="O156" s="636">
        <v>506252</v>
      </c>
      <c r="P156" s="636">
        <v>5774120</v>
      </c>
      <c r="Q156" s="636">
        <v>251464</v>
      </c>
      <c r="R156" s="636">
        <v>24993135</v>
      </c>
      <c r="S156" s="636">
        <v>1453976</v>
      </c>
      <c r="T156" s="636">
        <v>203605</v>
      </c>
      <c r="U156" s="636">
        <v>27127319</v>
      </c>
      <c r="V156" s="636">
        <v>8407246</v>
      </c>
      <c r="W156" s="636">
        <v>16009671</v>
      </c>
      <c r="X156" s="636">
        <v>24517081</v>
      </c>
      <c r="Y156" s="636">
        <v>92759</v>
      </c>
      <c r="Z156" s="636">
        <v>11285983</v>
      </c>
      <c r="AA156" s="636">
        <v>1364163</v>
      </c>
      <c r="AB156" s="686" t="e">
        <v>#VALUE!</v>
      </c>
      <c r="AC156" s="686">
        <v>249689</v>
      </c>
      <c r="AD156" s="686" t="e">
        <v>#VALUE!</v>
      </c>
      <c r="AE156" s="686">
        <v>705702</v>
      </c>
      <c r="AF156" s="686">
        <v>2735276</v>
      </c>
      <c r="AG156" s="686">
        <v>8706965</v>
      </c>
      <c r="AH156" s="686">
        <v>4545656</v>
      </c>
      <c r="AI156" s="686">
        <v>735407</v>
      </c>
      <c r="AJ156" s="686">
        <v>16942553</v>
      </c>
      <c r="AK156" s="686">
        <v>2753253</v>
      </c>
      <c r="AL156" s="686">
        <v>586653</v>
      </c>
      <c r="AM156" s="686">
        <v>1422838</v>
      </c>
      <c r="AN156" s="686">
        <v>7170083</v>
      </c>
      <c r="AO156" s="686">
        <v>555703</v>
      </c>
      <c r="AP156" s="686">
        <v>192388</v>
      </c>
      <c r="AQ156" s="686">
        <v>80867</v>
      </c>
      <c r="AR156" s="686">
        <v>1620646</v>
      </c>
      <c r="AS156" s="686">
        <v>15588725</v>
      </c>
      <c r="AT156" s="686">
        <v>473161</v>
      </c>
      <c r="AU156" s="686">
        <v>1062081</v>
      </c>
      <c r="AV156" s="686">
        <v>346830</v>
      </c>
      <c r="AW156" s="686">
        <v>11526449</v>
      </c>
      <c r="AX156" s="686">
        <v>3537955</v>
      </c>
      <c r="AY156" s="686">
        <v>1011330</v>
      </c>
      <c r="AZ156" s="686">
        <v>14125976</v>
      </c>
      <c r="BA156" s="686">
        <v>1888718</v>
      </c>
      <c r="BB156" s="686">
        <v>733296</v>
      </c>
      <c r="BC156" s="686">
        <v>88430</v>
      </c>
      <c r="BD156" s="686">
        <v>275454</v>
      </c>
      <c r="BE156" s="686">
        <v>3248985</v>
      </c>
      <c r="BF156" s="686">
        <v>437697</v>
      </c>
      <c r="BG156" s="686">
        <v>705937</v>
      </c>
      <c r="BH156" s="686">
        <v>105323</v>
      </c>
      <c r="BI156" s="686">
        <v>266786</v>
      </c>
      <c r="BJ156" s="686">
        <v>452871</v>
      </c>
      <c r="BK156" s="686">
        <v>219285</v>
      </c>
      <c r="BL156" s="686">
        <v>1309704</v>
      </c>
      <c r="BM156" s="686">
        <v>131108</v>
      </c>
      <c r="BN156" s="686">
        <v>597802</v>
      </c>
      <c r="BO156" s="686">
        <v>2513447</v>
      </c>
      <c r="BP156" s="686">
        <v>682895</v>
      </c>
      <c r="BQ156" s="686">
        <v>1827425</v>
      </c>
      <c r="BR156" s="686">
        <v>9920227</v>
      </c>
      <c r="BS156" s="686">
        <v>491214</v>
      </c>
      <c r="BT156" s="686">
        <v>18211074</v>
      </c>
      <c r="BU156" s="686">
        <v>567969</v>
      </c>
      <c r="BV156" s="686">
        <v>4747993</v>
      </c>
      <c r="BW156" s="686">
        <v>1081651</v>
      </c>
      <c r="BX156" s="686">
        <v>925273</v>
      </c>
      <c r="BY156" s="686">
        <v>1575596</v>
      </c>
      <c r="BZ156" s="686">
        <v>157282</v>
      </c>
      <c r="CA156" s="686">
        <v>214239</v>
      </c>
      <c r="CB156" s="686">
        <v>89850</v>
      </c>
      <c r="CC156" s="686">
        <v>312224</v>
      </c>
      <c r="CD156" s="686">
        <v>0</v>
      </c>
      <c r="CE156" s="686">
        <v>342372</v>
      </c>
    </row>
    <row r="157" spans="1:83" x14ac:dyDescent="0.25">
      <c r="A157" s="622">
        <v>507</v>
      </c>
      <c r="B157" s="625">
        <v>507</v>
      </c>
      <c r="C157" s="653" t="s">
        <v>219</v>
      </c>
      <c r="D157" s="701" t="s">
        <v>477</v>
      </c>
      <c r="E157" s="638">
        <v>0</v>
      </c>
      <c r="F157" s="621">
        <v>84284</v>
      </c>
      <c r="G157" s="621">
        <v>0</v>
      </c>
      <c r="H157" s="621">
        <v>0</v>
      </c>
      <c r="I157" s="621">
        <v>-1</v>
      </c>
      <c r="J157" s="621">
        <v>0</v>
      </c>
      <c r="K157" s="672">
        <v>0</v>
      </c>
      <c r="L157" s="686">
        <v>0</v>
      </c>
      <c r="M157" s="686">
        <v>0</v>
      </c>
      <c r="N157" s="636">
        <v>0</v>
      </c>
      <c r="O157" s="636">
        <v>0</v>
      </c>
      <c r="P157" s="636">
        <v>-1</v>
      </c>
      <c r="Q157" s="636">
        <v>1</v>
      </c>
      <c r="R157" s="636">
        <v>0</v>
      </c>
      <c r="S157" s="636">
        <v>0</v>
      </c>
      <c r="T157" s="636">
        <v>0</v>
      </c>
      <c r="U157" s="636">
        <v>0</v>
      </c>
      <c r="V157" s="636">
        <v>0</v>
      </c>
      <c r="W157" s="636">
        <v>0</v>
      </c>
      <c r="X157" s="636">
        <v>2514188</v>
      </c>
      <c r="Y157" s="636">
        <v>0</v>
      </c>
      <c r="Z157" s="636">
        <v>0</v>
      </c>
      <c r="AA157" s="636">
        <v>0</v>
      </c>
      <c r="AB157" s="686" t="e">
        <v>#VALUE!</v>
      </c>
      <c r="AC157" s="686">
        <v>-731523</v>
      </c>
      <c r="AD157" s="686" t="e">
        <v>#VALUE!</v>
      </c>
      <c r="AE157" s="686">
        <v>-98</v>
      </c>
      <c r="AF157" s="686">
        <v>0</v>
      </c>
      <c r="AG157" s="686">
        <v>0</v>
      </c>
      <c r="AH157" s="686">
        <v>0</v>
      </c>
      <c r="AI157" s="686">
        <v>0</v>
      </c>
      <c r="AJ157" s="686">
        <v>0</v>
      </c>
      <c r="AK157" s="686">
        <v>0</v>
      </c>
      <c r="AL157" s="686">
        <v>0</v>
      </c>
      <c r="AM157" s="686">
        <v>0</v>
      </c>
      <c r="AN157" s="686">
        <v>0</v>
      </c>
      <c r="AO157" s="686">
        <v>0</v>
      </c>
      <c r="AP157" s="686">
        <v>-7</v>
      </c>
      <c r="AQ157" s="686">
        <v>0</v>
      </c>
      <c r="AR157" s="686">
        <v>0</v>
      </c>
      <c r="AS157" s="686">
        <v>0</v>
      </c>
      <c r="AT157" s="686">
        <v>0</v>
      </c>
      <c r="AU157" s="686">
        <v>0</v>
      </c>
      <c r="AV157" s="686">
        <v>0</v>
      </c>
      <c r="AW157" s="686">
        <v>0</v>
      </c>
      <c r="AX157" s="686">
        <v>0</v>
      </c>
      <c r="AY157" s="686">
        <v>1</v>
      </c>
      <c r="AZ157" s="686">
        <v>0</v>
      </c>
      <c r="BA157" s="686">
        <v>0</v>
      </c>
      <c r="BB157" s="686">
        <v>0</v>
      </c>
      <c r="BC157" s="686">
        <v>0</v>
      </c>
      <c r="BD157" s="686">
        <v>0</v>
      </c>
      <c r="BE157" s="686">
        <v>0</v>
      </c>
      <c r="BF157" s="686">
        <v>0</v>
      </c>
      <c r="BG157" s="686">
        <v>0</v>
      </c>
      <c r="BH157" s="686">
        <v>0</v>
      </c>
      <c r="BI157" s="686">
        <v>0</v>
      </c>
      <c r="BJ157" s="686">
        <v>0</v>
      </c>
      <c r="BK157" s="686">
        <v>0</v>
      </c>
      <c r="BL157" s="686">
        <v>0</v>
      </c>
      <c r="BM157" s="686">
        <v>0</v>
      </c>
      <c r="BN157" s="686">
        <v>0</v>
      </c>
      <c r="BO157" s="686">
        <v>0</v>
      </c>
      <c r="BP157" s="686">
        <v>2</v>
      </c>
      <c r="BQ157" s="686">
        <v>0</v>
      </c>
      <c r="BR157" s="686">
        <v>0</v>
      </c>
      <c r="BS157" s="686">
        <v>0</v>
      </c>
      <c r="BT157" s="686">
        <v>0</v>
      </c>
      <c r="BU157" s="686">
        <v>0</v>
      </c>
      <c r="BV157" s="686">
        <v>0</v>
      </c>
      <c r="BW157" s="686">
        <v>0</v>
      </c>
      <c r="BX157" s="686">
        <v>0</v>
      </c>
      <c r="BY157" s="686">
        <v>0</v>
      </c>
      <c r="BZ157" s="686">
        <v>0</v>
      </c>
      <c r="CA157" s="686">
        <v>0</v>
      </c>
      <c r="CB157" s="686">
        <v>0</v>
      </c>
      <c r="CC157" s="686">
        <v>0</v>
      </c>
      <c r="CD157" s="686">
        <v>0</v>
      </c>
      <c r="CE157" s="686">
        <v>0</v>
      </c>
    </row>
    <row r="158" spans="1:83" x14ac:dyDescent="0.25">
      <c r="A158" s="622">
        <v>508</v>
      </c>
      <c r="B158" s="625">
        <v>508</v>
      </c>
      <c r="C158" s="653" t="s">
        <v>216</v>
      </c>
      <c r="D158" s="701" t="s">
        <v>478</v>
      </c>
      <c r="E158" s="638">
        <v>0</v>
      </c>
      <c r="F158" s="621">
        <v>0</v>
      </c>
      <c r="G158" s="621">
        <v>0</v>
      </c>
      <c r="H158" s="621">
        <v>0</v>
      </c>
      <c r="I158" s="621">
        <v>0</v>
      </c>
      <c r="J158" s="621">
        <v>0</v>
      </c>
      <c r="K158" s="672">
        <v>0</v>
      </c>
      <c r="L158" s="686">
        <v>0</v>
      </c>
      <c r="M158" s="686">
        <v>0</v>
      </c>
      <c r="N158" s="636">
        <v>0</v>
      </c>
      <c r="O158" s="636">
        <v>0</v>
      </c>
      <c r="P158" s="636">
        <v>0</v>
      </c>
      <c r="Q158" s="636">
        <v>0</v>
      </c>
      <c r="R158" s="636">
        <v>0</v>
      </c>
      <c r="S158" s="636">
        <v>0</v>
      </c>
      <c r="T158" s="636">
        <v>0</v>
      </c>
      <c r="U158" s="636">
        <v>0</v>
      </c>
      <c r="V158" s="636">
        <v>0</v>
      </c>
      <c r="W158" s="636">
        <v>0</v>
      </c>
      <c r="X158" s="636">
        <v>0</v>
      </c>
      <c r="Y158" s="636">
        <v>0</v>
      </c>
      <c r="Z158" s="636">
        <v>0</v>
      </c>
      <c r="AA158" s="636">
        <v>0</v>
      </c>
      <c r="AB158" s="686" t="e">
        <v>#VALUE!</v>
      </c>
      <c r="AC158" s="686">
        <v>0</v>
      </c>
      <c r="AD158" s="686" t="e">
        <v>#VALUE!</v>
      </c>
      <c r="AE158" s="686">
        <v>0</v>
      </c>
      <c r="AF158" s="686">
        <v>0</v>
      </c>
      <c r="AG158" s="686">
        <v>0</v>
      </c>
      <c r="AH158" s="686">
        <v>0</v>
      </c>
      <c r="AI158" s="686">
        <v>0</v>
      </c>
      <c r="AJ158" s="686">
        <v>0</v>
      </c>
      <c r="AK158" s="686">
        <v>0</v>
      </c>
      <c r="AL158" s="686">
        <v>0</v>
      </c>
      <c r="AM158" s="686">
        <v>0</v>
      </c>
      <c r="AN158" s="686">
        <v>0</v>
      </c>
      <c r="AO158" s="686">
        <v>0</v>
      </c>
      <c r="AP158" s="686">
        <v>0</v>
      </c>
      <c r="AQ158" s="686">
        <v>0</v>
      </c>
      <c r="AR158" s="686">
        <v>0</v>
      </c>
      <c r="AS158" s="686">
        <v>0</v>
      </c>
      <c r="AT158" s="686">
        <v>0</v>
      </c>
      <c r="AU158" s="686">
        <v>0</v>
      </c>
      <c r="AV158" s="686">
        <v>0</v>
      </c>
      <c r="AW158" s="686">
        <v>0</v>
      </c>
      <c r="AX158" s="686">
        <v>0</v>
      </c>
      <c r="AY158" s="686">
        <v>0</v>
      </c>
      <c r="AZ158" s="686">
        <v>0</v>
      </c>
      <c r="BA158" s="686">
        <v>0</v>
      </c>
      <c r="BB158" s="686">
        <v>0</v>
      </c>
      <c r="BC158" s="686">
        <v>0</v>
      </c>
      <c r="BD158" s="686">
        <v>0</v>
      </c>
      <c r="BE158" s="686">
        <v>0</v>
      </c>
      <c r="BF158" s="686">
        <v>0</v>
      </c>
      <c r="BG158" s="686">
        <v>0</v>
      </c>
      <c r="BH158" s="686">
        <v>0</v>
      </c>
      <c r="BI158" s="686">
        <v>0</v>
      </c>
      <c r="BJ158" s="686">
        <v>0</v>
      </c>
      <c r="BK158" s="686">
        <v>0</v>
      </c>
      <c r="BL158" s="686">
        <v>0</v>
      </c>
      <c r="BM158" s="686">
        <v>0</v>
      </c>
      <c r="BN158" s="686">
        <v>0</v>
      </c>
      <c r="BO158" s="686">
        <v>0</v>
      </c>
      <c r="BP158" s="686">
        <v>0</v>
      </c>
      <c r="BQ158" s="686">
        <v>0</v>
      </c>
      <c r="BR158" s="686">
        <v>0</v>
      </c>
      <c r="BS158" s="686">
        <v>0</v>
      </c>
      <c r="BT158" s="686">
        <v>0</v>
      </c>
      <c r="BU158" s="686">
        <v>0</v>
      </c>
      <c r="BV158" s="686">
        <v>0</v>
      </c>
      <c r="BW158" s="686">
        <v>0</v>
      </c>
      <c r="BX158" s="686">
        <v>0</v>
      </c>
      <c r="BY158" s="686">
        <v>0</v>
      </c>
      <c r="BZ158" s="686">
        <v>0</v>
      </c>
      <c r="CA158" s="686">
        <v>0</v>
      </c>
      <c r="CB158" s="686">
        <v>0</v>
      </c>
      <c r="CC158" s="686">
        <v>0</v>
      </c>
      <c r="CD158" s="686">
        <v>0</v>
      </c>
      <c r="CE158" s="686">
        <v>0</v>
      </c>
    </row>
    <row r="159" spans="1:83" x14ac:dyDescent="0.25">
      <c r="A159" s="622">
        <v>509</v>
      </c>
      <c r="B159" s="625">
        <v>509</v>
      </c>
      <c r="C159" s="653" t="s">
        <v>217</v>
      </c>
      <c r="D159" s="701" t="s">
        <v>479</v>
      </c>
      <c r="E159" s="638">
        <v>0</v>
      </c>
      <c r="F159" s="621">
        <v>0</v>
      </c>
      <c r="G159" s="621">
        <v>0</v>
      </c>
      <c r="H159" s="621">
        <v>0</v>
      </c>
      <c r="I159" s="621">
        <v>0</v>
      </c>
      <c r="J159" s="621">
        <v>0</v>
      </c>
      <c r="K159" s="672">
        <v>0</v>
      </c>
      <c r="L159" s="686">
        <v>0</v>
      </c>
      <c r="M159" s="686">
        <v>0</v>
      </c>
      <c r="N159" s="636">
        <v>0</v>
      </c>
      <c r="O159" s="636">
        <v>0</v>
      </c>
      <c r="P159" s="636">
        <v>0</v>
      </c>
      <c r="Q159" s="636">
        <v>0</v>
      </c>
      <c r="R159" s="636">
        <v>0</v>
      </c>
      <c r="S159" s="636">
        <v>0</v>
      </c>
      <c r="T159" s="636">
        <v>0</v>
      </c>
      <c r="U159" s="636">
        <v>0</v>
      </c>
      <c r="V159" s="636">
        <v>0</v>
      </c>
      <c r="W159" s="636">
        <v>0</v>
      </c>
      <c r="X159" s="636">
        <v>0</v>
      </c>
      <c r="Y159" s="636">
        <v>0</v>
      </c>
      <c r="Z159" s="636">
        <v>0</v>
      </c>
      <c r="AA159" s="636">
        <v>0</v>
      </c>
      <c r="AB159" s="686" t="e">
        <v>#VALUE!</v>
      </c>
      <c r="AC159" s="686">
        <v>0</v>
      </c>
      <c r="AD159" s="686" t="e">
        <v>#VALUE!</v>
      </c>
      <c r="AE159" s="686">
        <v>0</v>
      </c>
      <c r="AF159" s="686">
        <v>0</v>
      </c>
      <c r="AG159" s="686">
        <v>0</v>
      </c>
      <c r="AH159" s="686">
        <v>0</v>
      </c>
      <c r="AI159" s="686">
        <v>0</v>
      </c>
      <c r="AJ159" s="686">
        <v>0</v>
      </c>
      <c r="AK159" s="686">
        <v>0</v>
      </c>
      <c r="AL159" s="686">
        <v>0</v>
      </c>
      <c r="AM159" s="686">
        <v>0</v>
      </c>
      <c r="AN159" s="686">
        <v>0</v>
      </c>
      <c r="AO159" s="686">
        <v>0</v>
      </c>
      <c r="AP159" s="686">
        <v>0</v>
      </c>
      <c r="AQ159" s="686">
        <v>0</v>
      </c>
      <c r="AR159" s="686">
        <v>0</v>
      </c>
      <c r="AS159" s="686">
        <v>0</v>
      </c>
      <c r="AT159" s="686">
        <v>0</v>
      </c>
      <c r="AU159" s="686">
        <v>0</v>
      </c>
      <c r="AV159" s="686">
        <v>0</v>
      </c>
      <c r="AW159" s="686">
        <v>0</v>
      </c>
      <c r="AX159" s="686">
        <v>0</v>
      </c>
      <c r="AY159" s="686">
        <v>0</v>
      </c>
      <c r="AZ159" s="686">
        <v>0</v>
      </c>
      <c r="BA159" s="686">
        <v>0</v>
      </c>
      <c r="BB159" s="686">
        <v>0</v>
      </c>
      <c r="BC159" s="686">
        <v>0</v>
      </c>
      <c r="BD159" s="686">
        <v>0</v>
      </c>
      <c r="BE159" s="686">
        <v>0</v>
      </c>
      <c r="BF159" s="686">
        <v>0</v>
      </c>
      <c r="BG159" s="686">
        <v>0</v>
      </c>
      <c r="BH159" s="686">
        <v>0</v>
      </c>
      <c r="BI159" s="686">
        <v>0</v>
      </c>
      <c r="BJ159" s="686">
        <v>0</v>
      </c>
      <c r="BK159" s="686">
        <v>0</v>
      </c>
      <c r="BL159" s="686">
        <v>0</v>
      </c>
      <c r="BM159" s="686">
        <v>0</v>
      </c>
      <c r="BN159" s="686">
        <v>0</v>
      </c>
      <c r="BO159" s="686">
        <v>0</v>
      </c>
      <c r="BP159" s="686">
        <v>0</v>
      </c>
      <c r="BQ159" s="686">
        <v>0</v>
      </c>
      <c r="BR159" s="686">
        <v>0</v>
      </c>
      <c r="BS159" s="686">
        <v>0</v>
      </c>
      <c r="BT159" s="686">
        <v>0</v>
      </c>
      <c r="BU159" s="686">
        <v>0</v>
      </c>
      <c r="BV159" s="686">
        <v>0</v>
      </c>
      <c r="BW159" s="686">
        <v>0</v>
      </c>
      <c r="BX159" s="686">
        <v>0</v>
      </c>
      <c r="BY159" s="686">
        <v>0</v>
      </c>
      <c r="BZ159" s="686">
        <v>0</v>
      </c>
      <c r="CA159" s="686">
        <v>0</v>
      </c>
      <c r="CB159" s="686">
        <v>0</v>
      </c>
      <c r="CC159" s="686">
        <v>0</v>
      </c>
      <c r="CD159" s="686">
        <v>0</v>
      </c>
      <c r="CE159" s="686">
        <v>0</v>
      </c>
    </row>
    <row r="160" spans="1:83" x14ac:dyDescent="0.25">
      <c r="A160" s="622">
        <v>510</v>
      </c>
      <c r="B160" s="625">
        <v>510</v>
      </c>
      <c r="C160" s="653" t="s">
        <v>223</v>
      </c>
      <c r="D160" s="701" t="s">
        <v>480</v>
      </c>
      <c r="E160" s="638">
        <v>2046</v>
      </c>
      <c r="F160" s="621">
        <v>0</v>
      </c>
      <c r="G160" s="621">
        <v>0</v>
      </c>
      <c r="H160" s="621">
        <v>0</v>
      </c>
      <c r="I160" s="621">
        <v>0</v>
      </c>
      <c r="J160" s="621">
        <v>0</v>
      </c>
      <c r="K160" s="672">
        <v>30924</v>
      </c>
      <c r="L160" s="686">
        <v>0</v>
      </c>
      <c r="M160" s="686">
        <v>0</v>
      </c>
      <c r="N160" s="636">
        <v>0</v>
      </c>
      <c r="O160" s="636">
        <v>0</v>
      </c>
      <c r="P160" s="636">
        <v>49172</v>
      </c>
      <c r="Q160" s="636">
        <v>0</v>
      </c>
      <c r="R160" s="636">
        <v>316551</v>
      </c>
      <c r="S160" s="636">
        <v>17279</v>
      </c>
      <c r="T160" s="636">
        <v>0</v>
      </c>
      <c r="U160" s="636">
        <v>352346</v>
      </c>
      <c r="V160" s="636">
        <v>259538</v>
      </c>
      <c r="W160" s="636">
        <v>40422</v>
      </c>
      <c r="X160" s="636">
        <v>0</v>
      </c>
      <c r="Y160" s="636">
        <v>0</v>
      </c>
      <c r="Z160" s="636">
        <v>309966</v>
      </c>
      <c r="AA160" s="636">
        <v>20590</v>
      </c>
      <c r="AB160" s="686" t="e">
        <v>#VALUE!</v>
      </c>
      <c r="AC160" s="686">
        <v>0</v>
      </c>
      <c r="AD160" s="686" t="e">
        <v>#VALUE!</v>
      </c>
      <c r="AE160" s="686">
        <v>0</v>
      </c>
      <c r="AF160" s="686">
        <v>0</v>
      </c>
      <c r="AG160" s="686">
        <v>62172</v>
      </c>
      <c r="AH160" s="686">
        <v>0</v>
      </c>
      <c r="AI160" s="686">
        <v>0</v>
      </c>
      <c r="AJ160" s="686">
        <v>0</v>
      </c>
      <c r="AK160" s="686">
        <v>0</v>
      </c>
      <c r="AL160" s="686">
        <v>663</v>
      </c>
      <c r="AM160" s="686">
        <v>0</v>
      </c>
      <c r="AN160" s="686">
        <v>122481</v>
      </c>
      <c r="AO160" s="686">
        <v>0</v>
      </c>
      <c r="AP160" s="686">
        <v>0</v>
      </c>
      <c r="AQ160" s="686">
        <v>0</v>
      </c>
      <c r="AR160" s="686">
        <v>0</v>
      </c>
      <c r="AS160" s="686">
        <v>36954</v>
      </c>
      <c r="AT160" s="686">
        <v>0</v>
      </c>
      <c r="AU160" s="686">
        <v>93911</v>
      </c>
      <c r="AV160" s="686">
        <v>0</v>
      </c>
      <c r="AW160" s="686">
        <v>502609</v>
      </c>
      <c r="AX160" s="686">
        <v>0</v>
      </c>
      <c r="AY160" s="686">
        <v>35763</v>
      </c>
      <c r="AZ160" s="686">
        <v>33944</v>
      </c>
      <c r="BA160" s="686">
        <v>16196</v>
      </c>
      <c r="BB160" s="686">
        <v>16931</v>
      </c>
      <c r="BC160" s="686">
        <v>0</v>
      </c>
      <c r="BD160" s="686">
        <v>0</v>
      </c>
      <c r="BE160" s="686">
        <v>142905</v>
      </c>
      <c r="BF160" s="686">
        <v>0</v>
      </c>
      <c r="BG160" s="686">
        <v>0</v>
      </c>
      <c r="BH160" s="686">
        <v>0</v>
      </c>
      <c r="BI160" s="686">
        <v>0</v>
      </c>
      <c r="BJ160" s="686">
        <v>0</v>
      </c>
      <c r="BK160" s="686">
        <v>0</v>
      </c>
      <c r="BL160" s="686">
        <v>87357</v>
      </c>
      <c r="BM160" s="686">
        <v>10395</v>
      </c>
      <c r="BN160" s="686">
        <v>0</v>
      </c>
      <c r="BO160" s="686">
        <v>0</v>
      </c>
      <c r="BP160" s="686">
        <v>9944</v>
      </c>
      <c r="BQ160" s="686">
        <v>0</v>
      </c>
      <c r="BR160" s="686">
        <v>0</v>
      </c>
      <c r="BS160" s="686">
        <v>21329</v>
      </c>
      <c r="BT160" s="686">
        <v>0</v>
      </c>
      <c r="BU160" s="686">
        <v>6704</v>
      </c>
      <c r="BV160" s="686">
        <v>0</v>
      </c>
      <c r="BW160" s="686">
        <v>0</v>
      </c>
      <c r="BX160" s="686">
        <v>9061</v>
      </c>
      <c r="BY160" s="686">
        <v>29386</v>
      </c>
      <c r="BZ160" s="686">
        <v>12353</v>
      </c>
      <c r="CA160" s="686">
        <v>0</v>
      </c>
      <c r="CB160" s="686">
        <v>0</v>
      </c>
      <c r="CC160" s="686">
        <v>18707</v>
      </c>
      <c r="CD160" s="686">
        <v>0</v>
      </c>
      <c r="CE160" s="686">
        <v>0</v>
      </c>
    </row>
    <row r="161" spans="1:83" x14ac:dyDescent="0.25">
      <c r="A161" s="622">
        <v>511</v>
      </c>
      <c r="B161" s="625">
        <v>511</v>
      </c>
      <c r="C161" s="653" t="s">
        <v>228</v>
      </c>
      <c r="D161" s="701" t="s">
        <v>481</v>
      </c>
      <c r="E161" s="638">
        <v>0</v>
      </c>
      <c r="F161" s="621">
        <v>0</v>
      </c>
      <c r="G161" s="621">
        <v>0</v>
      </c>
      <c r="H161" s="621">
        <v>0</v>
      </c>
      <c r="I161" s="621">
        <v>0</v>
      </c>
      <c r="J161" s="621">
        <v>0</v>
      </c>
      <c r="K161" s="672">
        <v>0</v>
      </c>
      <c r="L161" s="686">
        <v>0</v>
      </c>
      <c r="M161" s="686">
        <v>0</v>
      </c>
      <c r="N161" s="636">
        <v>0</v>
      </c>
      <c r="O161" s="636">
        <v>0</v>
      </c>
      <c r="P161" s="636">
        <v>0</v>
      </c>
      <c r="Q161" s="636">
        <v>0</v>
      </c>
      <c r="R161" s="636">
        <v>3308153</v>
      </c>
      <c r="S161" s="636">
        <v>0</v>
      </c>
      <c r="T161" s="636">
        <v>0</v>
      </c>
      <c r="U161" s="636">
        <v>0</v>
      </c>
      <c r="V161" s="636">
        <v>0</v>
      </c>
      <c r="W161" s="636">
        <v>22610</v>
      </c>
      <c r="X161" s="636">
        <v>0</v>
      </c>
      <c r="Y161" s="636">
        <v>0</v>
      </c>
      <c r="Z161" s="636">
        <v>0</v>
      </c>
      <c r="AA161" s="636">
        <v>0</v>
      </c>
      <c r="AB161" s="686" t="e">
        <v>#VALUE!</v>
      </c>
      <c r="AC161" s="686">
        <v>0</v>
      </c>
      <c r="AD161" s="686" t="e">
        <v>#VALUE!</v>
      </c>
      <c r="AE161" s="686">
        <v>0</v>
      </c>
      <c r="AF161" s="686">
        <v>0</v>
      </c>
      <c r="AG161" s="686">
        <v>0</v>
      </c>
      <c r="AH161" s="686">
        <v>0</v>
      </c>
      <c r="AI161" s="686">
        <v>0</v>
      </c>
      <c r="AJ161" s="686">
        <v>2241845</v>
      </c>
      <c r="AK161" s="686">
        <v>0</v>
      </c>
      <c r="AL161" s="686">
        <v>0</v>
      </c>
      <c r="AM161" s="686">
        <v>0</v>
      </c>
      <c r="AN161" s="686">
        <v>678286</v>
      </c>
      <c r="AO161" s="686">
        <v>0</v>
      </c>
      <c r="AP161" s="686">
        <v>0</v>
      </c>
      <c r="AQ161" s="686">
        <v>0</v>
      </c>
      <c r="AR161" s="686">
        <v>0</v>
      </c>
      <c r="AS161" s="686">
        <v>0</v>
      </c>
      <c r="AT161" s="686">
        <v>0</v>
      </c>
      <c r="AU161" s="686">
        <v>0</v>
      </c>
      <c r="AV161" s="686">
        <v>0</v>
      </c>
      <c r="AW161" s="686">
        <v>0</v>
      </c>
      <c r="AX161" s="686">
        <v>0</v>
      </c>
      <c r="AY161" s="686">
        <v>0</v>
      </c>
      <c r="AZ161" s="686">
        <v>0</v>
      </c>
      <c r="BA161" s="686">
        <v>0</v>
      </c>
      <c r="BB161" s="686">
        <v>0</v>
      </c>
      <c r="BC161" s="686">
        <v>0</v>
      </c>
      <c r="BD161" s="686">
        <v>0</v>
      </c>
      <c r="BE161" s="686">
        <v>0</v>
      </c>
      <c r="BF161" s="686">
        <v>0</v>
      </c>
      <c r="BG161" s="686">
        <v>0</v>
      </c>
      <c r="BH161" s="686">
        <v>0</v>
      </c>
      <c r="BI161" s="686">
        <v>0</v>
      </c>
      <c r="BJ161" s="686">
        <v>0</v>
      </c>
      <c r="BK161" s="686">
        <v>0</v>
      </c>
      <c r="BL161" s="686">
        <v>0</v>
      </c>
      <c r="BM161" s="686">
        <v>4493</v>
      </c>
      <c r="BN161" s="686">
        <v>0</v>
      </c>
      <c r="BO161" s="686">
        <v>0</v>
      </c>
      <c r="BP161" s="686">
        <v>0</v>
      </c>
      <c r="BQ161" s="686">
        <v>0</v>
      </c>
      <c r="BR161" s="686">
        <v>0</v>
      </c>
      <c r="BS161" s="686">
        <v>33482</v>
      </c>
      <c r="BT161" s="686">
        <v>445836</v>
      </c>
      <c r="BU161" s="686">
        <v>0</v>
      </c>
      <c r="BV161" s="686">
        <v>0</v>
      </c>
      <c r="BW161" s="686">
        <v>0</v>
      </c>
      <c r="BX161" s="686">
        <v>0</v>
      </c>
      <c r="BY161" s="686">
        <v>0</v>
      </c>
      <c r="BZ161" s="686">
        <v>0</v>
      </c>
      <c r="CA161" s="686">
        <v>0</v>
      </c>
      <c r="CB161" s="686">
        <v>0</v>
      </c>
      <c r="CC161" s="686">
        <v>0</v>
      </c>
      <c r="CD161" s="686">
        <v>0</v>
      </c>
      <c r="CE161" s="686">
        <v>0</v>
      </c>
    </row>
    <row r="162" spans="1:83" x14ac:dyDescent="0.25">
      <c r="A162" s="622">
        <v>512</v>
      </c>
      <c r="B162" s="625">
        <v>512</v>
      </c>
      <c r="C162" s="653" t="s">
        <v>255</v>
      </c>
      <c r="D162" s="701" t="s">
        <v>482</v>
      </c>
      <c r="E162" s="638">
        <v>0</v>
      </c>
      <c r="F162" s="621">
        <v>0</v>
      </c>
      <c r="G162" s="621">
        <v>0</v>
      </c>
      <c r="H162" s="621">
        <v>0</v>
      </c>
      <c r="I162" s="621">
        <v>0</v>
      </c>
      <c r="J162" s="621">
        <v>0</v>
      </c>
      <c r="K162" s="672">
        <v>0</v>
      </c>
      <c r="L162" s="686">
        <v>0</v>
      </c>
      <c r="M162" s="686">
        <v>0</v>
      </c>
      <c r="N162" s="636">
        <v>0</v>
      </c>
      <c r="O162" s="636">
        <v>0</v>
      </c>
      <c r="P162" s="636">
        <v>0</v>
      </c>
      <c r="Q162" s="636">
        <v>0</v>
      </c>
      <c r="R162" s="636">
        <v>0</v>
      </c>
      <c r="S162" s="636">
        <v>20461</v>
      </c>
      <c r="T162" s="636">
        <v>0</v>
      </c>
      <c r="U162" s="636">
        <v>189493</v>
      </c>
      <c r="V162" s="636">
        <v>0</v>
      </c>
      <c r="W162" s="636">
        <v>0</v>
      </c>
      <c r="X162" s="636">
        <v>0</v>
      </c>
      <c r="Y162" s="636">
        <v>0</v>
      </c>
      <c r="Z162" s="636">
        <v>29491</v>
      </c>
      <c r="AA162" s="636">
        <v>0</v>
      </c>
      <c r="AB162" s="686" t="e">
        <v>#VALUE!</v>
      </c>
      <c r="AC162" s="686">
        <v>0</v>
      </c>
      <c r="AD162" s="686" t="e">
        <v>#VALUE!</v>
      </c>
      <c r="AE162" s="686">
        <v>0</v>
      </c>
      <c r="AF162" s="686">
        <v>0</v>
      </c>
      <c r="AG162" s="686">
        <v>0</v>
      </c>
      <c r="AH162" s="686">
        <v>527</v>
      </c>
      <c r="AI162" s="686">
        <v>0</v>
      </c>
      <c r="AJ162" s="686">
        <v>0</v>
      </c>
      <c r="AK162" s="686">
        <v>0</v>
      </c>
      <c r="AL162" s="686">
        <v>0</v>
      </c>
      <c r="AM162" s="686">
        <v>0</v>
      </c>
      <c r="AN162" s="686">
        <v>0</v>
      </c>
      <c r="AO162" s="686">
        <v>0</v>
      </c>
      <c r="AP162" s="686">
        <v>0</v>
      </c>
      <c r="AQ162" s="686">
        <v>0</v>
      </c>
      <c r="AR162" s="686">
        <v>0</v>
      </c>
      <c r="AS162" s="686">
        <v>0</v>
      </c>
      <c r="AT162" s="686">
        <v>0</v>
      </c>
      <c r="AU162" s="686">
        <v>0</v>
      </c>
      <c r="AV162" s="686">
        <v>0</v>
      </c>
      <c r="AW162" s="686">
        <v>500</v>
      </c>
      <c r="AX162" s="686">
        <v>0</v>
      </c>
      <c r="AY162" s="686">
        <v>0</v>
      </c>
      <c r="AZ162" s="686">
        <v>0</v>
      </c>
      <c r="BA162" s="686">
        <v>0</v>
      </c>
      <c r="BB162" s="686">
        <v>41882</v>
      </c>
      <c r="BC162" s="686">
        <v>0</v>
      </c>
      <c r="BD162" s="686">
        <v>0</v>
      </c>
      <c r="BE162" s="686">
        <v>0</v>
      </c>
      <c r="BF162" s="686">
        <v>0</v>
      </c>
      <c r="BG162" s="686">
        <v>0</v>
      </c>
      <c r="BH162" s="686">
        <v>0</v>
      </c>
      <c r="BI162" s="686">
        <v>0</v>
      </c>
      <c r="BJ162" s="686">
        <v>0</v>
      </c>
      <c r="BK162" s="686">
        <v>0</v>
      </c>
      <c r="BL162" s="686">
        <v>0</v>
      </c>
      <c r="BM162" s="686">
        <v>0</v>
      </c>
      <c r="BN162" s="686">
        <v>18183</v>
      </c>
      <c r="BO162" s="686">
        <v>5387</v>
      </c>
      <c r="BP162" s="686">
        <v>0</v>
      </c>
      <c r="BQ162" s="686">
        <v>0</v>
      </c>
      <c r="BR162" s="686">
        <v>0</v>
      </c>
      <c r="BS162" s="686">
        <v>0</v>
      </c>
      <c r="BT162" s="686">
        <v>0</v>
      </c>
      <c r="BU162" s="686">
        <v>0</v>
      </c>
      <c r="BV162" s="686">
        <v>0</v>
      </c>
      <c r="BW162" s="686">
        <v>0</v>
      </c>
      <c r="BX162" s="686">
        <v>0</v>
      </c>
      <c r="BY162" s="686">
        <v>0</v>
      </c>
      <c r="BZ162" s="686">
        <v>0</v>
      </c>
      <c r="CA162" s="686">
        <v>1136</v>
      </c>
      <c r="CB162" s="686">
        <v>0</v>
      </c>
      <c r="CC162" s="686">
        <v>0</v>
      </c>
      <c r="CD162" s="686">
        <v>0</v>
      </c>
      <c r="CE162" s="686">
        <v>0</v>
      </c>
    </row>
    <row r="163" spans="1:83" x14ac:dyDescent="0.25">
      <c r="A163" s="622">
        <v>513</v>
      </c>
      <c r="B163" s="625">
        <v>513</v>
      </c>
      <c r="C163" s="653" t="s">
        <v>266</v>
      </c>
      <c r="D163" s="701" t="s">
        <v>483</v>
      </c>
      <c r="E163" s="638">
        <v>0</v>
      </c>
      <c r="F163" s="621">
        <v>0</v>
      </c>
      <c r="G163" s="621">
        <v>0</v>
      </c>
      <c r="H163" s="621">
        <v>0</v>
      </c>
      <c r="I163" s="621">
        <v>0</v>
      </c>
      <c r="J163" s="621">
        <v>0</v>
      </c>
      <c r="K163" s="672">
        <v>0</v>
      </c>
      <c r="L163" s="686">
        <v>0</v>
      </c>
      <c r="M163" s="686">
        <v>0</v>
      </c>
      <c r="N163" s="636">
        <v>0</v>
      </c>
      <c r="O163" s="636">
        <v>0</v>
      </c>
      <c r="P163" s="636">
        <v>0</v>
      </c>
      <c r="Q163" s="636">
        <v>0</v>
      </c>
      <c r="R163" s="636">
        <v>0</v>
      </c>
      <c r="S163" s="636">
        <v>0</v>
      </c>
      <c r="T163" s="636">
        <v>0</v>
      </c>
      <c r="U163" s="636">
        <v>0</v>
      </c>
      <c r="V163" s="636">
        <v>0</v>
      </c>
      <c r="W163" s="636">
        <v>0</v>
      </c>
      <c r="X163" s="636">
        <v>0</v>
      </c>
      <c r="Y163" s="636">
        <v>0</v>
      </c>
      <c r="Z163" s="636">
        <v>0</v>
      </c>
      <c r="AA163" s="636">
        <v>0</v>
      </c>
      <c r="AB163" s="686" t="e">
        <v>#VALUE!</v>
      </c>
      <c r="AC163" s="686">
        <v>0</v>
      </c>
      <c r="AD163" s="686" t="e">
        <v>#VALUE!</v>
      </c>
      <c r="AE163" s="686">
        <v>0</v>
      </c>
      <c r="AF163" s="686">
        <v>0</v>
      </c>
      <c r="AG163" s="686">
        <v>0</v>
      </c>
      <c r="AH163" s="686">
        <v>0</v>
      </c>
      <c r="AI163" s="686">
        <v>0</v>
      </c>
      <c r="AJ163" s="686">
        <v>0</v>
      </c>
      <c r="AK163" s="686">
        <v>0</v>
      </c>
      <c r="AL163" s="686">
        <v>0</v>
      </c>
      <c r="AM163" s="686">
        <v>0</v>
      </c>
      <c r="AN163" s="686">
        <v>0</v>
      </c>
      <c r="AO163" s="686">
        <v>0</v>
      </c>
      <c r="AP163" s="686">
        <v>0</v>
      </c>
      <c r="AQ163" s="686">
        <v>0</v>
      </c>
      <c r="AR163" s="686">
        <v>0</v>
      </c>
      <c r="AS163" s="686">
        <v>0</v>
      </c>
      <c r="AT163" s="686">
        <v>0</v>
      </c>
      <c r="AU163" s="686">
        <v>0</v>
      </c>
      <c r="AV163" s="686">
        <v>0</v>
      </c>
      <c r="AW163" s="686">
        <v>0</v>
      </c>
      <c r="AX163" s="686">
        <v>0</v>
      </c>
      <c r="AY163" s="686">
        <v>0</v>
      </c>
      <c r="AZ163" s="686">
        <v>0</v>
      </c>
      <c r="BA163" s="686">
        <v>0</v>
      </c>
      <c r="BB163" s="686">
        <v>0</v>
      </c>
      <c r="BC163" s="686">
        <v>0</v>
      </c>
      <c r="BD163" s="686">
        <v>0</v>
      </c>
      <c r="BE163" s="686">
        <v>0</v>
      </c>
      <c r="BF163" s="686">
        <v>0</v>
      </c>
      <c r="BG163" s="686">
        <v>0</v>
      </c>
      <c r="BH163" s="686">
        <v>0</v>
      </c>
      <c r="BI163" s="686">
        <v>0</v>
      </c>
      <c r="BJ163" s="686">
        <v>0</v>
      </c>
      <c r="BK163" s="686">
        <v>0</v>
      </c>
      <c r="BL163" s="686">
        <v>0</v>
      </c>
      <c r="BM163" s="686">
        <v>0</v>
      </c>
      <c r="BN163" s="686">
        <v>0</v>
      </c>
      <c r="BO163" s="686">
        <v>0</v>
      </c>
      <c r="BP163" s="686">
        <v>0</v>
      </c>
      <c r="BQ163" s="686">
        <v>0</v>
      </c>
      <c r="BR163" s="686">
        <v>0</v>
      </c>
      <c r="BS163" s="686">
        <v>0</v>
      </c>
      <c r="BT163" s="686">
        <v>0</v>
      </c>
      <c r="BU163" s="686">
        <v>0</v>
      </c>
      <c r="BV163" s="686">
        <v>0</v>
      </c>
      <c r="BW163" s="686">
        <v>0</v>
      </c>
      <c r="BX163" s="686">
        <v>0</v>
      </c>
      <c r="BY163" s="686">
        <v>0</v>
      </c>
      <c r="BZ163" s="686">
        <v>0</v>
      </c>
      <c r="CA163" s="686">
        <v>0</v>
      </c>
      <c r="CB163" s="686">
        <v>0</v>
      </c>
      <c r="CC163" s="686">
        <v>0</v>
      </c>
      <c r="CD163" s="686">
        <v>0</v>
      </c>
      <c r="CE163" s="686">
        <v>0</v>
      </c>
    </row>
    <row r="164" spans="1:83" x14ac:dyDescent="0.25">
      <c r="A164" s="622">
        <v>514</v>
      </c>
      <c r="B164" s="625">
        <v>514</v>
      </c>
      <c r="C164" s="653" t="s">
        <v>267</v>
      </c>
      <c r="D164" s="701" t="s">
        <v>484</v>
      </c>
      <c r="E164" s="638">
        <v>0</v>
      </c>
      <c r="F164" s="621">
        <v>0</v>
      </c>
      <c r="G164" s="621">
        <v>0</v>
      </c>
      <c r="H164" s="621">
        <v>0</v>
      </c>
      <c r="I164" s="621">
        <v>0</v>
      </c>
      <c r="J164" s="621">
        <v>0</v>
      </c>
      <c r="K164" s="672">
        <v>0</v>
      </c>
      <c r="L164" s="686">
        <v>0</v>
      </c>
      <c r="M164" s="686">
        <v>0</v>
      </c>
      <c r="N164" s="636">
        <v>0</v>
      </c>
      <c r="O164" s="636">
        <v>0</v>
      </c>
      <c r="P164" s="636">
        <v>0</v>
      </c>
      <c r="Q164" s="636">
        <v>0</v>
      </c>
      <c r="R164" s="636">
        <v>516309</v>
      </c>
      <c r="S164" s="636">
        <v>0</v>
      </c>
      <c r="T164" s="636">
        <v>0</v>
      </c>
      <c r="U164" s="636">
        <v>0</v>
      </c>
      <c r="V164" s="636">
        <v>0</v>
      </c>
      <c r="W164" s="636">
        <v>704552</v>
      </c>
      <c r="X164" s="636">
        <v>0</v>
      </c>
      <c r="Y164" s="636">
        <v>0</v>
      </c>
      <c r="Z164" s="636">
        <v>0</v>
      </c>
      <c r="AA164" s="636">
        <v>0</v>
      </c>
      <c r="AB164" s="686" t="e">
        <v>#VALUE!</v>
      </c>
      <c r="AC164" s="686">
        <v>0</v>
      </c>
      <c r="AD164" s="686" t="e">
        <v>#VALUE!</v>
      </c>
      <c r="AE164" s="686">
        <v>0</v>
      </c>
      <c r="AF164" s="686">
        <v>0</v>
      </c>
      <c r="AG164" s="686">
        <v>0</v>
      </c>
      <c r="AH164" s="686">
        <v>0</v>
      </c>
      <c r="AI164" s="686">
        <v>0</v>
      </c>
      <c r="AJ164" s="686">
        <v>2765412</v>
      </c>
      <c r="AK164" s="686">
        <v>0</v>
      </c>
      <c r="AL164" s="686">
        <v>0</v>
      </c>
      <c r="AM164" s="686">
        <v>0</v>
      </c>
      <c r="AN164" s="686">
        <v>0</v>
      </c>
      <c r="AO164" s="686">
        <v>0</v>
      </c>
      <c r="AP164" s="686">
        <v>0</v>
      </c>
      <c r="AQ164" s="686">
        <v>0</v>
      </c>
      <c r="AR164" s="686">
        <v>0</v>
      </c>
      <c r="AS164" s="686">
        <v>0</v>
      </c>
      <c r="AT164" s="686">
        <v>0</v>
      </c>
      <c r="AU164" s="686">
        <v>0</v>
      </c>
      <c r="AV164" s="686">
        <v>55000</v>
      </c>
      <c r="AW164" s="686">
        <v>0</v>
      </c>
      <c r="AX164" s="686">
        <v>0</v>
      </c>
      <c r="AY164" s="686">
        <v>0</v>
      </c>
      <c r="AZ164" s="686">
        <v>0</v>
      </c>
      <c r="BA164" s="686">
        <v>0</v>
      </c>
      <c r="BB164" s="686">
        <v>0</v>
      </c>
      <c r="BC164" s="686">
        <v>0</v>
      </c>
      <c r="BD164" s="686">
        <v>0</v>
      </c>
      <c r="BE164" s="686">
        <v>0</v>
      </c>
      <c r="BF164" s="686">
        <v>0</v>
      </c>
      <c r="BG164" s="686">
        <v>0</v>
      </c>
      <c r="BH164" s="686">
        <v>0</v>
      </c>
      <c r="BI164" s="686">
        <v>0</v>
      </c>
      <c r="BJ164" s="686">
        <v>0</v>
      </c>
      <c r="BK164" s="686">
        <v>0</v>
      </c>
      <c r="BL164" s="686">
        <v>0</v>
      </c>
      <c r="BM164" s="686">
        <v>0</v>
      </c>
      <c r="BN164" s="686">
        <v>0</v>
      </c>
      <c r="BO164" s="686">
        <v>0</v>
      </c>
      <c r="BP164" s="686">
        <v>0</v>
      </c>
      <c r="BQ164" s="686">
        <v>0</v>
      </c>
      <c r="BR164" s="686">
        <v>0</v>
      </c>
      <c r="BS164" s="686">
        <v>297000</v>
      </c>
      <c r="BT164" s="686">
        <v>21641</v>
      </c>
      <c r="BU164" s="686">
        <v>0</v>
      </c>
      <c r="BV164" s="686">
        <v>0</v>
      </c>
      <c r="BW164" s="686">
        <v>0</v>
      </c>
      <c r="BX164" s="686">
        <v>0</v>
      </c>
      <c r="BY164" s="686">
        <v>0</v>
      </c>
      <c r="BZ164" s="686">
        <v>0</v>
      </c>
      <c r="CA164" s="686">
        <v>0</v>
      </c>
      <c r="CB164" s="686">
        <v>0</v>
      </c>
      <c r="CC164" s="686">
        <v>0</v>
      </c>
      <c r="CD164" s="686">
        <v>0</v>
      </c>
      <c r="CE164" s="686">
        <v>0</v>
      </c>
    </row>
    <row r="165" spans="1:83" x14ac:dyDescent="0.25">
      <c r="A165" s="622">
        <v>515</v>
      </c>
      <c r="B165" s="625">
        <v>515</v>
      </c>
      <c r="C165" s="653" t="s">
        <v>280</v>
      </c>
      <c r="D165" s="701" t="s">
        <v>485</v>
      </c>
      <c r="E165" s="638">
        <v>0</v>
      </c>
      <c r="F165" s="621">
        <v>0</v>
      </c>
      <c r="G165" s="621">
        <v>0</v>
      </c>
      <c r="H165" s="621">
        <v>0</v>
      </c>
      <c r="I165" s="621">
        <v>0</v>
      </c>
      <c r="J165" s="621">
        <v>0</v>
      </c>
      <c r="K165" s="672">
        <v>0</v>
      </c>
      <c r="L165" s="686">
        <v>0</v>
      </c>
      <c r="M165" s="686">
        <v>0</v>
      </c>
      <c r="N165" s="636">
        <v>0</v>
      </c>
      <c r="O165" s="636">
        <v>0</v>
      </c>
      <c r="P165" s="636">
        <v>0</v>
      </c>
      <c r="Q165" s="636">
        <v>0</v>
      </c>
      <c r="R165" s="636">
        <v>33331138</v>
      </c>
      <c r="S165" s="636">
        <v>142110</v>
      </c>
      <c r="T165" s="636">
        <v>0</v>
      </c>
      <c r="U165" s="636">
        <v>113496039</v>
      </c>
      <c r="V165" s="636">
        <v>6414871</v>
      </c>
      <c r="W165" s="636">
        <v>14034904</v>
      </c>
      <c r="X165" s="636">
        <v>0</v>
      </c>
      <c r="Y165" s="636">
        <v>0</v>
      </c>
      <c r="Z165" s="636">
        <v>0</v>
      </c>
      <c r="AA165" s="636">
        <v>0</v>
      </c>
      <c r="AB165" s="686" t="e">
        <v>#VALUE!</v>
      </c>
      <c r="AC165" s="686">
        <v>5119437</v>
      </c>
      <c r="AD165" s="686" t="e">
        <v>#VALUE!</v>
      </c>
      <c r="AE165" s="686">
        <v>0</v>
      </c>
      <c r="AF165" s="686">
        <v>0</v>
      </c>
      <c r="AG165" s="686">
        <v>3283693</v>
      </c>
      <c r="AH165" s="686">
        <v>0</v>
      </c>
      <c r="AI165" s="686">
        <v>0</v>
      </c>
      <c r="AJ165" s="686">
        <v>73663362</v>
      </c>
      <c r="AK165" s="686">
        <v>0</v>
      </c>
      <c r="AL165" s="686">
        <v>0</v>
      </c>
      <c r="AM165" s="686">
        <v>0</v>
      </c>
      <c r="AN165" s="686">
        <v>23072507</v>
      </c>
      <c r="AO165" s="686">
        <v>0</v>
      </c>
      <c r="AP165" s="686">
        <v>0</v>
      </c>
      <c r="AQ165" s="686">
        <v>0</v>
      </c>
      <c r="AR165" s="686">
        <v>0</v>
      </c>
      <c r="AS165" s="686">
        <v>0</v>
      </c>
      <c r="AT165" s="686">
        <v>0</v>
      </c>
      <c r="AU165" s="686">
        <v>0</v>
      </c>
      <c r="AV165" s="686">
        <v>0</v>
      </c>
      <c r="AW165" s="686">
        <v>13400610</v>
      </c>
      <c r="AX165" s="686">
        <v>0</v>
      </c>
      <c r="AY165" s="686">
        <v>0</v>
      </c>
      <c r="AZ165" s="686">
        <v>163789</v>
      </c>
      <c r="BA165" s="686">
        <v>321190</v>
      </c>
      <c r="BB165" s="686">
        <v>0</v>
      </c>
      <c r="BC165" s="686">
        <v>0</v>
      </c>
      <c r="BD165" s="686">
        <v>22408</v>
      </c>
      <c r="BE165" s="686">
        <v>0</v>
      </c>
      <c r="BF165" s="686">
        <v>0</v>
      </c>
      <c r="BG165" s="686">
        <v>0</v>
      </c>
      <c r="BH165" s="686">
        <v>0</v>
      </c>
      <c r="BI165" s="686">
        <v>0</v>
      </c>
      <c r="BJ165" s="686">
        <v>0</v>
      </c>
      <c r="BK165" s="686">
        <v>0</v>
      </c>
      <c r="BL165" s="686">
        <v>0</v>
      </c>
      <c r="BM165" s="686">
        <v>0</v>
      </c>
      <c r="BN165" s="686">
        <v>0</v>
      </c>
      <c r="BO165" s="686">
        <v>0</v>
      </c>
      <c r="BP165" s="686">
        <v>0</v>
      </c>
      <c r="BQ165" s="686">
        <v>92954</v>
      </c>
      <c r="BR165" s="686">
        <v>0</v>
      </c>
      <c r="BS165" s="686">
        <v>0</v>
      </c>
      <c r="BT165" s="686">
        <v>0</v>
      </c>
      <c r="BU165" s="686">
        <v>21428</v>
      </c>
      <c r="BV165" s="686">
        <v>163682</v>
      </c>
      <c r="BW165" s="686">
        <v>0</v>
      </c>
      <c r="BX165" s="686">
        <v>0</v>
      </c>
      <c r="BY165" s="686">
        <v>121104</v>
      </c>
      <c r="BZ165" s="686">
        <v>0</v>
      </c>
      <c r="CA165" s="686">
        <v>0</v>
      </c>
      <c r="CB165" s="686">
        <v>0</v>
      </c>
      <c r="CC165" s="686">
        <v>0</v>
      </c>
      <c r="CD165" s="686">
        <v>0</v>
      </c>
      <c r="CE165" s="686">
        <v>0</v>
      </c>
    </row>
    <row r="166" spans="1:83" x14ac:dyDescent="0.25">
      <c r="A166" s="622">
        <v>516</v>
      </c>
      <c r="B166" s="625">
        <v>516</v>
      </c>
      <c r="C166" s="653" t="s">
        <v>281</v>
      </c>
      <c r="D166" s="701" t="s">
        <v>486</v>
      </c>
      <c r="E166" s="638">
        <v>1871375</v>
      </c>
      <c r="F166" s="621">
        <v>0</v>
      </c>
      <c r="G166" s="621">
        <v>7021698</v>
      </c>
      <c r="H166" s="621">
        <v>0</v>
      </c>
      <c r="I166" s="621">
        <v>0</v>
      </c>
      <c r="J166" s="621">
        <v>0</v>
      </c>
      <c r="K166" s="672">
        <v>3251767</v>
      </c>
      <c r="L166" s="686">
        <v>0</v>
      </c>
      <c r="M166" s="686">
        <v>0</v>
      </c>
      <c r="N166" s="636">
        <v>0</v>
      </c>
      <c r="O166" s="636">
        <v>0</v>
      </c>
      <c r="P166" s="636">
        <v>26047379</v>
      </c>
      <c r="Q166" s="636">
        <v>0</v>
      </c>
      <c r="R166" s="636">
        <v>0</v>
      </c>
      <c r="S166" s="636">
        <v>2001392</v>
      </c>
      <c r="T166" s="636">
        <v>0</v>
      </c>
      <c r="U166" s="636">
        <v>76895164</v>
      </c>
      <c r="V166" s="636">
        <v>62401990</v>
      </c>
      <c r="W166" s="636">
        <v>45115309</v>
      </c>
      <c r="X166" s="636">
        <v>0</v>
      </c>
      <c r="Y166" s="636">
        <v>4535004</v>
      </c>
      <c r="Z166" s="636">
        <v>77325827</v>
      </c>
      <c r="AA166" s="636">
        <v>16578553</v>
      </c>
      <c r="AB166" s="686" t="e">
        <v>#VALUE!</v>
      </c>
      <c r="AC166" s="686">
        <v>24726441</v>
      </c>
      <c r="AD166" s="686" t="e">
        <v>#VALUE!</v>
      </c>
      <c r="AE166" s="686">
        <v>8913991</v>
      </c>
      <c r="AF166" s="686">
        <v>19465852</v>
      </c>
      <c r="AG166" s="686">
        <v>0</v>
      </c>
      <c r="AH166" s="686">
        <v>7670030</v>
      </c>
      <c r="AI166" s="686">
        <v>5853459</v>
      </c>
      <c r="AJ166" s="686">
        <v>61329380</v>
      </c>
      <c r="AK166" s="686">
        <v>2625720</v>
      </c>
      <c r="AL166" s="686">
        <v>8163928</v>
      </c>
      <c r="AM166" s="686">
        <v>17858641</v>
      </c>
      <c r="AN166" s="686">
        <v>42345873</v>
      </c>
      <c r="AO166" s="686">
        <v>3328533</v>
      </c>
      <c r="AP166" s="686">
        <v>3850744</v>
      </c>
      <c r="AQ166" s="686">
        <v>0</v>
      </c>
      <c r="AR166" s="686">
        <v>0</v>
      </c>
      <c r="AS166" s="686">
        <v>32162398</v>
      </c>
      <c r="AT166" s="686">
        <v>8757887</v>
      </c>
      <c r="AU166" s="686">
        <v>16804826</v>
      </c>
      <c r="AV166" s="686">
        <v>0</v>
      </c>
      <c r="AW166" s="686">
        <v>91912182</v>
      </c>
      <c r="AX166" s="686">
        <v>0</v>
      </c>
      <c r="AY166" s="686">
        <v>10210372</v>
      </c>
      <c r="AZ166" s="686">
        <v>4885807</v>
      </c>
      <c r="BA166" s="686">
        <v>9738227</v>
      </c>
      <c r="BB166" s="686">
        <v>2393909</v>
      </c>
      <c r="BC166" s="686">
        <v>0</v>
      </c>
      <c r="BD166" s="686">
        <v>1121052</v>
      </c>
      <c r="BE166" s="686">
        <v>37961480</v>
      </c>
      <c r="BF166" s="686">
        <v>0</v>
      </c>
      <c r="BG166" s="686">
        <v>4342378</v>
      </c>
      <c r="BH166" s="686">
        <v>3584941</v>
      </c>
      <c r="BI166" s="686">
        <v>0</v>
      </c>
      <c r="BJ166" s="686">
        <v>4508097</v>
      </c>
      <c r="BK166" s="686">
        <v>0</v>
      </c>
      <c r="BL166" s="686">
        <v>19046063</v>
      </c>
      <c r="BM166" s="686">
        <v>7328795</v>
      </c>
      <c r="BN166" s="686">
        <v>14513445</v>
      </c>
      <c r="BO166" s="686">
        <v>4673752</v>
      </c>
      <c r="BP166" s="686">
        <v>4636862</v>
      </c>
      <c r="BQ166" s="686">
        <v>1199352</v>
      </c>
      <c r="BR166" s="686">
        <v>0</v>
      </c>
      <c r="BS166" s="686">
        <v>9844443</v>
      </c>
      <c r="BT166" s="686">
        <v>0</v>
      </c>
      <c r="BU166" s="686">
        <v>10116721</v>
      </c>
      <c r="BV166" s="686">
        <v>20132172</v>
      </c>
      <c r="BW166" s="686">
        <v>0</v>
      </c>
      <c r="BX166" s="686">
        <v>12959687</v>
      </c>
      <c r="BY166" s="686">
        <v>3114299</v>
      </c>
      <c r="BZ166" s="686">
        <v>833000</v>
      </c>
      <c r="CA166" s="686">
        <v>6985786</v>
      </c>
      <c r="CB166" s="686">
        <v>6282078</v>
      </c>
      <c r="CC166" s="686">
        <v>6876057</v>
      </c>
      <c r="CD166" s="686">
        <v>0</v>
      </c>
      <c r="CE166" s="686">
        <v>1200807</v>
      </c>
    </row>
    <row r="167" spans="1:83" x14ac:dyDescent="0.25">
      <c r="A167" s="622">
        <v>517</v>
      </c>
      <c r="B167" s="625">
        <v>517</v>
      </c>
      <c r="C167" s="653" t="s">
        <v>282</v>
      </c>
      <c r="D167" s="701" t="s">
        <v>487</v>
      </c>
      <c r="E167" s="638">
        <v>0</v>
      </c>
      <c r="F167" s="621">
        <v>0</v>
      </c>
      <c r="G167" s="621">
        <v>0</v>
      </c>
      <c r="H167" s="621">
        <v>0</v>
      </c>
      <c r="I167" s="621">
        <v>0</v>
      </c>
      <c r="J167" s="621">
        <v>0</v>
      </c>
      <c r="K167" s="672">
        <v>0</v>
      </c>
      <c r="L167" s="686">
        <v>0</v>
      </c>
      <c r="M167" s="686">
        <v>0</v>
      </c>
      <c r="N167" s="636">
        <v>0</v>
      </c>
      <c r="O167" s="636">
        <v>0</v>
      </c>
      <c r="P167" s="636">
        <v>0</v>
      </c>
      <c r="Q167" s="636">
        <v>0</v>
      </c>
      <c r="R167" s="636">
        <v>72394171</v>
      </c>
      <c r="S167" s="636">
        <v>723869</v>
      </c>
      <c r="T167" s="636">
        <v>0</v>
      </c>
      <c r="U167" s="636">
        <v>0</v>
      </c>
      <c r="V167" s="636">
        <v>0</v>
      </c>
      <c r="W167" s="636">
        <v>0</v>
      </c>
      <c r="X167" s="636">
        <v>0</v>
      </c>
      <c r="Y167" s="636">
        <v>0</v>
      </c>
      <c r="Z167" s="636">
        <v>0</v>
      </c>
      <c r="AA167" s="636">
        <v>0</v>
      </c>
      <c r="AB167" s="686" t="e">
        <v>#VALUE!</v>
      </c>
      <c r="AC167" s="686">
        <v>0</v>
      </c>
      <c r="AD167" s="686" t="e">
        <v>#VALUE!</v>
      </c>
      <c r="AE167" s="686">
        <v>0</v>
      </c>
      <c r="AF167" s="686">
        <v>0</v>
      </c>
      <c r="AG167" s="686">
        <v>2423075</v>
      </c>
      <c r="AH167" s="686">
        <v>1255680</v>
      </c>
      <c r="AI167" s="686">
        <v>0</v>
      </c>
      <c r="AJ167" s="686">
        <v>0</v>
      </c>
      <c r="AK167" s="686">
        <v>0</v>
      </c>
      <c r="AL167" s="686">
        <v>0</v>
      </c>
      <c r="AM167" s="686">
        <v>0</v>
      </c>
      <c r="AN167" s="686">
        <v>0</v>
      </c>
      <c r="AO167" s="686">
        <v>0</v>
      </c>
      <c r="AP167" s="686">
        <v>0</v>
      </c>
      <c r="AQ167" s="686">
        <v>0</v>
      </c>
      <c r="AR167" s="686">
        <v>0</v>
      </c>
      <c r="AS167" s="686">
        <v>0</v>
      </c>
      <c r="AT167" s="686">
        <v>0</v>
      </c>
      <c r="AU167" s="686">
        <v>0</v>
      </c>
      <c r="AV167" s="686">
        <v>0</v>
      </c>
      <c r="AW167" s="686">
        <v>0</v>
      </c>
      <c r="AX167" s="686">
        <v>0</v>
      </c>
      <c r="AY167" s="686">
        <v>0</v>
      </c>
      <c r="AZ167" s="686">
        <v>0</v>
      </c>
      <c r="BA167" s="686">
        <v>0</v>
      </c>
      <c r="BB167" s="686">
        <v>0</v>
      </c>
      <c r="BC167" s="686">
        <v>0</v>
      </c>
      <c r="BD167" s="686">
        <v>0</v>
      </c>
      <c r="BE167" s="686">
        <v>621223</v>
      </c>
      <c r="BF167" s="686">
        <v>0</v>
      </c>
      <c r="BG167" s="686">
        <v>0</v>
      </c>
      <c r="BH167" s="686">
        <v>0</v>
      </c>
      <c r="BI167" s="686">
        <v>0</v>
      </c>
      <c r="BJ167" s="686">
        <v>0</v>
      </c>
      <c r="BK167" s="686">
        <v>0</v>
      </c>
      <c r="BL167" s="686">
        <v>0</v>
      </c>
      <c r="BM167" s="686">
        <v>0</v>
      </c>
      <c r="BN167" s="686">
        <v>0</v>
      </c>
      <c r="BO167" s="686">
        <v>0</v>
      </c>
      <c r="BP167" s="686">
        <v>0</v>
      </c>
      <c r="BQ167" s="686">
        <v>0</v>
      </c>
      <c r="BR167" s="686">
        <v>0</v>
      </c>
      <c r="BS167" s="686">
        <v>0</v>
      </c>
      <c r="BT167" s="686">
        <v>0</v>
      </c>
      <c r="BU167" s="686">
        <v>0</v>
      </c>
      <c r="BV167" s="686">
        <v>0</v>
      </c>
      <c r="BW167" s="686">
        <v>0</v>
      </c>
      <c r="BX167" s="686">
        <v>0</v>
      </c>
      <c r="BY167" s="686">
        <v>0</v>
      </c>
      <c r="BZ167" s="686">
        <v>0</v>
      </c>
      <c r="CA167" s="686">
        <v>0</v>
      </c>
      <c r="CB167" s="686">
        <v>0</v>
      </c>
      <c r="CC167" s="686">
        <v>0</v>
      </c>
      <c r="CD167" s="686">
        <v>0</v>
      </c>
      <c r="CE167" s="686">
        <v>0</v>
      </c>
    </row>
    <row r="168" spans="1:83" x14ac:dyDescent="0.25">
      <c r="A168" s="622">
        <v>518</v>
      </c>
      <c r="B168" s="625">
        <v>518</v>
      </c>
      <c r="C168" s="653" t="s">
        <v>283</v>
      </c>
      <c r="D168" s="701" t="s">
        <v>488</v>
      </c>
      <c r="E168" s="638">
        <v>149513</v>
      </c>
      <c r="F168" s="621">
        <v>0</v>
      </c>
      <c r="G168" s="621">
        <v>151669</v>
      </c>
      <c r="H168" s="621">
        <v>0</v>
      </c>
      <c r="I168" s="621">
        <v>0</v>
      </c>
      <c r="J168" s="621">
        <v>0</v>
      </c>
      <c r="K168" s="672">
        <v>10116</v>
      </c>
      <c r="L168" s="686">
        <v>0</v>
      </c>
      <c r="M168" s="686">
        <v>0</v>
      </c>
      <c r="N168" s="636">
        <v>0</v>
      </c>
      <c r="O168" s="636">
        <v>0</v>
      </c>
      <c r="P168" s="636">
        <v>1911542</v>
      </c>
      <c r="Q168" s="636">
        <v>0</v>
      </c>
      <c r="R168" s="636">
        <v>11136554</v>
      </c>
      <c r="S168" s="636">
        <v>26514</v>
      </c>
      <c r="T168" s="636">
        <v>0</v>
      </c>
      <c r="U168" s="636">
        <v>9279981</v>
      </c>
      <c r="V168" s="636">
        <v>2342377</v>
      </c>
      <c r="W168" s="636">
        <v>22412840</v>
      </c>
      <c r="X168" s="636">
        <v>0</v>
      </c>
      <c r="Y168" s="636">
        <v>10236</v>
      </c>
      <c r="Z168" s="636">
        <v>2904537</v>
      </c>
      <c r="AA168" s="636">
        <v>0</v>
      </c>
      <c r="AB168" s="686" t="e">
        <v>#VALUE!</v>
      </c>
      <c r="AC168" s="686">
        <v>1224006</v>
      </c>
      <c r="AD168" s="686" t="e">
        <v>#VALUE!</v>
      </c>
      <c r="AE168" s="686">
        <v>744686</v>
      </c>
      <c r="AF168" s="686">
        <v>628484</v>
      </c>
      <c r="AG168" s="686">
        <v>6262151</v>
      </c>
      <c r="AH168" s="686">
        <v>2156634</v>
      </c>
      <c r="AI168" s="686">
        <v>1525</v>
      </c>
      <c r="AJ168" s="686">
        <v>8891136</v>
      </c>
      <c r="AK168" s="686">
        <v>0</v>
      </c>
      <c r="AL168" s="686">
        <v>270763</v>
      </c>
      <c r="AM168" s="686">
        <v>1315420</v>
      </c>
      <c r="AN168" s="686">
        <v>2689442</v>
      </c>
      <c r="AO168" s="686">
        <v>96145</v>
      </c>
      <c r="AP168" s="686">
        <v>170122</v>
      </c>
      <c r="AQ168" s="686">
        <v>0</v>
      </c>
      <c r="AR168" s="686">
        <v>0</v>
      </c>
      <c r="AS168" s="686">
        <v>1547994</v>
      </c>
      <c r="AT168" s="686">
        <v>0</v>
      </c>
      <c r="AU168" s="686">
        <v>744172</v>
      </c>
      <c r="AV168" s="686">
        <v>0</v>
      </c>
      <c r="AW168" s="686">
        <v>21403890</v>
      </c>
      <c r="AX168" s="686">
        <v>0</v>
      </c>
      <c r="AY168" s="686">
        <v>1185591</v>
      </c>
      <c r="AZ168" s="686">
        <v>1101216</v>
      </c>
      <c r="BA168" s="686">
        <v>479960</v>
      </c>
      <c r="BB168" s="686">
        <v>97845</v>
      </c>
      <c r="BC168" s="686">
        <v>0</v>
      </c>
      <c r="BD168" s="686">
        <v>0</v>
      </c>
      <c r="BE168" s="686">
        <v>3029684</v>
      </c>
      <c r="BF168" s="686">
        <v>0</v>
      </c>
      <c r="BG168" s="686">
        <v>107941</v>
      </c>
      <c r="BH168" s="686">
        <v>22452</v>
      </c>
      <c r="BI168" s="686">
        <v>0</v>
      </c>
      <c r="BJ168" s="686">
        <v>12847</v>
      </c>
      <c r="BK168" s="686">
        <v>0</v>
      </c>
      <c r="BL168" s="686">
        <v>2559857</v>
      </c>
      <c r="BM168" s="686">
        <v>19452</v>
      </c>
      <c r="BN168" s="686">
        <v>351859</v>
      </c>
      <c r="BO168" s="686">
        <v>219418</v>
      </c>
      <c r="BP168" s="686">
        <v>180948</v>
      </c>
      <c r="BQ168" s="686">
        <v>355800</v>
      </c>
      <c r="BR168" s="686">
        <v>0</v>
      </c>
      <c r="BS168" s="686">
        <v>146728</v>
      </c>
      <c r="BT168" s="686">
        <v>0</v>
      </c>
      <c r="BU168" s="686">
        <v>511504</v>
      </c>
      <c r="BV168" s="686">
        <v>2230056</v>
      </c>
      <c r="BW168" s="686">
        <v>0</v>
      </c>
      <c r="BX168" s="686">
        <v>1395615</v>
      </c>
      <c r="BY168" s="686">
        <v>43908</v>
      </c>
      <c r="BZ168" s="686">
        <v>0</v>
      </c>
      <c r="CA168" s="686">
        <v>118771</v>
      </c>
      <c r="CB168" s="686">
        <v>8823</v>
      </c>
      <c r="CC168" s="686">
        <v>258043</v>
      </c>
      <c r="CD168" s="686">
        <v>0</v>
      </c>
      <c r="CE168" s="686">
        <v>0</v>
      </c>
    </row>
    <row r="169" spans="1:83" x14ac:dyDescent="0.25">
      <c r="A169" s="622">
        <v>519</v>
      </c>
      <c r="B169" s="625">
        <v>519</v>
      </c>
      <c r="C169" s="653" t="s">
        <v>284</v>
      </c>
      <c r="D169" s="701" t="s">
        <v>489</v>
      </c>
      <c r="E169" s="638">
        <v>0</v>
      </c>
      <c r="F169" s="621">
        <v>0</v>
      </c>
      <c r="G169" s="621">
        <v>0</v>
      </c>
      <c r="H169" s="621">
        <v>0</v>
      </c>
      <c r="I169" s="621">
        <v>0</v>
      </c>
      <c r="J169" s="621">
        <v>0</v>
      </c>
      <c r="K169" s="672">
        <v>0</v>
      </c>
      <c r="L169" s="686">
        <v>0</v>
      </c>
      <c r="M169" s="686">
        <v>0</v>
      </c>
      <c r="N169" s="636">
        <v>0</v>
      </c>
      <c r="O169" s="636">
        <v>0</v>
      </c>
      <c r="P169" s="636">
        <v>0</v>
      </c>
      <c r="Q169" s="636">
        <v>0</v>
      </c>
      <c r="R169" s="636">
        <v>704888</v>
      </c>
      <c r="S169" s="636">
        <v>3553</v>
      </c>
      <c r="T169" s="636">
        <v>0</v>
      </c>
      <c r="U169" s="636">
        <v>2372375</v>
      </c>
      <c r="V169" s="636">
        <v>159118</v>
      </c>
      <c r="W169" s="636">
        <v>253631</v>
      </c>
      <c r="X169" s="636">
        <v>0</v>
      </c>
      <c r="Y169" s="636">
        <v>0</v>
      </c>
      <c r="Z169" s="636">
        <v>0</v>
      </c>
      <c r="AA169" s="636">
        <v>0</v>
      </c>
      <c r="AB169" s="686" t="e">
        <v>#VALUE!</v>
      </c>
      <c r="AC169" s="686">
        <v>127986</v>
      </c>
      <c r="AD169" s="686" t="e">
        <v>#VALUE!</v>
      </c>
      <c r="AE169" s="686">
        <v>0</v>
      </c>
      <c r="AF169" s="686">
        <v>0</v>
      </c>
      <c r="AG169" s="686">
        <v>2282508</v>
      </c>
      <c r="AH169" s="686">
        <v>0</v>
      </c>
      <c r="AI169" s="686">
        <v>0</v>
      </c>
      <c r="AJ169" s="686">
        <v>1832561</v>
      </c>
      <c r="AK169" s="686">
        <v>0</v>
      </c>
      <c r="AL169" s="686">
        <v>0</v>
      </c>
      <c r="AM169" s="686">
        <v>0</v>
      </c>
      <c r="AN169" s="686">
        <v>572248</v>
      </c>
      <c r="AO169" s="686">
        <v>0</v>
      </c>
      <c r="AP169" s="686">
        <v>0</v>
      </c>
      <c r="AQ169" s="686">
        <v>0</v>
      </c>
      <c r="AR169" s="686">
        <v>0</v>
      </c>
      <c r="AS169" s="686">
        <v>0</v>
      </c>
      <c r="AT169" s="686">
        <v>0</v>
      </c>
      <c r="AU169" s="686">
        <v>0</v>
      </c>
      <c r="AV169" s="686">
        <v>0</v>
      </c>
      <c r="AW169" s="686">
        <v>347099</v>
      </c>
      <c r="AX169" s="686">
        <v>0</v>
      </c>
      <c r="AY169" s="686">
        <v>0</v>
      </c>
      <c r="AZ169" s="686">
        <v>1933</v>
      </c>
      <c r="BA169" s="686">
        <v>498</v>
      </c>
      <c r="BB169" s="686">
        <v>0</v>
      </c>
      <c r="BC169" s="686">
        <v>0</v>
      </c>
      <c r="BD169" s="686">
        <v>0</v>
      </c>
      <c r="BE169" s="686">
        <v>0</v>
      </c>
      <c r="BF169" s="686">
        <v>0</v>
      </c>
      <c r="BG169" s="686">
        <v>0</v>
      </c>
      <c r="BH169" s="686">
        <v>0</v>
      </c>
      <c r="BI169" s="686">
        <v>0</v>
      </c>
      <c r="BJ169" s="686">
        <v>0</v>
      </c>
      <c r="BK169" s="686">
        <v>0</v>
      </c>
      <c r="BL169" s="686">
        <v>0</v>
      </c>
      <c r="BM169" s="686">
        <v>0</v>
      </c>
      <c r="BN169" s="686">
        <v>0</v>
      </c>
      <c r="BO169" s="686">
        <v>0</v>
      </c>
      <c r="BP169" s="686">
        <v>0</v>
      </c>
      <c r="BQ169" s="686">
        <v>2323</v>
      </c>
      <c r="BR169" s="686">
        <v>0</v>
      </c>
      <c r="BS169" s="686">
        <v>0</v>
      </c>
      <c r="BT169" s="686">
        <v>0</v>
      </c>
      <c r="BU169" s="686">
        <v>597</v>
      </c>
      <c r="BV169" s="686">
        <v>4359</v>
      </c>
      <c r="BW169" s="686">
        <v>0</v>
      </c>
      <c r="BX169" s="686">
        <v>0</v>
      </c>
      <c r="BY169" s="686">
        <v>4037</v>
      </c>
      <c r="BZ169" s="686">
        <v>0</v>
      </c>
      <c r="CA169" s="686">
        <v>0</v>
      </c>
      <c r="CB169" s="686">
        <v>0</v>
      </c>
      <c r="CC169" s="686">
        <v>0</v>
      </c>
      <c r="CD169" s="686">
        <v>0</v>
      </c>
      <c r="CE169" s="686">
        <v>0</v>
      </c>
    </row>
    <row r="170" spans="1:83" x14ac:dyDescent="0.25">
      <c r="A170" s="622">
        <v>520</v>
      </c>
      <c r="B170" s="625">
        <v>520</v>
      </c>
      <c r="C170" s="653" t="s">
        <v>285</v>
      </c>
      <c r="D170" s="701" t="s">
        <v>490</v>
      </c>
      <c r="E170" s="638">
        <v>34469</v>
      </c>
      <c r="F170" s="621">
        <v>0</v>
      </c>
      <c r="G170" s="621">
        <v>166866</v>
      </c>
      <c r="H170" s="621">
        <v>0</v>
      </c>
      <c r="I170" s="621">
        <v>0</v>
      </c>
      <c r="J170" s="621">
        <v>0</v>
      </c>
      <c r="K170" s="672">
        <v>64391</v>
      </c>
      <c r="L170" s="686">
        <v>0</v>
      </c>
      <c r="M170" s="686">
        <v>0</v>
      </c>
      <c r="N170" s="636">
        <v>0</v>
      </c>
      <c r="O170" s="636">
        <v>0</v>
      </c>
      <c r="P170" s="636">
        <v>651260</v>
      </c>
      <c r="Q170" s="636">
        <v>0</v>
      </c>
      <c r="R170" s="636">
        <v>0</v>
      </c>
      <c r="S170" s="636">
        <v>39053</v>
      </c>
      <c r="T170" s="636">
        <v>0</v>
      </c>
      <c r="U170" s="636">
        <v>1747159</v>
      </c>
      <c r="V170" s="636">
        <v>1412478</v>
      </c>
      <c r="W170" s="636">
        <v>1123360</v>
      </c>
      <c r="X170" s="636">
        <v>0</v>
      </c>
      <c r="Y170" s="636">
        <v>88181</v>
      </c>
      <c r="Z170" s="636">
        <v>1687992</v>
      </c>
      <c r="AA170" s="636">
        <v>430580</v>
      </c>
      <c r="AB170" s="686" t="e">
        <v>#VALUE!</v>
      </c>
      <c r="AC170" s="686">
        <v>409024</v>
      </c>
      <c r="AD170" s="686" t="e">
        <v>#VALUE!</v>
      </c>
      <c r="AE170" s="686">
        <v>165759</v>
      </c>
      <c r="AF170" s="686">
        <v>681383</v>
      </c>
      <c r="AG170" s="686">
        <v>0</v>
      </c>
      <c r="AH170" s="686">
        <v>175479</v>
      </c>
      <c r="AI170" s="686">
        <v>146337</v>
      </c>
      <c r="AJ170" s="686">
        <v>1284389</v>
      </c>
      <c r="AK170" s="686">
        <v>66361</v>
      </c>
      <c r="AL170" s="686">
        <v>215191</v>
      </c>
      <c r="AM170" s="686">
        <v>393435</v>
      </c>
      <c r="AN170" s="686">
        <v>1218206</v>
      </c>
      <c r="AO170" s="686">
        <v>67930</v>
      </c>
      <c r="AP170" s="686">
        <v>82090</v>
      </c>
      <c r="AQ170" s="686">
        <v>0</v>
      </c>
      <c r="AR170" s="686">
        <v>0</v>
      </c>
      <c r="AS170" s="686">
        <v>713608</v>
      </c>
      <c r="AT170" s="686">
        <v>175158</v>
      </c>
      <c r="AU170" s="686">
        <v>328343</v>
      </c>
      <c r="AV170" s="686">
        <v>0</v>
      </c>
      <c r="AW170" s="686">
        <v>2243511</v>
      </c>
      <c r="AX170" s="686">
        <v>0</v>
      </c>
      <c r="AY170" s="686">
        <v>176721</v>
      </c>
      <c r="AZ170" s="686">
        <v>72348</v>
      </c>
      <c r="BA170" s="686">
        <v>195148</v>
      </c>
      <c r="BB170" s="686">
        <v>37444</v>
      </c>
      <c r="BC170" s="686">
        <v>0</v>
      </c>
      <c r="BD170" s="686">
        <v>27233</v>
      </c>
      <c r="BE170" s="686">
        <v>905912</v>
      </c>
      <c r="BF170" s="686">
        <v>0</v>
      </c>
      <c r="BG170" s="686">
        <v>59920</v>
      </c>
      <c r="BH170" s="686">
        <v>71250</v>
      </c>
      <c r="BI170" s="686">
        <v>0</v>
      </c>
      <c r="BJ170" s="686">
        <v>91869</v>
      </c>
      <c r="BK170" s="686">
        <v>0</v>
      </c>
      <c r="BL170" s="686">
        <v>390860</v>
      </c>
      <c r="BM170" s="686">
        <v>189419</v>
      </c>
      <c r="BN170" s="686">
        <v>328799</v>
      </c>
      <c r="BO170" s="686">
        <v>149526</v>
      </c>
      <c r="BP170" s="686">
        <v>108760</v>
      </c>
      <c r="BQ170" s="686">
        <v>23987</v>
      </c>
      <c r="BR170" s="686">
        <v>0</v>
      </c>
      <c r="BS170" s="686">
        <v>203484</v>
      </c>
      <c r="BT170" s="686">
        <v>0</v>
      </c>
      <c r="BU170" s="686">
        <v>240874</v>
      </c>
      <c r="BV170" s="686">
        <v>559672</v>
      </c>
      <c r="BW170" s="686">
        <v>0</v>
      </c>
      <c r="BX170" s="686">
        <v>345913</v>
      </c>
      <c r="BY170" s="686">
        <v>62055</v>
      </c>
      <c r="BZ170" s="686">
        <v>18215</v>
      </c>
      <c r="CA170" s="686">
        <v>137944</v>
      </c>
      <c r="CB170" s="686">
        <v>155479</v>
      </c>
      <c r="CC170" s="686">
        <v>155213</v>
      </c>
      <c r="CD170" s="686">
        <v>0</v>
      </c>
      <c r="CE170" s="686">
        <v>30020</v>
      </c>
    </row>
    <row r="171" spans="1:83" x14ac:dyDescent="0.25">
      <c r="A171" s="622">
        <v>521</v>
      </c>
      <c r="B171" s="625">
        <v>521</v>
      </c>
      <c r="C171" s="653" t="s">
        <v>286</v>
      </c>
      <c r="D171" s="701" t="s">
        <v>491</v>
      </c>
      <c r="E171" s="638">
        <v>0</v>
      </c>
      <c r="F171" s="621">
        <v>0</v>
      </c>
      <c r="G171" s="621">
        <v>0</v>
      </c>
      <c r="H171" s="621">
        <v>0</v>
      </c>
      <c r="I171" s="621">
        <v>0</v>
      </c>
      <c r="J171" s="621">
        <v>0</v>
      </c>
      <c r="K171" s="672">
        <v>0</v>
      </c>
      <c r="L171" s="686">
        <v>0</v>
      </c>
      <c r="M171" s="686">
        <v>0</v>
      </c>
      <c r="N171" s="636">
        <v>0</v>
      </c>
      <c r="O171" s="636">
        <v>0</v>
      </c>
      <c r="P171" s="636">
        <v>0</v>
      </c>
      <c r="Q171" s="636">
        <v>0</v>
      </c>
      <c r="R171" s="636">
        <v>1249948</v>
      </c>
      <c r="S171" s="636">
        <v>34858</v>
      </c>
      <c r="T171" s="636">
        <v>0</v>
      </c>
      <c r="U171" s="636">
        <v>0</v>
      </c>
      <c r="V171" s="636">
        <v>0</v>
      </c>
      <c r="W171" s="636">
        <v>0</v>
      </c>
      <c r="X171" s="636">
        <v>0</v>
      </c>
      <c r="Y171" s="636">
        <v>0</v>
      </c>
      <c r="Z171" s="636">
        <v>0</v>
      </c>
      <c r="AA171" s="636">
        <v>0</v>
      </c>
      <c r="AB171" s="686" t="e">
        <v>#VALUE!</v>
      </c>
      <c r="AC171" s="686">
        <v>0</v>
      </c>
      <c r="AD171" s="686" t="e">
        <v>#VALUE!</v>
      </c>
      <c r="AE171" s="686">
        <v>0</v>
      </c>
      <c r="AF171" s="686">
        <v>0</v>
      </c>
      <c r="AG171" s="686">
        <v>780638</v>
      </c>
      <c r="AH171" s="686">
        <v>31392</v>
      </c>
      <c r="AI171" s="686">
        <v>0</v>
      </c>
      <c r="AJ171" s="686">
        <v>0</v>
      </c>
      <c r="AK171" s="686">
        <v>0</v>
      </c>
      <c r="AL171" s="686">
        <v>0</v>
      </c>
      <c r="AM171" s="686">
        <v>0</v>
      </c>
      <c r="AN171" s="686">
        <v>0</v>
      </c>
      <c r="AO171" s="686">
        <v>0</v>
      </c>
      <c r="AP171" s="686">
        <v>0</v>
      </c>
      <c r="AQ171" s="686">
        <v>0</v>
      </c>
      <c r="AR171" s="686">
        <v>0</v>
      </c>
      <c r="AS171" s="686">
        <v>0</v>
      </c>
      <c r="AT171" s="686">
        <v>0</v>
      </c>
      <c r="AU171" s="686">
        <v>0</v>
      </c>
      <c r="AV171" s="686">
        <v>0</v>
      </c>
      <c r="AW171" s="686">
        <v>0</v>
      </c>
      <c r="AX171" s="686">
        <v>0</v>
      </c>
      <c r="AY171" s="686">
        <v>0</v>
      </c>
      <c r="AZ171" s="686">
        <v>0</v>
      </c>
      <c r="BA171" s="686">
        <v>0</v>
      </c>
      <c r="BB171" s="686">
        <v>0</v>
      </c>
      <c r="BC171" s="686">
        <v>0</v>
      </c>
      <c r="BD171" s="686">
        <v>0</v>
      </c>
      <c r="BE171" s="686">
        <v>0</v>
      </c>
      <c r="BF171" s="686">
        <v>0</v>
      </c>
      <c r="BG171" s="686">
        <v>0</v>
      </c>
      <c r="BH171" s="686">
        <v>0</v>
      </c>
      <c r="BI171" s="686">
        <v>0</v>
      </c>
      <c r="BJ171" s="686">
        <v>0</v>
      </c>
      <c r="BK171" s="686">
        <v>0</v>
      </c>
      <c r="BL171" s="686">
        <v>0</v>
      </c>
      <c r="BM171" s="686">
        <v>0</v>
      </c>
      <c r="BN171" s="686">
        <v>0</v>
      </c>
      <c r="BO171" s="686">
        <v>0</v>
      </c>
      <c r="BP171" s="686">
        <v>0</v>
      </c>
      <c r="BQ171" s="686">
        <v>0</v>
      </c>
      <c r="BR171" s="686">
        <v>0</v>
      </c>
      <c r="BS171" s="686">
        <v>0</v>
      </c>
      <c r="BT171" s="686">
        <v>0</v>
      </c>
      <c r="BU171" s="686">
        <v>0</v>
      </c>
      <c r="BV171" s="686">
        <v>0</v>
      </c>
      <c r="BW171" s="686">
        <v>0</v>
      </c>
      <c r="BX171" s="686">
        <v>0</v>
      </c>
      <c r="BY171" s="686">
        <v>0</v>
      </c>
      <c r="BZ171" s="686">
        <v>0</v>
      </c>
      <c r="CA171" s="686">
        <v>0</v>
      </c>
      <c r="CB171" s="686">
        <v>0</v>
      </c>
      <c r="CC171" s="686">
        <v>0</v>
      </c>
      <c r="CD171" s="686">
        <v>0</v>
      </c>
      <c r="CE171" s="686">
        <v>0</v>
      </c>
    </row>
    <row r="172" spans="1:83" x14ac:dyDescent="0.25">
      <c r="A172" s="622">
        <v>522</v>
      </c>
      <c r="B172" s="625">
        <v>522</v>
      </c>
      <c r="C172" s="653" t="s">
        <v>287</v>
      </c>
      <c r="D172" s="701" t="s">
        <v>492</v>
      </c>
      <c r="E172" s="638">
        <v>3875</v>
      </c>
      <c r="F172" s="621">
        <v>0</v>
      </c>
      <c r="G172" s="621">
        <v>3901</v>
      </c>
      <c r="H172" s="621">
        <v>0</v>
      </c>
      <c r="I172" s="621">
        <v>0</v>
      </c>
      <c r="J172" s="621">
        <v>0</v>
      </c>
      <c r="K172" s="672">
        <v>674</v>
      </c>
      <c r="L172" s="686">
        <v>0</v>
      </c>
      <c r="M172" s="686">
        <v>0</v>
      </c>
      <c r="N172" s="636">
        <v>0</v>
      </c>
      <c r="O172" s="636">
        <v>0</v>
      </c>
      <c r="P172" s="636">
        <v>65603</v>
      </c>
      <c r="Q172" s="636">
        <v>0</v>
      </c>
      <c r="R172" s="636">
        <v>823589</v>
      </c>
      <c r="S172" s="636">
        <v>0</v>
      </c>
      <c r="T172" s="636">
        <v>0</v>
      </c>
      <c r="U172" s="636">
        <v>538762</v>
      </c>
      <c r="V172" s="636">
        <v>127023</v>
      </c>
      <c r="W172" s="636">
        <v>1088084</v>
      </c>
      <c r="X172" s="636">
        <v>0</v>
      </c>
      <c r="Y172" s="636">
        <v>2047</v>
      </c>
      <c r="Z172" s="636">
        <v>160955</v>
      </c>
      <c r="AA172" s="636">
        <v>0</v>
      </c>
      <c r="AB172" s="686" t="e">
        <v>#VALUE!</v>
      </c>
      <c r="AC172" s="686">
        <v>46370</v>
      </c>
      <c r="AD172" s="686" t="e">
        <v>#VALUE!</v>
      </c>
      <c r="AE172" s="686">
        <v>51085</v>
      </c>
      <c r="AF172" s="686">
        <v>28519</v>
      </c>
      <c r="AG172" s="686">
        <v>701024</v>
      </c>
      <c r="AH172" s="686">
        <v>108935</v>
      </c>
      <c r="AI172" s="686">
        <v>0</v>
      </c>
      <c r="AJ172" s="686">
        <v>503153</v>
      </c>
      <c r="AK172" s="686">
        <v>0</v>
      </c>
      <c r="AL172" s="686">
        <v>11996</v>
      </c>
      <c r="AM172" s="686">
        <v>53585</v>
      </c>
      <c r="AN172" s="686">
        <v>201213</v>
      </c>
      <c r="AO172" s="686">
        <v>7665</v>
      </c>
      <c r="AP172" s="686">
        <v>10129</v>
      </c>
      <c r="AQ172" s="686">
        <v>0</v>
      </c>
      <c r="AR172" s="686">
        <v>0</v>
      </c>
      <c r="AS172" s="686">
        <v>110309</v>
      </c>
      <c r="AT172" s="686">
        <v>0</v>
      </c>
      <c r="AU172" s="686">
        <v>30169</v>
      </c>
      <c r="AV172" s="686">
        <v>0</v>
      </c>
      <c r="AW172" s="686">
        <v>1209316</v>
      </c>
      <c r="AX172" s="686">
        <v>0</v>
      </c>
      <c r="AY172" s="686">
        <v>56957</v>
      </c>
      <c r="AZ172" s="686">
        <v>51496</v>
      </c>
      <c r="BA172" s="686">
        <v>10087</v>
      </c>
      <c r="BB172" s="686">
        <v>7463</v>
      </c>
      <c r="BC172" s="686">
        <v>0</v>
      </c>
      <c r="BD172" s="686">
        <v>0</v>
      </c>
      <c r="BE172" s="686">
        <v>176004</v>
      </c>
      <c r="BF172" s="686">
        <v>0</v>
      </c>
      <c r="BG172" s="686">
        <v>6464</v>
      </c>
      <c r="BH172" s="686">
        <v>2257</v>
      </c>
      <c r="BI172" s="686">
        <v>0</v>
      </c>
      <c r="BJ172" s="686">
        <v>624</v>
      </c>
      <c r="BK172" s="686">
        <v>0</v>
      </c>
      <c r="BL172" s="686">
        <v>87972</v>
      </c>
      <c r="BM172" s="686">
        <v>430</v>
      </c>
      <c r="BN172" s="686">
        <v>47917</v>
      </c>
      <c r="BO172" s="686">
        <v>14302</v>
      </c>
      <c r="BP172" s="686">
        <v>1594</v>
      </c>
      <c r="BQ172" s="686">
        <v>16808</v>
      </c>
      <c r="BR172" s="686">
        <v>0</v>
      </c>
      <c r="BS172" s="686">
        <v>858</v>
      </c>
      <c r="BT172" s="686">
        <v>0</v>
      </c>
      <c r="BU172" s="686">
        <v>26898</v>
      </c>
      <c r="BV172" s="686">
        <v>46223</v>
      </c>
      <c r="BW172" s="686">
        <v>0</v>
      </c>
      <c r="BX172" s="686">
        <v>56619</v>
      </c>
      <c r="BY172" s="686">
        <v>1252</v>
      </c>
      <c r="BZ172" s="686">
        <v>0</v>
      </c>
      <c r="CA172" s="686">
        <v>695</v>
      </c>
      <c r="CB172" s="686">
        <v>582</v>
      </c>
      <c r="CC172" s="686">
        <v>10985</v>
      </c>
      <c r="CD172" s="686">
        <v>0</v>
      </c>
      <c r="CE172" s="686">
        <v>0</v>
      </c>
    </row>
    <row r="173" spans="1:83" x14ac:dyDescent="0.25">
      <c r="A173" s="622">
        <v>523</v>
      </c>
      <c r="B173" s="625">
        <v>523</v>
      </c>
      <c r="C173" s="653" t="s">
        <v>288</v>
      </c>
      <c r="D173" s="701" t="s">
        <v>493</v>
      </c>
      <c r="E173" s="638">
        <v>0</v>
      </c>
      <c r="F173" s="621">
        <v>0</v>
      </c>
      <c r="G173" s="621">
        <v>0</v>
      </c>
      <c r="H173" s="621">
        <v>0</v>
      </c>
      <c r="I173" s="621">
        <v>0</v>
      </c>
      <c r="J173" s="621">
        <v>0</v>
      </c>
      <c r="K173" s="672">
        <v>0</v>
      </c>
      <c r="L173" s="686">
        <v>0</v>
      </c>
      <c r="M173" s="686">
        <v>0</v>
      </c>
      <c r="N173" s="636">
        <v>0</v>
      </c>
      <c r="O173" s="636">
        <v>0</v>
      </c>
      <c r="P173" s="636">
        <v>0</v>
      </c>
      <c r="Q173" s="636">
        <v>0</v>
      </c>
      <c r="R173" s="636">
        <v>14744395</v>
      </c>
      <c r="S173" s="636">
        <v>67484</v>
      </c>
      <c r="T173" s="636">
        <v>0</v>
      </c>
      <c r="U173" s="636">
        <v>30348399</v>
      </c>
      <c r="V173" s="636">
        <v>808930</v>
      </c>
      <c r="W173" s="636">
        <v>10251539</v>
      </c>
      <c r="X173" s="636">
        <v>0</v>
      </c>
      <c r="Y173" s="636">
        <v>0</v>
      </c>
      <c r="Z173" s="636">
        <v>0</v>
      </c>
      <c r="AA173" s="636">
        <v>0</v>
      </c>
      <c r="AB173" s="686" t="e">
        <v>#VALUE!</v>
      </c>
      <c r="AC173" s="686">
        <v>4529630</v>
      </c>
      <c r="AD173" s="686" t="e">
        <v>#VALUE!</v>
      </c>
      <c r="AE173" s="686">
        <v>0</v>
      </c>
      <c r="AF173" s="686">
        <v>0</v>
      </c>
      <c r="AG173" s="686">
        <v>2282508</v>
      </c>
      <c r="AH173" s="686">
        <v>0</v>
      </c>
      <c r="AI173" s="686">
        <v>0</v>
      </c>
      <c r="AJ173" s="686">
        <v>25124338</v>
      </c>
      <c r="AK173" s="686">
        <v>0</v>
      </c>
      <c r="AL173" s="686">
        <v>0</v>
      </c>
      <c r="AM173" s="686">
        <v>0</v>
      </c>
      <c r="AN173" s="686">
        <v>18317083</v>
      </c>
      <c r="AO173" s="686">
        <v>0</v>
      </c>
      <c r="AP173" s="686">
        <v>0</v>
      </c>
      <c r="AQ173" s="686">
        <v>0</v>
      </c>
      <c r="AR173" s="686">
        <v>0</v>
      </c>
      <c r="AS173" s="686">
        <v>0</v>
      </c>
      <c r="AT173" s="686">
        <v>0</v>
      </c>
      <c r="AU173" s="686">
        <v>0</v>
      </c>
      <c r="AV173" s="686">
        <v>0</v>
      </c>
      <c r="AW173" s="686">
        <v>2505813</v>
      </c>
      <c r="AX173" s="686">
        <v>0</v>
      </c>
      <c r="AY173" s="686">
        <v>0</v>
      </c>
      <c r="AZ173" s="686">
        <v>1933</v>
      </c>
      <c r="BA173" s="686">
        <v>321190</v>
      </c>
      <c r="BB173" s="686">
        <v>0</v>
      </c>
      <c r="BC173" s="686">
        <v>0</v>
      </c>
      <c r="BD173" s="686">
        <v>22408</v>
      </c>
      <c r="BE173" s="686">
        <v>0</v>
      </c>
      <c r="BF173" s="686">
        <v>0</v>
      </c>
      <c r="BG173" s="686">
        <v>0</v>
      </c>
      <c r="BH173" s="686">
        <v>0</v>
      </c>
      <c r="BI173" s="686">
        <v>0</v>
      </c>
      <c r="BJ173" s="686">
        <v>0</v>
      </c>
      <c r="BK173" s="686">
        <v>0</v>
      </c>
      <c r="BL173" s="686">
        <v>0</v>
      </c>
      <c r="BM173" s="686">
        <v>0</v>
      </c>
      <c r="BN173" s="686">
        <v>0</v>
      </c>
      <c r="BO173" s="686">
        <v>0</v>
      </c>
      <c r="BP173" s="686">
        <v>0</v>
      </c>
      <c r="BQ173" s="686">
        <v>72977</v>
      </c>
      <c r="BR173" s="686">
        <v>0</v>
      </c>
      <c r="BS173" s="686">
        <v>0</v>
      </c>
      <c r="BT173" s="686">
        <v>0</v>
      </c>
      <c r="BU173" s="686">
        <v>6139</v>
      </c>
      <c r="BV173" s="686">
        <v>127801</v>
      </c>
      <c r="BW173" s="686">
        <v>0</v>
      </c>
      <c r="BX173" s="686">
        <v>0</v>
      </c>
      <c r="BY173" s="686">
        <v>62739</v>
      </c>
      <c r="BZ173" s="686">
        <v>0</v>
      </c>
      <c r="CA173" s="686">
        <v>0</v>
      </c>
      <c r="CB173" s="686">
        <v>0</v>
      </c>
      <c r="CC173" s="686">
        <v>0</v>
      </c>
      <c r="CD173" s="686">
        <v>0</v>
      </c>
      <c r="CE173" s="686">
        <v>0</v>
      </c>
    </row>
    <row r="174" spans="1:83" x14ac:dyDescent="0.25">
      <c r="A174" s="622">
        <v>524</v>
      </c>
      <c r="B174" s="625">
        <v>524</v>
      </c>
      <c r="C174" s="653" t="s">
        <v>289</v>
      </c>
      <c r="D174" s="701" t="s">
        <v>494</v>
      </c>
      <c r="E174" s="638">
        <v>1090492</v>
      </c>
      <c r="F174" s="621">
        <v>0</v>
      </c>
      <c r="G174" s="621">
        <v>3349837</v>
      </c>
      <c r="H174" s="621">
        <v>0</v>
      </c>
      <c r="I174" s="621">
        <v>0</v>
      </c>
      <c r="J174" s="621">
        <v>0</v>
      </c>
      <c r="K174" s="672">
        <v>794301</v>
      </c>
      <c r="L174" s="686">
        <v>0</v>
      </c>
      <c r="M174" s="686">
        <v>0</v>
      </c>
      <c r="N174" s="636">
        <v>0</v>
      </c>
      <c r="O174" s="636">
        <v>0</v>
      </c>
      <c r="P174" s="636">
        <v>12286157</v>
      </c>
      <c r="Q174" s="636">
        <v>0</v>
      </c>
      <c r="R174" s="636">
        <v>0</v>
      </c>
      <c r="S174" s="636">
        <v>1350254</v>
      </c>
      <c r="T174" s="636">
        <v>0</v>
      </c>
      <c r="U174" s="636">
        <v>45672718</v>
      </c>
      <c r="V174" s="636">
        <v>21236770</v>
      </c>
      <c r="W174" s="636">
        <v>24302369</v>
      </c>
      <c r="X174" s="636">
        <v>0</v>
      </c>
      <c r="Y174" s="636">
        <v>1308429</v>
      </c>
      <c r="Z174" s="636">
        <v>38208889</v>
      </c>
      <c r="AA174" s="636">
        <v>6780149</v>
      </c>
      <c r="AB174" s="686" t="e">
        <v>#VALUE!</v>
      </c>
      <c r="AC174" s="686">
        <v>4223240</v>
      </c>
      <c r="AD174" s="686" t="e">
        <v>#VALUE!</v>
      </c>
      <c r="AE174" s="686">
        <v>3414858</v>
      </c>
      <c r="AF174" s="686">
        <v>8797483</v>
      </c>
      <c r="AG174" s="686">
        <v>0</v>
      </c>
      <c r="AH174" s="686">
        <v>4339718</v>
      </c>
      <c r="AI174" s="686">
        <v>1691171</v>
      </c>
      <c r="AJ174" s="686">
        <v>20479377</v>
      </c>
      <c r="AK174" s="686">
        <v>1002585</v>
      </c>
      <c r="AL174" s="686">
        <v>3653510</v>
      </c>
      <c r="AM174" s="686">
        <v>6184183</v>
      </c>
      <c r="AN174" s="686">
        <v>19303753</v>
      </c>
      <c r="AO174" s="686">
        <v>2325235</v>
      </c>
      <c r="AP174" s="686">
        <v>1264502</v>
      </c>
      <c r="AQ174" s="686">
        <v>0</v>
      </c>
      <c r="AR174" s="686">
        <v>0</v>
      </c>
      <c r="AS174" s="686">
        <v>15542630</v>
      </c>
      <c r="AT174" s="686">
        <v>1620633</v>
      </c>
      <c r="AU174" s="686">
        <v>6412145</v>
      </c>
      <c r="AV174" s="686">
        <v>0</v>
      </c>
      <c r="AW174" s="686">
        <v>14397435</v>
      </c>
      <c r="AX174" s="686">
        <v>0</v>
      </c>
      <c r="AY174" s="686">
        <v>5427285</v>
      </c>
      <c r="AZ174" s="686">
        <v>1755232</v>
      </c>
      <c r="BA174" s="686">
        <v>3860132</v>
      </c>
      <c r="BB174" s="686">
        <v>1262728</v>
      </c>
      <c r="BC174" s="686">
        <v>0</v>
      </c>
      <c r="BD174" s="686">
        <v>427235</v>
      </c>
      <c r="BE174" s="686">
        <v>13809234</v>
      </c>
      <c r="BF174" s="686">
        <v>0</v>
      </c>
      <c r="BG174" s="686">
        <v>1494168</v>
      </c>
      <c r="BH174" s="686">
        <v>1185481</v>
      </c>
      <c r="BI174" s="686">
        <v>0</v>
      </c>
      <c r="BJ174" s="686">
        <v>1448987</v>
      </c>
      <c r="BK174" s="686">
        <v>0</v>
      </c>
      <c r="BL174" s="686">
        <v>6586123</v>
      </c>
      <c r="BM174" s="686">
        <v>2710694</v>
      </c>
      <c r="BN174" s="686">
        <v>8808019</v>
      </c>
      <c r="BO174" s="686">
        <v>1323123</v>
      </c>
      <c r="BP174" s="686">
        <v>2441402</v>
      </c>
      <c r="BQ174" s="686">
        <v>689387</v>
      </c>
      <c r="BR174" s="686">
        <v>0</v>
      </c>
      <c r="BS174" s="686">
        <v>5269538</v>
      </c>
      <c r="BT174" s="686">
        <v>0</v>
      </c>
      <c r="BU174" s="686">
        <v>3840750</v>
      </c>
      <c r="BV174" s="686">
        <v>8838453</v>
      </c>
      <c r="BW174" s="686">
        <v>0</v>
      </c>
      <c r="BX174" s="686">
        <v>5454268</v>
      </c>
      <c r="BY174" s="686">
        <v>1088941</v>
      </c>
      <c r="BZ174" s="686">
        <v>165267</v>
      </c>
      <c r="CA174" s="686">
        <v>2603159</v>
      </c>
      <c r="CB174" s="686">
        <v>1336833</v>
      </c>
      <c r="CC174" s="686">
        <v>3026799</v>
      </c>
      <c r="CD174" s="686">
        <v>0</v>
      </c>
      <c r="CE174" s="686">
        <v>348422</v>
      </c>
    </row>
    <row r="175" spans="1:83" x14ac:dyDescent="0.25">
      <c r="A175" s="622">
        <v>525</v>
      </c>
      <c r="B175" s="625">
        <v>525</v>
      </c>
      <c r="C175" s="653" t="s">
        <v>290</v>
      </c>
      <c r="D175" s="701" t="s">
        <v>495</v>
      </c>
      <c r="E175" s="638">
        <v>0</v>
      </c>
      <c r="F175" s="621">
        <v>0</v>
      </c>
      <c r="G175" s="621">
        <v>0</v>
      </c>
      <c r="H175" s="621">
        <v>0</v>
      </c>
      <c r="I175" s="621">
        <v>0</v>
      </c>
      <c r="J175" s="621">
        <v>0</v>
      </c>
      <c r="K175" s="672">
        <v>0</v>
      </c>
      <c r="L175" s="686">
        <v>0</v>
      </c>
      <c r="M175" s="686">
        <v>0</v>
      </c>
      <c r="N175" s="636">
        <v>0</v>
      </c>
      <c r="O175" s="636">
        <v>0</v>
      </c>
      <c r="P175" s="636">
        <v>0</v>
      </c>
      <c r="Q175" s="636">
        <v>0</v>
      </c>
      <c r="R175" s="636">
        <v>20515392</v>
      </c>
      <c r="S175" s="636">
        <v>226150</v>
      </c>
      <c r="T175" s="636">
        <v>0</v>
      </c>
      <c r="U175" s="636">
        <v>0</v>
      </c>
      <c r="V175" s="636">
        <v>0</v>
      </c>
      <c r="W175" s="636">
        <v>0</v>
      </c>
      <c r="X175" s="636">
        <v>0</v>
      </c>
      <c r="Y175" s="636">
        <v>0</v>
      </c>
      <c r="Z175" s="636">
        <v>0</v>
      </c>
      <c r="AA175" s="636">
        <v>0</v>
      </c>
      <c r="AB175" s="686" t="e">
        <v>#VALUE!</v>
      </c>
      <c r="AC175" s="686">
        <v>0</v>
      </c>
      <c r="AD175" s="686" t="e">
        <v>#VALUE!</v>
      </c>
      <c r="AE175" s="686">
        <v>0</v>
      </c>
      <c r="AF175" s="686">
        <v>0</v>
      </c>
      <c r="AG175" s="686">
        <v>780638</v>
      </c>
      <c r="AH175" s="686">
        <v>489192</v>
      </c>
      <c r="AI175" s="686">
        <v>0</v>
      </c>
      <c r="AJ175" s="686">
        <v>0</v>
      </c>
      <c r="AK175" s="686">
        <v>0</v>
      </c>
      <c r="AL175" s="686">
        <v>0</v>
      </c>
      <c r="AM175" s="686">
        <v>0</v>
      </c>
      <c r="AN175" s="686">
        <v>0</v>
      </c>
      <c r="AO175" s="686">
        <v>0</v>
      </c>
      <c r="AP175" s="686">
        <v>0</v>
      </c>
      <c r="AQ175" s="686">
        <v>0</v>
      </c>
      <c r="AR175" s="686">
        <v>0</v>
      </c>
      <c r="AS175" s="686">
        <v>0</v>
      </c>
      <c r="AT175" s="686">
        <v>0</v>
      </c>
      <c r="AU175" s="686">
        <v>0</v>
      </c>
      <c r="AV175" s="686">
        <v>0</v>
      </c>
      <c r="AW175" s="686">
        <v>0</v>
      </c>
      <c r="AX175" s="686">
        <v>0</v>
      </c>
      <c r="AY175" s="686">
        <v>0</v>
      </c>
      <c r="AZ175" s="686">
        <v>0</v>
      </c>
      <c r="BA175" s="686">
        <v>0</v>
      </c>
      <c r="BB175" s="686">
        <v>0</v>
      </c>
      <c r="BC175" s="686">
        <v>0</v>
      </c>
      <c r="BD175" s="686">
        <v>0</v>
      </c>
      <c r="BE175" s="686">
        <v>0</v>
      </c>
      <c r="BF175" s="686">
        <v>0</v>
      </c>
      <c r="BG175" s="686">
        <v>0</v>
      </c>
      <c r="BH175" s="686">
        <v>0</v>
      </c>
      <c r="BI175" s="686">
        <v>0</v>
      </c>
      <c r="BJ175" s="686">
        <v>0</v>
      </c>
      <c r="BK175" s="686">
        <v>0</v>
      </c>
      <c r="BL175" s="686">
        <v>0</v>
      </c>
      <c r="BM175" s="686">
        <v>0</v>
      </c>
      <c r="BN175" s="686">
        <v>0</v>
      </c>
      <c r="BO175" s="686">
        <v>0</v>
      </c>
      <c r="BP175" s="686">
        <v>0</v>
      </c>
      <c r="BQ175" s="686">
        <v>0</v>
      </c>
      <c r="BR175" s="686">
        <v>0</v>
      </c>
      <c r="BS175" s="686">
        <v>0</v>
      </c>
      <c r="BT175" s="686">
        <v>0</v>
      </c>
      <c r="BU175" s="686">
        <v>0</v>
      </c>
      <c r="BV175" s="686">
        <v>0</v>
      </c>
      <c r="BW175" s="686">
        <v>0</v>
      </c>
      <c r="BX175" s="686">
        <v>0</v>
      </c>
      <c r="BY175" s="686">
        <v>0</v>
      </c>
      <c r="BZ175" s="686">
        <v>0</v>
      </c>
      <c r="CA175" s="686">
        <v>0</v>
      </c>
      <c r="CB175" s="686">
        <v>0</v>
      </c>
      <c r="CC175" s="686">
        <v>0</v>
      </c>
      <c r="CD175" s="686">
        <v>0</v>
      </c>
      <c r="CE175" s="686">
        <v>0</v>
      </c>
    </row>
    <row r="176" spans="1:83" x14ac:dyDescent="0.25">
      <c r="A176" s="622">
        <v>526</v>
      </c>
      <c r="B176" s="625">
        <v>526</v>
      </c>
      <c r="C176" s="653" t="s">
        <v>291</v>
      </c>
      <c r="D176" s="701" t="s">
        <v>496</v>
      </c>
      <c r="E176" s="638">
        <v>107924</v>
      </c>
      <c r="F176" s="621">
        <v>0</v>
      </c>
      <c r="G176" s="621">
        <v>140659</v>
      </c>
      <c r="H176" s="621">
        <v>0</v>
      </c>
      <c r="I176" s="621">
        <v>0</v>
      </c>
      <c r="J176" s="621">
        <v>0</v>
      </c>
      <c r="K176" s="672">
        <v>4514</v>
      </c>
      <c r="L176" s="686">
        <v>0</v>
      </c>
      <c r="M176" s="686">
        <v>0</v>
      </c>
      <c r="N176" s="636">
        <v>0</v>
      </c>
      <c r="O176" s="636">
        <v>0</v>
      </c>
      <c r="P176" s="636">
        <v>1573887</v>
      </c>
      <c r="Q176" s="636">
        <v>0</v>
      </c>
      <c r="R176" s="636">
        <v>6987742</v>
      </c>
      <c r="S176" s="636">
        <v>26514</v>
      </c>
      <c r="T176" s="636">
        <v>0</v>
      </c>
      <c r="U176" s="636">
        <v>6244916</v>
      </c>
      <c r="V176" s="636">
        <v>1758136</v>
      </c>
      <c r="W176" s="636">
        <v>8540015</v>
      </c>
      <c r="X176" s="636">
        <v>0</v>
      </c>
      <c r="Y176" s="636">
        <v>9212</v>
      </c>
      <c r="Z176" s="636">
        <v>2192988</v>
      </c>
      <c r="AA176" s="636">
        <v>0</v>
      </c>
      <c r="AB176" s="686" t="e">
        <v>#VALUE!</v>
      </c>
      <c r="AC176" s="686">
        <v>1039405</v>
      </c>
      <c r="AD176" s="686" t="e">
        <v>#VALUE!</v>
      </c>
      <c r="AE176" s="686">
        <v>494256</v>
      </c>
      <c r="AF176" s="686">
        <v>448435</v>
      </c>
      <c r="AG176" s="686">
        <v>4421588</v>
      </c>
      <c r="AH176" s="686">
        <v>1089073</v>
      </c>
      <c r="AI176" s="686">
        <v>1525</v>
      </c>
      <c r="AJ176" s="686">
        <v>6336794</v>
      </c>
      <c r="AK176" s="686">
        <v>0</v>
      </c>
      <c r="AL176" s="686">
        <v>256652</v>
      </c>
      <c r="AM176" s="686">
        <v>1077390</v>
      </c>
      <c r="AN176" s="686">
        <v>1773441</v>
      </c>
      <c r="AO176" s="686">
        <v>43994</v>
      </c>
      <c r="AP176" s="686">
        <v>99211</v>
      </c>
      <c r="AQ176" s="686">
        <v>0</v>
      </c>
      <c r="AR176" s="686">
        <v>0</v>
      </c>
      <c r="AS176" s="686">
        <v>1223733</v>
      </c>
      <c r="AT176" s="686">
        <v>0</v>
      </c>
      <c r="AU176" s="686">
        <v>460639</v>
      </c>
      <c r="AV176" s="686">
        <v>0</v>
      </c>
      <c r="AW176" s="686">
        <v>8930211</v>
      </c>
      <c r="AX176" s="686">
        <v>0</v>
      </c>
      <c r="AY176" s="686">
        <v>635502</v>
      </c>
      <c r="AZ176" s="686">
        <v>993883</v>
      </c>
      <c r="BA176" s="686">
        <v>334959</v>
      </c>
      <c r="BB176" s="686">
        <v>61226</v>
      </c>
      <c r="BC176" s="686">
        <v>0</v>
      </c>
      <c r="BD176" s="686">
        <v>0</v>
      </c>
      <c r="BE176" s="686">
        <v>2347286</v>
      </c>
      <c r="BF176" s="686">
        <v>0</v>
      </c>
      <c r="BG176" s="686">
        <v>95010</v>
      </c>
      <c r="BH176" s="686">
        <v>7725</v>
      </c>
      <c r="BI176" s="686">
        <v>0</v>
      </c>
      <c r="BJ176" s="686">
        <v>10748</v>
      </c>
      <c r="BK176" s="686">
        <v>0</v>
      </c>
      <c r="BL176" s="686">
        <v>1490033</v>
      </c>
      <c r="BM176" s="686">
        <v>15584</v>
      </c>
      <c r="BN176" s="686">
        <v>205497</v>
      </c>
      <c r="BO176" s="686">
        <v>160613</v>
      </c>
      <c r="BP176" s="686">
        <v>177632</v>
      </c>
      <c r="BQ176" s="686">
        <v>271770</v>
      </c>
      <c r="BR176" s="686">
        <v>0</v>
      </c>
      <c r="BS176" s="686">
        <v>120409</v>
      </c>
      <c r="BT176" s="686">
        <v>0</v>
      </c>
      <c r="BU176" s="686">
        <v>233359</v>
      </c>
      <c r="BV176" s="686">
        <v>2037988</v>
      </c>
      <c r="BW176" s="686">
        <v>0</v>
      </c>
      <c r="BX176" s="686">
        <v>1207793</v>
      </c>
      <c r="BY176" s="686">
        <v>41225</v>
      </c>
      <c r="BZ176" s="686">
        <v>0</v>
      </c>
      <c r="CA176" s="686">
        <v>112910</v>
      </c>
      <c r="CB176" s="686">
        <v>5330</v>
      </c>
      <c r="CC176" s="686">
        <v>217620</v>
      </c>
      <c r="CD176" s="686">
        <v>0</v>
      </c>
      <c r="CE176" s="686">
        <v>0</v>
      </c>
    </row>
    <row r="177" spans="1:83" ht="30" x14ac:dyDescent="0.25">
      <c r="A177" s="622">
        <v>527</v>
      </c>
      <c r="B177" s="625">
        <v>527</v>
      </c>
      <c r="C177" s="653" t="s">
        <v>292</v>
      </c>
      <c r="D177" s="701" t="s">
        <v>497</v>
      </c>
      <c r="E177" s="638">
        <v>0</v>
      </c>
      <c r="F177" s="621">
        <v>0</v>
      </c>
      <c r="G177" s="621">
        <v>0</v>
      </c>
      <c r="H177" s="621">
        <v>0</v>
      </c>
      <c r="I177" s="621">
        <v>0</v>
      </c>
      <c r="J177" s="621">
        <v>0</v>
      </c>
      <c r="K177" s="672">
        <v>0</v>
      </c>
      <c r="L177" s="686">
        <v>0</v>
      </c>
      <c r="M177" s="686">
        <v>0</v>
      </c>
      <c r="N177" s="636">
        <v>0</v>
      </c>
      <c r="O177" s="636">
        <v>0</v>
      </c>
      <c r="P177" s="636">
        <v>0</v>
      </c>
      <c r="Q177" s="636">
        <v>0</v>
      </c>
      <c r="R177" s="636">
        <v>10201713</v>
      </c>
      <c r="S177" s="636">
        <v>0</v>
      </c>
      <c r="T177" s="636">
        <v>0</v>
      </c>
      <c r="U177" s="636">
        <v>0</v>
      </c>
      <c r="V177" s="636">
        <v>0</v>
      </c>
      <c r="W177" s="636">
        <v>55950</v>
      </c>
      <c r="X177" s="636">
        <v>0</v>
      </c>
      <c r="Y177" s="636">
        <v>0</v>
      </c>
      <c r="Z177" s="636">
        <v>0</v>
      </c>
      <c r="AA177" s="636">
        <v>0</v>
      </c>
      <c r="AB177" s="686" t="e">
        <v>#VALUE!</v>
      </c>
      <c r="AC177" s="686">
        <v>0</v>
      </c>
      <c r="AD177" s="686" t="e">
        <v>#VALUE!</v>
      </c>
      <c r="AE177" s="686">
        <v>0</v>
      </c>
      <c r="AF177" s="686">
        <v>0</v>
      </c>
      <c r="AG177" s="686">
        <v>0</v>
      </c>
      <c r="AH177" s="686">
        <v>0</v>
      </c>
      <c r="AI177" s="686">
        <v>0</v>
      </c>
      <c r="AJ177" s="686">
        <v>7704896</v>
      </c>
      <c r="AK177" s="686">
        <v>0</v>
      </c>
      <c r="AL177" s="686">
        <v>0</v>
      </c>
      <c r="AM177" s="686">
        <v>0</v>
      </c>
      <c r="AN177" s="686">
        <v>50005</v>
      </c>
      <c r="AO177" s="686">
        <v>0</v>
      </c>
      <c r="AP177" s="686">
        <v>0</v>
      </c>
      <c r="AQ177" s="686">
        <v>0</v>
      </c>
      <c r="AR177" s="686">
        <v>0</v>
      </c>
      <c r="AS177" s="686">
        <v>0</v>
      </c>
      <c r="AT177" s="686">
        <v>0</v>
      </c>
      <c r="AU177" s="686">
        <v>0</v>
      </c>
      <c r="AV177" s="686">
        <v>7405</v>
      </c>
      <c r="AW177" s="686">
        <v>0</v>
      </c>
      <c r="AX177" s="686">
        <v>0</v>
      </c>
      <c r="AY177" s="686">
        <v>0</v>
      </c>
      <c r="AZ177" s="686">
        <v>0</v>
      </c>
      <c r="BA177" s="686">
        <v>0</v>
      </c>
      <c r="BB177" s="686">
        <v>0</v>
      </c>
      <c r="BC177" s="686">
        <v>0</v>
      </c>
      <c r="BD177" s="686">
        <v>0</v>
      </c>
      <c r="BE177" s="686">
        <v>0</v>
      </c>
      <c r="BF177" s="686">
        <v>0</v>
      </c>
      <c r="BG177" s="686">
        <v>0</v>
      </c>
      <c r="BH177" s="686">
        <v>0</v>
      </c>
      <c r="BI177" s="686">
        <v>0</v>
      </c>
      <c r="BJ177" s="686">
        <v>0</v>
      </c>
      <c r="BK177" s="686">
        <v>0</v>
      </c>
      <c r="BL177" s="686">
        <v>0</v>
      </c>
      <c r="BM177" s="686">
        <v>0</v>
      </c>
      <c r="BN177" s="686">
        <v>0</v>
      </c>
      <c r="BO177" s="686">
        <v>0</v>
      </c>
      <c r="BP177" s="686">
        <v>0</v>
      </c>
      <c r="BQ177" s="686">
        <v>0</v>
      </c>
      <c r="BR177" s="686">
        <v>0</v>
      </c>
      <c r="BS177" s="686">
        <v>11600</v>
      </c>
      <c r="BT177" s="686">
        <v>4562517</v>
      </c>
      <c r="BU177" s="686">
        <v>0</v>
      </c>
      <c r="BV177" s="686">
        <v>0</v>
      </c>
      <c r="BW177" s="686">
        <v>0</v>
      </c>
      <c r="BX177" s="686">
        <v>0</v>
      </c>
      <c r="BY177" s="686">
        <v>0</v>
      </c>
      <c r="BZ177" s="686">
        <v>0</v>
      </c>
      <c r="CA177" s="686">
        <v>0</v>
      </c>
      <c r="CB177" s="686">
        <v>0</v>
      </c>
      <c r="CC177" s="686">
        <v>0</v>
      </c>
      <c r="CD177" s="686">
        <v>0</v>
      </c>
      <c r="CE177" s="686">
        <v>0</v>
      </c>
    </row>
    <row r="178" spans="1:83" x14ac:dyDescent="0.25">
      <c r="A178" s="622">
        <v>528</v>
      </c>
      <c r="B178" s="625">
        <v>528</v>
      </c>
      <c r="C178" s="653" t="s">
        <v>274</v>
      </c>
      <c r="D178" s="701" t="s">
        <v>498</v>
      </c>
      <c r="E178" s="638">
        <v>101438</v>
      </c>
      <c r="F178" s="621">
        <v>24773</v>
      </c>
      <c r="G178" s="621">
        <v>281267</v>
      </c>
      <c r="H178" s="621">
        <v>734458</v>
      </c>
      <c r="I178" s="621">
        <v>164392</v>
      </c>
      <c r="J178" s="621">
        <v>1760965</v>
      </c>
      <c r="K178" s="672">
        <v>37872</v>
      </c>
      <c r="L178" s="686">
        <v>65379</v>
      </c>
      <c r="M178" s="686">
        <v>131232</v>
      </c>
      <c r="N178" s="636">
        <v>6281995</v>
      </c>
      <c r="O178" s="636">
        <v>25596</v>
      </c>
      <c r="P178" s="636">
        <v>2545517</v>
      </c>
      <c r="Q178" s="636">
        <v>13393</v>
      </c>
      <c r="R178" s="636">
        <v>19261906</v>
      </c>
      <c r="S178" s="636">
        <v>1016915</v>
      </c>
      <c r="T178" s="636">
        <v>0</v>
      </c>
      <c r="U178" s="636">
        <v>33757471</v>
      </c>
      <c r="V178" s="636">
        <v>6762936</v>
      </c>
      <c r="W178" s="636">
        <v>8430210</v>
      </c>
      <c r="X178" s="636">
        <v>16764789</v>
      </c>
      <c r="Y178" s="636">
        <v>65272</v>
      </c>
      <c r="Z178" s="636">
        <v>5039807</v>
      </c>
      <c r="AA178" s="636">
        <v>504947</v>
      </c>
      <c r="AB178" s="686" t="e">
        <v>#VALUE!</v>
      </c>
      <c r="AC178" s="686">
        <v>1461320</v>
      </c>
      <c r="AD178" s="686" t="e">
        <v>#VALUE!</v>
      </c>
      <c r="AE178" s="686">
        <v>791857</v>
      </c>
      <c r="AF178" s="686">
        <v>894696</v>
      </c>
      <c r="AG178" s="686">
        <v>7013398</v>
      </c>
      <c r="AH178" s="686">
        <v>2025946</v>
      </c>
      <c r="AI178" s="686">
        <v>200123</v>
      </c>
      <c r="AJ178" s="686">
        <v>13113149</v>
      </c>
      <c r="AK178" s="686">
        <v>176388</v>
      </c>
      <c r="AL178" s="686">
        <v>326052</v>
      </c>
      <c r="AM178" s="686">
        <v>1032272</v>
      </c>
      <c r="AN178" s="686">
        <v>5026643</v>
      </c>
      <c r="AO178" s="686">
        <v>212993</v>
      </c>
      <c r="AP178" s="686">
        <v>224027</v>
      </c>
      <c r="AQ178" s="686">
        <v>0</v>
      </c>
      <c r="AR178" s="686">
        <v>3205376</v>
      </c>
      <c r="AS178" s="686">
        <v>2006546</v>
      </c>
      <c r="AT178" s="686">
        <v>106482</v>
      </c>
      <c r="AU178" s="686">
        <v>1056181</v>
      </c>
      <c r="AV178" s="686">
        <v>64476</v>
      </c>
      <c r="AW178" s="686">
        <v>7770321</v>
      </c>
      <c r="AX178" s="686">
        <v>722960</v>
      </c>
      <c r="AY178" s="686">
        <v>545126</v>
      </c>
      <c r="AZ178" s="686">
        <v>3139816</v>
      </c>
      <c r="BA178" s="686">
        <v>347087</v>
      </c>
      <c r="BB178" s="686">
        <v>501805</v>
      </c>
      <c r="BC178" s="686">
        <v>0</v>
      </c>
      <c r="BD178" s="686">
        <v>46206</v>
      </c>
      <c r="BE178" s="686">
        <v>3218720</v>
      </c>
      <c r="BF178" s="686">
        <v>31047</v>
      </c>
      <c r="BG178" s="686">
        <v>134262</v>
      </c>
      <c r="BH178" s="686">
        <v>50946</v>
      </c>
      <c r="BI178" s="686">
        <v>29936</v>
      </c>
      <c r="BJ178" s="686">
        <v>47000</v>
      </c>
      <c r="BK178" s="686">
        <v>41857</v>
      </c>
      <c r="BL178" s="686">
        <v>1131217</v>
      </c>
      <c r="BM178" s="686">
        <v>288814</v>
      </c>
      <c r="BN178" s="686">
        <v>746672</v>
      </c>
      <c r="BO178" s="686">
        <v>1763637</v>
      </c>
      <c r="BP178" s="686">
        <v>445615</v>
      </c>
      <c r="BQ178" s="686">
        <v>372032</v>
      </c>
      <c r="BR178" s="686">
        <v>9510918</v>
      </c>
      <c r="BS178" s="686">
        <v>154798</v>
      </c>
      <c r="BT178" s="686">
        <v>6342576</v>
      </c>
      <c r="BU178" s="686">
        <v>185667</v>
      </c>
      <c r="BV178" s="686">
        <v>2114490</v>
      </c>
      <c r="BW178" s="686">
        <v>175147</v>
      </c>
      <c r="BX178" s="686">
        <v>972932</v>
      </c>
      <c r="BY178" s="686">
        <v>103160</v>
      </c>
      <c r="BZ178" s="686">
        <v>12052</v>
      </c>
      <c r="CA178" s="686">
        <v>67577</v>
      </c>
      <c r="CB178" s="686">
        <v>21767</v>
      </c>
      <c r="CC178" s="686">
        <v>381633</v>
      </c>
      <c r="CD178" s="686">
        <v>0</v>
      </c>
      <c r="CE178" s="686">
        <v>8393</v>
      </c>
    </row>
    <row r="179" spans="1:83" x14ac:dyDescent="0.25">
      <c r="A179" s="622">
        <v>529</v>
      </c>
      <c r="B179" s="625">
        <v>529</v>
      </c>
      <c r="C179" s="653" t="s">
        <v>275</v>
      </c>
      <c r="D179" s="701" t="s">
        <v>499</v>
      </c>
      <c r="E179" s="638">
        <v>15010</v>
      </c>
      <c r="F179" s="621">
        <v>2943</v>
      </c>
      <c r="G179" s="621">
        <v>35197</v>
      </c>
      <c r="H179" s="621">
        <v>87243</v>
      </c>
      <c r="I179" s="621">
        <v>22193</v>
      </c>
      <c r="J179" s="621">
        <v>144524</v>
      </c>
      <c r="K179" s="672">
        <v>3571</v>
      </c>
      <c r="L179" s="686">
        <v>7429</v>
      </c>
      <c r="M179" s="686">
        <v>8123</v>
      </c>
      <c r="N179" s="636">
        <v>681920</v>
      </c>
      <c r="O179" s="636">
        <v>4440</v>
      </c>
      <c r="P179" s="636">
        <v>116520</v>
      </c>
      <c r="Q179" s="636">
        <v>2945</v>
      </c>
      <c r="R179" s="636">
        <v>1676817</v>
      </c>
      <c r="S179" s="636">
        <v>19605</v>
      </c>
      <c r="T179" s="636">
        <v>0</v>
      </c>
      <c r="U179" s="636">
        <v>2654490</v>
      </c>
      <c r="V179" s="636">
        <v>314325</v>
      </c>
      <c r="W179" s="636">
        <v>613615</v>
      </c>
      <c r="X179" s="636">
        <v>1086223</v>
      </c>
      <c r="Y179" s="636">
        <v>9829</v>
      </c>
      <c r="Z179" s="636">
        <v>406326</v>
      </c>
      <c r="AA179" s="636">
        <v>45182</v>
      </c>
      <c r="AB179" s="686" t="e">
        <v>#VALUE!</v>
      </c>
      <c r="AC179" s="686">
        <v>152196</v>
      </c>
      <c r="AD179" s="686" t="e">
        <v>#VALUE!</v>
      </c>
      <c r="AE179" s="686">
        <v>124204</v>
      </c>
      <c r="AF179" s="686">
        <v>45649</v>
      </c>
      <c r="AG179" s="686">
        <v>126918</v>
      </c>
      <c r="AH179" s="686">
        <v>279544</v>
      </c>
      <c r="AI179" s="686">
        <v>18733</v>
      </c>
      <c r="AJ179" s="686">
        <v>1162089</v>
      </c>
      <c r="AK179" s="686">
        <v>11829</v>
      </c>
      <c r="AL179" s="686">
        <v>30191</v>
      </c>
      <c r="AM179" s="686">
        <v>218096</v>
      </c>
      <c r="AN179" s="686">
        <v>459496</v>
      </c>
      <c r="AO179" s="686">
        <v>20519</v>
      </c>
      <c r="AP179" s="686">
        <v>35103</v>
      </c>
      <c r="AQ179" s="686">
        <v>0</v>
      </c>
      <c r="AR179" s="686">
        <v>52110</v>
      </c>
      <c r="AS179" s="686">
        <v>176522</v>
      </c>
      <c r="AT179" s="686">
        <v>12932</v>
      </c>
      <c r="AU179" s="686">
        <v>72881</v>
      </c>
      <c r="AV179" s="686">
        <v>11158</v>
      </c>
      <c r="AW179" s="686">
        <v>259197</v>
      </c>
      <c r="AX179" s="686">
        <v>75299</v>
      </c>
      <c r="AY179" s="686">
        <v>102559</v>
      </c>
      <c r="AZ179" s="686">
        <v>38874</v>
      </c>
      <c r="BA179" s="686">
        <v>16838</v>
      </c>
      <c r="BB179" s="686">
        <v>22731</v>
      </c>
      <c r="BC179" s="686">
        <v>0</v>
      </c>
      <c r="BD179" s="686">
        <v>4351</v>
      </c>
      <c r="BE179" s="686">
        <v>340553</v>
      </c>
      <c r="BF179" s="686">
        <v>2042</v>
      </c>
      <c r="BG179" s="686">
        <v>18268</v>
      </c>
      <c r="BH179" s="686">
        <v>5870</v>
      </c>
      <c r="BI179" s="686">
        <v>1231</v>
      </c>
      <c r="BJ179" s="686">
        <v>8480</v>
      </c>
      <c r="BK179" s="686">
        <v>2898</v>
      </c>
      <c r="BL179" s="686">
        <v>72986</v>
      </c>
      <c r="BM179" s="686">
        <v>24692</v>
      </c>
      <c r="BN179" s="686">
        <v>68508</v>
      </c>
      <c r="BO179" s="686">
        <v>38899</v>
      </c>
      <c r="BP179" s="686">
        <v>64393</v>
      </c>
      <c r="BQ179" s="686">
        <v>58706</v>
      </c>
      <c r="BR179" s="686">
        <v>625822</v>
      </c>
      <c r="BS179" s="686">
        <v>29470</v>
      </c>
      <c r="BT179" s="686">
        <v>319863</v>
      </c>
      <c r="BU179" s="686">
        <v>16286</v>
      </c>
      <c r="BV179" s="686">
        <v>210276</v>
      </c>
      <c r="BW179" s="686">
        <v>17696</v>
      </c>
      <c r="BX179" s="686">
        <v>81131</v>
      </c>
      <c r="BY179" s="686">
        <v>15859</v>
      </c>
      <c r="BZ179" s="686">
        <v>1545</v>
      </c>
      <c r="CA179" s="686">
        <v>8487</v>
      </c>
      <c r="CB179" s="686">
        <v>3973</v>
      </c>
      <c r="CC179" s="686">
        <v>43694</v>
      </c>
      <c r="CD179" s="686">
        <v>0</v>
      </c>
      <c r="CE179" s="686">
        <v>1806</v>
      </c>
    </row>
    <row r="180" spans="1:83" ht="30" x14ac:dyDescent="0.25">
      <c r="A180" s="622">
        <v>530</v>
      </c>
      <c r="B180" s="625">
        <v>530</v>
      </c>
      <c r="C180" s="653" t="s">
        <v>276</v>
      </c>
      <c r="D180" s="701" t="s">
        <v>500</v>
      </c>
      <c r="E180" s="638">
        <v>0</v>
      </c>
      <c r="F180" s="621">
        <v>232</v>
      </c>
      <c r="G180" s="621">
        <v>13620</v>
      </c>
      <c r="H180" s="621">
        <v>16311</v>
      </c>
      <c r="I180" s="621">
        <v>4440</v>
      </c>
      <c r="J180" s="621">
        <v>15462</v>
      </c>
      <c r="K180" s="672">
        <v>1086</v>
      </c>
      <c r="L180" s="686">
        <v>479</v>
      </c>
      <c r="M180" s="686">
        <v>2610</v>
      </c>
      <c r="N180" s="636">
        <v>31657</v>
      </c>
      <c r="O180" s="636">
        <v>764</v>
      </c>
      <c r="P180" s="636">
        <v>29173</v>
      </c>
      <c r="Q180" s="636">
        <v>68</v>
      </c>
      <c r="R180" s="636">
        <v>188241</v>
      </c>
      <c r="S180" s="636">
        <v>0</v>
      </c>
      <c r="T180" s="636">
        <v>0</v>
      </c>
      <c r="U180" s="636">
        <v>276471</v>
      </c>
      <c r="V180" s="636">
        <v>54839</v>
      </c>
      <c r="W180" s="636">
        <v>117011</v>
      </c>
      <c r="X180" s="636">
        <v>10662</v>
      </c>
      <c r="Y180" s="636">
        <v>13375</v>
      </c>
      <c r="Z180" s="636">
        <v>61802</v>
      </c>
      <c r="AA180" s="636">
        <v>26625</v>
      </c>
      <c r="AB180" s="686" t="e">
        <v>#VALUE!</v>
      </c>
      <c r="AC180" s="686">
        <v>44924</v>
      </c>
      <c r="AD180" s="686" t="e">
        <v>#VALUE!</v>
      </c>
      <c r="AE180" s="686">
        <v>19874</v>
      </c>
      <c r="AF180" s="686">
        <v>46866</v>
      </c>
      <c r="AG180" s="686">
        <v>437</v>
      </c>
      <c r="AH180" s="686">
        <v>43831</v>
      </c>
      <c r="AI180" s="686">
        <v>14585</v>
      </c>
      <c r="AJ180" s="686">
        <v>87522</v>
      </c>
      <c r="AK180" s="686">
        <v>749</v>
      </c>
      <c r="AL180" s="686">
        <v>17821</v>
      </c>
      <c r="AM180" s="686">
        <v>10645</v>
      </c>
      <c r="AN180" s="686">
        <v>114805</v>
      </c>
      <c r="AO180" s="686">
        <v>4120</v>
      </c>
      <c r="AP180" s="686">
        <v>5416</v>
      </c>
      <c r="AQ180" s="686">
        <v>0</v>
      </c>
      <c r="AR180" s="686">
        <v>29512</v>
      </c>
      <c r="AS180" s="686">
        <v>73479</v>
      </c>
      <c r="AT180" s="686">
        <v>13951</v>
      </c>
      <c r="AU180" s="686">
        <v>23917</v>
      </c>
      <c r="AV180" s="686">
        <v>7491</v>
      </c>
      <c r="AW180" s="686">
        <v>63161</v>
      </c>
      <c r="AX180" s="686">
        <v>3134</v>
      </c>
      <c r="AY180" s="686">
        <v>10364</v>
      </c>
      <c r="AZ180" s="686">
        <v>104404</v>
      </c>
      <c r="BA180" s="686">
        <v>3320</v>
      </c>
      <c r="BB180" s="686">
        <v>36162</v>
      </c>
      <c r="BC180" s="686">
        <v>0</v>
      </c>
      <c r="BD180" s="686">
        <v>248</v>
      </c>
      <c r="BE180" s="686">
        <v>45119</v>
      </c>
      <c r="BF180" s="686">
        <v>714</v>
      </c>
      <c r="BG180" s="686">
        <v>8072</v>
      </c>
      <c r="BH180" s="686">
        <v>12807</v>
      </c>
      <c r="BI180" s="686">
        <v>787</v>
      </c>
      <c r="BJ180" s="686">
        <v>3261</v>
      </c>
      <c r="BK180" s="686">
        <v>2201</v>
      </c>
      <c r="BL180" s="686">
        <v>83011</v>
      </c>
      <c r="BM180" s="686">
        <v>6981</v>
      </c>
      <c r="BN180" s="686">
        <v>6230</v>
      </c>
      <c r="BO180" s="686">
        <v>1964</v>
      </c>
      <c r="BP180" s="686">
        <v>0</v>
      </c>
      <c r="BQ180" s="686">
        <v>2649</v>
      </c>
      <c r="BR180" s="686">
        <v>6754</v>
      </c>
      <c r="BS180" s="686">
        <v>8225</v>
      </c>
      <c r="BT180" s="686">
        <v>20822</v>
      </c>
      <c r="BU180" s="686">
        <v>5921</v>
      </c>
      <c r="BV180" s="686">
        <v>9112</v>
      </c>
      <c r="BW180" s="686">
        <v>2553</v>
      </c>
      <c r="BX180" s="686">
        <v>95622</v>
      </c>
      <c r="BY180" s="686">
        <v>11332</v>
      </c>
      <c r="BZ180" s="686">
        <v>95</v>
      </c>
      <c r="CA180" s="686">
        <v>2483</v>
      </c>
      <c r="CB180" s="686">
        <v>745</v>
      </c>
      <c r="CC180" s="686">
        <v>209</v>
      </c>
      <c r="CD180" s="686">
        <v>0</v>
      </c>
      <c r="CE180" s="686">
        <v>896</v>
      </c>
    </row>
    <row r="181" spans="1:83" x14ac:dyDescent="0.25">
      <c r="A181" s="622">
        <v>531</v>
      </c>
      <c r="B181" s="625">
        <v>531</v>
      </c>
      <c r="C181" s="653" t="s">
        <v>277</v>
      </c>
      <c r="D181" s="701" t="s">
        <v>501</v>
      </c>
      <c r="E181" s="638">
        <v>0</v>
      </c>
      <c r="F181" s="621">
        <v>0</v>
      </c>
      <c r="G181" s="621">
        <v>0</v>
      </c>
      <c r="H181" s="621">
        <v>61</v>
      </c>
      <c r="I181" s="621">
        <v>0</v>
      </c>
      <c r="J181" s="621">
        <v>0</v>
      </c>
      <c r="K181" s="672">
        <v>0</v>
      </c>
      <c r="L181" s="686">
        <v>0</v>
      </c>
      <c r="M181" s="686">
        <v>0</v>
      </c>
      <c r="N181" s="636">
        <v>0</v>
      </c>
      <c r="O181" s="636">
        <v>0</v>
      </c>
      <c r="P181" s="636">
        <v>0</v>
      </c>
      <c r="Q181" s="636">
        <v>0</v>
      </c>
      <c r="R181" s="636">
        <v>0</v>
      </c>
      <c r="S181" s="636">
        <v>0</v>
      </c>
      <c r="T181" s="636">
        <v>0</v>
      </c>
      <c r="U181" s="636">
        <v>23169</v>
      </c>
      <c r="V181" s="636">
        <v>0</v>
      </c>
      <c r="W181" s="636">
        <v>0</v>
      </c>
      <c r="X181" s="636">
        <v>120</v>
      </c>
      <c r="Y181" s="636">
        <v>0</v>
      </c>
      <c r="Z181" s="636">
        <v>9</v>
      </c>
      <c r="AA181" s="636">
        <v>0</v>
      </c>
      <c r="AB181" s="686" t="e">
        <v>#VALUE!</v>
      </c>
      <c r="AC181" s="686">
        <v>0</v>
      </c>
      <c r="AD181" s="686" t="e">
        <v>#VALUE!</v>
      </c>
      <c r="AE181" s="686">
        <v>0</v>
      </c>
      <c r="AF181" s="686">
        <v>749</v>
      </c>
      <c r="AG181" s="686">
        <v>0</v>
      </c>
      <c r="AH181" s="686">
        <v>0</v>
      </c>
      <c r="AI181" s="686">
        <v>0</v>
      </c>
      <c r="AJ181" s="686">
        <v>0</v>
      </c>
      <c r="AK181" s="686">
        <v>0</v>
      </c>
      <c r="AL181" s="686">
        <v>0</v>
      </c>
      <c r="AM181" s="686">
        <v>4258</v>
      </c>
      <c r="AN181" s="686">
        <v>35</v>
      </c>
      <c r="AO181" s="686">
        <v>0</v>
      </c>
      <c r="AP181" s="686">
        <v>0</v>
      </c>
      <c r="AQ181" s="686">
        <v>0</v>
      </c>
      <c r="AR181" s="686">
        <v>0</v>
      </c>
      <c r="AS181" s="686">
        <v>0</v>
      </c>
      <c r="AT181" s="686">
        <v>0</v>
      </c>
      <c r="AU181" s="686">
        <v>0</v>
      </c>
      <c r="AV181" s="686">
        <v>0</v>
      </c>
      <c r="AW181" s="686">
        <v>0</v>
      </c>
      <c r="AX181" s="686">
        <v>0</v>
      </c>
      <c r="AY181" s="686">
        <v>0</v>
      </c>
      <c r="AZ181" s="686">
        <v>0</v>
      </c>
      <c r="BA181" s="686">
        <v>0</v>
      </c>
      <c r="BB181" s="686">
        <v>0</v>
      </c>
      <c r="BC181" s="686">
        <v>0</v>
      </c>
      <c r="BD181" s="686">
        <v>0</v>
      </c>
      <c r="BE181" s="686">
        <v>316</v>
      </c>
      <c r="BF181" s="686">
        <v>0</v>
      </c>
      <c r="BG181" s="686">
        <v>0</v>
      </c>
      <c r="BH181" s="686">
        <v>0</v>
      </c>
      <c r="BI181" s="686">
        <v>0</v>
      </c>
      <c r="BJ181" s="686">
        <v>0</v>
      </c>
      <c r="BK181" s="686">
        <v>0</v>
      </c>
      <c r="BL181" s="686">
        <v>1228</v>
      </c>
      <c r="BM181" s="686">
        <v>0</v>
      </c>
      <c r="BN181" s="686">
        <v>3034</v>
      </c>
      <c r="BO181" s="686">
        <v>174</v>
      </c>
      <c r="BP181" s="686">
        <v>0</v>
      </c>
      <c r="BQ181" s="686">
        <v>0</v>
      </c>
      <c r="BR181" s="686">
        <v>0</v>
      </c>
      <c r="BS181" s="686">
        <v>0</v>
      </c>
      <c r="BT181" s="686">
        <v>0</v>
      </c>
      <c r="BU181" s="686">
        <v>0</v>
      </c>
      <c r="BV181" s="686">
        <v>0</v>
      </c>
      <c r="BW181" s="686">
        <v>0</v>
      </c>
      <c r="BX181" s="686">
        <v>0</v>
      </c>
      <c r="BY181" s="686">
        <v>0</v>
      </c>
      <c r="BZ181" s="686">
        <v>0</v>
      </c>
      <c r="CA181" s="686">
        <v>0</v>
      </c>
      <c r="CB181" s="686">
        <v>0</v>
      </c>
      <c r="CC181" s="686">
        <v>0</v>
      </c>
      <c r="CD181" s="686">
        <v>0</v>
      </c>
      <c r="CE181" s="686">
        <v>0</v>
      </c>
    </row>
    <row r="182" spans="1:83" x14ac:dyDescent="0.25">
      <c r="A182" s="622">
        <v>532</v>
      </c>
      <c r="B182" s="625">
        <v>532</v>
      </c>
      <c r="C182" s="653" t="s">
        <v>572</v>
      </c>
      <c r="D182" s="701" t="s">
        <v>502</v>
      </c>
      <c r="E182" s="638">
        <v>258584</v>
      </c>
      <c r="F182" s="621">
        <v>32882</v>
      </c>
      <c r="G182" s="621">
        <v>729374</v>
      </c>
      <c r="H182" s="621">
        <v>1474342</v>
      </c>
      <c r="I182" s="621">
        <v>935200</v>
      </c>
      <c r="J182" s="621">
        <v>2729424</v>
      </c>
      <c r="K182" s="672">
        <v>55167</v>
      </c>
      <c r="L182" s="686">
        <v>246950</v>
      </c>
      <c r="M182" s="686">
        <v>230347</v>
      </c>
      <c r="N182" s="636">
        <v>13130890</v>
      </c>
      <c r="O182" s="636">
        <v>588545</v>
      </c>
      <c r="P182" s="636">
        <v>5882359</v>
      </c>
      <c r="Q182" s="636">
        <v>58735</v>
      </c>
      <c r="R182" s="636">
        <v>34324485</v>
      </c>
      <c r="S182" s="636">
        <v>1301830</v>
      </c>
      <c r="T182" s="636">
        <v>37900</v>
      </c>
      <c r="U182" s="636">
        <v>63556634</v>
      </c>
      <c r="V182" s="636">
        <v>9009232</v>
      </c>
      <c r="W182" s="636">
        <v>20469391</v>
      </c>
      <c r="X182" s="636">
        <v>26854577</v>
      </c>
      <c r="Y182" s="636">
        <v>273926</v>
      </c>
      <c r="Z182" s="636">
        <v>12711374</v>
      </c>
      <c r="AA182" s="636">
        <v>950973</v>
      </c>
      <c r="AB182" s="686" t="e">
        <v>#VALUE!</v>
      </c>
      <c r="AC182" s="686">
        <v>4034302</v>
      </c>
      <c r="AD182" s="686" t="e">
        <v>#VALUE!</v>
      </c>
      <c r="AE182" s="686">
        <v>2201366</v>
      </c>
      <c r="AF182" s="686">
        <v>2242974</v>
      </c>
      <c r="AG182" s="686">
        <v>14273625</v>
      </c>
      <c r="AH182" s="686">
        <v>5179462</v>
      </c>
      <c r="AI182" s="686">
        <v>869229</v>
      </c>
      <c r="AJ182" s="686">
        <v>34865091</v>
      </c>
      <c r="AK182" s="686">
        <v>243483</v>
      </c>
      <c r="AL182" s="686">
        <v>761005</v>
      </c>
      <c r="AM182" s="686">
        <v>2338591</v>
      </c>
      <c r="AN182" s="686">
        <v>12863096</v>
      </c>
      <c r="AO182" s="686">
        <v>599248</v>
      </c>
      <c r="AP182" s="686">
        <v>784867</v>
      </c>
      <c r="AQ182" s="686">
        <v>37943</v>
      </c>
      <c r="AR182" s="686">
        <v>4014022</v>
      </c>
      <c r="AS182" s="686">
        <v>7160835</v>
      </c>
      <c r="AT182" s="686">
        <v>389609</v>
      </c>
      <c r="AU182" s="686">
        <v>2964692</v>
      </c>
      <c r="AV182" s="686">
        <v>192845</v>
      </c>
      <c r="AW182" s="686">
        <v>11112886</v>
      </c>
      <c r="AX182" s="686">
        <v>1116697</v>
      </c>
      <c r="AY182" s="686">
        <v>1533598</v>
      </c>
      <c r="AZ182" s="686">
        <v>8582467</v>
      </c>
      <c r="BA182" s="686">
        <v>895109</v>
      </c>
      <c r="BB182" s="686">
        <v>912774</v>
      </c>
      <c r="BC182" s="686">
        <v>15900</v>
      </c>
      <c r="BD182" s="686">
        <v>176620</v>
      </c>
      <c r="BE182" s="686">
        <v>8388500</v>
      </c>
      <c r="BF182" s="686">
        <v>140197</v>
      </c>
      <c r="BG182" s="686">
        <v>288692</v>
      </c>
      <c r="BH182" s="686">
        <v>122696</v>
      </c>
      <c r="BI182" s="686">
        <v>56760</v>
      </c>
      <c r="BJ182" s="686">
        <v>206808</v>
      </c>
      <c r="BK182" s="686">
        <v>151770</v>
      </c>
      <c r="BL182" s="686">
        <v>3210195</v>
      </c>
      <c r="BM182" s="686">
        <v>878073</v>
      </c>
      <c r="BN182" s="686">
        <v>1638972</v>
      </c>
      <c r="BO182" s="686">
        <v>3425864</v>
      </c>
      <c r="BP182" s="686">
        <v>1021967</v>
      </c>
      <c r="BQ182" s="686">
        <v>1266133</v>
      </c>
      <c r="BR182" s="686">
        <v>17862689</v>
      </c>
      <c r="BS182" s="686">
        <v>1450822</v>
      </c>
      <c r="BT182" s="686">
        <v>10758616</v>
      </c>
      <c r="BU182" s="686">
        <v>613102</v>
      </c>
      <c r="BV182" s="686">
        <v>4252235</v>
      </c>
      <c r="BW182" s="686">
        <v>601287</v>
      </c>
      <c r="BX182" s="686">
        <v>1871435</v>
      </c>
      <c r="BY182" s="686">
        <v>745349</v>
      </c>
      <c r="BZ182" s="686">
        <v>84639</v>
      </c>
      <c r="CA182" s="686">
        <v>104169</v>
      </c>
      <c r="CB182" s="686">
        <v>99019</v>
      </c>
      <c r="CC182" s="686">
        <v>988995</v>
      </c>
      <c r="CD182" s="686">
        <v>0</v>
      </c>
      <c r="CE182" s="686">
        <v>51409</v>
      </c>
    </row>
    <row r="183" spans="1:83" x14ac:dyDescent="0.25">
      <c r="A183" s="622">
        <v>533</v>
      </c>
      <c r="B183" s="625">
        <v>533</v>
      </c>
      <c r="C183" s="653" t="s">
        <v>573</v>
      </c>
      <c r="D183" s="701" t="s">
        <v>503</v>
      </c>
      <c r="E183" s="638">
        <v>0</v>
      </c>
      <c r="F183" s="621">
        <v>0</v>
      </c>
      <c r="G183" s="621">
        <v>22000</v>
      </c>
      <c r="H183" s="621">
        <v>0</v>
      </c>
      <c r="I183" s="621">
        <v>0</v>
      </c>
      <c r="J183" s="621">
        <v>0</v>
      </c>
      <c r="K183" s="672">
        <v>0</v>
      </c>
      <c r="L183" s="686">
        <v>0</v>
      </c>
      <c r="M183" s="686">
        <v>0</v>
      </c>
      <c r="N183" s="636">
        <v>300102</v>
      </c>
      <c r="O183" s="636">
        <v>0</v>
      </c>
      <c r="P183" s="636">
        <v>585000</v>
      </c>
      <c r="Q183" s="636">
        <v>0</v>
      </c>
      <c r="R183" s="636">
        <v>1614000</v>
      </c>
      <c r="S183" s="636">
        <v>0</v>
      </c>
      <c r="T183" s="636">
        <v>0</v>
      </c>
      <c r="U183" s="636">
        <v>0</v>
      </c>
      <c r="V183" s="636">
        <v>0</v>
      </c>
      <c r="W183" s="636">
        <v>0</v>
      </c>
      <c r="X183" s="636">
        <v>0</v>
      </c>
      <c r="Y183" s="636">
        <v>0</v>
      </c>
      <c r="Z183" s="636">
        <v>0</v>
      </c>
      <c r="AA183" s="636">
        <v>0</v>
      </c>
      <c r="AB183" s="686" t="e">
        <v>#VALUE!</v>
      </c>
      <c r="AC183" s="686">
        <v>20261</v>
      </c>
      <c r="AD183" s="686" t="e">
        <v>#VALUE!</v>
      </c>
      <c r="AE183" s="686">
        <v>0</v>
      </c>
      <c r="AF183" s="686">
        <v>0</v>
      </c>
      <c r="AG183" s="686">
        <v>1090403</v>
      </c>
      <c r="AH183" s="686">
        <v>0</v>
      </c>
      <c r="AI183" s="686">
        <v>0</v>
      </c>
      <c r="AJ183" s="686">
        <v>0</v>
      </c>
      <c r="AK183" s="686">
        <v>0</v>
      </c>
      <c r="AL183" s="686">
        <v>0</v>
      </c>
      <c r="AM183" s="686">
        <v>0</v>
      </c>
      <c r="AN183" s="686">
        <v>361950</v>
      </c>
      <c r="AO183" s="686">
        <v>0</v>
      </c>
      <c r="AP183" s="686">
        <v>58533</v>
      </c>
      <c r="AQ183" s="686">
        <v>0</v>
      </c>
      <c r="AR183" s="686">
        <v>218000</v>
      </c>
      <c r="AS183" s="686">
        <v>0</v>
      </c>
      <c r="AT183" s="686">
        <v>0</v>
      </c>
      <c r="AU183" s="686">
        <v>0</v>
      </c>
      <c r="AV183" s="686">
        <v>0</v>
      </c>
      <c r="AW183" s="686">
        <v>0</v>
      </c>
      <c r="AX183" s="686">
        <v>0</v>
      </c>
      <c r="AY183" s="686">
        <v>0</v>
      </c>
      <c r="AZ183" s="686">
        <v>2148450</v>
      </c>
      <c r="BA183" s="686">
        <v>0</v>
      </c>
      <c r="BB183" s="686">
        <v>0</v>
      </c>
      <c r="BC183" s="686">
        <v>0</v>
      </c>
      <c r="BD183" s="686">
        <v>0</v>
      </c>
      <c r="BE183" s="686">
        <v>0</v>
      </c>
      <c r="BF183" s="686">
        <v>0</v>
      </c>
      <c r="BG183" s="686">
        <v>0</v>
      </c>
      <c r="BH183" s="686">
        <v>0</v>
      </c>
      <c r="BI183" s="686">
        <v>0</v>
      </c>
      <c r="BJ183" s="686">
        <v>0</v>
      </c>
      <c r="BK183" s="686">
        <v>0</v>
      </c>
      <c r="BL183" s="686">
        <v>0</v>
      </c>
      <c r="BM183" s="686">
        <v>0</v>
      </c>
      <c r="BN183" s="686">
        <v>24491</v>
      </c>
      <c r="BO183" s="686">
        <v>0</v>
      </c>
      <c r="BP183" s="686">
        <v>0</v>
      </c>
      <c r="BQ183" s="686">
        <v>588650</v>
      </c>
      <c r="BR183" s="686">
        <v>0</v>
      </c>
      <c r="BS183" s="686">
        <v>0</v>
      </c>
      <c r="BT183" s="686">
        <v>0</v>
      </c>
      <c r="BU183" s="686">
        <v>0</v>
      </c>
      <c r="BV183" s="686">
        <v>0</v>
      </c>
      <c r="BW183" s="686">
        <v>0</v>
      </c>
      <c r="BX183" s="686">
        <v>0</v>
      </c>
      <c r="BY183" s="686">
        <v>5564</v>
      </c>
      <c r="BZ183" s="686">
        <v>0</v>
      </c>
      <c r="CA183" s="686">
        <v>0</v>
      </c>
      <c r="CB183" s="686">
        <v>0</v>
      </c>
      <c r="CC183" s="686">
        <v>30500</v>
      </c>
      <c r="CD183" s="686">
        <v>0</v>
      </c>
      <c r="CE183" s="686">
        <v>0</v>
      </c>
    </row>
    <row r="184" spans="1:83" ht="30" x14ac:dyDescent="0.25">
      <c r="A184" s="622"/>
      <c r="B184" s="625">
        <v>534</v>
      </c>
      <c r="C184" s="653" t="s">
        <v>278</v>
      </c>
      <c r="D184" s="701" t="s">
        <v>504</v>
      </c>
      <c r="E184" s="638"/>
      <c r="F184" s="621"/>
      <c r="G184" s="621"/>
      <c r="H184" s="621"/>
      <c r="I184" s="621"/>
      <c r="J184" s="621"/>
      <c r="K184" s="672"/>
      <c r="L184" s="686"/>
      <c r="M184" s="686"/>
      <c r="N184" s="636"/>
      <c r="O184" s="636"/>
      <c r="P184" s="636"/>
      <c r="Q184" s="636"/>
      <c r="R184" s="636"/>
      <c r="S184" s="636"/>
      <c r="T184" s="636"/>
      <c r="U184" s="636"/>
      <c r="V184" s="636"/>
      <c r="W184" s="636"/>
      <c r="X184" s="636"/>
      <c r="Y184" s="636"/>
      <c r="Z184" s="636"/>
      <c r="AA184" s="636"/>
      <c r="AB184" s="686"/>
      <c r="AC184" s="686"/>
      <c r="AD184" s="686"/>
      <c r="AE184" s="686"/>
      <c r="AF184" s="686"/>
      <c r="AG184" s="686"/>
      <c r="AH184" s="686"/>
      <c r="AI184" s="686"/>
      <c r="AJ184" s="686"/>
      <c r="AK184" s="686"/>
      <c r="AL184" s="686"/>
      <c r="AM184" s="686"/>
      <c r="AN184" s="686"/>
      <c r="AO184" s="686"/>
      <c r="AP184" s="686"/>
      <c r="AQ184" s="686"/>
      <c r="AR184" s="686"/>
      <c r="AS184" s="686"/>
      <c r="AT184" s="686"/>
      <c r="AU184" s="686"/>
      <c r="AV184" s="686"/>
      <c r="AW184" s="686"/>
      <c r="AX184" s="686"/>
      <c r="AY184" s="686"/>
      <c r="AZ184" s="686"/>
      <c r="BA184" s="686"/>
      <c r="BB184" s="686"/>
      <c r="BC184" s="686"/>
      <c r="BD184" s="686"/>
      <c r="BE184" s="686"/>
      <c r="BF184" s="686"/>
      <c r="BG184" s="686"/>
      <c r="BH184" s="686"/>
      <c r="BI184" s="686"/>
      <c r="BJ184" s="686"/>
      <c r="BK184" s="686"/>
      <c r="BL184" s="686"/>
      <c r="BM184" s="686"/>
      <c r="BN184" s="686"/>
      <c r="BO184" s="686"/>
      <c r="BP184" s="686"/>
      <c r="BQ184" s="686"/>
      <c r="BR184" s="686"/>
      <c r="BS184" s="686"/>
      <c r="BT184" s="686"/>
      <c r="BU184" s="686"/>
      <c r="BV184" s="686"/>
      <c r="BW184" s="686"/>
      <c r="BX184" s="686"/>
      <c r="BY184" s="686"/>
      <c r="BZ184" s="686"/>
      <c r="CA184" s="686"/>
      <c r="CB184" s="686"/>
      <c r="CC184" s="686"/>
      <c r="CD184" s="686"/>
      <c r="CE184" s="686"/>
    </row>
    <row r="185" spans="1:83" x14ac:dyDescent="0.25">
      <c r="A185" s="622">
        <v>535</v>
      </c>
      <c r="B185" s="625">
        <v>535</v>
      </c>
      <c r="C185" s="653" t="s">
        <v>256</v>
      </c>
      <c r="D185" s="701" t="s">
        <v>505</v>
      </c>
      <c r="E185" s="638">
        <v>0</v>
      </c>
      <c r="F185" s="621">
        <v>0</v>
      </c>
      <c r="G185" s="621">
        <v>0</v>
      </c>
      <c r="H185" s="621">
        <v>0</v>
      </c>
      <c r="I185" s="621">
        <v>0</v>
      </c>
      <c r="J185" s="621">
        <v>0</v>
      </c>
      <c r="K185" s="672">
        <v>0</v>
      </c>
      <c r="L185" s="686">
        <v>0</v>
      </c>
      <c r="M185" s="686">
        <v>0</v>
      </c>
      <c r="N185" s="636">
        <v>352739</v>
      </c>
      <c r="O185" s="636">
        <v>0</v>
      </c>
      <c r="P185" s="636">
        <v>0</v>
      </c>
      <c r="Q185" s="636">
        <v>0</v>
      </c>
      <c r="R185" s="636">
        <v>17752568</v>
      </c>
      <c r="S185" s="636">
        <v>0</v>
      </c>
      <c r="T185" s="636">
        <v>0</v>
      </c>
      <c r="U185" s="636">
        <v>8562602</v>
      </c>
      <c r="V185" s="636">
        <v>0</v>
      </c>
      <c r="W185" s="636">
        <v>0</v>
      </c>
      <c r="X185" s="636">
        <v>4933104</v>
      </c>
      <c r="Y185" s="636">
        <v>0</v>
      </c>
      <c r="Z185" s="636">
        <v>0</v>
      </c>
      <c r="AA185" s="636">
        <v>0</v>
      </c>
      <c r="AB185" s="686" t="e">
        <v>#VALUE!</v>
      </c>
      <c r="AC185" s="686">
        <v>0</v>
      </c>
      <c r="AD185" s="686" t="e">
        <v>#VALUE!</v>
      </c>
      <c r="AE185" s="686">
        <v>0</v>
      </c>
      <c r="AF185" s="686">
        <v>0</v>
      </c>
      <c r="AG185" s="686">
        <v>229213</v>
      </c>
      <c r="AH185" s="686">
        <v>0</v>
      </c>
      <c r="AI185" s="686">
        <v>0</v>
      </c>
      <c r="AJ185" s="686">
        <v>5714501</v>
      </c>
      <c r="AK185" s="686">
        <v>0</v>
      </c>
      <c r="AL185" s="686">
        <v>0</v>
      </c>
      <c r="AM185" s="686">
        <v>0</v>
      </c>
      <c r="AN185" s="686">
        <v>3746920</v>
      </c>
      <c r="AO185" s="686">
        <v>0</v>
      </c>
      <c r="AP185" s="686">
        <v>0</v>
      </c>
      <c r="AQ185" s="686">
        <v>0</v>
      </c>
      <c r="AR185" s="686">
        <v>0</v>
      </c>
      <c r="AS185" s="686">
        <v>0</v>
      </c>
      <c r="AT185" s="686">
        <v>0</v>
      </c>
      <c r="AU185" s="686">
        <v>0</v>
      </c>
      <c r="AV185" s="686">
        <v>0</v>
      </c>
      <c r="AW185" s="686">
        <v>5533284</v>
      </c>
      <c r="AX185" s="686">
        <v>0</v>
      </c>
      <c r="AY185" s="686">
        <v>0</v>
      </c>
      <c r="AZ185" s="686">
        <v>0</v>
      </c>
      <c r="BA185" s="686">
        <v>0</v>
      </c>
      <c r="BB185" s="686">
        <v>0</v>
      </c>
      <c r="BC185" s="686">
        <v>0</v>
      </c>
      <c r="BD185" s="686">
        <v>0</v>
      </c>
      <c r="BE185" s="686">
        <v>0</v>
      </c>
      <c r="BF185" s="686">
        <v>0</v>
      </c>
      <c r="BG185" s="686">
        <v>0</v>
      </c>
      <c r="BH185" s="686">
        <v>0</v>
      </c>
      <c r="BI185" s="686">
        <v>0</v>
      </c>
      <c r="BJ185" s="686">
        <v>0</v>
      </c>
      <c r="BK185" s="686">
        <v>0</v>
      </c>
      <c r="BL185" s="686">
        <v>1</v>
      </c>
      <c r="BM185" s="686">
        <v>0</v>
      </c>
      <c r="BN185" s="686">
        <v>0</v>
      </c>
      <c r="BO185" s="686">
        <v>0</v>
      </c>
      <c r="BP185" s="686">
        <v>0</v>
      </c>
      <c r="BQ185" s="686">
        <v>0</v>
      </c>
      <c r="BR185" s="686">
        <v>0</v>
      </c>
      <c r="BS185" s="686">
        <v>111800</v>
      </c>
      <c r="BT185" s="686">
        <v>0</v>
      </c>
      <c r="BU185" s="686">
        <v>0</v>
      </c>
      <c r="BV185" s="686">
        <v>0</v>
      </c>
      <c r="BW185" s="686">
        <v>0</v>
      </c>
      <c r="BX185" s="686">
        <v>0</v>
      </c>
      <c r="BY185" s="686">
        <v>0</v>
      </c>
      <c r="BZ185" s="686">
        <v>0</v>
      </c>
      <c r="CA185" s="686">
        <v>0</v>
      </c>
      <c r="CB185" s="686">
        <v>0</v>
      </c>
      <c r="CC185" s="686">
        <v>0</v>
      </c>
      <c r="CD185" s="686">
        <v>0</v>
      </c>
      <c r="CE185" s="686">
        <v>1</v>
      </c>
    </row>
    <row r="186" spans="1:83" x14ac:dyDescent="0.25">
      <c r="A186" s="622">
        <v>536</v>
      </c>
      <c r="B186" s="625">
        <v>536</v>
      </c>
      <c r="C186" s="653" t="s">
        <v>202</v>
      </c>
      <c r="D186" s="701" t="s">
        <v>506</v>
      </c>
      <c r="E186" s="638">
        <v>48258</v>
      </c>
      <c r="F186" s="621">
        <v>33882</v>
      </c>
      <c r="G186" s="621">
        <v>87625</v>
      </c>
      <c r="H186" s="621">
        <v>239355</v>
      </c>
      <c r="I186" s="621">
        <v>0</v>
      </c>
      <c r="J186" s="621">
        <v>0</v>
      </c>
      <c r="K186" s="672">
        <v>0</v>
      </c>
      <c r="L186" s="686">
        <v>21234</v>
      </c>
      <c r="M186" s="686">
        <v>0</v>
      </c>
      <c r="N186" s="636">
        <v>478006</v>
      </c>
      <c r="O186" s="636">
        <v>70937</v>
      </c>
      <c r="P186" s="636">
        <v>800000</v>
      </c>
      <c r="Q186" s="636">
        <v>0</v>
      </c>
      <c r="R186" s="636">
        <v>1842469</v>
      </c>
      <c r="S186" s="636">
        <v>272809</v>
      </c>
      <c r="T186" s="636">
        <v>0</v>
      </c>
      <c r="U186" s="636">
        <v>3656383</v>
      </c>
      <c r="V186" s="636">
        <v>906330</v>
      </c>
      <c r="W186" s="636">
        <v>1888472</v>
      </c>
      <c r="X186" s="636">
        <v>2197117</v>
      </c>
      <c r="Y186" s="636">
        <v>115162</v>
      </c>
      <c r="Z186" s="636">
        <v>1203984</v>
      </c>
      <c r="AA186" s="636">
        <v>127335</v>
      </c>
      <c r="AB186" s="686" t="e">
        <v>#VALUE!</v>
      </c>
      <c r="AC186" s="686">
        <v>257555</v>
      </c>
      <c r="AD186" s="686" t="e">
        <v>#VALUE!</v>
      </c>
      <c r="AE186" s="686">
        <v>0</v>
      </c>
      <c r="AF186" s="686">
        <v>243364</v>
      </c>
      <c r="AG186" s="686">
        <v>6964688</v>
      </c>
      <c r="AH186" s="686">
        <v>210718</v>
      </c>
      <c r="AI186" s="686">
        <v>50710</v>
      </c>
      <c r="AJ186" s="686">
        <v>372641</v>
      </c>
      <c r="AK186" s="686">
        <v>151418</v>
      </c>
      <c r="AL186" s="686">
        <v>24969</v>
      </c>
      <c r="AM186" s="686">
        <v>248830</v>
      </c>
      <c r="AN186" s="686">
        <v>1831387</v>
      </c>
      <c r="AO186" s="686">
        <v>173145</v>
      </c>
      <c r="AP186" s="686">
        <v>78267</v>
      </c>
      <c r="AQ186" s="686">
        <v>0</v>
      </c>
      <c r="AR186" s="686">
        <v>0</v>
      </c>
      <c r="AS186" s="686">
        <v>117978</v>
      </c>
      <c r="AT186" s="686">
        <v>99606</v>
      </c>
      <c r="AU186" s="686">
        <v>535921</v>
      </c>
      <c r="AV186" s="686">
        <v>41033</v>
      </c>
      <c r="AW186" s="686">
        <v>2893026</v>
      </c>
      <c r="AX186" s="686">
        <v>15162</v>
      </c>
      <c r="AY186" s="686">
        <v>144943</v>
      </c>
      <c r="AZ186" s="686">
        <v>14701</v>
      </c>
      <c r="BA186" s="686">
        <v>4186</v>
      </c>
      <c r="BB186" s="686">
        <v>351521</v>
      </c>
      <c r="BC186" s="686">
        <v>0</v>
      </c>
      <c r="BD186" s="686">
        <v>1825</v>
      </c>
      <c r="BE186" s="686">
        <v>655310</v>
      </c>
      <c r="BF186" s="686">
        <v>41195</v>
      </c>
      <c r="BG186" s="686">
        <v>63485</v>
      </c>
      <c r="BH186" s="686">
        <v>25685</v>
      </c>
      <c r="BI186" s="686">
        <v>0</v>
      </c>
      <c r="BJ186" s="686">
        <v>66253</v>
      </c>
      <c r="BK186" s="686">
        <v>44653</v>
      </c>
      <c r="BL186" s="686">
        <v>1676</v>
      </c>
      <c r="BM186" s="686">
        <v>218107</v>
      </c>
      <c r="BN186" s="686">
        <v>139035</v>
      </c>
      <c r="BO186" s="686">
        <v>155546</v>
      </c>
      <c r="BP186" s="686">
        <v>211467</v>
      </c>
      <c r="BQ186" s="686">
        <v>82371</v>
      </c>
      <c r="BR186" s="686">
        <v>0</v>
      </c>
      <c r="BS186" s="686">
        <v>203597</v>
      </c>
      <c r="BT186" s="686">
        <v>367237</v>
      </c>
      <c r="BU186" s="686">
        <v>107401</v>
      </c>
      <c r="BV186" s="686">
        <v>133602</v>
      </c>
      <c r="BW186" s="686">
        <v>0</v>
      </c>
      <c r="BX186" s="686">
        <v>191105</v>
      </c>
      <c r="BY186" s="686">
        <v>352813</v>
      </c>
      <c r="BZ186" s="686">
        <v>158253</v>
      </c>
      <c r="CA186" s="686">
        <v>30266</v>
      </c>
      <c r="CB186" s="686">
        <v>7179</v>
      </c>
      <c r="CC186" s="686">
        <v>26673</v>
      </c>
      <c r="CD186" s="686">
        <v>0</v>
      </c>
      <c r="CE186" s="686">
        <v>22460</v>
      </c>
    </row>
    <row r="187" spans="1:83" ht="30" x14ac:dyDescent="0.25">
      <c r="A187" s="622">
        <v>537</v>
      </c>
      <c r="B187" s="707">
        <v>537</v>
      </c>
      <c r="C187" s="670" t="s">
        <v>1067</v>
      </c>
      <c r="D187" s="706" t="s">
        <v>507</v>
      </c>
      <c r="E187" s="671">
        <v>1</v>
      </c>
      <c r="F187" s="628">
        <v>2</v>
      </c>
      <c r="G187" s="628">
        <v>2</v>
      </c>
      <c r="H187" s="628">
        <v>0</v>
      </c>
      <c r="I187" s="628">
        <v>0</v>
      </c>
      <c r="J187" s="628">
        <v>0</v>
      </c>
      <c r="K187" s="626">
        <v>1</v>
      </c>
      <c r="L187" s="659">
        <v>0</v>
      </c>
      <c r="M187" s="659">
        <v>2</v>
      </c>
      <c r="N187" s="627">
        <v>2</v>
      </c>
      <c r="O187" s="627">
        <v>0</v>
      </c>
      <c r="P187" s="627">
        <v>2</v>
      </c>
      <c r="Q187" s="627">
        <v>0</v>
      </c>
      <c r="R187" s="627">
        <v>1</v>
      </c>
      <c r="S187" s="627">
        <v>2</v>
      </c>
      <c r="T187" s="627">
        <v>0</v>
      </c>
      <c r="U187" s="627">
        <v>2</v>
      </c>
      <c r="V187" s="627">
        <v>1</v>
      </c>
      <c r="W187" s="627">
        <v>2</v>
      </c>
      <c r="X187" s="627">
        <v>2</v>
      </c>
      <c r="Y187" s="627">
        <v>2</v>
      </c>
      <c r="Z187" s="627">
        <v>2</v>
      </c>
      <c r="AA187" s="627">
        <v>1</v>
      </c>
      <c r="AB187" s="659" t="e">
        <v>#VALUE!</v>
      </c>
      <c r="AC187" s="659">
        <v>2</v>
      </c>
      <c r="AD187" s="659" t="e">
        <v>#VALUE!</v>
      </c>
      <c r="AE187" s="659">
        <v>2</v>
      </c>
      <c r="AF187" s="659">
        <v>2</v>
      </c>
      <c r="AG187" s="659">
        <v>2</v>
      </c>
      <c r="AH187" s="659">
        <v>2</v>
      </c>
      <c r="AI187" s="659">
        <v>2</v>
      </c>
      <c r="AJ187" s="659">
        <v>2</v>
      </c>
      <c r="AK187" s="659">
        <v>2</v>
      </c>
      <c r="AL187" s="659">
        <v>2</v>
      </c>
      <c r="AM187" s="659">
        <v>2</v>
      </c>
      <c r="AN187" s="659">
        <v>1</v>
      </c>
      <c r="AO187" s="659">
        <v>1</v>
      </c>
      <c r="AP187" s="659">
        <v>2</v>
      </c>
      <c r="AQ187" s="659">
        <v>0</v>
      </c>
      <c r="AR187" s="659">
        <v>0</v>
      </c>
      <c r="AS187" s="659">
        <v>2</v>
      </c>
      <c r="AT187" s="659">
        <v>1</v>
      </c>
      <c r="AU187" s="659">
        <v>2</v>
      </c>
      <c r="AV187" s="659">
        <v>0</v>
      </c>
      <c r="AW187" s="659">
        <v>2</v>
      </c>
      <c r="AX187" s="659">
        <v>2</v>
      </c>
      <c r="AY187" s="659">
        <v>2</v>
      </c>
      <c r="AZ187" s="659">
        <v>2</v>
      </c>
      <c r="BA187" s="659">
        <v>2</v>
      </c>
      <c r="BB187" s="659">
        <v>2</v>
      </c>
      <c r="BC187" s="659">
        <v>2</v>
      </c>
      <c r="BD187" s="659">
        <v>1</v>
      </c>
      <c r="BE187" s="659">
        <v>1</v>
      </c>
      <c r="BF187" s="659">
        <v>0</v>
      </c>
      <c r="BG187" s="659">
        <v>2</v>
      </c>
      <c r="BH187" s="659">
        <v>2</v>
      </c>
      <c r="BI187" s="659">
        <v>0</v>
      </c>
      <c r="BJ187" s="659">
        <v>1</v>
      </c>
      <c r="BK187" s="659">
        <v>0</v>
      </c>
      <c r="BL187" s="659">
        <v>2</v>
      </c>
      <c r="BM187" s="659">
        <v>2</v>
      </c>
      <c r="BN187" s="659">
        <v>2</v>
      </c>
      <c r="BO187" s="659">
        <v>2</v>
      </c>
      <c r="BP187" s="659">
        <v>2</v>
      </c>
      <c r="BQ187" s="659">
        <v>2</v>
      </c>
      <c r="BR187" s="659">
        <v>0</v>
      </c>
      <c r="BS187" s="659">
        <v>2</v>
      </c>
      <c r="BT187" s="659">
        <v>2</v>
      </c>
      <c r="BU187" s="659">
        <v>1</v>
      </c>
      <c r="BV187" s="659">
        <v>2</v>
      </c>
      <c r="BW187" s="659">
        <v>2</v>
      </c>
      <c r="BX187" s="659">
        <v>2</v>
      </c>
      <c r="BY187" s="659">
        <v>1</v>
      </c>
      <c r="BZ187" s="659">
        <v>2</v>
      </c>
      <c r="CA187" s="659">
        <v>2</v>
      </c>
      <c r="CB187" s="659">
        <v>2</v>
      </c>
      <c r="CC187" s="659">
        <v>2</v>
      </c>
      <c r="CD187" s="659">
        <v>0</v>
      </c>
      <c r="CE187" s="659">
        <v>2</v>
      </c>
    </row>
    <row r="188" spans="1:83" ht="45" x14ac:dyDescent="0.25">
      <c r="A188" s="622">
        <v>538</v>
      </c>
      <c r="B188" s="707">
        <v>538</v>
      </c>
      <c r="C188" s="670" t="s">
        <v>1068</v>
      </c>
      <c r="D188" s="706" t="s">
        <v>508</v>
      </c>
      <c r="E188" s="671">
        <v>1</v>
      </c>
      <c r="F188" s="628">
        <v>2</v>
      </c>
      <c r="G188" s="628">
        <v>2</v>
      </c>
      <c r="H188" s="628">
        <v>0</v>
      </c>
      <c r="I188" s="628">
        <v>0</v>
      </c>
      <c r="J188" s="628">
        <v>0</v>
      </c>
      <c r="K188" s="626">
        <v>2</v>
      </c>
      <c r="L188" s="659">
        <v>0</v>
      </c>
      <c r="M188" s="659">
        <v>2</v>
      </c>
      <c r="N188" s="627">
        <v>2</v>
      </c>
      <c r="O188" s="627">
        <v>0</v>
      </c>
      <c r="P188" s="627">
        <v>0</v>
      </c>
      <c r="Q188" s="627">
        <v>0</v>
      </c>
      <c r="R188" s="627">
        <v>1</v>
      </c>
      <c r="S188" s="627">
        <v>2</v>
      </c>
      <c r="T188" s="627">
        <v>0</v>
      </c>
      <c r="U188" s="627">
        <v>2</v>
      </c>
      <c r="V188" s="627">
        <v>2</v>
      </c>
      <c r="W188" s="627">
        <v>1</v>
      </c>
      <c r="X188" s="627">
        <v>2</v>
      </c>
      <c r="Y188" s="627">
        <v>2</v>
      </c>
      <c r="Z188" s="627">
        <v>0</v>
      </c>
      <c r="AA188" s="627">
        <v>2</v>
      </c>
      <c r="AB188" s="659" t="e">
        <v>#VALUE!</v>
      </c>
      <c r="AC188" s="659">
        <v>2</v>
      </c>
      <c r="AD188" s="659" t="e">
        <v>#VALUE!</v>
      </c>
      <c r="AE188" s="659">
        <v>2</v>
      </c>
      <c r="AF188" s="659">
        <v>1</v>
      </c>
      <c r="AG188" s="659">
        <v>1</v>
      </c>
      <c r="AH188" s="659">
        <v>2</v>
      </c>
      <c r="AI188" s="659">
        <v>2</v>
      </c>
      <c r="AJ188" s="659">
        <v>2</v>
      </c>
      <c r="AK188" s="659">
        <v>2</v>
      </c>
      <c r="AL188" s="659">
        <v>2</v>
      </c>
      <c r="AM188" s="659">
        <v>2</v>
      </c>
      <c r="AN188" s="659">
        <v>1</v>
      </c>
      <c r="AO188" s="659">
        <v>2</v>
      </c>
      <c r="AP188" s="659">
        <v>2</v>
      </c>
      <c r="AQ188" s="659">
        <v>0</v>
      </c>
      <c r="AR188" s="659">
        <v>0</v>
      </c>
      <c r="AS188" s="659">
        <v>2</v>
      </c>
      <c r="AT188" s="659">
        <v>2</v>
      </c>
      <c r="AU188" s="659">
        <v>1</v>
      </c>
      <c r="AV188" s="659">
        <v>0</v>
      </c>
      <c r="AW188" s="659">
        <v>2</v>
      </c>
      <c r="AX188" s="659">
        <v>2</v>
      </c>
      <c r="AY188" s="659">
        <v>2</v>
      </c>
      <c r="AZ188" s="659">
        <v>2</v>
      </c>
      <c r="BA188" s="659">
        <v>2</v>
      </c>
      <c r="BB188" s="659">
        <v>2</v>
      </c>
      <c r="BC188" s="659">
        <v>2</v>
      </c>
      <c r="BD188" s="659">
        <v>1</v>
      </c>
      <c r="BE188" s="659">
        <v>1</v>
      </c>
      <c r="BF188" s="659">
        <v>0</v>
      </c>
      <c r="BG188" s="659">
        <v>2</v>
      </c>
      <c r="BH188" s="659">
        <v>2</v>
      </c>
      <c r="BI188" s="659">
        <v>0</v>
      </c>
      <c r="BJ188" s="659">
        <v>1</v>
      </c>
      <c r="BK188" s="659">
        <v>2</v>
      </c>
      <c r="BL188" s="659">
        <v>2</v>
      </c>
      <c r="BM188" s="659">
        <v>2</v>
      </c>
      <c r="BN188" s="659">
        <v>1</v>
      </c>
      <c r="BO188" s="659">
        <v>2</v>
      </c>
      <c r="BP188" s="659">
        <v>2</v>
      </c>
      <c r="BQ188" s="659">
        <v>2</v>
      </c>
      <c r="BR188" s="659">
        <v>0</v>
      </c>
      <c r="BS188" s="659">
        <v>2</v>
      </c>
      <c r="BT188" s="659">
        <v>2</v>
      </c>
      <c r="BU188" s="659">
        <v>1</v>
      </c>
      <c r="BV188" s="659">
        <v>2</v>
      </c>
      <c r="BW188" s="659">
        <v>2</v>
      </c>
      <c r="BX188" s="659">
        <v>2</v>
      </c>
      <c r="BY188" s="659">
        <v>1</v>
      </c>
      <c r="BZ188" s="659">
        <v>2</v>
      </c>
      <c r="CA188" s="659">
        <v>2</v>
      </c>
      <c r="CB188" s="659">
        <v>2</v>
      </c>
      <c r="CC188" s="659">
        <v>2</v>
      </c>
      <c r="CD188" s="659">
        <v>0</v>
      </c>
      <c r="CE188" s="659">
        <v>2</v>
      </c>
    </row>
    <row r="189" spans="1:83" s="281" customFormat="1" ht="30" x14ac:dyDescent="0.25">
      <c r="A189" s="622"/>
      <c r="B189" s="707">
        <v>539</v>
      </c>
      <c r="C189" s="699" t="s">
        <v>1069</v>
      </c>
      <c r="D189" s="706" t="s">
        <v>509</v>
      </c>
      <c r="E189" s="671">
        <v>0</v>
      </c>
      <c r="F189" s="628">
        <v>0</v>
      </c>
      <c r="G189" s="628">
        <v>0</v>
      </c>
      <c r="H189" s="628">
        <v>0</v>
      </c>
      <c r="I189" s="628">
        <v>0</v>
      </c>
      <c r="J189" s="628">
        <v>0</v>
      </c>
      <c r="K189" s="626">
        <v>0</v>
      </c>
      <c r="L189" s="659">
        <v>0</v>
      </c>
      <c r="M189" s="659">
        <v>0</v>
      </c>
      <c r="N189" s="627">
        <v>0</v>
      </c>
      <c r="O189" s="627">
        <v>0</v>
      </c>
      <c r="P189" s="627">
        <v>0</v>
      </c>
      <c r="Q189" s="627">
        <v>0</v>
      </c>
      <c r="R189" s="627">
        <v>0</v>
      </c>
      <c r="S189" s="627">
        <v>0</v>
      </c>
      <c r="T189" s="627">
        <v>0</v>
      </c>
      <c r="U189" s="627">
        <v>0</v>
      </c>
      <c r="V189" s="627">
        <v>0</v>
      </c>
      <c r="W189" s="627">
        <v>0</v>
      </c>
      <c r="X189" s="627">
        <v>0</v>
      </c>
      <c r="Y189" s="627">
        <v>0</v>
      </c>
      <c r="Z189" s="627">
        <v>0</v>
      </c>
      <c r="AA189" s="627">
        <v>0</v>
      </c>
      <c r="AB189" s="659" t="e">
        <v>#VALUE!</v>
      </c>
      <c r="AC189" s="659">
        <v>0</v>
      </c>
      <c r="AD189" s="659" t="e">
        <v>#VALUE!</v>
      </c>
      <c r="AE189" s="659">
        <v>0</v>
      </c>
      <c r="AF189" s="659">
        <v>0</v>
      </c>
      <c r="AG189" s="659">
        <v>0</v>
      </c>
      <c r="AH189" s="659">
        <v>0</v>
      </c>
      <c r="AI189" s="659">
        <v>0</v>
      </c>
      <c r="AJ189" s="659">
        <v>0</v>
      </c>
      <c r="AK189" s="659">
        <v>0</v>
      </c>
      <c r="AL189" s="659">
        <v>0</v>
      </c>
      <c r="AM189" s="659">
        <v>0</v>
      </c>
      <c r="AN189" s="659">
        <v>0</v>
      </c>
      <c r="AO189" s="659">
        <v>0</v>
      </c>
      <c r="AP189" s="659">
        <v>0</v>
      </c>
      <c r="AQ189" s="659">
        <v>0</v>
      </c>
      <c r="AR189" s="659">
        <v>0</v>
      </c>
      <c r="AS189" s="659">
        <v>0</v>
      </c>
      <c r="AT189" s="659">
        <v>0</v>
      </c>
      <c r="AU189" s="659">
        <v>0</v>
      </c>
      <c r="AV189" s="659">
        <v>0</v>
      </c>
      <c r="AW189" s="659">
        <v>0</v>
      </c>
      <c r="AX189" s="659">
        <v>0</v>
      </c>
      <c r="AY189" s="659">
        <v>0</v>
      </c>
      <c r="AZ189" s="659">
        <v>0</v>
      </c>
      <c r="BA189" s="659">
        <v>0</v>
      </c>
      <c r="BB189" s="659">
        <v>0</v>
      </c>
      <c r="BC189" s="659">
        <v>0</v>
      </c>
      <c r="BD189" s="659">
        <v>0</v>
      </c>
      <c r="BE189" s="659">
        <v>0</v>
      </c>
      <c r="BF189" s="659">
        <v>0</v>
      </c>
      <c r="BG189" s="659">
        <v>0</v>
      </c>
      <c r="BH189" s="659">
        <v>0</v>
      </c>
      <c r="BI189" s="659">
        <v>0</v>
      </c>
      <c r="BJ189" s="659">
        <v>0</v>
      </c>
      <c r="BK189" s="659">
        <v>0</v>
      </c>
      <c r="BL189" s="659">
        <v>0</v>
      </c>
      <c r="BM189" s="659">
        <v>0</v>
      </c>
      <c r="BN189" s="659">
        <v>0</v>
      </c>
      <c r="BO189" s="659">
        <v>0</v>
      </c>
      <c r="BP189" s="659">
        <v>0</v>
      </c>
      <c r="BQ189" s="659">
        <v>0</v>
      </c>
      <c r="BR189" s="659">
        <v>0</v>
      </c>
      <c r="BS189" s="659">
        <v>0</v>
      </c>
      <c r="BT189" s="659">
        <v>0</v>
      </c>
      <c r="BU189" s="659">
        <v>0</v>
      </c>
      <c r="BV189" s="659">
        <v>0</v>
      </c>
      <c r="BW189" s="659">
        <v>0</v>
      </c>
      <c r="BX189" s="659">
        <v>0</v>
      </c>
      <c r="BY189" s="659">
        <v>0</v>
      </c>
      <c r="BZ189" s="659">
        <v>0</v>
      </c>
      <c r="CA189" s="659">
        <v>0</v>
      </c>
      <c r="CB189" s="659">
        <v>0</v>
      </c>
      <c r="CC189" s="659">
        <v>0</v>
      </c>
      <c r="CD189" s="659">
        <v>0</v>
      </c>
      <c r="CE189" s="659">
        <v>0</v>
      </c>
    </row>
    <row r="190" spans="1:83" ht="30" x14ac:dyDescent="0.25">
      <c r="A190" s="622">
        <v>540</v>
      </c>
      <c r="B190" s="658">
        <v>540</v>
      </c>
      <c r="C190" s="690" t="s">
        <v>1070</v>
      </c>
      <c r="D190" s="652" t="s">
        <v>510</v>
      </c>
      <c r="E190" s="638">
        <v>0</v>
      </c>
      <c r="F190" s="621">
        <v>0</v>
      </c>
      <c r="G190" s="621">
        <v>72585</v>
      </c>
      <c r="H190" s="621">
        <v>0</v>
      </c>
      <c r="I190" s="621">
        <v>873200</v>
      </c>
      <c r="J190" s="621">
        <v>0</v>
      </c>
      <c r="K190" s="672">
        <v>0</v>
      </c>
      <c r="L190" s="686">
        <v>0</v>
      </c>
      <c r="M190" s="686">
        <v>0</v>
      </c>
      <c r="N190" s="636">
        <v>974267</v>
      </c>
      <c r="O190" s="636">
        <v>24450</v>
      </c>
      <c r="P190" s="636">
        <v>0</v>
      </c>
      <c r="Q190" s="636">
        <v>0</v>
      </c>
      <c r="R190" s="636">
        <v>2562646</v>
      </c>
      <c r="S190" s="636">
        <v>0</v>
      </c>
      <c r="T190" s="636">
        <v>1200</v>
      </c>
      <c r="U190" s="636">
        <v>0</v>
      </c>
      <c r="V190" s="636">
        <v>1660014</v>
      </c>
      <c r="W190" s="636">
        <v>96109</v>
      </c>
      <c r="X190" s="636">
        <v>5395000</v>
      </c>
      <c r="Y190" s="636">
        <v>0</v>
      </c>
      <c r="Z190" s="636">
        <v>1315539</v>
      </c>
      <c r="AA190" s="636">
        <v>276651</v>
      </c>
      <c r="AB190" s="686" t="e">
        <v>#VALUE!</v>
      </c>
      <c r="AC190" s="686">
        <v>0</v>
      </c>
      <c r="AD190" s="686" t="e">
        <v>#VALUE!</v>
      </c>
      <c r="AE190" s="686">
        <v>0</v>
      </c>
      <c r="AF190" s="686">
        <v>173805</v>
      </c>
      <c r="AG190" s="686">
        <v>450000</v>
      </c>
      <c r="AH190" s="686">
        <v>127000</v>
      </c>
      <c r="AI190" s="686">
        <v>249946</v>
      </c>
      <c r="AJ190" s="686">
        <v>0</v>
      </c>
      <c r="AK190" s="686">
        <v>390000</v>
      </c>
      <c r="AL190" s="686">
        <v>0</v>
      </c>
      <c r="AM190" s="686">
        <v>0</v>
      </c>
      <c r="AN190" s="686">
        <v>537500</v>
      </c>
      <c r="AO190" s="686">
        <v>179425</v>
      </c>
      <c r="AP190" s="686">
        <v>0</v>
      </c>
      <c r="AQ190" s="686">
        <v>23094</v>
      </c>
      <c r="AR190" s="686">
        <v>0</v>
      </c>
      <c r="AS190" s="686">
        <v>591394</v>
      </c>
      <c r="AT190" s="686">
        <v>0</v>
      </c>
      <c r="AU190" s="686">
        <v>243303</v>
      </c>
      <c r="AV190" s="686">
        <v>0</v>
      </c>
      <c r="AW190" s="686">
        <v>290825</v>
      </c>
      <c r="AX190" s="686">
        <v>90988</v>
      </c>
      <c r="AY190" s="686">
        <v>0</v>
      </c>
      <c r="AZ190" s="686">
        <v>0</v>
      </c>
      <c r="BA190" s="686">
        <v>0</v>
      </c>
      <c r="BB190" s="686">
        <v>0</v>
      </c>
      <c r="BC190" s="686">
        <v>0</v>
      </c>
      <c r="BD190" s="686">
        <v>0</v>
      </c>
      <c r="BE190" s="686">
        <v>0</v>
      </c>
      <c r="BF190" s="686">
        <v>0</v>
      </c>
      <c r="BG190" s="686">
        <v>0</v>
      </c>
      <c r="BH190" s="686">
        <v>0</v>
      </c>
      <c r="BI190" s="686">
        <v>0</v>
      </c>
      <c r="BJ190" s="686">
        <v>130575</v>
      </c>
      <c r="BK190" s="686">
        <v>30000</v>
      </c>
      <c r="BL190" s="686">
        <v>0</v>
      </c>
      <c r="BM190" s="686">
        <v>0</v>
      </c>
      <c r="BN190" s="686">
        <v>0</v>
      </c>
      <c r="BO190" s="686">
        <v>103000</v>
      </c>
      <c r="BP190" s="686">
        <v>48000</v>
      </c>
      <c r="BQ190" s="686">
        <v>0</v>
      </c>
      <c r="BR190" s="686">
        <v>4249380</v>
      </c>
      <c r="BS190" s="686">
        <v>0</v>
      </c>
      <c r="BT190" s="686">
        <v>571000</v>
      </c>
      <c r="BU190" s="686">
        <v>45538</v>
      </c>
      <c r="BV190" s="686">
        <v>14372</v>
      </c>
      <c r="BW190" s="686">
        <v>0</v>
      </c>
      <c r="BX190" s="686">
        <v>0</v>
      </c>
      <c r="BY190" s="686">
        <v>0</v>
      </c>
      <c r="BZ190" s="686">
        <v>0</v>
      </c>
      <c r="CA190" s="686">
        <v>15588</v>
      </c>
      <c r="CB190" s="686">
        <v>0</v>
      </c>
      <c r="CC190" s="686">
        <v>10000</v>
      </c>
      <c r="CD190" s="686">
        <v>0</v>
      </c>
      <c r="CE190" s="686">
        <v>0</v>
      </c>
    </row>
    <row r="191" spans="1:83" ht="30" x14ac:dyDescent="0.25">
      <c r="A191" s="622">
        <v>541</v>
      </c>
      <c r="B191" s="658">
        <v>541</v>
      </c>
      <c r="C191" s="690" t="s">
        <v>1071</v>
      </c>
      <c r="D191" s="652" t="s">
        <v>511</v>
      </c>
      <c r="E191" s="638">
        <v>41529</v>
      </c>
      <c r="F191" s="621">
        <v>0</v>
      </c>
      <c r="G191" s="621">
        <v>22168</v>
      </c>
      <c r="H191" s="621">
        <v>0</v>
      </c>
      <c r="I191" s="621">
        <v>0</v>
      </c>
      <c r="J191" s="621">
        <v>0</v>
      </c>
      <c r="K191" s="672">
        <v>-11405</v>
      </c>
      <c r="L191" s="686">
        <v>0</v>
      </c>
      <c r="M191" s="686">
        <v>0</v>
      </c>
      <c r="N191" s="636">
        <v>0</v>
      </c>
      <c r="O191" s="636">
        <v>0</v>
      </c>
      <c r="P191" s="636">
        <v>222182</v>
      </c>
      <c r="Q191" s="636">
        <v>0</v>
      </c>
      <c r="R191" s="636">
        <v>4116446</v>
      </c>
      <c r="S191" s="636">
        <v>60269</v>
      </c>
      <c r="T191" s="636">
        <v>0</v>
      </c>
      <c r="U191" s="636">
        <v>9169381</v>
      </c>
      <c r="V191" s="636">
        <v>1423676</v>
      </c>
      <c r="W191" s="636">
        <v>1057464</v>
      </c>
      <c r="X191" s="636">
        <v>0</v>
      </c>
      <c r="Y191" s="636">
        <v>-3766</v>
      </c>
      <c r="Z191" s="636">
        <v>297137</v>
      </c>
      <c r="AA191" s="636">
        <v>273681</v>
      </c>
      <c r="AB191" s="686" t="e">
        <v>#VALUE!</v>
      </c>
      <c r="AC191" s="686">
        <v>-158370</v>
      </c>
      <c r="AD191" s="686" t="e">
        <v>#VALUE!</v>
      </c>
      <c r="AE191" s="686">
        <v>22955</v>
      </c>
      <c r="AF191" s="686">
        <v>108943</v>
      </c>
      <c r="AG191" s="686">
        <v>-283913</v>
      </c>
      <c r="AH191" s="686">
        <v>941856</v>
      </c>
      <c r="AI191" s="686">
        <v>-129274</v>
      </c>
      <c r="AJ191" s="686">
        <v>1763115</v>
      </c>
      <c r="AK191" s="686">
        <v>36157</v>
      </c>
      <c r="AL191" s="686">
        <v>134288</v>
      </c>
      <c r="AM191" s="686">
        <v>-292552</v>
      </c>
      <c r="AN191" s="686">
        <v>150014</v>
      </c>
      <c r="AO191" s="686">
        <v>-46620</v>
      </c>
      <c r="AP191" s="686">
        <v>-20768</v>
      </c>
      <c r="AQ191" s="686">
        <v>0</v>
      </c>
      <c r="AR191" s="686">
        <v>0</v>
      </c>
      <c r="AS191" s="686">
        <v>76625</v>
      </c>
      <c r="AT191" s="686">
        <v>-176829</v>
      </c>
      <c r="AU191" s="686">
        <v>-629404</v>
      </c>
      <c r="AV191" s="686">
        <v>0</v>
      </c>
      <c r="AW191" s="686">
        <v>395629</v>
      </c>
      <c r="AX191" s="686">
        <v>0</v>
      </c>
      <c r="AY191" s="686">
        <v>125932</v>
      </c>
      <c r="AZ191" s="686">
        <v>399913</v>
      </c>
      <c r="BA191" s="686">
        <v>47572</v>
      </c>
      <c r="BB191" s="686">
        <v>-20089</v>
      </c>
      <c r="BC191" s="686">
        <v>0</v>
      </c>
      <c r="BD191" s="686">
        <v>25295</v>
      </c>
      <c r="BE191" s="686">
        <v>2042377</v>
      </c>
      <c r="BF191" s="686">
        <v>0</v>
      </c>
      <c r="BG191" s="686">
        <v>39902</v>
      </c>
      <c r="BH191" s="686">
        <v>35756</v>
      </c>
      <c r="BI191" s="686">
        <v>0</v>
      </c>
      <c r="BJ191" s="686">
        <v>65042</v>
      </c>
      <c r="BK191" s="686">
        <v>0</v>
      </c>
      <c r="BL191" s="686">
        <v>434433</v>
      </c>
      <c r="BM191" s="686">
        <v>126715</v>
      </c>
      <c r="BN191" s="686">
        <v>-40177</v>
      </c>
      <c r="BO191" s="686">
        <v>128037</v>
      </c>
      <c r="BP191" s="686">
        <v>79029</v>
      </c>
      <c r="BQ191" s="686">
        <v>90673</v>
      </c>
      <c r="BR191" s="686">
        <v>0</v>
      </c>
      <c r="BS191" s="686">
        <v>305078</v>
      </c>
      <c r="BT191" s="686">
        <v>0</v>
      </c>
      <c r="BU191" s="686">
        <v>60580</v>
      </c>
      <c r="BV191" s="686">
        <v>576736</v>
      </c>
      <c r="BW191" s="686">
        <v>0</v>
      </c>
      <c r="BX191" s="686">
        <v>131264</v>
      </c>
      <c r="BY191" s="686">
        <v>-16694</v>
      </c>
      <c r="BZ191" s="686">
        <v>-3632</v>
      </c>
      <c r="CA191" s="686">
        <v>26428</v>
      </c>
      <c r="CB191" s="686">
        <v>8748</v>
      </c>
      <c r="CC191" s="686">
        <v>30536</v>
      </c>
      <c r="CD191" s="686">
        <v>0</v>
      </c>
      <c r="CE191" s="686">
        <v>2867</v>
      </c>
    </row>
    <row r="192" spans="1:83" ht="30" x14ac:dyDescent="0.25">
      <c r="A192" s="622">
        <v>542</v>
      </c>
      <c r="B192" s="658">
        <v>542</v>
      </c>
      <c r="C192" s="690" t="s">
        <v>1072</v>
      </c>
      <c r="D192" s="652" t="s">
        <v>512</v>
      </c>
      <c r="E192" s="638">
        <v>0</v>
      </c>
      <c r="F192" s="621">
        <v>0</v>
      </c>
      <c r="G192" s="621">
        <v>0</v>
      </c>
      <c r="H192" s="621">
        <v>0</v>
      </c>
      <c r="I192" s="621">
        <v>0</v>
      </c>
      <c r="J192" s="621">
        <v>0</v>
      </c>
      <c r="K192" s="672">
        <v>0</v>
      </c>
      <c r="L192" s="686">
        <v>0</v>
      </c>
      <c r="M192" s="686">
        <v>0</v>
      </c>
      <c r="N192" s="636">
        <v>0</v>
      </c>
      <c r="O192" s="636">
        <v>0</v>
      </c>
      <c r="P192" s="636">
        <v>0</v>
      </c>
      <c r="Q192" s="636">
        <v>0</v>
      </c>
      <c r="R192" s="636">
        <v>5684793</v>
      </c>
      <c r="S192" s="636">
        <v>0</v>
      </c>
      <c r="T192" s="636">
        <v>0</v>
      </c>
      <c r="U192" s="636">
        <v>0</v>
      </c>
      <c r="V192" s="636">
        <v>0</v>
      </c>
      <c r="W192" s="636">
        <v>0</v>
      </c>
      <c r="X192" s="636">
        <v>0</v>
      </c>
      <c r="Y192" s="636">
        <v>0</v>
      </c>
      <c r="Z192" s="636">
        <v>321319</v>
      </c>
      <c r="AA192" s="636">
        <v>94283</v>
      </c>
      <c r="AB192" s="686" t="e">
        <v>#VALUE!</v>
      </c>
      <c r="AC192" s="686">
        <v>0</v>
      </c>
      <c r="AD192" s="686" t="e">
        <v>#VALUE!</v>
      </c>
      <c r="AE192" s="686">
        <v>0</v>
      </c>
      <c r="AF192" s="686">
        <v>0</v>
      </c>
      <c r="AG192" s="686">
        <v>586376</v>
      </c>
      <c r="AH192" s="686">
        <v>0</v>
      </c>
      <c r="AI192" s="686">
        <v>59500</v>
      </c>
      <c r="AJ192" s="686">
        <v>0</v>
      </c>
      <c r="AK192" s="686">
        <v>0</v>
      </c>
      <c r="AL192" s="686">
        <v>0</v>
      </c>
      <c r="AM192" s="686">
        <v>0</v>
      </c>
      <c r="AN192" s="686">
        <v>0</v>
      </c>
      <c r="AO192" s="686">
        <v>0</v>
      </c>
      <c r="AP192" s="686">
        <v>0</v>
      </c>
      <c r="AQ192" s="686">
        <v>0</v>
      </c>
      <c r="AR192" s="686">
        <v>0</v>
      </c>
      <c r="AS192" s="686">
        <v>0</v>
      </c>
      <c r="AT192" s="686">
        <v>0</v>
      </c>
      <c r="AU192" s="686">
        <v>0</v>
      </c>
      <c r="AV192" s="686">
        <v>0</v>
      </c>
      <c r="AW192" s="686">
        <v>3562482</v>
      </c>
      <c r="AX192" s="686">
        <v>0</v>
      </c>
      <c r="AY192" s="686">
        <v>0</v>
      </c>
      <c r="AZ192" s="686">
        <v>0</v>
      </c>
      <c r="BA192" s="686">
        <v>0</v>
      </c>
      <c r="BB192" s="686">
        <v>0</v>
      </c>
      <c r="BC192" s="686">
        <v>0</v>
      </c>
      <c r="BD192" s="686">
        <v>0</v>
      </c>
      <c r="BE192" s="686">
        <v>0</v>
      </c>
      <c r="BF192" s="686">
        <v>0</v>
      </c>
      <c r="BG192" s="686">
        <v>0</v>
      </c>
      <c r="BH192" s="686">
        <v>0</v>
      </c>
      <c r="BI192" s="686">
        <v>0</v>
      </c>
      <c r="BJ192" s="686">
        <v>29972</v>
      </c>
      <c r="BK192" s="686">
        <v>0</v>
      </c>
      <c r="BL192" s="686">
        <v>0</v>
      </c>
      <c r="BM192" s="686">
        <v>0</v>
      </c>
      <c r="BN192" s="686">
        <v>0</v>
      </c>
      <c r="BO192" s="686">
        <v>0</v>
      </c>
      <c r="BP192" s="686">
        <v>0</v>
      </c>
      <c r="BQ192" s="686">
        <v>0</v>
      </c>
      <c r="BR192" s="686">
        <v>0</v>
      </c>
      <c r="BS192" s="686">
        <v>0</v>
      </c>
      <c r="BT192" s="686">
        <v>0</v>
      </c>
      <c r="BU192" s="686">
        <v>0</v>
      </c>
      <c r="BV192" s="686">
        <v>0</v>
      </c>
      <c r="BW192" s="686">
        <v>0</v>
      </c>
      <c r="BX192" s="686">
        <v>0</v>
      </c>
      <c r="BY192" s="686">
        <v>0</v>
      </c>
      <c r="BZ192" s="686">
        <v>0</v>
      </c>
      <c r="CA192" s="686">
        <v>0</v>
      </c>
      <c r="CB192" s="686">
        <v>0</v>
      </c>
      <c r="CC192" s="686">
        <v>0</v>
      </c>
      <c r="CD192" s="686">
        <v>0</v>
      </c>
      <c r="CE192" s="686">
        <v>0</v>
      </c>
    </row>
    <row r="193" spans="1:83" ht="45" x14ac:dyDescent="0.25">
      <c r="A193" s="622"/>
      <c r="B193" s="658">
        <v>543</v>
      </c>
      <c r="C193" s="641" t="s">
        <v>1073</v>
      </c>
      <c r="D193" s="652" t="s">
        <v>513</v>
      </c>
      <c r="E193" s="638">
        <v>0</v>
      </c>
      <c r="F193" s="621">
        <v>0</v>
      </c>
      <c r="G193" s="621">
        <v>0</v>
      </c>
      <c r="H193" s="621">
        <v>0</v>
      </c>
      <c r="I193" s="621">
        <v>0</v>
      </c>
      <c r="J193" s="621">
        <v>0</v>
      </c>
      <c r="K193" s="672">
        <v>0</v>
      </c>
      <c r="L193" s="686">
        <v>0</v>
      </c>
      <c r="M193" s="686">
        <v>0</v>
      </c>
      <c r="N193" s="636">
        <v>0</v>
      </c>
      <c r="O193" s="636">
        <v>0</v>
      </c>
      <c r="P193" s="636">
        <v>0</v>
      </c>
      <c r="Q193" s="636">
        <v>0</v>
      </c>
      <c r="R193" s="636">
        <v>0</v>
      </c>
      <c r="S193" s="636">
        <v>0</v>
      </c>
      <c r="T193" s="636">
        <v>0</v>
      </c>
      <c r="U193" s="636">
        <v>0</v>
      </c>
      <c r="V193" s="636">
        <v>0</v>
      </c>
      <c r="W193" s="636">
        <v>0</v>
      </c>
      <c r="X193" s="636">
        <v>0</v>
      </c>
      <c r="Y193" s="636">
        <v>0</v>
      </c>
      <c r="Z193" s="636">
        <v>0</v>
      </c>
      <c r="AA193" s="636">
        <v>0</v>
      </c>
      <c r="AB193" s="686" t="e">
        <v>#VALUE!</v>
      </c>
      <c r="AC193" s="686">
        <v>0</v>
      </c>
      <c r="AD193" s="686" t="e">
        <v>#VALUE!</v>
      </c>
      <c r="AE193" s="686">
        <v>0</v>
      </c>
      <c r="AF193" s="686">
        <v>0</v>
      </c>
      <c r="AG193" s="686">
        <v>0</v>
      </c>
      <c r="AH193" s="686">
        <v>0</v>
      </c>
      <c r="AI193" s="686">
        <v>0</v>
      </c>
      <c r="AJ193" s="686">
        <v>0</v>
      </c>
      <c r="AK193" s="686">
        <v>0</v>
      </c>
      <c r="AL193" s="686">
        <v>0</v>
      </c>
      <c r="AM193" s="686">
        <v>0</v>
      </c>
      <c r="AN193" s="686">
        <v>0</v>
      </c>
      <c r="AO193" s="686">
        <v>0</v>
      </c>
      <c r="AP193" s="686">
        <v>0</v>
      </c>
      <c r="AQ193" s="686">
        <v>0</v>
      </c>
      <c r="AR193" s="686">
        <v>0</v>
      </c>
      <c r="AS193" s="686">
        <v>0</v>
      </c>
      <c r="AT193" s="686">
        <v>0</v>
      </c>
      <c r="AU193" s="686">
        <v>0</v>
      </c>
      <c r="AV193" s="686">
        <v>0</v>
      </c>
      <c r="AW193" s="686">
        <v>0</v>
      </c>
      <c r="AX193" s="686">
        <v>0</v>
      </c>
      <c r="AY193" s="686">
        <v>0</v>
      </c>
      <c r="AZ193" s="686">
        <v>0</v>
      </c>
      <c r="BA193" s="686">
        <v>0</v>
      </c>
      <c r="BB193" s="686">
        <v>0</v>
      </c>
      <c r="BC193" s="686">
        <v>0</v>
      </c>
      <c r="BD193" s="686">
        <v>0</v>
      </c>
      <c r="BE193" s="686">
        <v>0</v>
      </c>
      <c r="BF193" s="686">
        <v>0</v>
      </c>
      <c r="BG193" s="686">
        <v>0</v>
      </c>
      <c r="BH193" s="686">
        <v>0</v>
      </c>
      <c r="BI193" s="686">
        <v>0</v>
      </c>
      <c r="BJ193" s="686">
        <v>0</v>
      </c>
      <c r="BK193" s="686">
        <v>0</v>
      </c>
      <c r="BL193" s="686">
        <v>0</v>
      </c>
      <c r="BM193" s="686">
        <v>0</v>
      </c>
      <c r="BN193" s="686">
        <v>0</v>
      </c>
      <c r="BO193" s="686">
        <v>0</v>
      </c>
      <c r="BP193" s="686">
        <v>0</v>
      </c>
      <c r="BQ193" s="686">
        <v>0</v>
      </c>
      <c r="BR193" s="686">
        <v>0</v>
      </c>
      <c r="BS193" s="686">
        <v>0</v>
      </c>
      <c r="BT193" s="686">
        <v>0</v>
      </c>
      <c r="BU193" s="686">
        <v>0</v>
      </c>
      <c r="BV193" s="686">
        <v>0</v>
      </c>
      <c r="BW193" s="686">
        <v>0</v>
      </c>
      <c r="BX193" s="686">
        <v>0</v>
      </c>
      <c r="BY193" s="686">
        <v>0</v>
      </c>
      <c r="BZ193" s="686">
        <v>0</v>
      </c>
      <c r="CA193" s="686">
        <v>0</v>
      </c>
      <c r="CB193" s="686">
        <v>0</v>
      </c>
      <c r="CC193" s="686">
        <v>0</v>
      </c>
      <c r="CD193" s="686">
        <v>0</v>
      </c>
      <c r="CE193" s="686">
        <v>0</v>
      </c>
    </row>
    <row r="194" spans="1:83" x14ac:dyDescent="0.25">
      <c r="A194" s="622">
        <v>544</v>
      </c>
      <c r="B194" s="656">
        <v>544</v>
      </c>
      <c r="C194" s="641" t="s">
        <v>55</v>
      </c>
      <c r="D194" s="652" t="s">
        <v>514</v>
      </c>
      <c r="E194" s="644">
        <v>0</v>
      </c>
      <c r="F194" s="637">
        <v>0</v>
      </c>
      <c r="G194" s="637">
        <v>0</v>
      </c>
      <c r="H194" s="637">
        <v>0</v>
      </c>
      <c r="I194" s="637">
        <v>0</v>
      </c>
      <c r="J194" s="637">
        <v>0</v>
      </c>
      <c r="K194" s="623">
        <v>0</v>
      </c>
      <c r="L194" s="655">
        <v>0</v>
      </c>
      <c r="M194" s="655">
        <v>0</v>
      </c>
      <c r="N194" s="633">
        <v>0</v>
      </c>
      <c r="O194" s="633">
        <v>0</v>
      </c>
      <c r="P194" s="633">
        <v>0</v>
      </c>
      <c r="Q194" s="633">
        <v>0</v>
      </c>
      <c r="R194" s="633">
        <v>0</v>
      </c>
      <c r="S194" s="633">
        <v>0</v>
      </c>
      <c r="T194" s="633">
        <v>0</v>
      </c>
      <c r="U194" s="633">
        <v>0</v>
      </c>
      <c r="V194" s="633">
        <v>0</v>
      </c>
      <c r="W194" s="633">
        <v>0</v>
      </c>
      <c r="X194" s="633">
        <v>0</v>
      </c>
      <c r="Y194" s="633">
        <v>0</v>
      </c>
      <c r="Z194" s="633">
        <v>0</v>
      </c>
      <c r="AA194" s="633">
        <v>0</v>
      </c>
      <c r="AB194" s="655" t="e">
        <v>#VALUE!</v>
      </c>
      <c r="AC194" s="655">
        <v>0</v>
      </c>
      <c r="AD194" s="655" t="e">
        <v>#VALUE!</v>
      </c>
      <c r="AE194" s="655">
        <v>0</v>
      </c>
      <c r="AF194" s="655">
        <v>0</v>
      </c>
      <c r="AG194" s="655">
        <v>0</v>
      </c>
      <c r="AH194" s="655">
        <v>0</v>
      </c>
      <c r="AI194" s="655">
        <v>0</v>
      </c>
      <c r="AJ194" s="655">
        <v>0</v>
      </c>
      <c r="AK194" s="655">
        <v>0</v>
      </c>
      <c r="AL194" s="655">
        <v>0</v>
      </c>
      <c r="AM194" s="655">
        <v>0</v>
      </c>
      <c r="AN194" s="655">
        <v>0</v>
      </c>
      <c r="AO194" s="655">
        <v>0</v>
      </c>
      <c r="AP194" s="655">
        <v>0</v>
      </c>
      <c r="AQ194" s="655">
        <v>0</v>
      </c>
      <c r="AR194" s="655">
        <v>0</v>
      </c>
      <c r="AS194" s="655">
        <v>0</v>
      </c>
      <c r="AT194" s="655">
        <v>0</v>
      </c>
      <c r="AU194" s="655">
        <v>0</v>
      </c>
      <c r="AV194" s="655">
        <v>0</v>
      </c>
      <c r="AW194" s="655">
        <v>0</v>
      </c>
      <c r="AX194" s="655">
        <v>0</v>
      </c>
      <c r="AY194" s="655">
        <v>0</v>
      </c>
      <c r="AZ194" s="655">
        <v>0</v>
      </c>
      <c r="BA194" s="655">
        <v>0</v>
      </c>
      <c r="BB194" s="655">
        <v>0</v>
      </c>
      <c r="BC194" s="655">
        <v>0</v>
      </c>
      <c r="BD194" s="655">
        <v>2.25</v>
      </c>
      <c r="BE194" s="655">
        <v>0</v>
      </c>
      <c r="BF194" s="655">
        <v>0</v>
      </c>
      <c r="BG194" s="655">
        <v>0</v>
      </c>
      <c r="BH194" s="655">
        <v>0</v>
      </c>
      <c r="BI194" s="655">
        <v>0.15</v>
      </c>
      <c r="BJ194" s="655">
        <v>0</v>
      </c>
      <c r="BK194" s="655">
        <v>0</v>
      </c>
      <c r="BL194" s="655">
        <v>0</v>
      </c>
      <c r="BM194" s="655">
        <v>0</v>
      </c>
      <c r="BN194" s="655">
        <v>0</v>
      </c>
      <c r="BO194" s="655">
        <v>0</v>
      </c>
      <c r="BP194" s="655">
        <v>0</v>
      </c>
      <c r="BQ194" s="655">
        <v>0</v>
      </c>
      <c r="BR194" s="655">
        <v>0</v>
      </c>
      <c r="BS194" s="655">
        <v>0</v>
      </c>
      <c r="BT194" s="655">
        <v>0.03</v>
      </c>
      <c r="BU194" s="655">
        <v>0</v>
      </c>
      <c r="BV194" s="655">
        <v>0</v>
      </c>
      <c r="BW194" s="655">
        <v>0</v>
      </c>
      <c r="BX194" s="655">
        <v>0</v>
      </c>
      <c r="BY194" s="655">
        <v>0.02</v>
      </c>
      <c r="BZ194" s="655">
        <v>0</v>
      </c>
      <c r="CA194" s="655">
        <v>0</v>
      </c>
      <c r="CB194" s="655">
        <v>0</v>
      </c>
      <c r="CC194" s="655">
        <v>0</v>
      </c>
      <c r="CD194" s="655">
        <v>0</v>
      </c>
      <c r="CE194" s="655">
        <v>0</v>
      </c>
    </row>
    <row r="195" spans="1:83" ht="30" x14ac:dyDescent="0.25">
      <c r="A195" s="630">
        <v>545</v>
      </c>
      <c r="B195" s="656">
        <v>545</v>
      </c>
      <c r="C195" s="641" t="s">
        <v>56</v>
      </c>
      <c r="D195" s="652" t="s">
        <v>515</v>
      </c>
      <c r="E195" s="644">
        <v>0</v>
      </c>
      <c r="F195" s="637">
        <v>0</v>
      </c>
      <c r="G195" s="637">
        <v>0</v>
      </c>
      <c r="H195" s="637">
        <v>0</v>
      </c>
      <c r="I195" s="637">
        <v>0</v>
      </c>
      <c r="J195" s="637">
        <v>0</v>
      </c>
      <c r="K195" s="623">
        <v>0</v>
      </c>
      <c r="L195" s="655">
        <v>0</v>
      </c>
      <c r="M195" s="655">
        <v>0</v>
      </c>
      <c r="N195" s="633">
        <v>0</v>
      </c>
      <c r="O195" s="633">
        <v>0</v>
      </c>
      <c r="P195" s="633">
        <v>0</v>
      </c>
      <c r="Q195" s="633">
        <v>0</v>
      </c>
      <c r="R195" s="633">
        <v>0.03</v>
      </c>
      <c r="S195" s="633">
        <v>0</v>
      </c>
      <c r="T195" s="633">
        <v>0</v>
      </c>
      <c r="U195" s="633">
        <v>0</v>
      </c>
      <c r="V195" s="633">
        <v>0</v>
      </c>
      <c r="W195" s="633">
        <v>0</v>
      </c>
      <c r="X195" s="633">
        <v>0</v>
      </c>
      <c r="Y195" s="633">
        <v>0</v>
      </c>
      <c r="Z195" s="633">
        <v>0.12</v>
      </c>
      <c r="AA195" s="633">
        <v>0</v>
      </c>
      <c r="AB195" s="655" t="e">
        <v>#VALUE!</v>
      </c>
      <c r="AC195" s="655">
        <v>0</v>
      </c>
      <c r="AD195" s="655" t="e">
        <v>#VALUE!</v>
      </c>
      <c r="AE195" s="655">
        <v>0</v>
      </c>
      <c r="AF195" s="655">
        <v>0</v>
      </c>
      <c r="AG195" s="655">
        <v>0.01</v>
      </c>
      <c r="AH195" s="655">
        <v>0.02</v>
      </c>
      <c r="AI195" s="655">
        <v>0</v>
      </c>
      <c r="AJ195" s="655">
        <v>0</v>
      </c>
      <c r="AK195" s="655">
        <v>0</v>
      </c>
      <c r="AL195" s="655">
        <v>0</v>
      </c>
      <c r="AM195" s="655">
        <v>0</v>
      </c>
      <c r="AN195" s="655">
        <v>0</v>
      </c>
      <c r="AO195" s="655">
        <v>0</v>
      </c>
      <c r="AP195" s="655">
        <v>0</v>
      </c>
      <c r="AQ195" s="655">
        <v>0</v>
      </c>
      <c r="AR195" s="655">
        <v>0</v>
      </c>
      <c r="AS195" s="655">
        <v>0</v>
      </c>
      <c r="AT195" s="655">
        <v>0</v>
      </c>
      <c r="AU195" s="655">
        <v>0</v>
      </c>
      <c r="AV195" s="655">
        <v>0</v>
      </c>
      <c r="AW195" s="655">
        <v>0</v>
      </c>
      <c r="AX195" s="655">
        <v>0</v>
      </c>
      <c r="AY195" s="655">
        <v>0</v>
      </c>
      <c r="AZ195" s="655">
        <v>0</v>
      </c>
      <c r="BA195" s="655">
        <v>0</v>
      </c>
      <c r="BB195" s="655">
        <v>0</v>
      </c>
      <c r="BC195" s="655">
        <v>0</v>
      </c>
      <c r="BD195" s="655">
        <v>0</v>
      </c>
      <c r="BE195" s="655">
        <v>0</v>
      </c>
      <c r="BF195" s="655">
        <v>0</v>
      </c>
      <c r="BG195" s="655">
        <v>0</v>
      </c>
      <c r="BH195" s="655">
        <v>0</v>
      </c>
      <c r="BI195" s="655">
        <v>0</v>
      </c>
      <c r="BJ195" s="655">
        <v>0</v>
      </c>
      <c r="BK195" s="655">
        <v>0</v>
      </c>
      <c r="BL195" s="655">
        <v>0</v>
      </c>
      <c r="BM195" s="655">
        <v>0</v>
      </c>
      <c r="BN195" s="655">
        <v>0</v>
      </c>
      <c r="BO195" s="655">
        <v>0</v>
      </c>
      <c r="BP195" s="655">
        <v>0</v>
      </c>
      <c r="BQ195" s="655">
        <v>0</v>
      </c>
      <c r="BR195" s="655">
        <v>0</v>
      </c>
      <c r="BS195" s="655">
        <v>0</v>
      </c>
      <c r="BT195" s="655">
        <v>0</v>
      </c>
      <c r="BU195" s="655">
        <v>0</v>
      </c>
      <c r="BV195" s="655">
        <v>0</v>
      </c>
      <c r="BW195" s="655">
        <v>0</v>
      </c>
      <c r="BX195" s="655">
        <v>0</v>
      </c>
      <c r="BY195" s="655">
        <v>0</v>
      </c>
      <c r="BZ195" s="655">
        <v>0</v>
      </c>
      <c r="CA195" s="655">
        <v>0</v>
      </c>
      <c r="CB195" s="655">
        <v>0</v>
      </c>
      <c r="CC195" s="655">
        <v>0</v>
      </c>
      <c r="CD195" s="655">
        <v>0</v>
      </c>
      <c r="CE195" s="655">
        <v>0</v>
      </c>
    </row>
    <row r="196" spans="1:83" x14ac:dyDescent="0.25">
      <c r="A196" s="630"/>
      <c r="B196" s="656">
        <v>546</v>
      </c>
      <c r="C196" s="641" t="s">
        <v>1074</v>
      </c>
      <c r="D196" s="652" t="s">
        <v>516</v>
      </c>
      <c r="E196" s="638"/>
      <c r="F196" s="621"/>
      <c r="G196" s="621"/>
      <c r="H196" s="621"/>
      <c r="I196" s="621"/>
      <c r="J196" s="621"/>
      <c r="K196" s="672"/>
      <c r="L196" s="686"/>
      <c r="M196" s="686"/>
      <c r="N196" s="636"/>
      <c r="O196" s="636"/>
      <c r="P196" s="636"/>
      <c r="Q196" s="636"/>
      <c r="R196" s="636"/>
      <c r="S196" s="636"/>
      <c r="T196" s="636"/>
      <c r="U196" s="636"/>
      <c r="V196" s="636"/>
      <c r="W196" s="636"/>
      <c r="X196" s="636"/>
      <c r="Y196" s="636"/>
      <c r="Z196" s="636"/>
      <c r="AA196" s="636"/>
      <c r="AB196" s="686"/>
      <c r="AC196" s="686"/>
      <c r="AD196" s="686"/>
      <c r="AE196" s="686"/>
      <c r="AF196" s="686"/>
      <c r="AG196" s="686"/>
      <c r="AH196" s="686"/>
      <c r="AI196" s="686"/>
      <c r="AJ196" s="686"/>
      <c r="AK196" s="686"/>
      <c r="AL196" s="686"/>
      <c r="AM196" s="686"/>
      <c r="AN196" s="686"/>
      <c r="AO196" s="686"/>
      <c r="AP196" s="686"/>
      <c r="AQ196" s="686"/>
      <c r="AR196" s="686"/>
      <c r="AS196" s="686"/>
      <c r="AT196" s="686"/>
      <c r="AU196" s="686"/>
      <c r="AV196" s="686"/>
      <c r="AW196" s="686"/>
      <c r="AX196" s="686"/>
      <c r="AY196" s="686"/>
      <c r="AZ196" s="686"/>
      <c r="BA196" s="686"/>
      <c r="BB196" s="686"/>
      <c r="BC196" s="686"/>
      <c r="BD196" s="686"/>
      <c r="BE196" s="686"/>
      <c r="BF196" s="686"/>
      <c r="BG196" s="686"/>
      <c r="BH196" s="686"/>
      <c r="BI196" s="686"/>
      <c r="BJ196" s="686"/>
      <c r="BK196" s="686"/>
      <c r="BL196" s="686"/>
      <c r="BM196" s="686"/>
      <c r="BN196" s="686"/>
      <c r="BO196" s="686"/>
      <c r="BP196" s="686"/>
      <c r="BQ196" s="686"/>
      <c r="BR196" s="686"/>
      <c r="BS196" s="686"/>
      <c r="BT196" s="686"/>
      <c r="BU196" s="686"/>
      <c r="BV196" s="686"/>
      <c r="BW196" s="686"/>
      <c r="BX196" s="686"/>
      <c r="BY196" s="686"/>
      <c r="BZ196" s="686"/>
      <c r="CA196" s="686"/>
      <c r="CB196" s="686"/>
      <c r="CC196" s="686"/>
      <c r="CD196" s="686"/>
      <c r="CE196" s="686"/>
    </row>
    <row r="197" spans="1:83" ht="90" x14ac:dyDescent="0.25">
      <c r="A197" s="630">
        <v>547</v>
      </c>
      <c r="B197" s="656">
        <v>547</v>
      </c>
      <c r="C197" s="641" t="s">
        <v>1081</v>
      </c>
      <c r="D197" s="652" t="s">
        <v>517</v>
      </c>
      <c r="E197" s="638">
        <v>2</v>
      </c>
      <c r="F197" s="621">
        <v>2</v>
      </c>
      <c r="G197" s="621">
        <v>4</v>
      </c>
      <c r="H197" s="621">
        <v>2</v>
      </c>
      <c r="I197" s="621">
        <v>2</v>
      </c>
      <c r="J197" s="621">
        <v>2</v>
      </c>
      <c r="K197" s="672">
        <v>2</v>
      </c>
      <c r="L197" s="686">
        <v>2</v>
      </c>
      <c r="M197" s="686">
        <v>2</v>
      </c>
      <c r="N197" s="636">
        <v>3</v>
      </c>
      <c r="O197" s="636">
        <v>2</v>
      </c>
      <c r="P197" s="636">
        <v>3</v>
      </c>
      <c r="Q197" s="636">
        <v>2</v>
      </c>
      <c r="R197" s="636">
        <v>3</v>
      </c>
      <c r="S197" s="636">
        <v>2</v>
      </c>
      <c r="T197" s="636">
        <v>2</v>
      </c>
      <c r="U197" s="636">
        <v>3</v>
      </c>
      <c r="V197" s="636">
        <v>3</v>
      </c>
      <c r="W197" s="636">
        <v>3</v>
      </c>
      <c r="X197" s="636">
        <v>3</v>
      </c>
      <c r="Y197" s="636">
        <v>2</v>
      </c>
      <c r="Z197" s="636">
        <v>2</v>
      </c>
      <c r="AA197" s="636">
        <v>2</v>
      </c>
      <c r="AB197" s="686" t="e">
        <v>#VALUE!</v>
      </c>
      <c r="AC197" s="686">
        <v>2</v>
      </c>
      <c r="AD197" s="686" t="e">
        <v>#VALUE!</v>
      </c>
      <c r="AE197" s="686">
        <v>2</v>
      </c>
      <c r="AF197" s="686">
        <v>2</v>
      </c>
      <c r="AG197" s="686">
        <v>3</v>
      </c>
      <c r="AH197" s="686">
        <v>3</v>
      </c>
      <c r="AI197" s="686">
        <v>2</v>
      </c>
      <c r="AJ197" s="686">
        <v>3</v>
      </c>
      <c r="AK197" s="686">
        <v>2</v>
      </c>
      <c r="AL197" s="686">
        <v>2</v>
      </c>
      <c r="AM197" s="686">
        <v>2</v>
      </c>
      <c r="AN197" s="686">
        <v>3</v>
      </c>
      <c r="AO197" s="686">
        <v>2</v>
      </c>
      <c r="AP197" s="686">
        <v>2</v>
      </c>
      <c r="AQ197" s="686">
        <v>2</v>
      </c>
      <c r="AR197" s="686">
        <v>2</v>
      </c>
      <c r="AS197" s="686">
        <v>3</v>
      </c>
      <c r="AT197" s="686">
        <v>2</v>
      </c>
      <c r="AU197" s="686">
        <v>3</v>
      </c>
      <c r="AV197" s="686">
        <v>2</v>
      </c>
      <c r="AW197" s="686">
        <v>3</v>
      </c>
      <c r="AX197" s="686">
        <v>2</v>
      </c>
      <c r="AY197" s="686">
        <v>2</v>
      </c>
      <c r="AZ197" s="686">
        <v>2</v>
      </c>
      <c r="BA197" s="686">
        <v>2</v>
      </c>
      <c r="BB197" s="686">
        <v>2</v>
      </c>
      <c r="BC197" s="686">
        <v>2</v>
      </c>
      <c r="BD197" s="686">
        <v>2</v>
      </c>
      <c r="BE197" s="686">
        <v>3</v>
      </c>
      <c r="BF197" s="686">
        <v>2</v>
      </c>
      <c r="BG197" s="686">
        <v>2</v>
      </c>
      <c r="BH197" s="686">
        <v>2</v>
      </c>
      <c r="BI197" s="686">
        <v>2</v>
      </c>
      <c r="BJ197" s="686">
        <v>2</v>
      </c>
      <c r="BK197" s="686">
        <v>2</v>
      </c>
      <c r="BL197" s="686">
        <v>3</v>
      </c>
      <c r="BM197" s="686">
        <v>2</v>
      </c>
      <c r="BN197" s="686">
        <v>1</v>
      </c>
      <c r="BO197" s="686">
        <v>2</v>
      </c>
      <c r="BP197" s="686">
        <v>2</v>
      </c>
      <c r="BQ197" s="686">
        <v>2</v>
      </c>
      <c r="BR197" s="686">
        <v>2</v>
      </c>
      <c r="BS197" s="686">
        <v>1</v>
      </c>
      <c r="BT197" s="686">
        <v>3</v>
      </c>
      <c r="BU197" s="686">
        <v>3</v>
      </c>
      <c r="BV197" s="686">
        <v>3</v>
      </c>
      <c r="BW197" s="686">
        <v>2</v>
      </c>
      <c r="BX197" s="686">
        <v>2</v>
      </c>
      <c r="BY197" s="686">
        <v>3</v>
      </c>
      <c r="BZ197" s="686">
        <v>2</v>
      </c>
      <c r="CA197" s="686">
        <v>2</v>
      </c>
      <c r="CB197" s="686">
        <v>2</v>
      </c>
      <c r="CC197" s="686">
        <v>2</v>
      </c>
      <c r="CD197" s="686">
        <v>0</v>
      </c>
      <c r="CE197" s="686">
        <v>2</v>
      </c>
    </row>
    <row r="198" spans="1:83" x14ac:dyDescent="0.25">
      <c r="A198" s="630"/>
      <c r="B198" s="656">
        <v>548</v>
      </c>
      <c r="C198" s="664" t="s">
        <v>543</v>
      </c>
      <c r="D198" s="652" t="s">
        <v>574</v>
      </c>
      <c r="E198" s="638">
        <v>0</v>
      </c>
      <c r="F198" s="621">
        <v>0</v>
      </c>
      <c r="G198" s="621">
        <v>0</v>
      </c>
      <c r="H198" s="621">
        <v>0</v>
      </c>
      <c r="I198" s="621">
        <v>0</v>
      </c>
      <c r="J198" s="621">
        <v>0</v>
      </c>
      <c r="K198" s="672">
        <v>0</v>
      </c>
      <c r="L198" s="686">
        <v>0</v>
      </c>
      <c r="M198" s="686">
        <v>0</v>
      </c>
      <c r="N198" s="636">
        <v>0</v>
      </c>
      <c r="O198" s="636">
        <v>0</v>
      </c>
      <c r="P198" s="636">
        <v>0</v>
      </c>
      <c r="Q198" s="636">
        <v>0</v>
      </c>
      <c r="R198" s="636">
        <v>0</v>
      </c>
      <c r="S198" s="636">
        <v>0</v>
      </c>
      <c r="T198" s="636">
        <v>0</v>
      </c>
      <c r="U198" s="636">
        <v>0</v>
      </c>
      <c r="V198" s="636">
        <v>0</v>
      </c>
      <c r="W198" s="636">
        <v>0</v>
      </c>
      <c r="X198" s="636">
        <v>0</v>
      </c>
      <c r="Y198" s="636">
        <v>0</v>
      </c>
      <c r="Z198" s="636">
        <v>0</v>
      </c>
      <c r="AA198" s="636">
        <v>0</v>
      </c>
      <c r="AB198" s="686" t="e">
        <v>#VALUE!</v>
      </c>
      <c r="AC198" s="686">
        <v>0</v>
      </c>
      <c r="AD198" s="686" t="e">
        <v>#VALUE!</v>
      </c>
      <c r="AE198" s="686">
        <v>0</v>
      </c>
      <c r="AF198" s="686">
        <v>0</v>
      </c>
      <c r="AG198" s="686">
        <v>0</v>
      </c>
      <c r="AH198" s="686">
        <v>0</v>
      </c>
      <c r="AI198" s="686">
        <v>0</v>
      </c>
      <c r="AJ198" s="686">
        <v>0</v>
      </c>
      <c r="AK198" s="686">
        <v>0</v>
      </c>
      <c r="AL198" s="686">
        <v>0</v>
      </c>
      <c r="AM198" s="686">
        <v>0</v>
      </c>
      <c r="AN198" s="686">
        <v>0</v>
      </c>
      <c r="AO198" s="686">
        <v>0</v>
      </c>
      <c r="AP198" s="686">
        <v>0</v>
      </c>
      <c r="AQ198" s="686">
        <v>0</v>
      </c>
      <c r="AR198" s="686">
        <v>0</v>
      </c>
      <c r="AS198" s="686">
        <v>0</v>
      </c>
      <c r="AT198" s="686">
        <v>0</v>
      </c>
      <c r="AU198" s="686">
        <v>0</v>
      </c>
      <c r="AV198" s="686">
        <v>0</v>
      </c>
      <c r="AW198" s="686">
        <v>0</v>
      </c>
      <c r="AX198" s="686">
        <v>0</v>
      </c>
      <c r="AY198" s="686">
        <v>0</v>
      </c>
      <c r="AZ198" s="686">
        <v>0</v>
      </c>
      <c r="BA198" s="686">
        <v>0</v>
      </c>
      <c r="BB198" s="686">
        <v>0</v>
      </c>
      <c r="BC198" s="686">
        <v>0</v>
      </c>
      <c r="BD198" s="686">
        <v>0</v>
      </c>
      <c r="BE198" s="686">
        <v>0</v>
      </c>
      <c r="BF198" s="686">
        <v>0</v>
      </c>
      <c r="BG198" s="686">
        <v>0</v>
      </c>
      <c r="BH198" s="686">
        <v>0</v>
      </c>
      <c r="BI198" s="686">
        <v>0</v>
      </c>
      <c r="BJ198" s="686">
        <v>0</v>
      </c>
      <c r="BK198" s="686">
        <v>0</v>
      </c>
      <c r="BL198" s="686">
        <v>0</v>
      </c>
      <c r="BM198" s="686">
        <v>0</v>
      </c>
      <c r="BN198" s="686">
        <v>0</v>
      </c>
      <c r="BO198" s="686">
        <v>0</v>
      </c>
      <c r="BP198" s="686">
        <v>0</v>
      </c>
      <c r="BQ198" s="686">
        <v>0</v>
      </c>
      <c r="BR198" s="686">
        <v>0</v>
      </c>
      <c r="BS198" s="686">
        <v>0</v>
      </c>
      <c r="BT198" s="686">
        <v>0</v>
      </c>
      <c r="BU198" s="686">
        <v>0</v>
      </c>
      <c r="BV198" s="686">
        <v>0</v>
      </c>
      <c r="BW198" s="686">
        <v>0</v>
      </c>
      <c r="BX198" s="686">
        <v>0</v>
      </c>
      <c r="BY198" s="686">
        <v>0</v>
      </c>
      <c r="BZ198" s="686">
        <v>0</v>
      </c>
      <c r="CA198" s="686">
        <v>0</v>
      </c>
      <c r="CB198" s="686">
        <v>0</v>
      </c>
      <c r="CC198" s="686">
        <v>0</v>
      </c>
      <c r="CD198" s="686">
        <v>0</v>
      </c>
      <c r="CE198" s="686">
        <v>0</v>
      </c>
    </row>
    <row r="199" spans="1:83" ht="28.5" x14ac:dyDescent="0.25">
      <c r="A199" s="630"/>
      <c r="B199" s="656">
        <v>549</v>
      </c>
      <c r="C199" s="680" t="s">
        <v>1076</v>
      </c>
      <c r="D199" s="652" t="s">
        <v>575</v>
      </c>
      <c r="E199" s="638">
        <v>0</v>
      </c>
      <c r="F199" s="621">
        <v>0</v>
      </c>
      <c r="G199" s="621">
        <v>0</v>
      </c>
      <c r="H199" s="621">
        <v>0</v>
      </c>
      <c r="I199" s="621">
        <v>0</v>
      </c>
      <c r="J199" s="621">
        <v>0</v>
      </c>
      <c r="K199" s="672">
        <v>0</v>
      </c>
      <c r="L199" s="686">
        <v>0</v>
      </c>
      <c r="M199" s="686">
        <v>0</v>
      </c>
      <c r="N199" s="636">
        <v>0</v>
      </c>
      <c r="O199" s="636">
        <v>0</v>
      </c>
      <c r="P199" s="636">
        <v>0</v>
      </c>
      <c r="Q199" s="636">
        <v>0</v>
      </c>
      <c r="R199" s="636">
        <v>0</v>
      </c>
      <c r="S199" s="636">
        <v>0</v>
      </c>
      <c r="T199" s="636">
        <v>0</v>
      </c>
      <c r="U199" s="636">
        <v>0</v>
      </c>
      <c r="V199" s="636">
        <v>0</v>
      </c>
      <c r="W199" s="636">
        <v>0</v>
      </c>
      <c r="X199" s="636">
        <v>0</v>
      </c>
      <c r="Y199" s="636">
        <v>0</v>
      </c>
      <c r="Z199" s="636">
        <v>0</v>
      </c>
      <c r="AA199" s="636">
        <v>0</v>
      </c>
      <c r="AB199" s="686" t="e">
        <v>#VALUE!</v>
      </c>
      <c r="AC199" s="686">
        <v>0</v>
      </c>
      <c r="AD199" s="686" t="e">
        <v>#VALUE!</v>
      </c>
      <c r="AE199" s="686">
        <v>0</v>
      </c>
      <c r="AF199" s="686">
        <v>0</v>
      </c>
      <c r="AG199" s="686">
        <v>0</v>
      </c>
      <c r="AH199" s="686">
        <v>0</v>
      </c>
      <c r="AI199" s="686">
        <v>0</v>
      </c>
      <c r="AJ199" s="686">
        <v>0</v>
      </c>
      <c r="AK199" s="686">
        <v>0</v>
      </c>
      <c r="AL199" s="686">
        <v>0</v>
      </c>
      <c r="AM199" s="686">
        <v>0</v>
      </c>
      <c r="AN199" s="686">
        <v>0</v>
      </c>
      <c r="AO199" s="686">
        <v>0</v>
      </c>
      <c r="AP199" s="686">
        <v>0</v>
      </c>
      <c r="AQ199" s="686">
        <v>0</v>
      </c>
      <c r="AR199" s="686">
        <v>0</v>
      </c>
      <c r="AS199" s="686">
        <v>0</v>
      </c>
      <c r="AT199" s="686">
        <v>0</v>
      </c>
      <c r="AU199" s="686">
        <v>0</v>
      </c>
      <c r="AV199" s="686">
        <v>0</v>
      </c>
      <c r="AW199" s="686">
        <v>0</v>
      </c>
      <c r="AX199" s="686">
        <v>0</v>
      </c>
      <c r="AY199" s="686">
        <v>0</v>
      </c>
      <c r="AZ199" s="686">
        <v>0</v>
      </c>
      <c r="BA199" s="686">
        <v>0</v>
      </c>
      <c r="BB199" s="686">
        <v>0</v>
      </c>
      <c r="BC199" s="686">
        <v>0</v>
      </c>
      <c r="BD199" s="686">
        <v>0</v>
      </c>
      <c r="BE199" s="686">
        <v>0</v>
      </c>
      <c r="BF199" s="686">
        <v>0</v>
      </c>
      <c r="BG199" s="686">
        <v>0</v>
      </c>
      <c r="BH199" s="686">
        <v>0</v>
      </c>
      <c r="BI199" s="686">
        <v>0</v>
      </c>
      <c r="BJ199" s="686">
        <v>0</v>
      </c>
      <c r="BK199" s="686">
        <v>0</v>
      </c>
      <c r="BL199" s="686">
        <v>0</v>
      </c>
      <c r="BM199" s="686">
        <v>0</v>
      </c>
      <c r="BN199" s="686">
        <v>0</v>
      </c>
      <c r="BO199" s="686">
        <v>0</v>
      </c>
      <c r="BP199" s="686">
        <v>0</v>
      </c>
      <c r="BQ199" s="686">
        <v>0</v>
      </c>
      <c r="BR199" s="686">
        <v>0</v>
      </c>
      <c r="BS199" s="686">
        <v>0</v>
      </c>
      <c r="BT199" s="686">
        <v>0</v>
      </c>
      <c r="BU199" s="686">
        <v>0</v>
      </c>
      <c r="BV199" s="686">
        <v>0</v>
      </c>
      <c r="BW199" s="686">
        <v>0</v>
      </c>
      <c r="BX199" s="686">
        <v>0</v>
      </c>
      <c r="BY199" s="686">
        <v>0</v>
      </c>
      <c r="BZ199" s="686">
        <v>0</v>
      </c>
      <c r="CA199" s="686">
        <v>0</v>
      </c>
      <c r="CB199" s="686">
        <v>0</v>
      </c>
      <c r="CC199" s="686">
        <v>0</v>
      </c>
      <c r="CD199" s="686">
        <v>0</v>
      </c>
      <c r="CE199" s="686">
        <v>0</v>
      </c>
    </row>
    <row r="200" spans="1:83" ht="28.5" x14ac:dyDescent="0.25">
      <c r="A200" s="630"/>
      <c r="B200" s="656">
        <v>550</v>
      </c>
      <c r="C200" s="680" t="s">
        <v>576</v>
      </c>
      <c r="D200" s="652" t="s">
        <v>577</v>
      </c>
      <c r="E200" s="638">
        <v>0</v>
      </c>
      <c r="F200" s="621">
        <v>0</v>
      </c>
      <c r="G200" s="621">
        <v>0</v>
      </c>
      <c r="H200" s="621">
        <v>0</v>
      </c>
      <c r="I200" s="621">
        <v>0</v>
      </c>
      <c r="J200" s="621">
        <v>0</v>
      </c>
      <c r="K200" s="672">
        <v>0</v>
      </c>
      <c r="L200" s="686">
        <v>0</v>
      </c>
      <c r="M200" s="686">
        <v>0</v>
      </c>
      <c r="N200" s="636">
        <v>0</v>
      </c>
      <c r="O200" s="636">
        <v>0</v>
      </c>
      <c r="P200" s="636">
        <v>0</v>
      </c>
      <c r="Q200" s="636">
        <v>0</v>
      </c>
      <c r="R200" s="636">
        <v>0</v>
      </c>
      <c r="S200" s="636">
        <v>0</v>
      </c>
      <c r="T200" s="636">
        <v>0</v>
      </c>
      <c r="U200" s="636">
        <v>0</v>
      </c>
      <c r="V200" s="636">
        <v>0</v>
      </c>
      <c r="W200" s="636">
        <v>0</v>
      </c>
      <c r="X200" s="636">
        <v>0</v>
      </c>
      <c r="Y200" s="636">
        <v>0</v>
      </c>
      <c r="Z200" s="636">
        <v>0</v>
      </c>
      <c r="AA200" s="636">
        <v>0</v>
      </c>
      <c r="AB200" s="686" t="e">
        <v>#VALUE!</v>
      </c>
      <c r="AC200" s="686">
        <v>0</v>
      </c>
      <c r="AD200" s="686" t="e">
        <v>#VALUE!</v>
      </c>
      <c r="AE200" s="686">
        <v>0</v>
      </c>
      <c r="AF200" s="686">
        <v>0</v>
      </c>
      <c r="AG200" s="686">
        <v>0</v>
      </c>
      <c r="AH200" s="686">
        <v>0</v>
      </c>
      <c r="AI200" s="686">
        <v>0</v>
      </c>
      <c r="AJ200" s="686">
        <v>0</v>
      </c>
      <c r="AK200" s="686">
        <v>0</v>
      </c>
      <c r="AL200" s="686">
        <v>0</v>
      </c>
      <c r="AM200" s="686">
        <v>0</v>
      </c>
      <c r="AN200" s="686">
        <v>0</v>
      </c>
      <c r="AO200" s="686">
        <v>0</v>
      </c>
      <c r="AP200" s="686">
        <v>0</v>
      </c>
      <c r="AQ200" s="686">
        <v>0</v>
      </c>
      <c r="AR200" s="686">
        <v>0</v>
      </c>
      <c r="AS200" s="686">
        <v>0</v>
      </c>
      <c r="AT200" s="686">
        <v>0</v>
      </c>
      <c r="AU200" s="686">
        <v>0</v>
      </c>
      <c r="AV200" s="686">
        <v>0</v>
      </c>
      <c r="AW200" s="686">
        <v>0</v>
      </c>
      <c r="AX200" s="686">
        <v>0</v>
      </c>
      <c r="AY200" s="686">
        <v>0</v>
      </c>
      <c r="AZ200" s="686">
        <v>0</v>
      </c>
      <c r="BA200" s="686">
        <v>0</v>
      </c>
      <c r="BB200" s="686">
        <v>0</v>
      </c>
      <c r="BC200" s="686">
        <v>0</v>
      </c>
      <c r="BD200" s="686">
        <v>0</v>
      </c>
      <c r="BE200" s="686">
        <v>0</v>
      </c>
      <c r="BF200" s="686">
        <v>0</v>
      </c>
      <c r="BG200" s="686">
        <v>0</v>
      </c>
      <c r="BH200" s="686">
        <v>0</v>
      </c>
      <c r="BI200" s="686">
        <v>0</v>
      </c>
      <c r="BJ200" s="686">
        <v>0</v>
      </c>
      <c r="BK200" s="686">
        <v>0</v>
      </c>
      <c r="BL200" s="686">
        <v>0</v>
      </c>
      <c r="BM200" s="686">
        <v>0</v>
      </c>
      <c r="BN200" s="686">
        <v>0</v>
      </c>
      <c r="BO200" s="686">
        <v>0</v>
      </c>
      <c r="BP200" s="686">
        <v>0</v>
      </c>
      <c r="BQ200" s="686">
        <v>0</v>
      </c>
      <c r="BR200" s="686">
        <v>0</v>
      </c>
      <c r="BS200" s="686">
        <v>0</v>
      </c>
      <c r="BT200" s="686">
        <v>0</v>
      </c>
      <c r="BU200" s="686">
        <v>0</v>
      </c>
      <c r="BV200" s="686">
        <v>0</v>
      </c>
      <c r="BW200" s="686">
        <v>0</v>
      </c>
      <c r="BX200" s="686">
        <v>0</v>
      </c>
      <c r="BY200" s="686">
        <v>0</v>
      </c>
      <c r="BZ200" s="686">
        <v>0</v>
      </c>
      <c r="CA200" s="686">
        <v>0</v>
      </c>
      <c r="CB200" s="686">
        <v>0</v>
      </c>
      <c r="CC200" s="686">
        <v>0</v>
      </c>
      <c r="CD200" s="686">
        <v>0</v>
      </c>
      <c r="CE200" s="686">
        <v>0</v>
      </c>
    </row>
    <row r="201" spans="1:83" s="281" customFormat="1" ht="71.25" x14ac:dyDescent="0.25">
      <c r="A201" s="630"/>
      <c r="B201" s="707">
        <v>551</v>
      </c>
      <c r="C201" s="631" t="s">
        <v>1077</v>
      </c>
      <c r="D201" s="706" t="s">
        <v>578</v>
      </c>
      <c r="E201" s="671">
        <v>0</v>
      </c>
      <c r="F201" s="628">
        <v>0</v>
      </c>
      <c r="G201" s="628">
        <v>0</v>
      </c>
      <c r="H201" s="628">
        <v>0</v>
      </c>
      <c r="I201" s="628">
        <v>0</v>
      </c>
      <c r="J201" s="628">
        <v>0</v>
      </c>
      <c r="K201" s="626">
        <v>0</v>
      </c>
      <c r="L201" s="659">
        <v>0</v>
      </c>
      <c r="M201" s="659">
        <v>0</v>
      </c>
      <c r="N201" s="627">
        <v>0</v>
      </c>
      <c r="O201" s="627">
        <v>0</v>
      </c>
      <c r="P201" s="627">
        <v>0</v>
      </c>
      <c r="Q201" s="627">
        <v>0</v>
      </c>
      <c r="R201" s="627">
        <v>0</v>
      </c>
      <c r="S201" s="627">
        <v>0</v>
      </c>
      <c r="T201" s="627">
        <v>0</v>
      </c>
      <c r="U201" s="627">
        <v>0</v>
      </c>
      <c r="V201" s="627">
        <v>0</v>
      </c>
      <c r="W201" s="627">
        <v>0</v>
      </c>
      <c r="X201" s="627">
        <v>0</v>
      </c>
      <c r="Y201" s="627">
        <v>0</v>
      </c>
      <c r="Z201" s="627">
        <v>0</v>
      </c>
      <c r="AA201" s="627">
        <v>0</v>
      </c>
      <c r="AB201" s="659" t="e">
        <v>#VALUE!</v>
      </c>
      <c r="AC201" s="659">
        <v>0</v>
      </c>
      <c r="AD201" s="659" t="e">
        <v>#VALUE!</v>
      </c>
      <c r="AE201" s="659">
        <v>0</v>
      </c>
      <c r="AF201" s="659">
        <v>0</v>
      </c>
      <c r="AG201" s="659">
        <v>0</v>
      </c>
      <c r="AH201" s="659">
        <v>0</v>
      </c>
      <c r="AI201" s="659">
        <v>0</v>
      </c>
      <c r="AJ201" s="659">
        <v>0</v>
      </c>
      <c r="AK201" s="659">
        <v>0</v>
      </c>
      <c r="AL201" s="659">
        <v>0</v>
      </c>
      <c r="AM201" s="659">
        <v>0</v>
      </c>
      <c r="AN201" s="659">
        <v>0</v>
      </c>
      <c r="AO201" s="659">
        <v>0</v>
      </c>
      <c r="AP201" s="659">
        <v>0</v>
      </c>
      <c r="AQ201" s="659">
        <v>0</v>
      </c>
      <c r="AR201" s="659">
        <v>0</v>
      </c>
      <c r="AS201" s="659">
        <v>0</v>
      </c>
      <c r="AT201" s="659">
        <v>0</v>
      </c>
      <c r="AU201" s="659">
        <v>0</v>
      </c>
      <c r="AV201" s="659">
        <v>0</v>
      </c>
      <c r="AW201" s="659">
        <v>0</v>
      </c>
      <c r="AX201" s="659">
        <v>0</v>
      </c>
      <c r="AY201" s="659">
        <v>0</v>
      </c>
      <c r="AZ201" s="659">
        <v>0</v>
      </c>
      <c r="BA201" s="659">
        <v>0</v>
      </c>
      <c r="BB201" s="659">
        <v>0</v>
      </c>
      <c r="BC201" s="659">
        <v>0</v>
      </c>
      <c r="BD201" s="659">
        <v>0</v>
      </c>
      <c r="BE201" s="659">
        <v>0</v>
      </c>
      <c r="BF201" s="659">
        <v>0</v>
      </c>
      <c r="BG201" s="659">
        <v>0</v>
      </c>
      <c r="BH201" s="659">
        <v>0</v>
      </c>
      <c r="BI201" s="659">
        <v>0</v>
      </c>
      <c r="BJ201" s="659">
        <v>0</v>
      </c>
      <c r="BK201" s="659">
        <v>0</v>
      </c>
      <c r="BL201" s="659">
        <v>0</v>
      </c>
      <c r="BM201" s="659">
        <v>0</v>
      </c>
      <c r="BN201" s="659">
        <v>0</v>
      </c>
      <c r="BO201" s="659">
        <v>0</v>
      </c>
      <c r="BP201" s="659">
        <v>0</v>
      </c>
      <c r="BQ201" s="659">
        <v>0</v>
      </c>
      <c r="BR201" s="659">
        <v>0</v>
      </c>
      <c r="BS201" s="659">
        <v>0</v>
      </c>
      <c r="BT201" s="659">
        <v>0</v>
      </c>
      <c r="BU201" s="659">
        <v>0</v>
      </c>
      <c r="BV201" s="659">
        <v>0</v>
      </c>
      <c r="BW201" s="659">
        <v>0</v>
      </c>
      <c r="BX201" s="659">
        <v>0</v>
      </c>
      <c r="BY201" s="659">
        <v>0</v>
      </c>
      <c r="BZ201" s="659">
        <v>0</v>
      </c>
      <c r="CA201" s="659">
        <v>0</v>
      </c>
      <c r="CB201" s="659">
        <v>0</v>
      </c>
      <c r="CC201" s="659">
        <v>0</v>
      </c>
      <c r="CD201" s="659">
        <v>0</v>
      </c>
      <c r="CE201" s="659">
        <v>0</v>
      </c>
    </row>
    <row r="202" spans="1:83" ht="28.5" x14ac:dyDescent="0.25">
      <c r="A202" s="630"/>
      <c r="B202" s="656">
        <v>552</v>
      </c>
      <c r="C202" s="648" t="s">
        <v>545</v>
      </c>
      <c r="D202" s="652" t="s">
        <v>579</v>
      </c>
      <c r="E202" s="638">
        <v>0</v>
      </c>
      <c r="F202" s="621">
        <v>0</v>
      </c>
      <c r="G202" s="621">
        <v>0</v>
      </c>
      <c r="H202" s="621">
        <v>0</v>
      </c>
      <c r="I202" s="621">
        <v>0</v>
      </c>
      <c r="J202" s="621">
        <v>0</v>
      </c>
      <c r="K202" s="672">
        <v>0</v>
      </c>
      <c r="L202" s="686">
        <v>0</v>
      </c>
      <c r="M202" s="686">
        <v>0</v>
      </c>
      <c r="N202" s="636">
        <v>0</v>
      </c>
      <c r="O202" s="636">
        <v>0</v>
      </c>
      <c r="P202" s="636">
        <v>0</v>
      </c>
      <c r="Q202" s="636">
        <v>0</v>
      </c>
      <c r="R202" s="636">
        <v>0</v>
      </c>
      <c r="S202" s="636">
        <v>0</v>
      </c>
      <c r="T202" s="636">
        <v>0</v>
      </c>
      <c r="U202" s="636">
        <v>0</v>
      </c>
      <c r="V202" s="636">
        <v>0</v>
      </c>
      <c r="W202" s="636">
        <v>0</v>
      </c>
      <c r="X202" s="636">
        <v>0</v>
      </c>
      <c r="Y202" s="636">
        <v>0</v>
      </c>
      <c r="Z202" s="636">
        <v>0</v>
      </c>
      <c r="AA202" s="636">
        <v>0</v>
      </c>
      <c r="AB202" s="686" t="e">
        <v>#VALUE!</v>
      </c>
      <c r="AC202" s="686">
        <v>0</v>
      </c>
      <c r="AD202" s="686" t="e">
        <v>#VALUE!</v>
      </c>
      <c r="AE202" s="686">
        <v>0</v>
      </c>
      <c r="AF202" s="686">
        <v>0</v>
      </c>
      <c r="AG202" s="686">
        <v>0</v>
      </c>
      <c r="AH202" s="686">
        <v>0</v>
      </c>
      <c r="AI202" s="686">
        <v>0</v>
      </c>
      <c r="AJ202" s="686">
        <v>0</v>
      </c>
      <c r="AK202" s="686">
        <v>0</v>
      </c>
      <c r="AL202" s="686">
        <v>0</v>
      </c>
      <c r="AM202" s="686">
        <v>0</v>
      </c>
      <c r="AN202" s="686">
        <v>0</v>
      </c>
      <c r="AO202" s="686">
        <v>0</v>
      </c>
      <c r="AP202" s="686">
        <v>0</v>
      </c>
      <c r="AQ202" s="686">
        <v>0</v>
      </c>
      <c r="AR202" s="686">
        <v>0</v>
      </c>
      <c r="AS202" s="686">
        <v>0</v>
      </c>
      <c r="AT202" s="686">
        <v>0</v>
      </c>
      <c r="AU202" s="686">
        <v>0</v>
      </c>
      <c r="AV202" s="686">
        <v>0</v>
      </c>
      <c r="AW202" s="686">
        <v>0</v>
      </c>
      <c r="AX202" s="686">
        <v>0</v>
      </c>
      <c r="AY202" s="686">
        <v>0</v>
      </c>
      <c r="AZ202" s="686">
        <v>0</v>
      </c>
      <c r="BA202" s="686">
        <v>0</v>
      </c>
      <c r="BB202" s="686">
        <v>0</v>
      </c>
      <c r="BC202" s="686">
        <v>0</v>
      </c>
      <c r="BD202" s="686">
        <v>0</v>
      </c>
      <c r="BE202" s="686">
        <v>0</v>
      </c>
      <c r="BF202" s="686">
        <v>0</v>
      </c>
      <c r="BG202" s="686">
        <v>0</v>
      </c>
      <c r="BH202" s="686">
        <v>0</v>
      </c>
      <c r="BI202" s="686">
        <v>0</v>
      </c>
      <c r="BJ202" s="686">
        <v>0</v>
      </c>
      <c r="BK202" s="686">
        <v>0</v>
      </c>
      <c r="BL202" s="686">
        <v>0</v>
      </c>
      <c r="BM202" s="686">
        <v>0</v>
      </c>
      <c r="BN202" s="686">
        <v>0</v>
      </c>
      <c r="BO202" s="686">
        <v>0</v>
      </c>
      <c r="BP202" s="686">
        <v>0</v>
      </c>
      <c r="BQ202" s="686">
        <v>0</v>
      </c>
      <c r="BR202" s="686">
        <v>0</v>
      </c>
      <c r="BS202" s="686">
        <v>0</v>
      </c>
      <c r="BT202" s="686">
        <v>0</v>
      </c>
      <c r="BU202" s="686">
        <v>0</v>
      </c>
      <c r="BV202" s="686">
        <v>0</v>
      </c>
      <c r="BW202" s="686">
        <v>0</v>
      </c>
      <c r="BX202" s="686">
        <v>0</v>
      </c>
      <c r="BY202" s="686">
        <v>0</v>
      </c>
      <c r="BZ202" s="686">
        <v>0</v>
      </c>
      <c r="CA202" s="686">
        <v>0</v>
      </c>
      <c r="CB202" s="686">
        <v>0</v>
      </c>
      <c r="CC202" s="686">
        <v>0</v>
      </c>
      <c r="CD202" s="686">
        <v>0</v>
      </c>
      <c r="CE202" s="686">
        <v>0</v>
      </c>
    </row>
    <row r="203" spans="1:83" x14ac:dyDescent="0.25">
      <c r="A203" s="630"/>
      <c r="B203" s="656">
        <v>553</v>
      </c>
      <c r="C203" s="620" t="s">
        <v>580</v>
      </c>
      <c r="D203" s="652" t="s">
        <v>581</v>
      </c>
      <c r="E203" s="638"/>
      <c r="F203" s="621"/>
      <c r="G203" s="621"/>
      <c r="H203" s="621"/>
      <c r="I203" s="621"/>
      <c r="J203" s="621"/>
      <c r="K203" s="672"/>
      <c r="L203" s="686"/>
      <c r="M203" s="686"/>
      <c r="N203" s="636"/>
      <c r="O203" s="636"/>
      <c r="P203" s="636"/>
      <c r="Q203" s="636"/>
      <c r="R203" s="636"/>
      <c r="S203" s="636"/>
      <c r="T203" s="636"/>
      <c r="U203" s="636"/>
      <c r="V203" s="636"/>
      <c r="W203" s="636"/>
      <c r="X203" s="636"/>
      <c r="Y203" s="636"/>
      <c r="Z203" s="636"/>
      <c r="AA203" s="636"/>
      <c r="AB203" s="686"/>
      <c r="AC203" s="686"/>
      <c r="AD203" s="686"/>
      <c r="AE203" s="686"/>
      <c r="AF203" s="686"/>
      <c r="AG203" s="686"/>
      <c r="AH203" s="686"/>
      <c r="AI203" s="686"/>
      <c r="AJ203" s="686"/>
      <c r="AK203" s="686"/>
      <c r="AL203" s="686"/>
      <c r="AM203" s="686"/>
      <c r="AN203" s="686"/>
      <c r="AO203" s="686"/>
      <c r="AP203" s="686"/>
      <c r="AQ203" s="686"/>
      <c r="AR203" s="686"/>
      <c r="AS203" s="686"/>
      <c r="AT203" s="686"/>
      <c r="AU203" s="686"/>
      <c r="AV203" s="686"/>
      <c r="AW203" s="686"/>
      <c r="AX203" s="686"/>
      <c r="AY203" s="686"/>
      <c r="AZ203" s="686"/>
      <c r="BA203" s="686"/>
      <c r="BB203" s="686"/>
      <c r="BC203" s="686"/>
      <c r="BD203" s="686"/>
      <c r="BE203" s="686"/>
      <c r="BF203" s="686"/>
      <c r="BG203" s="686"/>
      <c r="BH203" s="686"/>
      <c r="BI203" s="686"/>
      <c r="BJ203" s="686"/>
      <c r="BK203" s="686"/>
      <c r="BL203" s="686"/>
      <c r="BM203" s="686"/>
      <c r="BN203" s="686"/>
      <c r="BO203" s="686"/>
      <c r="BP203" s="686"/>
      <c r="BQ203" s="686"/>
      <c r="BR203" s="686"/>
      <c r="BS203" s="686"/>
      <c r="BT203" s="686"/>
      <c r="BU203" s="686"/>
      <c r="BV203" s="686"/>
      <c r="BW203" s="686"/>
      <c r="BX203" s="686"/>
      <c r="BY203" s="686"/>
      <c r="BZ203" s="686"/>
      <c r="CA203" s="686"/>
      <c r="CB203" s="686"/>
      <c r="CC203" s="686"/>
      <c r="CD203" s="686"/>
      <c r="CE203" s="686"/>
    </row>
    <row r="204" spans="1:83" ht="43.5" x14ac:dyDescent="0.25">
      <c r="A204" s="622">
        <v>554</v>
      </c>
      <c r="B204" s="707">
        <v>554</v>
      </c>
      <c r="C204" s="631" t="s">
        <v>1082</v>
      </c>
      <c r="D204" s="706" t="s">
        <v>583</v>
      </c>
      <c r="E204" s="671">
        <v>0</v>
      </c>
      <c r="F204" s="628">
        <v>0</v>
      </c>
      <c r="G204" s="628">
        <v>0</v>
      </c>
      <c r="H204" s="628">
        <v>0</v>
      </c>
      <c r="I204" s="628">
        <v>0</v>
      </c>
      <c r="J204" s="628">
        <v>0</v>
      </c>
      <c r="K204" s="626">
        <v>0</v>
      </c>
      <c r="L204" s="659">
        <v>0</v>
      </c>
      <c r="M204" s="659">
        <v>0</v>
      </c>
      <c r="N204" s="627">
        <v>0</v>
      </c>
      <c r="O204" s="627">
        <v>0</v>
      </c>
      <c r="P204" s="627">
        <v>0</v>
      </c>
      <c r="Q204" s="627">
        <v>0</v>
      </c>
      <c r="R204" s="627">
        <v>1394809</v>
      </c>
      <c r="S204" s="627">
        <v>0</v>
      </c>
      <c r="T204" s="627">
        <v>0</v>
      </c>
      <c r="U204" s="627">
        <v>1160337</v>
      </c>
      <c r="V204" s="627">
        <v>1579572</v>
      </c>
      <c r="W204" s="627">
        <v>124736</v>
      </c>
      <c r="X204" s="627">
        <v>2852001</v>
      </c>
      <c r="Y204" s="627">
        <v>0</v>
      </c>
      <c r="Z204" s="627">
        <v>345978</v>
      </c>
      <c r="AA204" s="627">
        <v>0</v>
      </c>
      <c r="AB204" s="659" t="e">
        <v>#VALUE!</v>
      </c>
      <c r="AC204" s="659">
        <v>3899259</v>
      </c>
      <c r="AD204" s="659" t="e">
        <v>#VALUE!</v>
      </c>
      <c r="AE204" s="659">
        <v>0</v>
      </c>
      <c r="AF204" s="659">
        <v>0</v>
      </c>
      <c r="AG204" s="659">
        <v>0</v>
      </c>
      <c r="AH204" s="659">
        <v>0</v>
      </c>
      <c r="AI204" s="659">
        <v>0</v>
      </c>
      <c r="AJ204" s="659">
        <v>415797</v>
      </c>
      <c r="AK204" s="659">
        <v>0</v>
      </c>
      <c r="AL204" s="659">
        <v>0</v>
      </c>
      <c r="AM204" s="659">
        <v>0</v>
      </c>
      <c r="AN204" s="659">
        <v>176548</v>
      </c>
      <c r="AO204" s="659">
        <v>0</v>
      </c>
      <c r="AP204" s="659">
        <v>0</v>
      </c>
      <c r="AQ204" s="659">
        <v>0</v>
      </c>
      <c r="AR204" s="659">
        <v>0</v>
      </c>
      <c r="AS204" s="659">
        <v>0</v>
      </c>
      <c r="AT204" s="659">
        <v>0</v>
      </c>
      <c r="AU204" s="659">
        <v>0</v>
      </c>
      <c r="AV204" s="659">
        <v>0</v>
      </c>
      <c r="AW204" s="659">
        <v>0</v>
      </c>
      <c r="AX204" s="659">
        <v>0</v>
      </c>
      <c r="AY204" s="659">
        <v>0</v>
      </c>
      <c r="AZ204" s="659">
        <v>83010</v>
      </c>
      <c r="BA204" s="659">
        <v>0</v>
      </c>
      <c r="BB204" s="659">
        <v>0</v>
      </c>
      <c r="BC204" s="659">
        <v>0</v>
      </c>
      <c r="BD204" s="659">
        <v>0</v>
      </c>
      <c r="BE204" s="659">
        <v>0</v>
      </c>
      <c r="BF204" s="659">
        <v>0</v>
      </c>
      <c r="BG204" s="659">
        <v>0</v>
      </c>
      <c r="BH204" s="659">
        <v>0</v>
      </c>
      <c r="BI204" s="659">
        <v>0</v>
      </c>
      <c r="BJ204" s="659">
        <v>0</v>
      </c>
      <c r="BK204" s="659">
        <v>0</v>
      </c>
      <c r="BL204" s="659">
        <v>0</v>
      </c>
      <c r="BM204" s="659">
        <v>0</v>
      </c>
      <c r="BN204" s="659">
        <v>0</v>
      </c>
      <c r="BO204" s="659">
        <v>0</v>
      </c>
      <c r="BP204" s="659">
        <v>0</v>
      </c>
      <c r="BQ204" s="659">
        <v>0</v>
      </c>
      <c r="BR204" s="659">
        <v>0</v>
      </c>
      <c r="BS204" s="659">
        <v>0</v>
      </c>
      <c r="BT204" s="659">
        <v>0</v>
      </c>
      <c r="BU204" s="659">
        <v>0</v>
      </c>
      <c r="BV204" s="659">
        <v>0</v>
      </c>
      <c r="BW204" s="659">
        <v>0</v>
      </c>
      <c r="BX204" s="659">
        <v>2221270</v>
      </c>
      <c r="BY204" s="659">
        <v>0</v>
      </c>
      <c r="BZ204" s="659">
        <v>0</v>
      </c>
      <c r="CA204" s="659">
        <v>0</v>
      </c>
      <c r="CB204" s="659">
        <v>0</v>
      </c>
      <c r="CC204" s="659">
        <v>0</v>
      </c>
      <c r="CD204" s="659">
        <v>0</v>
      </c>
      <c r="CE204" s="659">
        <v>0</v>
      </c>
    </row>
    <row r="205" spans="1:83" ht="43.5" x14ac:dyDescent="0.25">
      <c r="A205" s="622">
        <v>555</v>
      </c>
      <c r="B205" s="707">
        <v>555</v>
      </c>
      <c r="C205" s="631" t="s">
        <v>1083</v>
      </c>
      <c r="D205" s="706" t="s">
        <v>585</v>
      </c>
      <c r="E205" s="671">
        <v>0</v>
      </c>
      <c r="F205" s="628">
        <v>0</v>
      </c>
      <c r="G205" s="628">
        <v>0</v>
      </c>
      <c r="H205" s="628">
        <v>0</v>
      </c>
      <c r="I205" s="628">
        <v>0</v>
      </c>
      <c r="J205" s="628">
        <v>0</v>
      </c>
      <c r="K205" s="626">
        <v>0</v>
      </c>
      <c r="L205" s="659">
        <v>0</v>
      </c>
      <c r="M205" s="659">
        <v>0</v>
      </c>
      <c r="N205" s="627">
        <v>0</v>
      </c>
      <c r="O205" s="627">
        <v>0</v>
      </c>
      <c r="P205" s="627">
        <v>0</v>
      </c>
      <c r="Q205" s="627">
        <v>0</v>
      </c>
      <c r="R205" s="627">
        <v>874786</v>
      </c>
      <c r="S205" s="627">
        <v>0</v>
      </c>
      <c r="T205" s="627">
        <v>0</v>
      </c>
      <c r="U205" s="627">
        <v>646862</v>
      </c>
      <c r="V205" s="627">
        <v>1140749</v>
      </c>
      <c r="W205" s="627">
        <v>0</v>
      </c>
      <c r="X205" s="627">
        <v>2835702</v>
      </c>
      <c r="Y205" s="627">
        <v>0</v>
      </c>
      <c r="Z205" s="627">
        <v>0</v>
      </c>
      <c r="AA205" s="627">
        <v>0</v>
      </c>
      <c r="AB205" s="659" t="e">
        <v>#VALUE!</v>
      </c>
      <c r="AC205" s="659">
        <v>3899259</v>
      </c>
      <c r="AD205" s="659" t="e">
        <v>#VALUE!</v>
      </c>
      <c r="AE205" s="659">
        <v>0</v>
      </c>
      <c r="AF205" s="659">
        <v>0</v>
      </c>
      <c r="AG205" s="659">
        <v>0</v>
      </c>
      <c r="AH205" s="659">
        <v>0</v>
      </c>
      <c r="AI205" s="659">
        <v>0</v>
      </c>
      <c r="AJ205" s="659">
        <v>0</v>
      </c>
      <c r="AK205" s="659">
        <v>0</v>
      </c>
      <c r="AL205" s="659">
        <v>0</v>
      </c>
      <c r="AM205" s="659">
        <v>0</v>
      </c>
      <c r="AN205" s="659">
        <v>0</v>
      </c>
      <c r="AO205" s="659">
        <v>0</v>
      </c>
      <c r="AP205" s="659">
        <v>0</v>
      </c>
      <c r="AQ205" s="659">
        <v>0</v>
      </c>
      <c r="AR205" s="659">
        <v>0</v>
      </c>
      <c r="AS205" s="659">
        <v>0</v>
      </c>
      <c r="AT205" s="659">
        <v>0</v>
      </c>
      <c r="AU205" s="659">
        <v>0</v>
      </c>
      <c r="AV205" s="659">
        <v>0</v>
      </c>
      <c r="AW205" s="659">
        <v>0</v>
      </c>
      <c r="AX205" s="659">
        <v>0</v>
      </c>
      <c r="AY205" s="659">
        <v>0</v>
      </c>
      <c r="AZ205" s="659">
        <v>0</v>
      </c>
      <c r="BA205" s="659">
        <v>0</v>
      </c>
      <c r="BB205" s="659">
        <v>0</v>
      </c>
      <c r="BC205" s="659">
        <v>0</v>
      </c>
      <c r="BD205" s="659">
        <v>0</v>
      </c>
      <c r="BE205" s="659">
        <v>0</v>
      </c>
      <c r="BF205" s="659">
        <v>0</v>
      </c>
      <c r="BG205" s="659">
        <v>0</v>
      </c>
      <c r="BH205" s="659">
        <v>0</v>
      </c>
      <c r="BI205" s="659">
        <v>0</v>
      </c>
      <c r="BJ205" s="659">
        <v>0</v>
      </c>
      <c r="BK205" s="659">
        <v>0</v>
      </c>
      <c r="BL205" s="659">
        <v>0</v>
      </c>
      <c r="BM205" s="659">
        <v>0</v>
      </c>
      <c r="BN205" s="659">
        <v>0</v>
      </c>
      <c r="BO205" s="659">
        <v>0</v>
      </c>
      <c r="BP205" s="659">
        <v>0</v>
      </c>
      <c r="BQ205" s="659">
        <v>0</v>
      </c>
      <c r="BR205" s="659">
        <v>0</v>
      </c>
      <c r="BS205" s="659">
        <v>0</v>
      </c>
      <c r="BT205" s="659">
        <v>0</v>
      </c>
      <c r="BU205" s="659">
        <v>0</v>
      </c>
      <c r="BV205" s="659">
        <v>0</v>
      </c>
      <c r="BW205" s="659">
        <v>0</v>
      </c>
      <c r="BX205" s="659">
        <v>2080997</v>
      </c>
      <c r="BY205" s="659">
        <v>0</v>
      </c>
      <c r="BZ205" s="659">
        <v>0</v>
      </c>
      <c r="CA205" s="659">
        <v>0</v>
      </c>
      <c r="CB205" s="659">
        <v>0</v>
      </c>
      <c r="CC205" s="659">
        <v>0</v>
      </c>
      <c r="CD205" s="659">
        <v>0</v>
      </c>
      <c r="CE205" s="659">
        <v>0</v>
      </c>
    </row>
    <row r="206" spans="1:83" ht="29.25" x14ac:dyDescent="0.25">
      <c r="A206" s="622">
        <v>556</v>
      </c>
      <c r="B206" s="707">
        <v>556</v>
      </c>
      <c r="C206" s="631" t="s">
        <v>1084</v>
      </c>
      <c r="D206" s="706" t="s">
        <v>587</v>
      </c>
      <c r="E206" s="671">
        <v>0</v>
      </c>
      <c r="F206" s="628">
        <v>0</v>
      </c>
      <c r="G206" s="628">
        <v>0</v>
      </c>
      <c r="H206" s="628">
        <v>0</v>
      </c>
      <c r="I206" s="628">
        <v>0</v>
      </c>
      <c r="J206" s="628">
        <v>0</v>
      </c>
      <c r="K206" s="626">
        <v>0</v>
      </c>
      <c r="L206" s="659">
        <v>0</v>
      </c>
      <c r="M206" s="659">
        <v>0</v>
      </c>
      <c r="N206" s="627">
        <v>702732</v>
      </c>
      <c r="O206" s="627">
        <v>0</v>
      </c>
      <c r="P206" s="627">
        <v>0</v>
      </c>
      <c r="Q206" s="627">
        <v>0</v>
      </c>
      <c r="R206" s="627">
        <v>944878</v>
      </c>
      <c r="S206" s="627">
        <v>0</v>
      </c>
      <c r="T206" s="627">
        <v>0</v>
      </c>
      <c r="U206" s="627">
        <v>1084093</v>
      </c>
      <c r="V206" s="627">
        <v>513500</v>
      </c>
      <c r="W206" s="627">
        <v>560268</v>
      </c>
      <c r="X206" s="627">
        <v>584029</v>
      </c>
      <c r="Y206" s="627">
        <v>0</v>
      </c>
      <c r="Z206" s="627">
        <v>845682</v>
      </c>
      <c r="AA206" s="627">
        <v>0</v>
      </c>
      <c r="AB206" s="659" t="e">
        <v>#VALUE!</v>
      </c>
      <c r="AC206" s="659">
        <v>393094</v>
      </c>
      <c r="AD206" s="659" t="e">
        <v>#VALUE!</v>
      </c>
      <c r="AE206" s="659">
        <v>0</v>
      </c>
      <c r="AF206" s="659">
        <v>0</v>
      </c>
      <c r="AG206" s="659">
        <v>0</v>
      </c>
      <c r="AH206" s="659">
        <v>0</v>
      </c>
      <c r="AI206" s="659">
        <v>0</v>
      </c>
      <c r="AJ206" s="659">
        <v>918120</v>
      </c>
      <c r="AK206" s="659">
        <v>0</v>
      </c>
      <c r="AL206" s="659">
        <v>0</v>
      </c>
      <c r="AM206" s="659">
        <v>0</v>
      </c>
      <c r="AN206" s="659">
        <v>709482</v>
      </c>
      <c r="AO206" s="659">
        <v>0</v>
      </c>
      <c r="AP206" s="659">
        <v>0</v>
      </c>
      <c r="AQ206" s="659">
        <v>0</v>
      </c>
      <c r="AR206" s="659">
        <v>0</v>
      </c>
      <c r="AS206" s="659">
        <v>0</v>
      </c>
      <c r="AT206" s="659">
        <v>0</v>
      </c>
      <c r="AU206" s="659">
        <v>0</v>
      </c>
      <c r="AV206" s="659">
        <v>0</v>
      </c>
      <c r="AW206" s="659">
        <v>0</v>
      </c>
      <c r="AX206" s="659">
        <v>0</v>
      </c>
      <c r="AY206" s="659">
        <v>0</v>
      </c>
      <c r="AZ206" s="659">
        <v>1631997</v>
      </c>
      <c r="BA206" s="659">
        <v>0</v>
      </c>
      <c r="BB206" s="659">
        <v>0</v>
      </c>
      <c r="BC206" s="659">
        <v>0</v>
      </c>
      <c r="BD206" s="659">
        <v>0</v>
      </c>
      <c r="BE206" s="659">
        <v>0</v>
      </c>
      <c r="BF206" s="659">
        <v>0</v>
      </c>
      <c r="BG206" s="659">
        <v>0</v>
      </c>
      <c r="BH206" s="659">
        <v>0</v>
      </c>
      <c r="BI206" s="659">
        <v>0</v>
      </c>
      <c r="BJ206" s="659">
        <v>0</v>
      </c>
      <c r="BK206" s="659">
        <v>0</v>
      </c>
      <c r="BL206" s="659">
        <v>0</v>
      </c>
      <c r="BM206" s="659">
        <v>0</v>
      </c>
      <c r="BN206" s="659">
        <v>0</v>
      </c>
      <c r="BO206" s="659">
        <v>0</v>
      </c>
      <c r="BP206" s="659">
        <v>0</v>
      </c>
      <c r="BQ206" s="659">
        <v>0</v>
      </c>
      <c r="BR206" s="659">
        <v>0</v>
      </c>
      <c r="BS206" s="659">
        <v>0</v>
      </c>
      <c r="BT206" s="659">
        <v>0</v>
      </c>
      <c r="BU206" s="659">
        <v>0</v>
      </c>
      <c r="BV206" s="659">
        <v>0</v>
      </c>
      <c r="BW206" s="659">
        <v>0</v>
      </c>
      <c r="BX206" s="659">
        <v>218717</v>
      </c>
      <c r="BY206" s="659">
        <v>0</v>
      </c>
      <c r="BZ206" s="659">
        <v>0</v>
      </c>
      <c r="CA206" s="659">
        <v>0</v>
      </c>
      <c r="CB206" s="659">
        <v>0</v>
      </c>
      <c r="CC206" s="659">
        <v>0</v>
      </c>
      <c r="CD206" s="659">
        <v>0</v>
      </c>
      <c r="CE206" s="659">
        <v>0</v>
      </c>
    </row>
    <row r="207" spans="1:83" ht="43.5" x14ac:dyDescent="0.25">
      <c r="A207" s="622">
        <v>557</v>
      </c>
      <c r="B207" s="707">
        <v>557</v>
      </c>
      <c r="C207" s="631" t="s">
        <v>1085</v>
      </c>
      <c r="D207" s="700" t="s">
        <v>589</v>
      </c>
      <c r="E207" s="671">
        <v>0</v>
      </c>
      <c r="F207" s="628">
        <v>0</v>
      </c>
      <c r="G207" s="628">
        <v>0</v>
      </c>
      <c r="H207" s="628">
        <v>0</v>
      </c>
      <c r="I207" s="628">
        <v>0</v>
      </c>
      <c r="J207" s="628">
        <v>0</v>
      </c>
      <c r="K207" s="626">
        <v>0</v>
      </c>
      <c r="L207" s="659">
        <v>0</v>
      </c>
      <c r="M207" s="659">
        <v>0</v>
      </c>
      <c r="N207" s="627">
        <v>702732</v>
      </c>
      <c r="O207" s="627">
        <v>0</v>
      </c>
      <c r="P207" s="627">
        <v>0</v>
      </c>
      <c r="Q207" s="627">
        <v>0</v>
      </c>
      <c r="R207" s="627">
        <v>820674</v>
      </c>
      <c r="S207" s="627">
        <v>0</v>
      </c>
      <c r="T207" s="627">
        <v>0</v>
      </c>
      <c r="U207" s="627">
        <v>861994</v>
      </c>
      <c r="V207" s="627">
        <v>285187</v>
      </c>
      <c r="W207" s="627">
        <v>292016</v>
      </c>
      <c r="X207" s="627">
        <v>569720</v>
      </c>
      <c r="Y207" s="627">
        <v>0</v>
      </c>
      <c r="Z207" s="627">
        <v>404972</v>
      </c>
      <c r="AA207" s="627">
        <v>0</v>
      </c>
      <c r="AB207" s="659" t="e">
        <v>#VALUE!</v>
      </c>
      <c r="AC207" s="659">
        <v>0</v>
      </c>
      <c r="AD207" s="659" t="e">
        <v>#VALUE!</v>
      </c>
      <c r="AE207" s="659">
        <v>0</v>
      </c>
      <c r="AF207" s="659">
        <v>0</v>
      </c>
      <c r="AG207" s="659">
        <v>0</v>
      </c>
      <c r="AH207" s="659">
        <v>0</v>
      </c>
      <c r="AI207" s="659">
        <v>0</v>
      </c>
      <c r="AJ207" s="659">
        <v>874381</v>
      </c>
      <c r="AK207" s="659">
        <v>0</v>
      </c>
      <c r="AL207" s="659">
        <v>0</v>
      </c>
      <c r="AM207" s="659">
        <v>0</v>
      </c>
      <c r="AN207" s="659">
        <v>412358</v>
      </c>
      <c r="AO207" s="659">
        <v>0</v>
      </c>
      <c r="AP207" s="659">
        <v>0</v>
      </c>
      <c r="AQ207" s="659">
        <v>0</v>
      </c>
      <c r="AR207" s="659">
        <v>0</v>
      </c>
      <c r="AS207" s="659">
        <v>0</v>
      </c>
      <c r="AT207" s="659">
        <v>0</v>
      </c>
      <c r="AU207" s="659">
        <v>0</v>
      </c>
      <c r="AV207" s="659">
        <v>0</v>
      </c>
      <c r="AW207" s="659">
        <v>0</v>
      </c>
      <c r="AX207" s="659">
        <v>0</v>
      </c>
      <c r="AY207" s="659">
        <v>0</v>
      </c>
      <c r="AZ207" s="659">
        <v>1470000</v>
      </c>
      <c r="BA207" s="659">
        <v>0</v>
      </c>
      <c r="BB207" s="659">
        <v>0</v>
      </c>
      <c r="BC207" s="659">
        <v>0</v>
      </c>
      <c r="BD207" s="659">
        <v>0</v>
      </c>
      <c r="BE207" s="659">
        <v>0</v>
      </c>
      <c r="BF207" s="659">
        <v>0</v>
      </c>
      <c r="BG207" s="659">
        <v>0</v>
      </c>
      <c r="BH207" s="659">
        <v>0</v>
      </c>
      <c r="BI207" s="659">
        <v>0</v>
      </c>
      <c r="BJ207" s="659">
        <v>0</v>
      </c>
      <c r="BK207" s="659">
        <v>0</v>
      </c>
      <c r="BL207" s="659">
        <v>0</v>
      </c>
      <c r="BM207" s="659">
        <v>0</v>
      </c>
      <c r="BN207" s="659">
        <v>0</v>
      </c>
      <c r="BO207" s="659">
        <v>0</v>
      </c>
      <c r="BP207" s="659">
        <v>0</v>
      </c>
      <c r="BQ207" s="659">
        <v>0</v>
      </c>
      <c r="BR207" s="659">
        <v>0</v>
      </c>
      <c r="BS207" s="659">
        <v>0</v>
      </c>
      <c r="BT207" s="659">
        <v>0</v>
      </c>
      <c r="BU207" s="659">
        <v>0</v>
      </c>
      <c r="BV207" s="659">
        <v>0</v>
      </c>
      <c r="BW207" s="659">
        <v>0</v>
      </c>
      <c r="BX207" s="659">
        <v>0</v>
      </c>
      <c r="BY207" s="659">
        <v>0</v>
      </c>
      <c r="BZ207" s="659">
        <v>0</v>
      </c>
      <c r="CA207" s="659">
        <v>0</v>
      </c>
      <c r="CB207" s="659">
        <v>0</v>
      </c>
      <c r="CC207" s="659">
        <v>0</v>
      </c>
      <c r="CD207" s="659">
        <v>0</v>
      </c>
      <c r="CE207" s="659">
        <v>0</v>
      </c>
    </row>
    <row r="208" spans="1:83" x14ac:dyDescent="0.25">
      <c r="A208" s="622"/>
      <c r="B208" s="697">
        <v>558</v>
      </c>
      <c r="C208" s="664"/>
      <c r="D208" s="652" t="s">
        <v>590</v>
      </c>
      <c r="E208" s="638"/>
      <c r="F208" s="621"/>
      <c r="G208" s="621"/>
      <c r="H208" s="621"/>
      <c r="I208" s="621"/>
      <c r="J208" s="621"/>
      <c r="K208" s="672"/>
      <c r="L208" s="686"/>
      <c r="M208" s="686"/>
      <c r="N208" s="636"/>
      <c r="O208" s="636"/>
      <c r="P208" s="636"/>
      <c r="Q208" s="636"/>
      <c r="R208" s="636"/>
      <c r="S208" s="636"/>
      <c r="T208" s="636"/>
      <c r="U208" s="636"/>
      <c r="V208" s="636"/>
      <c r="W208" s="636"/>
      <c r="X208" s="636"/>
      <c r="Y208" s="636"/>
      <c r="Z208" s="636"/>
      <c r="AA208" s="636"/>
      <c r="AB208" s="686"/>
      <c r="AC208" s="686"/>
      <c r="AD208" s="686"/>
      <c r="AE208" s="686"/>
      <c r="AF208" s="686"/>
      <c r="AG208" s="686"/>
      <c r="AH208" s="686"/>
      <c r="AI208" s="686"/>
      <c r="AJ208" s="686"/>
      <c r="AK208" s="686"/>
      <c r="AL208" s="686"/>
      <c r="AM208" s="686"/>
      <c r="AN208" s="686"/>
      <c r="AO208" s="686"/>
      <c r="AP208" s="686"/>
      <c r="AQ208" s="686"/>
      <c r="AR208" s="686"/>
      <c r="AS208" s="686"/>
      <c r="AT208" s="686"/>
      <c r="AU208" s="686"/>
      <c r="AV208" s="686"/>
      <c r="AW208" s="686"/>
      <c r="AX208" s="686"/>
      <c r="AY208" s="686"/>
      <c r="AZ208" s="686"/>
      <c r="BA208" s="686"/>
      <c r="BB208" s="686"/>
      <c r="BC208" s="686"/>
      <c r="BD208" s="686"/>
      <c r="BE208" s="686"/>
      <c r="BF208" s="686"/>
      <c r="BG208" s="686"/>
      <c r="BH208" s="686"/>
      <c r="BI208" s="686"/>
      <c r="BJ208" s="686"/>
      <c r="BK208" s="686"/>
      <c r="BL208" s="686"/>
      <c r="BM208" s="686"/>
      <c r="BN208" s="686"/>
      <c r="BO208" s="686"/>
      <c r="BP208" s="686"/>
      <c r="BQ208" s="686"/>
      <c r="BR208" s="686"/>
      <c r="BS208" s="686"/>
      <c r="BT208" s="686"/>
      <c r="BU208" s="686"/>
      <c r="BV208" s="686"/>
      <c r="BW208" s="686"/>
      <c r="BX208" s="686"/>
      <c r="BY208" s="686"/>
      <c r="BZ208" s="686"/>
      <c r="CA208" s="686"/>
      <c r="CB208" s="686"/>
      <c r="CC208" s="686"/>
      <c r="CD208" s="686"/>
      <c r="CE208" s="686"/>
    </row>
    <row r="209" spans="1:83" x14ac:dyDescent="0.25">
      <c r="A209" s="622"/>
      <c r="B209" s="697">
        <v>559</v>
      </c>
      <c r="C209" s="664"/>
      <c r="D209" s="652" t="s">
        <v>591</v>
      </c>
      <c r="E209" s="638"/>
      <c r="F209" s="621"/>
      <c r="G209" s="621"/>
      <c r="H209" s="621"/>
      <c r="I209" s="621"/>
      <c r="J209" s="621"/>
      <c r="K209" s="672"/>
      <c r="L209" s="686"/>
      <c r="M209" s="686"/>
      <c r="N209" s="636"/>
      <c r="O209" s="636"/>
      <c r="P209" s="636"/>
      <c r="Q209" s="636"/>
      <c r="R209" s="636"/>
      <c r="S209" s="636"/>
      <c r="T209" s="636"/>
      <c r="U209" s="636"/>
      <c r="V209" s="636"/>
      <c r="W209" s="636"/>
      <c r="X209" s="636"/>
      <c r="Y209" s="636"/>
      <c r="Z209" s="636"/>
      <c r="AA209" s="636"/>
      <c r="AB209" s="686"/>
      <c r="AC209" s="686"/>
      <c r="AD209" s="686"/>
      <c r="AE209" s="686"/>
      <c r="AF209" s="686"/>
      <c r="AG209" s="686"/>
      <c r="AH209" s="686"/>
      <c r="AI209" s="686"/>
      <c r="AJ209" s="686"/>
      <c r="AK209" s="686"/>
      <c r="AL209" s="686"/>
      <c r="AM209" s="686"/>
      <c r="AN209" s="686"/>
      <c r="AO209" s="686"/>
      <c r="AP209" s="686"/>
      <c r="AQ209" s="686"/>
      <c r="AR209" s="686"/>
      <c r="AS209" s="686"/>
      <c r="AT209" s="686"/>
      <c r="AU209" s="686"/>
      <c r="AV209" s="686"/>
      <c r="AW209" s="686"/>
      <c r="AX209" s="686"/>
      <c r="AY209" s="686"/>
      <c r="AZ209" s="686"/>
      <c r="BA209" s="686"/>
      <c r="BB209" s="686"/>
      <c r="BC209" s="686"/>
      <c r="BD209" s="686"/>
      <c r="BE209" s="686"/>
      <c r="BF209" s="686"/>
      <c r="BG209" s="686"/>
      <c r="BH209" s="686"/>
      <c r="BI209" s="686"/>
      <c r="BJ209" s="686"/>
      <c r="BK209" s="686"/>
      <c r="BL209" s="686"/>
      <c r="BM209" s="686"/>
      <c r="BN209" s="686"/>
      <c r="BO209" s="686"/>
      <c r="BP209" s="686"/>
      <c r="BQ209" s="686"/>
      <c r="BR209" s="686"/>
      <c r="BS209" s="686"/>
      <c r="BT209" s="686"/>
      <c r="BU209" s="686"/>
      <c r="BV209" s="686"/>
      <c r="BW209" s="686"/>
      <c r="BX209" s="686"/>
      <c r="BY209" s="686"/>
      <c r="BZ209" s="686"/>
      <c r="CA209" s="686"/>
      <c r="CB209" s="686"/>
      <c r="CC209" s="686"/>
      <c r="CD209" s="686"/>
      <c r="CE209" s="686"/>
    </row>
    <row r="210" spans="1:83" x14ac:dyDescent="0.25">
      <c r="A210" s="622"/>
      <c r="B210" s="697">
        <v>560</v>
      </c>
      <c r="C210" s="664"/>
      <c r="D210" s="652" t="s">
        <v>592</v>
      </c>
      <c r="E210" s="638"/>
      <c r="F210" s="621"/>
      <c r="G210" s="621"/>
      <c r="H210" s="621"/>
      <c r="I210" s="621"/>
      <c r="J210" s="621"/>
      <c r="K210" s="672"/>
      <c r="L210" s="686"/>
      <c r="M210" s="686"/>
      <c r="N210" s="636"/>
      <c r="O210" s="636"/>
      <c r="P210" s="636"/>
      <c r="Q210" s="636"/>
      <c r="R210" s="636"/>
      <c r="S210" s="636"/>
      <c r="T210" s="636"/>
      <c r="U210" s="636"/>
      <c r="V210" s="636"/>
      <c r="W210" s="636"/>
      <c r="X210" s="636"/>
      <c r="Y210" s="636"/>
      <c r="Z210" s="636"/>
      <c r="AA210" s="636"/>
      <c r="AB210" s="686"/>
      <c r="AC210" s="686"/>
      <c r="AD210" s="686"/>
      <c r="AE210" s="686"/>
      <c r="AF210" s="686"/>
      <c r="AG210" s="686"/>
      <c r="AH210" s="686"/>
      <c r="AI210" s="686"/>
      <c r="AJ210" s="686"/>
      <c r="AK210" s="686"/>
      <c r="AL210" s="686"/>
      <c r="AM210" s="686"/>
      <c r="AN210" s="686"/>
      <c r="AO210" s="686"/>
      <c r="AP210" s="686"/>
      <c r="AQ210" s="686"/>
      <c r="AR210" s="686"/>
      <c r="AS210" s="686"/>
      <c r="AT210" s="686"/>
      <c r="AU210" s="686"/>
      <c r="AV210" s="686"/>
      <c r="AW210" s="686"/>
      <c r="AX210" s="686"/>
      <c r="AY210" s="686"/>
      <c r="AZ210" s="686"/>
      <c r="BA210" s="686"/>
      <c r="BB210" s="686"/>
      <c r="BC210" s="686"/>
      <c r="BD210" s="686"/>
      <c r="BE210" s="686"/>
      <c r="BF210" s="686"/>
      <c r="BG210" s="686"/>
      <c r="BH210" s="686"/>
      <c r="BI210" s="686"/>
      <c r="BJ210" s="686"/>
      <c r="BK210" s="686"/>
      <c r="BL210" s="686"/>
      <c r="BM210" s="686"/>
      <c r="BN210" s="686"/>
      <c r="BO210" s="686"/>
      <c r="BP210" s="686"/>
      <c r="BQ210" s="686"/>
      <c r="BR210" s="686"/>
      <c r="BS210" s="686"/>
      <c r="BT210" s="686"/>
      <c r="BU210" s="686"/>
      <c r="BV210" s="686"/>
      <c r="BW210" s="686"/>
      <c r="BX210" s="686"/>
      <c r="BY210" s="686"/>
      <c r="BZ210" s="686"/>
      <c r="CA210" s="686"/>
      <c r="CB210" s="686"/>
      <c r="CC210" s="686"/>
      <c r="CD210" s="686"/>
      <c r="CE210" s="686"/>
    </row>
    <row r="211" spans="1:83" x14ac:dyDescent="0.25">
      <c r="A211" s="622"/>
      <c r="B211" s="697">
        <v>561</v>
      </c>
      <c r="C211" s="664"/>
      <c r="D211" s="652" t="s">
        <v>593</v>
      </c>
      <c r="E211" s="638"/>
      <c r="F211" s="621"/>
      <c r="G211" s="621"/>
      <c r="H211" s="621"/>
      <c r="I211" s="621"/>
      <c r="J211" s="621"/>
      <c r="K211" s="672"/>
      <c r="L211" s="686"/>
      <c r="M211" s="686"/>
      <c r="N211" s="636"/>
      <c r="O211" s="636"/>
      <c r="P211" s="636"/>
      <c r="Q211" s="636"/>
      <c r="R211" s="636"/>
      <c r="S211" s="636"/>
      <c r="T211" s="636"/>
      <c r="U211" s="636"/>
      <c r="V211" s="636"/>
      <c r="W211" s="636"/>
      <c r="X211" s="636"/>
      <c r="Y211" s="636"/>
      <c r="Z211" s="636"/>
      <c r="AA211" s="636"/>
      <c r="AB211" s="686"/>
      <c r="AC211" s="686"/>
      <c r="AD211" s="686"/>
      <c r="AE211" s="686"/>
      <c r="AF211" s="686"/>
      <c r="AG211" s="686"/>
      <c r="AH211" s="686"/>
      <c r="AI211" s="686"/>
      <c r="AJ211" s="686"/>
      <c r="AK211" s="686"/>
      <c r="AL211" s="686"/>
      <c r="AM211" s="686"/>
      <c r="AN211" s="686"/>
      <c r="AO211" s="686"/>
      <c r="AP211" s="686"/>
      <c r="AQ211" s="686"/>
      <c r="AR211" s="686"/>
      <c r="AS211" s="686"/>
      <c r="AT211" s="686"/>
      <c r="AU211" s="686"/>
      <c r="AV211" s="686"/>
      <c r="AW211" s="686"/>
      <c r="AX211" s="686"/>
      <c r="AY211" s="686"/>
      <c r="AZ211" s="686"/>
      <c r="BA211" s="686"/>
      <c r="BB211" s="686"/>
      <c r="BC211" s="686"/>
      <c r="BD211" s="686"/>
      <c r="BE211" s="686"/>
      <c r="BF211" s="686"/>
      <c r="BG211" s="686"/>
      <c r="BH211" s="686"/>
      <c r="BI211" s="686"/>
      <c r="BJ211" s="686"/>
      <c r="BK211" s="686"/>
      <c r="BL211" s="686"/>
      <c r="BM211" s="686"/>
      <c r="BN211" s="686"/>
      <c r="BO211" s="686"/>
      <c r="BP211" s="686"/>
      <c r="BQ211" s="686"/>
      <c r="BR211" s="686"/>
      <c r="BS211" s="686"/>
      <c r="BT211" s="686"/>
      <c r="BU211" s="686"/>
      <c r="BV211" s="686"/>
      <c r="BW211" s="686"/>
      <c r="BX211" s="686"/>
      <c r="BY211" s="686"/>
      <c r="BZ211" s="686"/>
      <c r="CA211" s="686"/>
      <c r="CB211" s="686"/>
      <c r="CC211" s="686"/>
      <c r="CD211" s="686"/>
      <c r="CE211" s="686"/>
    </row>
    <row r="212" spans="1:83" x14ac:dyDescent="0.25">
      <c r="A212" s="622"/>
      <c r="B212" s="697">
        <v>562</v>
      </c>
      <c r="C212" s="664"/>
      <c r="D212" s="652" t="s">
        <v>594</v>
      </c>
      <c r="E212" s="638"/>
      <c r="F212" s="621"/>
      <c r="G212" s="621"/>
      <c r="H212" s="621"/>
      <c r="I212" s="621"/>
      <c r="J212" s="621"/>
      <c r="K212" s="672"/>
      <c r="L212" s="686"/>
      <c r="M212" s="686"/>
      <c r="N212" s="636"/>
      <c r="O212" s="636"/>
      <c r="P212" s="636"/>
      <c r="Q212" s="636"/>
      <c r="R212" s="636"/>
      <c r="S212" s="636"/>
      <c r="T212" s="636"/>
      <c r="U212" s="636"/>
      <c r="V212" s="636"/>
      <c r="W212" s="636"/>
      <c r="X212" s="636"/>
      <c r="Y212" s="636"/>
      <c r="Z212" s="636"/>
      <c r="AA212" s="636"/>
      <c r="AB212" s="686"/>
      <c r="AC212" s="686"/>
      <c r="AD212" s="686"/>
      <c r="AE212" s="686"/>
      <c r="AF212" s="686"/>
      <c r="AG212" s="686"/>
      <c r="AH212" s="686"/>
      <c r="AI212" s="686"/>
      <c r="AJ212" s="686"/>
      <c r="AK212" s="686"/>
      <c r="AL212" s="686"/>
      <c r="AM212" s="686"/>
      <c r="AN212" s="686"/>
      <c r="AO212" s="686"/>
      <c r="AP212" s="686"/>
      <c r="AQ212" s="686"/>
      <c r="AR212" s="686"/>
      <c r="AS212" s="686"/>
      <c r="AT212" s="686"/>
      <c r="AU212" s="686"/>
      <c r="AV212" s="686"/>
      <c r="AW212" s="686"/>
      <c r="AX212" s="686"/>
      <c r="AY212" s="686"/>
      <c r="AZ212" s="686"/>
      <c r="BA212" s="686"/>
      <c r="BB212" s="686"/>
      <c r="BC212" s="686"/>
      <c r="BD212" s="686"/>
      <c r="BE212" s="686"/>
      <c r="BF212" s="686"/>
      <c r="BG212" s="686"/>
      <c r="BH212" s="686"/>
      <c r="BI212" s="686"/>
      <c r="BJ212" s="686"/>
      <c r="BK212" s="686"/>
      <c r="BL212" s="686"/>
      <c r="BM212" s="686"/>
      <c r="BN212" s="686"/>
      <c r="BO212" s="686"/>
      <c r="BP212" s="686"/>
      <c r="BQ212" s="686"/>
      <c r="BR212" s="686"/>
      <c r="BS212" s="686"/>
      <c r="BT212" s="686"/>
      <c r="BU212" s="686"/>
      <c r="BV212" s="686"/>
      <c r="BW212" s="686"/>
      <c r="BX212" s="686"/>
      <c r="BY212" s="686"/>
      <c r="BZ212" s="686"/>
      <c r="CA212" s="686"/>
      <c r="CB212" s="686"/>
      <c r="CC212" s="686"/>
      <c r="CD212" s="686"/>
      <c r="CE212" s="686"/>
    </row>
    <row r="213" spans="1:83" x14ac:dyDescent="0.25">
      <c r="A213" s="622"/>
      <c r="B213" s="697">
        <v>563</v>
      </c>
      <c r="C213" s="664"/>
      <c r="D213" s="652" t="s">
        <v>595</v>
      </c>
      <c r="E213" s="638"/>
      <c r="F213" s="621"/>
      <c r="G213" s="621"/>
      <c r="H213" s="621"/>
      <c r="I213" s="621"/>
      <c r="J213" s="621"/>
      <c r="K213" s="672"/>
      <c r="L213" s="686"/>
      <c r="M213" s="686"/>
      <c r="N213" s="636"/>
      <c r="O213" s="636"/>
      <c r="P213" s="636"/>
      <c r="Q213" s="636"/>
      <c r="R213" s="636"/>
      <c r="S213" s="636"/>
      <c r="T213" s="636"/>
      <c r="U213" s="636"/>
      <c r="V213" s="636"/>
      <c r="W213" s="636"/>
      <c r="X213" s="636"/>
      <c r="Y213" s="636"/>
      <c r="Z213" s="636"/>
      <c r="AA213" s="636"/>
      <c r="AB213" s="686"/>
      <c r="AC213" s="686"/>
      <c r="AD213" s="686"/>
      <c r="AE213" s="686"/>
      <c r="AF213" s="686"/>
      <c r="AG213" s="686"/>
      <c r="AH213" s="686"/>
      <c r="AI213" s="686"/>
      <c r="AJ213" s="686"/>
      <c r="AK213" s="686"/>
      <c r="AL213" s="686"/>
      <c r="AM213" s="686"/>
      <c r="AN213" s="686"/>
      <c r="AO213" s="686"/>
      <c r="AP213" s="686"/>
      <c r="AQ213" s="686"/>
      <c r="AR213" s="686"/>
      <c r="AS213" s="686"/>
      <c r="AT213" s="686"/>
      <c r="AU213" s="686"/>
      <c r="AV213" s="686"/>
      <c r="AW213" s="686"/>
      <c r="AX213" s="686"/>
      <c r="AY213" s="686"/>
      <c r="AZ213" s="686"/>
      <c r="BA213" s="686"/>
      <c r="BB213" s="686"/>
      <c r="BC213" s="686"/>
      <c r="BD213" s="686"/>
      <c r="BE213" s="686"/>
      <c r="BF213" s="686"/>
      <c r="BG213" s="686"/>
      <c r="BH213" s="686"/>
      <c r="BI213" s="686"/>
      <c r="BJ213" s="686"/>
      <c r="BK213" s="686"/>
      <c r="BL213" s="686"/>
      <c r="BM213" s="686"/>
      <c r="BN213" s="686"/>
      <c r="BO213" s="686"/>
      <c r="BP213" s="686"/>
      <c r="BQ213" s="686"/>
      <c r="BR213" s="686"/>
      <c r="BS213" s="686"/>
      <c r="BT213" s="686"/>
      <c r="BU213" s="686"/>
      <c r="BV213" s="686"/>
      <c r="BW213" s="686"/>
      <c r="BX213" s="686"/>
      <c r="BY213" s="686"/>
      <c r="BZ213" s="686"/>
      <c r="CA213" s="686"/>
      <c r="CB213" s="686"/>
      <c r="CC213" s="686"/>
      <c r="CD213" s="686"/>
      <c r="CE213" s="686"/>
    </row>
    <row r="214" spans="1:83" x14ac:dyDescent="0.25">
      <c r="A214" s="622"/>
      <c r="B214" s="697">
        <v>564</v>
      </c>
      <c r="C214" s="664"/>
      <c r="D214" s="652" t="s">
        <v>596</v>
      </c>
      <c r="E214" s="638"/>
      <c r="F214" s="621"/>
      <c r="G214" s="621"/>
      <c r="H214" s="621"/>
      <c r="I214" s="621"/>
      <c r="J214" s="621"/>
      <c r="K214" s="672"/>
      <c r="L214" s="686"/>
      <c r="M214" s="686"/>
      <c r="N214" s="636"/>
      <c r="O214" s="636"/>
      <c r="P214" s="636"/>
      <c r="Q214" s="636"/>
      <c r="R214" s="636"/>
      <c r="S214" s="636"/>
      <c r="T214" s="636"/>
      <c r="U214" s="636"/>
      <c r="V214" s="636"/>
      <c r="W214" s="636"/>
      <c r="X214" s="636"/>
      <c r="Y214" s="636"/>
      <c r="Z214" s="636"/>
      <c r="AA214" s="636"/>
      <c r="AB214" s="686"/>
      <c r="AC214" s="686"/>
      <c r="AD214" s="686"/>
      <c r="AE214" s="686"/>
      <c r="AF214" s="686"/>
      <c r="AG214" s="686"/>
      <c r="AH214" s="686"/>
      <c r="AI214" s="686"/>
      <c r="AJ214" s="686"/>
      <c r="AK214" s="686"/>
      <c r="AL214" s="686"/>
      <c r="AM214" s="686"/>
      <c r="AN214" s="686"/>
      <c r="AO214" s="686"/>
      <c r="AP214" s="686"/>
      <c r="AQ214" s="686"/>
      <c r="AR214" s="686"/>
      <c r="AS214" s="686"/>
      <c r="AT214" s="686"/>
      <c r="AU214" s="686"/>
      <c r="AV214" s="686"/>
      <c r="AW214" s="686"/>
      <c r="AX214" s="686"/>
      <c r="AY214" s="686"/>
      <c r="AZ214" s="686"/>
      <c r="BA214" s="686"/>
      <c r="BB214" s="686"/>
      <c r="BC214" s="686"/>
      <c r="BD214" s="686"/>
      <c r="BE214" s="686"/>
      <c r="BF214" s="686"/>
      <c r="BG214" s="686"/>
      <c r="BH214" s="686"/>
      <c r="BI214" s="686"/>
      <c r="BJ214" s="686"/>
      <c r="BK214" s="686"/>
      <c r="BL214" s="686"/>
      <c r="BM214" s="686"/>
      <c r="BN214" s="686"/>
      <c r="BO214" s="686"/>
      <c r="BP214" s="686"/>
      <c r="BQ214" s="686"/>
      <c r="BR214" s="686"/>
      <c r="BS214" s="686"/>
      <c r="BT214" s="686"/>
      <c r="BU214" s="686"/>
      <c r="BV214" s="686"/>
      <c r="BW214" s="686"/>
      <c r="BX214" s="686"/>
      <c r="BY214" s="686"/>
      <c r="BZ214" s="686"/>
      <c r="CA214" s="686"/>
      <c r="CB214" s="686"/>
      <c r="CC214" s="686"/>
      <c r="CD214" s="686"/>
      <c r="CE214" s="686"/>
    </row>
    <row r="215" spans="1:83" x14ac:dyDescent="0.25">
      <c r="A215" s="622"/>
      <c r="B215" s="697">
        <v>565</v>
      </c>
      <c r="C215" s="664"/>
      <c r="D215" s="652" t="s">
        <v>597</v>
      </c>
      <c r="E215" s="638"/>
      <c r="F215" s="621"/>
      <c r="G215" s="621"/>
      <c r="H215" s="621"/>
      <c r="I215" s="621"/>
      <c r="J215" s="621"/>
      <c r="K215" s="672"/>
      <c r="L215" s="686"/>
      <c r="M215" s="686"/>
      <c r="N215" s="636"/>
      <c r="O215" s="636"/>
      <c r="P215" s="636"/>
      <c r="Q215" s="636"/>
      <c r="R215" s="636"/>
      <c r="S215" s="636"/>
      <c r="T215" s="636"/>
      <c r="U215" s="636"/>
      <c r="V215" s="636"/>
      <c r="W215" s="636"/>
      <c r="X215" s="636"/>
      <c r="Y215" s="636"/>
      <c r="Z215" s="636"/>
      <c r="AA215" s="636"/>
      <c r="AB215" s="686"/>
      <c r="AC215" s="686"/>
      <c r="AD215" s="686"/>
      <c r="AE215" s="686"/>
      <c r="AF215" s="686"/>
      <c r="AG215" s="686"/>
      <c r="AH215" s="686"/>
      <c r="AI215" s="686"/>
      <c r="AJ215" s="686"/>
      <c r="AK215" s="686"/>
      <c r="AL215" s="686"/>
      <c r="AM215" s="686"/>
      <c r="AN215" s="686"/>
      <c r="AO215" s="686"/>
      <c r="AP215" s="686"/>
      <c r="AQ215" s="686"/>
      <c r="AR215" s="686"/>
      <c r="AS215" s="686"/>
      <c r="AT215" s="686"/>
      <c r="AU215" s="686"/>
      <c r="AV215" s="686"/>
      <c r="AW215" s="686"/>
      <c r="AX215" s="686"/>
      <c r="AY215" s="686"/>
      <c r="AZ215" s="686"/>
      <c r="BA215" s="686"/>
      <c r="BB215" s="686"/>
      <c r="BC215" s="686"/>
      <c r="BD215" s="686"/>
      <c r="BE215" s="686"/>
      <c r="BF215" s="686"/>
      <c r="BG215" s="686"/>
      <c r="BH215" s="686"/>
      <c r="BI215" s="686"/>
      <c r="BJ215" s="686"/>
      <c r="BK215" s="686"/>
      <c r="BL215" s="686"/>
      <c r="BM215" s="686"/>
      <c r="BN215" s="686"/>
      <c r="BO215" s="686"/>
      <c r="BP215" s="686"/>
      <c r="BQ215" s="686"/>
      <c r="BR215" s="686"/>
      <c r="BS215" s="686"/>
      <c r="BT215" s="686"/>
      <c r="BU215" s="686"/>
      <c r="BV215" s="686"/>
      <c r="BW215" s="686"/>
      <c r="BX215" s="686"/>
      <c r="BY215" s="686"/>
      <c r="BZ215" s="686"/>
      <c r="CA215" s="686"/>
      <c r="CB215" s="686"/>
      <c r="CC215" s="686"/>
      <c r="CD215" s="686"/>
      <c r="CE215" s="686"/>
    </row>
    <row r="216" spans="1:83" x14ac:dyDescent="0.25">
      <c r="A216" s="622"/>
      <c r="B216" s="697">
        <v>566</v>
      </c>
      <c r="C216" s="664"/>
      <c r="D216" s="652" t="s">
        <v>598</v>
      </c>
      <c r="E216" s="638"/>
      <c r="F216" s="621"/>
      <c r="G216" s="621"/>
      <c r="H216" s="621"/>
      <c r="I216" s="621"/>
      <c r="J216" s="621"/>
      <c r="K216" s="672"/>
      <c r="L216" s="686"/>
      <c r="M216" s="686"/>
      <c r="N216" s="636"/>
      <c r="O216" s="636"/>
      <c r="P216" s="636"/>
      <c r="Q216" s="636"/>
      <c r="R216" s="636"/>
      <c r="S216" s="636"/>
      <c r="T216" s="636"/>
      <c r="U216" s="636"/>
      <c r="V216" s="636"/>
      <c r="W216" s="636"/>
      <c r="X216" s="636"/>
      <c r="Y216" s="636"/>
      <c r="Z216" s="636"/>
      <c r="AA216" s="636"/>
      <c r="AB216" s="686"/>
      <c r="AC216" s="686"/>
      <c r="AD216" s="686"/>
      <c r="AE216" s="686"/>
      <c r="AF216" s="686"/>
      <c r="AG216" s="686"/>
      <c r="AH216" s="686"/>
      <c r="AI216" s="686"/>
      <c r="AJ216" s="686"/>
      <c r="AK216" s="686"/>
      <c r="AL216" s="686"/>
      <c r="AM216" s="686"/>
      <c r="AN216" s="686"/>
      <c r="AO216" s="686"/>
      <c r="AP216" s="686"/>
      <c r="AQ216" s="686"/>
      <c r="AR216" s="686"/>
      <c r="AS216" s="686"/>
      <c r="AT216" s="686"/>
      <c r="AU216" s="686"/>
      <c r="AV216" s="686"/>
      <c r="AW216" s="686"/>
      <c r="AX216" s="686"/>
      <c r="AY216" s="686"/>
      <c r="AZ216" s="686"/>
      <c r="BA216" s="686"/>
      <c r="BB216" s="686"/>
      <c r="BC216" s="686"/>
      <c r="BD216" s="686"/>
      <c r="BE216" s="686"/>
      <c r="BF216" s="686"/>
      <c r="BG216" s="686"/>
      <c r="BH216" s="686"/>
      <c r="BI216" s="686"/>
      <c r="BJ216" s="686"/>
      <c r="BK216" s="686"/>
      <c r="BL216" s="686"/>
      <c r="BM216" s="686"/>
      <c r="BN216" s="686"/>
      <c r="BO216" s="686"/>
      <c r="BP216" s="686"/>
      <c r="BQ216" s="686"/>
      <c r="BR216" s="686"/>
      <c r="BS216" s="686"/>
      <c r="BT216" s="686"/>
      <c r="BU216" s="686"/>
      <c r="BV216" s="686"/>
      <c r="BW216" s="686"/>
      <c r="BX216" s="686"/>
      <c r="BY216" s="686"/>
      <c r="BZ216" s="686"/>
      <c r="CA216" s="686"/>
      <c r="CB216" s="686"/>
      <c r="CC216" s="686"/>
      <c r="CD216" s="686"/>
      <c r="CE216" s="686"/>
    </row>
    <row r="217" spans="1:83" x14ac:dyDescent="0.25">
      <c r="A217" s="622"/>
      <c r="B217" s="697">
        <v>567</v>
      </c>
      <c r="C217" s="664"/>
      <c r="D217" s="652" t="s">
        <v>599</v>
      </c>
      <c r="E217" s="638"/>
      <c r="F217" s="621"/>
      <c r="G217" s="621"/>
      <c r="H217" s="621"/>
      <c r="I217" s="621"/>
      <c r="J217" s="621"/>
      <c r="K217" s="672"/>
      <c r="L217" s="686"/>
      <c r="M217" s="686"/>
      <c r="N217" s="636"/>
      <c r="O217" s="636"/>
      <c r="P217" s="636"/>
      <c r="Q217" s="636"/>
      <c r="R217" s="636"/>
      <c r="S217" s="636"/>
      <c r="T217" s="636"/>
      <c r="U217" s="636"/>
      <c r="V217" s="636"/>
      <c r="W217" s="636"/>
      <c r="X217" s="636"/>
      <c r="Y217" s="636"/>
      <c r="Z217" s="636"/>
      <c r="AA217" s="636"/>
      <c r="AB217" s="686"/>
      <c r="AC217" s="686"/>
      <c r="AD217" s="686"/>
      <c r="AE217" s="686"/>
      <c r="AF217" s="686"/>
      <c r="AG217" s="686"/>
      <c r="AH217" s="686"/>
      <c r="AI217" s="686"/>
      <c r="AJ217" s="686"/>
      <c r="AK217" s="686"/>
      <c r="AL217" s="686"/>
      <c r="AM217" s="686"/>
      <c r="AN217" s="686"/>
      <c r="AO217" s="686"/>
      <c r="AP217" s="686"/>
      <c r="AQ217" s="686"/>
      <c r="AR217" s="686"/>
      <c r="AS217" s="686"/>
      <c r="AT217" s="686"/>
      <c r="AU217" s="686"/>
      <c r="AV217" s="686"/>
      <c r="AW217" s="686"/>
      <c r="AX217" s="686"/>
      <c r="AY217" s="686"/>
      <c r="AZ217" s="686"/>
      <c r="BA217" s="686"/>
      <c r="BB217" s="686"/>
      <c r="BC217" s="686"/>
      <c r="BD217" s="686"/>
      <c r="BE217" s="686"/>
      <c r="BF217" s="686"/>
      <c r="BG217" s="686"/>
      <c r="BH217" s="686"/>
      <c r="BI217" s="686"/>
      <c r="BJ217" s="686"/>
      <c r="BK217" s="686"/>
      <c r="BL217" s="686"/>
      <c r="BM217" s="686"/>
      <c r="BN217" s="686"/>
      <c r="BO217" s="686"/>
      <c r="BP217" s="686"/>
      <c r="BQ217" s="686"/>
      <c r="BR217" s="686"/>
      <c r="BS217" s="686"/>
      <c r="BT217" s="686"/>
      <c r="BU217" s="686"/>
      <c r="BV217" s="686"/>
      <c r="BW217" s="686"/>
      <c r="BX217" s="686"/>
      <c r="BY217" s="686"/>
      <c r="BZ217" s="686"/>
      <c r="CA217" s="686"/>
      <c r="CB217" s="686"/>
      <c r="CC217" s="686"/>
      <c r="CD217" s="686"/>
      <c r="CE217" s="686"/>
    </row>
    <row r="218" spans="1:83" x14ac:dyDescent="0.25">
      <c r="A218" s="622"/>
      <c r="B218" s="697">
        <v>568</v>
      </c>
      <c r="C218" s="664"/>
      <c r="D218" s="652" t="s">
        <v>600</v>
      </c>
      <c r="E218" s="638"/>
      <c r="F218" s="621"/>
      <c r="G218" s="621"/>
      <c r="H218" s="621"/>
      <c r="I218" s="621"/>
      <c r="J218" s="621"/>
      <c r="K218" s="672"/>
      <c r="L218" s="686"/>
      <c r="M218" s="686"/>
      <c r="N218" s="636"/>
      <c r="O218" s="636"/>
      <c r="P218" s="636"/>
      <c r="Q218" s="636"/>
      <c r="R218" s="636"/>
      <c r="S218" s="636"/>
      <c r="T218" s="636"/>
      <c r="U218" s="636"/>
      <c r="V218" s="636"/>
      <c r="W218" s="636"/>
      <c r="X218" s="636"/>
      <c r="Y218" s="636"/>
      <c r="Z218" s="636"/>
      <c r="AA218" s="636"/>
      <c r="AB218" s="686"/>
      <c r="AC218" s="686"/>
      <c r="AD218" s="686"/>
      <c r="AE218" s="686"/>
      <c r="AF218" s="686"/>
      <c r="AG218" s="686"/>
      <c r="AH218" s="686"/>
      <c r="AI218" s="686"/>
      <c r="AJ218" s="686"/>
      <c r="AK218" s="686"/>
      <c r="AL218" s="686"/>
      <c r="AM218" s="686"/>
      <c r="AN218" s="686"/>
      <c r="AO218" s="686"/>
      <c r="AP218" s="686"/>
      <c r="AQ218" s="686"/>
      <c r="AR218" s="686"/>
      <c r="AS218" s="686"/>
      <c r="AT218" s="686"/>
      <c r="AU218" s="686"/>
      <c r="AV218" s="686"/>
      <c r="AW218" s="686"/>
      <c r="AX218" s="686"/>
      <c r="AY218" s="686"/>
      <c r="AZ218" s="686"/>
      <c r="BA218" s="686"/>
      <c r="BB218" s="686"/>
      <c r="BC218" s="686"/>
      <c r="BD218" s="686"/>
      <c r="BE218" s="686"/>
      <c r="BF218" s="686"/>
      <c r="BG218" s="686"/>
      <c r="BH218" s="686"/>
      <c r="BI218" s="686"/>
      <c r="BJ218" s="686"/>
      <c r="BK218" s="686"/>
      <c r="BL218" s="686"/>
      <c r="BM218" s="686"/>
      <c r="BN218" s="686"/>
      <c r="BO218" s="686"/>
      <c r="BP218" s="686"/>
      <c r="BQ218" s="686"/>
      <c r="BR218" s="686"/>
      <c r="BS218" s="686"/>
      <c r="BT218" s="686"/>
      <c r="BU218" s="686"/>
      <c r="BV218" s="686"/>
      <c r="BW218" s="686"/>
      <c r="BX218" s="686"/>
      <c r="BY218" s="686"/>
      <c r="BZ218" s="686"/>
      <c r="CA218" s="686"/>
      <c r="CB218" s="686"/>
      <c r="CC218" s="686"/>
      <c r="CD218" s="686"/>
      <c r="CE218" s="686"/>
    </row>
    <row r="219" spans="1:83" x14ac:dyDescent="0.25">
      <c r="A219" s="622"/>
      <c r="B219" s="697">
        <v>569</v>
      </c>
      <c r="C219" s="664"/>
      <c r="D219" s="652" t="s">
        <v>601</v>
      </c>
      <c r="E219" s="638"/>
      <c r="F219" s="621"/>
      <c r="G219" s="621"/>
      <c r="H219" s="621"/>
      <c r="I219" s="621"/>
      <c r="J219" s="621"/>
      <c r="K219" s="672"/>
      <c r="L219" s="686"/>
      <c r="M219" s="686"/>
      <c r="N219" s="636"/>
      <c r="O219" s="636"/>
      <c r="P219" s="636"/>
      <c r="Q219" s="636"/>
      <c r="R219" s="636"/>
      <c r="S219" s="636"/>
      <c r="T219" s="636"/>
      <c r="U219" s="636"/>
      <c r="V219" s="636"/>
      <c r="W219" s="636"/>
      <c r="X219" s="636"/>
      <c r="Y219" s="636"/>
      <c r="Z219" s="636"/>
      <c r="AA219" s="636"/>
      <c r="AB219" s="686"/>
      <c r="AC219" s="686"/>
      <c r="AD219" s="686"/>
      <c r="AE219" s="686"/>
      <c r="AF219" s="686"/>
      <c r="AG219" s="686"/>
      <c r="AH219" s="686"/>
      <c r="AI219" s="686"/>
      <c r="AJ219" s="686"/>
      <c r="AK219" s="686"/>
      <c r="AL219" s="686"/>
      <c r="AM219" s="686"/>
      <c r="AN219" s="686"/>
      <c r="AO219" s="686"/>
      <c r="AP219" s="686"/>
      <c r="AQ219" s="686"/>
      <c r="AR219" s="686"/>
      <c r="AS219" s="686"/>
      <c r="AT219" s="686"/>
      <c r="AU219" s="686"/>
      <c r="AV219" s="686"/>
      <c r="AW219" s="686"/>
      <c r="AX219" s="686"/>
      <c r="AY219" s="686"/>
      <c r="AZ219" s="686"/>
      <c r="BA219" s="686"/>
      <c r="BB219" s="686"/>
      <c r="BC219" s="686"/>
      <c r="BD219" s="686"/>
      <c r="BE219" s="686"/>
      <c r="BF219" s="686"/>
      <c r="BG219" s="686"/>
      <c r="BH219" s="686"/>
      <c r="BI219" s="686"/>
      <c r="BJ219" s="686"/>
      <c r="BK219" s="686"/>
      <c r="BL219" s="686"/>
      <c r="BM219" s="686"/>
      <c r="BN219" s="686"/>
      <c r="BO219" s="686"/>
      <c r="BP219" s="686"/>
      <c r="BQ219" s="686"/>
      <c r="BR219" s="686"/>
      <c r="BS219" s="686"/>
      <c r="BT219" s="686"/>
      <c r="BU219" s="686"/>
      <c r="BV219" s="686"/>
      <c r="BW219" s="686"/>
      <c r="BX219" s="686"/>
      <c r="BY219" s="686"/>
      <c r="BZ219" s="686"/>
      <c r="CA219" s="686"/>
      <c r="CB219" s="686"/>
      <c r="CC219" s="686"/>
      <c r="CD219" s="686"/>
      <c r="CE219" s="686"/>
    </row>
    <row r="220" spans="1:83" x14ac:dyDescent="0.25">
      <c r="A220" s="622"/>
      <c r="B220" s="697">
        <v>570</v>
      </c>
      <c r="C220" s="664"/>
      <c r="D220" s="652" t="s">
        <v>602</v>
      </c>
      <c r="E220" s="638"/>
      <c r="F220" s="621"/>
      <c r="G220" s="621"/>
      <c r="H220" s="621"/>
      <c r="I220" s="621"/>
      <c r="J220" s="621"/>
      <c r="K220" s="672"/>
      <c r="L220" s="686"/>
      <c r="M220" s="686"/>
      <c r="N220" s="636"/>
      <c r="O220" s="636"/>
      <c r="P220" s="636"/>
      <c r="Q220" s="636"/>
      <c r="R220" s="636"/>
      <c r="S220" s="636"/>
      <c r="T220" s="636"/>
      <c r="U220" s="636"/>
      <c r="V220" s="636"/>
      <c r="W220" s="636"/>
      <c r="X220" s="636"/>
      <c r="Y220" s="636"/>
      <c r="Z220" s="636"/>
      <c r="AA220" s="636"/>
      <c r="AB220" s="686"/>
      <c r="AC220" s="686"/>
      <c r="AD220" s="686"/>
      <c r="AE220" s="686"/>
      <c r="AF220" s="686"/>
      <c r="AG220" s="686"/>
      <c r="AH220" s="686"/>
      <c r="AI220" s="686"/>
      <c r="AJ220" s="686"/>
      <c r="AK220" s="686"/>
      <c r="AL220" s="686"/>
      <c r="AM220" s="686"/>
      <c r="AN220" s="686"/>
      <c r="AO220" s="686"/>
      <c r="AP220" s="686"/>
      <c r="AQ220" s="686"/>
      <c r="AR220" s="686"/>
      <c r="AS220" s="686"/>
      <c r="AT220" s="686"/>
      <c r="AU220" s="686"/>
      <c r="AV220" s="686"/>
      <c r="AW220" s="686"/>
      <c r="AX220" s="686"/>
      <c r="AY220" s="686"/>
      <c r="AZ220" s="686"/>
      <c r="BA220" s="686"/>
      <c r="BB220" s="686"/>
      <c r="BC220" s="686"/>
      <c r="BD220" s="686"/>
      <c r="BE220" s="686"/>
      <c r="BF220" s="686"/>
      <c r="BG220" s="686"/>
      <c r="BH220" s="686"/>
      <c r="BI220" s="686"/>
      <c r="BJ220" s="686"/>
      <c r="BK220" s="686"/>
      <c r="BL220" s="686"/>
      <c r="BM220" s="686"/>
      <c r="BN220" s="686"/>
      <c r="BO220" s="686"/>
      <c r="BP220" s="686"/>
      <c r="BQ220" s="686"/>
      <c r="BR220" s="686"/>
      <c r="BS220" s="686"/>
      <c r="BT220" s="686"/>
      <c r="BU220" s="686"/>
      <c r="BV220" s="686"/>
      <c r="BW220" s="686"/>
      <c r="BX220" s="686"/>
      <c r="BY220" s="686"/>
      <c r="BZ220" s="686"/>
      <c r="CA220" s="686"/>
      <c r="CB220" s="686"/>
      <c r="CC220" s="686"/>
      <c r="CD220" s="686"/>
      <c r="CE220" s="686"/>
    </row>
    <row r="221" spans="1:83" x14ac:dyDescent="0.25">
      <c r="A221" s="622"/>
      <c r="B221" s="697">
        <v>571</v>
      </c>
      <c r="C221" s="664"/>
      <c r="D221" s="652" t="s">
        <v>603</v>
      </c>
      <c r="E221" s="638"/>
      <c r="F221" s="621"/>
      <c r="G221" s="621"/>
      <c r="H221" s="621"/>
      <c r="I221" s="621"/>
      <c r="J221" s="621"/>
      <c r="K221" s="672"/>
      <c r="L221" s="686"/>
      <c r="M221" s="686"/>
      <c r="N221" s="636"/>
      <c r="O221" s="636"/>
      <c r="P221" s="636"/>
      <c r="Q221" s="636"/>
      <c r="R221" s="636"/>
      <c r="S221" s="636"/>
      <c r="T221" s="636"/>
      <c r="U221" s="636"/>
      <c r="V221" s="636"/>
      <c r="W221" s="636"/>
      <c r="X221" s="636"/>
      <c r="Y221" s="636"/>
      <c r="Z221" s="636"/>
      <c r="AA221" s="636"/>
      <c r="AB221" s="686"/>
      <c r="AC221" s="686"/>
      <c r="AD221" s="686"/>
      <c r="AE221" s="686"/>
      <c r="AF221" s="686"/>
      <c r="AG221" s="686"/>
      <c r="AH221" s="686"/>
      <c r="AI221" s="686"/>
      <c r="AJ221" s="686"/>
      <c r="AK221" s="686"/>
      <c r="AL221" s="686"/>
      <c r="AM221" s="686"/>
      <c r="AN221" s="686"/>
      <c r="AO221" s="686"/>
      <c r="AP221" s="686"/>
      <c r="AQ221" s="686"/>
      <c r="AR221" s="686"/>
      <c r="AS221" s="686"/>
      <c r="AT221" s="686"/>
      <c r="AU221" s="686"/>
      <c r="AV221" s="686"/>
      <c r="AW221" s="686"/>
      <c r="AX221" s="686"/>
      <c r="AY221" s="686"/>
      <c r="AZ221" s="686"/>
      <c r="BA221" s="686"/>
      <c r="BB221" s="686"/>
      <c r="BC221" s="686"/>
      <c r="BD221" s="686"/>
      <c r="BE221" s="686"/>
      <c r="BF221" s="686"/>
      <c r="BG221" s="686"/>
      <c r="BH221" s="686"/>
      <c r="BI221" s="686"/>
      <c r="BJ221" s="686"/>
      <c r="BK221" s="686"/>
      <c r="BL221" s="686"/>
      <c r="BM221" s="686"/>
      <c r="BN221" s="686"/>
      <c r="BO221" s="686"/>
      <c r="BP221" s="686"/>
      <c r="BQ221" s="686"/>
      <c r="BR221" s="686"/>
      <c r="BS221" s="686"/>
      <c r="BT221" s="686"/>
      <c r="BU221" s="686"/>
      <c r="BV221" s="686"/>
      <c r="BW221" s="686"/>
      <c r="BX221" s="686"/>
      <c r="BY221" s="686"/>
      <c r="BZ221" s="686"/>
      <c r="CA221" s="686"/>
      <c r="CB221" s="686"/>
      <c r="CC221" s="686"/>
      <c r="CD221" s="686"/>
      <c r="CE221" s="686"/>
    </row>
    <row r="222" spans="1:83" x14ac:dyDescent="0.25">
      <c r="A222" s="622"/>
      <c r="B222" s="697">
        <v>572</v>
      </c>
      <c r="C222" s="664"/>
      <c r="D222" s="652" t="s">
        <v>604</v>
      </c>
      <c r="E222" s="638"/>
      <c r="F222" s="621"/>
      <c r="G222" s="621"/>
      <c r="H222" s="621"/>
      <c r="I222" s="621"/>
      <c r="J222" s="621"/>
      <c r="K222" s="672"/>
      <c r="L222" s="686"/>
      <c r="M222" s="686"/>
      <c r="N222" s="636"/>
      <c r="O222" s="636"/>
      <c r="P222" s="636"/>
      <c r="Q222" s="636"/>
      <c r="R222" s="636"/>
      <c r="S222" s="636"/>
      <c r="T222" s="636"/>
      <c r="U222" s="636"/>
      <c r="V222" s="636"/>
      <c r="W222" s="636"/>
      <c r="X222" s="636"/>
      <c r="Y222" s="636"/>
      <c r="Z222" s="636"/>
      <c r="AA222" s="636"/>
      <c r="AB222" s="686"/>
      <c r="AC222" s="686"/>
      <c r="AD222" s="686"/>
      <c r="AE222" s="686"/>
      <c r="AF222" s="686"/>
      <c r="AG222" s="686"/>
      <c r="AH222" s="686"/>
      <c r="AI222" s="686"/>
      <c r="AJ222" s="686"/>
      <c r="AK222" s="686"/>
      <c r="AL222" s="686"/>
      <c r="AM222" s="686"/>
      <c r="AN222" s="686"/>
      <c r="AO222" s="686"/>
      <c r="AP222" s="686"/>
      <c r="AQ222" s="686"/>
      <c r="AR222" s="686"/>
      <c r="AS222" s="686"/>
      <c r="AT222" s="686"/>
      <c r="AU222" s="686"/>
      <c r="AV222" s="686"/>
      <c r="AW222" s="686"/>
      <c r="AX222" s="686"/>
      <c r="AY222" s="686"/>
      <c r="AZ222" s="686"/>
      <c r="BA222" s="686"/>
      <c r="BB222" s="686"/>
      <c r="BC222" s="686"/>
      <c r="BD222" s="686"/>
      <c r="BE222" s="686"/>
      <c r="BF222" s="686"/>
      <c r="BG222" s="686"/>
      <c r="BH222" s="686"/>
      <c r="BI222" s="686"/>
      <c r="BJ222" s="686"/>
      <c r="BK222" s="686"/>
      <c r="BL222" s="686"/>
      <c r="BM222" s="686"/>
      <c r="BN222" s="686"/>
      <c r="BO222" s="686"/>
      <c r="BP222" s="686"/>
      <c r="BQ222" s="686"/>
      <c r="BR222" s="686"/>
      <c r="BS222" s="686"/>
      <c r="BT222" s="686"/>
      <c r="BU222" s="686"/>
      <c r="BV222" s="686"/>
      <c r="BW222" s="686"/>
      <c r="BX222" s="686"/>
      <c r="BY222" s="686"/>
      <c r="BZ222" s="686"/>
      <c r="CA222" s="686"/>
      <c r="CB222" s="686"/>
      <c r="CC222" s="686"/>
      <c r="CD222" s="686"/>
      <c r="CE222" s="686"/>
    </row>
    <row r="223" spans="1:83" x14ac:dyDescent="0.25">
      <c r="A223" s="622"/>
      <c r="B223" s="697">
        <v>573</v>
      </c>
      <c r="C223" s="664"/>
      <c r="D223" s="652" t="s">
        <v>605</v>
      </c>
      <c r="E223" s="638"/>
      <c r="F223" s="621"/>
      <c r="G223" s="621"/>
      <c r="H223" s="621"/>
      <c r="I223" s="621"/>
      <c r="J223" s="621"/>
      <c r="K223" s="672"/>
      <c r="L223" s="686"/>
      <c r="M223" s="686"/>
      <c r="N223" s="636"/>
      <c r="O223" s="636"/>
      <c r="P223" s="636"/>
      <c r="Q223" s="636"/>
      <c r="R223" s="636"/>
      <c r="S223" s="636"/>
      <c r="T223" s="636"/>
      <c r="U223" s="636"/>
      <c r="V223" s="636"/>
      <c r="W223" s="636"/>
      <c r="X223" s="636"/>
      <c r="Y223" s="636"/>
      <c r="Z223" s="636"/>
      <c r="AA223" s="636"/>
      <c r="AB223" s="686"/>
      <c r="AC223" s="686"/>
      <c r="AD223" s="686"/>
      <c r="AE223" s="686"/>
      <c r="AF223" s="686"/>
      <c r="AG223" s="686"/>
      <c r="AH223" s="686"/>
      <c r="AI223" s="686"/>
      <c r="AJ223" s="686"/>
      <c r="AK223" s="686"/>
      <c r="AL223" s="686"/>
      <c r="AM223" s="686"/>
      <c r="AN223" s="686"/>
      <c r="AO223" s="686"/>
      <c r="AP223" s="686"/>
      <c r="AQ223" s="686"/>
      <c r="AR223" s="686"/>
      <c r="AS223" s="686"/>
      <c r="AT223" s="686"/>
      <c r="AU223" s="686"/>
      <c r="AV223" s="686"/>
      <c r="AW223" s="686"/>
      <c r="AX223" s="686"/>
      <c r="AY223" s="686"/>
      <c r="AZ223" s="686"/>
      <c r="BA223" s="686"/>
      <c r="BB223" s="686"/>
      <c r="BC223" s="686"/>
      <c r="BD223" s="686"/>
      <c r="BE223" s="686"/>
      <c r="BF223" s="686"/>
      <c r="BG223" s="686"/>
      <c r="BH223" s="686"/>
      <c r="BI223" s="686"/>
      <c r="BJ223" s="686"/>
      <c r="BK223" s="686"/>
      <c r="BL223" s="686"/>
      <c r="BM223" s="686"/>
      <c r="BN223" s="686"/>
      <c r="BO223" s="686"/>
      <c r="BP223" s="686"/>
      <c r="BQ223" s="686"/>
      <c r="BR223" s="686"/>
      <c r="BS223" s="686"/>
      <c r="BT223" s="686"/>
      <c r="BU223" s="686"/>
      <c r="BV223" s="686"/>
      <c r="BW223" s="686"/>
      <c r="BX223" s="686"/>
      <c r="BY223" s="686"/>
      <c r="BZ223" s="686"/>
      <c r="CA223" s="686"/>
      <c r="CB223" s="686"/>
      <c r="CC223" s="686"/>
      <c r="CD223" s="686"/>
      <c r="CE223" s="686"/>
    </row>
    <row r="224" spans="1:83" x14ac:dyDescent="0.25">
      <c r="A224" s="622"/>
      <c r="B224" s="697">
        <v>574</v>
      </c>
      <c r="C224" s="664"/>
      <c r="D224" s="652" t="s">
        <v>606</v>
      </c>
      <c r="E224" s="638"/>
      <c r="F224" s="621"/>
      <c r="G224" s="621"/>
      <c r="H224" s="621"/>
      <c r="I224" s="621"/>
      <c r="J224" s="621"/>
      <c r="K224" s="672"/>
      <c r="L224" s="686"/>
      <c r="M224" s="686"/>
      <c r="N224" s="636"/>
      <c r="O224" s="636"/>
      <c r="P224" s="636"/>
      <c r="Q224" s="636"/>
      <c r="R224" s="636"/>
      <c r="S224" s="636"/>
      <c r="T224" s="636"/>
      <c r="U224" s="636"/>
      <c r="V224" s="636"/>
      <c r="W224" s="636"/>
      <c r="X224" s="636"/>
      <c r="Y224" s="636"/>
      <c r="Z224" s="636"/>
      <c r="AA224" s="636"/>
      <c r="AB224" s="686"/>
      <c r="AC224" s="686"/>
      <c r="AD224" s="686"/>
      <c r="AE224" s="686"/>
      <c r="AF224" s="686"/>
      <c r="AG224" s="686"/>
      <c r="AH224" s="686"/>
      <c r="AI224" s="686"/>
      <c r="AJ224" s="686"/>
      <c r="AK224" s="686"/>
      <c r="AL224" s="686"/>
      <c r="AM224" s="686"/>
      <c r="AN224" s="686"/>
      <c r="AO224" s="686"/>
      <c r="AP224" s="686"/>
      <c r="AQ224" s="686"/>
      <c r="AR224" s="686"/>
      <c r="AS224" s="686"/>
      <c r="AT224" s="686"/>
      <c r="AU224" s="686"/>
      <c r="AV224" s="686"/>
      <c r="AW224" s="686"/>
      <c r="AX224" s="686"/>
      <c r="AY224" s="686"/>
      <c r="AZ224" s="686"/>
      <c r="BA224" s="686"/>
      <c r="BB224" s="686"/>
      <c r="BC224" s="686"/>
      <c r="BD224" s="686"/>
      <c r="BE224" s="686"/>
      <c r="BF224" s="686"/>
      <c r="BG224" s="686"/>
      <c r="BH224" s="686"/>
      <c r="BI224" s="686"/>
      <c r="BJ224" s="686"/>
      <c r="BK224" s="686"/>
      <c r="BL224" s="686"/>
      <c r="BM224" s="686"/>
      <c r="BN224" s="686"/>
      <c r="BO224" s="686"/>
      <c r="BP224" s="686"/>
      <c r="BQ224" s="686"/>
      <c r="BR224" s="686"/>
      <c r="BS224" s="686"/>
      <c r="BT224" s="686"/>
      <c r="BU224" s="686"/>
      <c r="BV224" s="686"/>
      <c r="BW224" s="686"/>
      <c r="BX224" s="686"/>
      <c r="BY224" s="686"/>
      <c r="BZ224" s="686"/>
      <c r="CA224" s="686"/>
      <c r="CB224" s="686"/>
      <c r="CC224" s="686"/>
      <c r="CD224" s="686"/>
      <c r="CE224" s="686"/>
    </row>
    <row r="225" spans="1:83" x14ac:dyDescent="0.25">
      <c r="A225" s="622">
        <v>575</v>
      </c>
      <c r="B225" s="677">
        <v>575</v>
      </c>
      <c r="C225" s="677" t="s">
        <v>550</v>
      </c>
      <c r="D225" s="677" t="s">
        <v>647</v>
      </c>
      <c r="E225" s="638">
        <v>3911</v>
      </c>
      <c r="F225" s="621">
        <v>0</v>
      </c>
      <c r="G225" s="621">
        <v>0</v>
      </c>
      <c r="H225" s="621">
        <v>0</v>
      </c>
      <c r="I225" s="621">
        <v>0</v>
      </c>
      <c r="J225" s="621">
        <v>0</v>
      </c>
      <c r="K225" s="672">
        <v>112809</v>
      </c>
      <c r="L225" s="686">
        <v>0</v>
      </c>
      <c r="M225" s="686">
        <v>0</v>
      </c>
      <c r="N225" s="636">
        <v>0</v>
      </c>
      <c r="O225" s="636">
        <v>0</v>
      </c>
      <c r="P225" s="636">
        <v>1109465</v>
      </c>
      <c r="Q225" s="636">
        <v>0</v>
      </c>
      <c r="R225" s="636">
        <v>0</v>
      </c>
      <c r="S225" s="636">
        <v>0</v>
      </c>
      <c r="T225" s="636">
        <v>0</v>
      </c>
      <c r="U225" s="636">
        <v>0</v>
      </c>
      <c r="V225" s="636">
        <v>0</v>
      </c>
      <c r="W225" s="636">
        <v>0</v>
      </c>
      <c r="X225" s="636">
        <v>0</v>
      </c>
      <c r="Y225" s="636">
        <v>0</v>
      </c>
      <c r="Z225" s="636">
        <v>0</v>
      </c>
      <c r="AA225" s="636">
        <v>0</v>
      </c>
      <c r="AB225" s="686" t="e">
        <v>#VALUE!</v>
      </c>
      <c r="AC225" s="686">
        <v>466794</v>
      </c>
      <c r="AD225" s="686" t="e">
        <v>#VALUE!</v>
      </c>
      <c r="AE225" s="686">
        <v>0</v>
      </c>
      <c r="AF225" s="686">
        <v>0</v>
      </c>
      <c r="AG225" s="686">
        <v>0</v>
      </c>
      <c r="AH225" s="686">
        <v>0</v>
      </c>
      <c r="AI225" s="686">
        <v>241347</v>
      </c>
      <c r="AJ225" s="686">
        <v>0</v>
      </c>
      <c r="AK225" s="686">
        <v>0</v>
      </c>
      <c r="AL225" s="686">
        <v>0</v>
      </c>
      <c r="AM225" s="686">
        <v>0</v>
      </c>
      <c r="AN225" s="686">
        <v>0</v>
      </c>
      <c r="AO225" s="686">
        <v>0</v>
      </c>
      <c r="AP225" s="686">
        <v>0</v>
      </c>
      <c r="AQ225" s="686">
        <v>0</v>
      </c>
      <c r="AR225" s="686">
        <v>0</v>
      </c>
      <c r="AS225" s="686">
        <v>358903</v>
      </c>
      <c r="AT225" s="686">
        <v>0</v>
      </c>
      <c r="AU225" s="686">
        <v>913</v>
      </c>
      <c r="AV225" s="686">
        <v>0</v>
      </c>
      <c r="AW225" s="686">
        <v>0</v>
      </c>
      <c r="AX225" s="686">
        <v>0</v>
      </c>
      <c r="AY225" s="686">
        <v>0</v>
      </c>
      <c r="AZ225" s="686">
        <v>67034</v>
      </c>
      <c r="BA225" s="686">
        <v>0</v>
      </c>
      <c r="BB225" s="686">
        <v>0</v>
      </c>
      <c r="BC225" s="686">
        <v>0</v>
      </c>
      <c r="BD225" s="686">
        <v>141737</v>
      </c>
      <c r="BE225" s="686">
        <v>1263371</v>
      </c>
      <c r="BF225" s="686">
        <v>0</v>
      </c>
      <c r="BG225" s="686">
        <v>77470</v>
      </c>
      <c r="BH225" s="686">
        <v>0</v>
      </c>
      <c r="BI225" s="686">
        <v>0</v>
      </c>
      <c r="BJ225" s="686">
        <v>0</v>
      </c>
      <c r="BK225" s="686">
        <v>0</v>
      </c>
      <c r="BL225" s="686">
        <v>0</v>
      </c>
      <c r="BM225" s="686">
        <v>4517</v>
      </c>
      <c r="BN225" s="686">
        <v>0</v>
      </c>
      <c r="BO225" s="686">
        <v>0</v>
      </c>
      <c r="BP225" s="686">
        <v>0</v>
      </c>
      <c r="BQ225" s="686">
        <v>0</v>
      </c>
      <c r="BR225" s="686">
        <v>0</v>
      </c>
      <c r="BS225" s="686">
        <v>0</v>
      </c>
      <c r="BT225" s="686">
        <v>0</v>
      </c>
      <c r="BU225" s="686">
        <v>10466</v>
      </c>
      <c r="BV225" s="686">
        <v>0</v>
      </c>
      <c r="BW225" s="686">
        <v>0</v>
      </c>
      <c r="BX225" s="686">
        <v>45437</v>
      </c>
      <c r="BY225" s="686">
        <v>0</v>
      </c>
      <c r="BZ225" s="686">
        <v>5372</v>
      </c>
      <c r="CA225" s="686">
        <v>18767</v>
      </c>
      <c r="CB225" s="686">
        <v>22799</v>
      </c>
      <c r="CC225" s="686">
        <v>0</v>
      </c>
      <c r="CD225" s="686">
        <v>0</v>
      </c>
      <c r="CE225" s="686">
        <v>2630</v>
      </c>
    </row>
    <row r="226" spans="1:83" s="295" customFormat="1" x14ac:dyDescent="0.25">
      <c r="A226" s="622">
        <v>576</v>
      </c>
      <c r="B226" s="677">
        <v>576</v>
      </c>
      <c r="C226" s="677" t="s">
        <v>551</v>
      </c>
      <c r="D226" s="677" t="s">
        <v>648</v>
      </c>
      <c r="E226" s="638">
        <v>0</v>
      </c>
      <c r="F226" s="621">
        <v>0</v>
      </c>
      <c r="G226" s="621">
        <v>0</v>
      </c>
      <c r="H226" s="621">
        <v>0</v>
      </c>
      <c r="I226" s="621">
        <v>0</v>
      </c>
      <c r="J226" s="621">
        <v>0</v>
      </c>
      <c r="K226" s="672">
        <v>0</v>
      </c>
      <c r="L226" s="686">
        <v>0</v>
      </c>
      <c r="M226" s="686">
        <v>0</v>
      </c>
      <c r="N226" s="636">
        <v>0</v>
      </c>
      <c r="O226" s="636">
        <v>0</v>
      </c>
      <c r="P226" s="636">
        <v>0</v>
      </c>
      <c r="Q226" s="636">
        <v>0</v>
      </c>
      <c r="R226" s="636">
        <v>130352</v>
      </c>
      <c r="S226" s="636">
        <v>0</v>
      </c>
      <c r="T226" s="636">
        <v>0</v>
      </c>
      <c r="U226" s="636">
        <v>0</v>
      </c>
      <c r="V226" s="636">
        <v>0</v>
      </c>
      <c r="W226" s="636">
        <v>0</v>
      </c>
      <c r="X226" s="636">
        <v>0</v>
      </c>
      <c r="Y226" s="636">
        <v>10997</v>
      </c>
      <c r="Z226" s="636">
        <v>106827</v>
      </c>
      <c r="AA226" s="636">
        <v>0</v>
      </c>
      <c r="AB226" s="686" t="e">
        <v>#VALUE!</v>
      </c>
      <c r="AC226" s="686">
        <v>0</v>
      </c>
      <c r="AD226" s="686" t="e">
        <v>#VALUE!</v>
      </c>
      <c r="AE226" s="686">
        <v>31766</v>
      </c>
      <c r="AF226" s="686">
        <v>10290</v>
      </c>
      <c r="AG226" s="686">
        <v>0</v>
      </c>
      <c r="AH226" s="686">
        <v>33481</v>
      </c>
      <c r="AI226" s="686">
        <v>0</v>
      </c>
      <c r="AJ226" s="686">
        <v>1076075</v>
      </c>
      <c r="AK226" s="686">
        <v>0</v>
      </c>
      <c r="AL226" s="686">
        <v>0</v>
      </c>
      <c r="AM226" s="686">
        <v>0</v>
      </c>
      <c r="AN226" s="686">
        <v>331101</v>
      </c>
      <c r="AO226" s="686">
        <v>0</v>
      </c>
      <c r="AP226" s="686">
        <v>3066</v>
      </c>
      <c r="AQ226" s="686">
        <v>0</v>
      </c>
      <c r="AR226" s="686">
        <v>0</v>
      </c>
      <c r="AS226" s="686">
        <v>7570</v>
      </c>
      <c r="AT226" s="686">
        <v>0</v>
      </c>
      <c r="AU226" s="686">
        <v>0</v>
      </c>
      <c r="AV226" s="686">
        <v>8170</v>
      </c>
      <c r="AW226" s="686">
        <v>0</v>
      </c>
      <c r="AX226" s="686">
        <v>0</v>
      </c>
      <c r="AY226" s="686">
        <v>0</v>
      </c>
      <c r="AZ226" s="686">
        <v>0</v>
      </c>
      <c r="BA226" s="686">
        <v>0</v>
      </c>
      <c r="BB226" s="686">
        <v>0</v>
      </c>
      <c r="BC226" s="686">
        <v>0</v>
      </c>
      <c r="BD226" s="686">
        <v>0</v>
      </c>
      <c r="BE226" s="686">
        <v>0</v>
      </c>
      <c r="BF226" s="686">
        <v>0</v>
      </c>
      <c r="BG226" s="686">
        <v>0</v>
      </c>
      <c r="BH226" s="686">
        <v>13361</v>
      </c>
      <c r="BI226" s="686">
        <v>0</v>
      </c>
      <c r="BJ226" s="686">
        <v>0</v>
      </c>
      <c r="BK226" s="686">
        <v>0</v>
      </c>
      <c r="BL226" s="686">
        <v>0</v>
      </c>
      <c r="BM226" s="686">
        <v>0</v>
      </c>
      <c r="BN226" s="686">
        <v>3268</v>
      </c>
      <c r="BO226" s="686">
        <v>0</v>
      </c>
      <c r="BP226" s="686">
        <v>0</v>
      </c>
      <c r="BQ226" s="686">
        <v>0</v>
      </c>
      <c r="BR226" s="686">
        <v>0</v>
      </c>
      <c r="BS226" s="686">
        <v>32063</v>
      </c>
      <c r="BT226" s="686">
        <v>0</v>
      </c>
      <c r="BU226" s="686">
        <v>0</v>
      </c>
      <c r="BV226" s="686">
        <v>0</v>
      </c>
      <c r="BW226" s="686">
        <v>0</v>
      </c>
      <c r="BX226" s="686">
        <v>0</v>
      </c>
      <c r="BY226" s="686">
        <v>0</v>
      </c>
      <c r="BZ226" s="686">
        <v>0</v>
      </c>
      <c r="CA226" s="686">
        <v>0</v>
      </c>
      <c r="CB226" s="686">
        <v>0</v>
      </c>
      <c r="CC226" s="686">
        <v>0</v>
      </c>
      <c r="CD226" s="686">
        <v>0</v>
      </c>
      <c r="CE226" s="686">
        <v>0</v>
      </c>
    </row>
    <row r="227" spans="1:83" x14ac:dyDescent="0.25">
      <c r="A227" s="622">
        <v>577</v>
      </c>
      <c r="B227" s="704">
        <v>577</v>
      </c>
      <c r="C227" s="704" t="s">
        <v>649</v>
      </c>
      <c r="D227" s="704" t="s">
        <v>650</v>
      </c>
      <c r="E227" s="671">
        <v>2</v>
      </c>
      <c r="F227" s="628">
        <v>2</v>
      </c>
      <c r="G227" s="628">
        <v>2</v>
      </c>
      <c r="H227" s="628">
        <v>2</v>
      </c>
      <c r="I227" s="628">
        <v>0</v>
      </c>
      <c r="J227" s="628">
        <v>2</v>
      </c>
      <c r="K227" s="626">
        <v>2</v>
      </c>
      <c r="L227" s="659">
        <v>0</v>
      </c>
      <c r="M227" s="659">
        <v>2</v>
      </c>
      <c r="N227" s="627">
        <v>2</v>
      </c>
      <c r="O227" s="627">
        <v>2</v>
      </c>
      <c r="P227" s="627">
        <v>2</v>
      </c>
      <c r="Q227" s="627">
        <v>2</v>
      </c>
      <c r="R227" s="627">
        <v>2</v>
      </c>
      <c r="S227" s="627">
        <v>2</v>
      </c>
      <c r="T227" s="627">
        <v>2</v>
      </c>
      <c r="U227" s="627">
        <v>2</v>
      </c>
      <c r="V227" s="627">
        <v>2</v>
      </c>
      <c r="W227" s="627">
        <v>2</v>
      </c>
      <c r="X227" s="627">
        <v>2</v>
      </c>
      <c r="Y227" s="627">
        <v>2</v>
      </c>
      <c r="Z227" s="627">
        <v>1</v>
      </c>
      <c r="AA227" s="627">
        <v>2</v>
      </c>
      <c r="AB227" s="659" t="e">
        <v>#VALUE!</v>
      </c>
      <c r="AC227" s="659">
        <v>2</v>
      </c>
      <c r="AD227" s="659" t="e">
        <v>#VALUE!</v>
      </c>
      <c r="AE227" s="659">
        <v>2</v>
      </c>
      <c r="AF227" s="659">
        <v>2</v>
      </c>
      <c r="AG227" s="659">
        <v>2</v>
      </c>
      <c r="AH227" s="659">
        <v>2</v>
      </c>
      <c r="AI227" s="659">
        <v>2</v>
      </c>
      <c r="AJ227" s="659">
        <v>2</v>
      </c>
      <c r="AK227" s="659">
        <v>2</v>
      </c>
      <c r="AL227" s="659">
        <v>2</v>
      </c>
      <c r="AM227" s="659">
        <v>2</v>
      </c>
      <c r="AN227" s="659">
        <v>2</v>
      </c>
      <c r="AO227" s="659">
        <v>2</v>
      </c>
      <c r="AP227" s="659">
        <v>2</v>
      </c>
      <c r="AQ227" s="659">
        <v>2</v>
      </c>
      <c r="AR227" s="659">
        <v>2</v>
      </c>
      <c r="AS227" s="659">
        <v>2</v>
      </c>
      <c r="AT227" s="659">
        <v>2</v>
      </c>
      <c r="AU227" s="659">
        <v>2</v>
      </c>
      <c r="AV227" s="659">
        <v>0</v>
      </c>
      <c r="AW227" s="659">
        <v>2</v>
      </c>
      <c r="AX227" s="659">
        <v>2</v>
      </c>
      <c r="AY227" s="659">
        <v>2</v>
      </c>
      <c r="AZ227" s="659">
        <v>2</v>
      </c>
      <c r="BA227" s="659">
        <v>2</v>
      </c>
      <c r="BB227" s="659">
        <v>2</v>
      </c>
      <c r="BC227" s="659">
        <v>2</v>
      </c>
      <c r="BD227" s="659">
        <v>2</v>
      </c>
      <c r="BE227" s="659">
        <v>2</v>
      </c>
      <c r="BF227" s="659">
        <v>2</v>
      </c>
      <c r="BG227" s="659">
        <v>2</v>
      </c>
      <c r="BH227" s="659">
        <v>2</v>
      </c>
      <c r="BI227" s="659">
        <v>0</v>
      </c>
      <c r="BJ227" s="659">
        <v>2</v>
      </c>
      <c r="BK227" s="659">
        <v>2</v>
      </c>
      <c r="BL227" s="659">
        <v>2</v>
      </c>
      <c r="BM227" s="659">
        <v>0</v>
      </c>
      <c r="BN227" s="659">
        <v>2</v>
      </c>
      <c r="BO227" s="659">
        <v>2</v>
      </c>
      <c r="BP227" s="659">
        <v>2</v>
      </c>
      <c r="BQ227" s="659">
        <v>2</v>
      </c>
      <c r="BR227" s="659">
        <v>2</v>
      </c>
      <c r="BS227" s="659">
        <v>1</v>
      </c>
      <c r="BT227" s="659">
        <v>2</v>
      </c>
      <c r="BU227" s="659">
        <v>2</v>
      </c>
      <c r="BV227" s="659">
        <v>2</v>
      </c>
      <c r="BW227" s="659">
        <v>2</v>
      </c>
      <c r="BX227" s="659">
        <v>2</v>
      </c>
      <c r="BY227" s="659">
        <v>2</v>
      </c>
      <c r="BZ227" s="659">
        <v>2</v>
      </c>
      <c r="CA227" s="659">
        <v>0</v>
      </c>
      <c r="CB227" s="659">
        <v>2</v>
      </c>
      <c r="CC227" s="659">
        <v>2</v>
      </c>
      <c r="CD227" s="659">
        <v>0</v>
      </c>
      <c r="CE227" s="659">
        <v>2</v>
      </c>
    </row>
    <row r="228" spans="1:83" x14ac:dyDescent="0.25">
      <c r="A228" s="622">
        <v>578</v>
      </c>
      <c r="B228" s="677">
        <v>578</v>
      </c>
      <c r="C228" s="677" t="s">
        <v>651</v>
      </c>
      <c r="D228" s="677" t="s">
        <v>652</v>
      </c>
      <c r="E228" s="638">
        <v>0</v>
      </c>
      <c r="F228" s="621">
        <v>0</v>
      </c>
      <c r="G228" s="621">
        <v>0</v>
      </c>
      <c r="H228" s="621">
        <v>0</v>
      </c>
      <c r="I228" s="621">
        <v>0</v>
      </c>
      <c r="J228" s="621">
        <v>0</v>
      </c>
      <c r="K228" s="672">
        <v>0</v>
      </c>
      <c r="L228" s="686">
        <v>0</v>
      </c>
      <c r="M228" s="686">
        <v>0</v>
      </c>
      <c r="N228" s="636">
        <v>0</v>
      </c>
      <c r="O228" s="636">
        <v>0</v>
      </c>
      <c r="P228" s="636">
        <v>0</v>
      </c>
      <c r="Q228" s="636">
        <v>0</v>
      </c>
      <c r="R228" s="636">
        <v>0</v>
      </c>
      <c r="S228" s="636">
        <v>0</v>
      </c>
      <c r="T228" s="636">
        <v>0</v>
      </c>
      <c r="U228" s="636">
        <v>0</v>
      </c>
      <c r="V228" s="636">
        <v>0</v>
      </c>
      <c r="W228" s="636">
        <v>0</v>
      </c>
      <c r="X228" s="636">
        <v>0</v>
      </c>
      <c r="Y228" s="636">
        <v>10997</v>
      </c>
      <c r="Z228" s="636">
        <v>0</v>
      </c>
      <c r="AA228" s="636">
        <v>0</v>
      </c>
      <c r="AB228" s="686" t="e">
        <v>#VALUE!</v>
      </c>
      <c r="AC228" s="686">
        <v>0</v>
      </c>
      <c r="AD228" s="686" t="e">
        <v>#VALUE!</v>
      </c>
      <c r="AE228" s="686">
        <v>0</v>
      </c>
      <c r="AF228" s="686">
        <v>0</v>
      </c>
      <c r="AG228" s="686">
        <v>0</v>
      </c>
      <c r="AH228" s="686">
        <v>0</v>
      </c>
      <c r="AI228" s="686">
        <v>0</v>
      </c>
      <c r="AJ228" s="686">
        <v>0</v>
      </c>
      <c r="AK228" s="686">
        <v>0</v>
      </c>
      <c r="AL228" s="686">
        <v>0</v>
      </c>
      <c r="AM228" s="686">
        <v>0</v>
      </c>
      <c r="AN228" s="686">
        <v>0</v>
      </c>
      <c r="AO228" s="686">
        <v>0</v>
      </c>
      <c r="AP228" s="686">
        <v>0</v>
      </c>
      <c r="AQ228" s="686">
        <v>0</v>
      </c>
      <c r="AR228" s="686">
        <v>0</v>
      </c>
      <c r="AS228" s="686">
        <v>0</v>
      </c>
      <c r="AT228" s="686">
        <v>0</v>
      </c>
      <c r="AU228" s="686">
        <v>0</v>
      </c>
      <c r="AV228" s="686">
        <v>0</v>
      </c>
      <c r="AW228" s="686">
        <v>0</v>
      </c>
      <c r="AX228" s="686">
        <v>0</v>
      </c>
      <c r="AY228" s="686">
        <v>0</v>
      </c>
      <c r="AZ228" s="686">
        <v>0</v>
      </c>
      <c r="BA228" s="686">
        <v>0</v>
      </c>
      <c r="BB228" s="686">
        <v>0</v>
      </c>
      <c r="BC228" s="686">
        <v>0</v>
      </c>
      <c r="BD228" s="686">
        <v>0</v>
      </c>
      <c r="BE228" s="686">
        <v>0</v>
      </c>
      <c r="BF228" s="686">
        <v>0</v>
      </c>
      <c r="BG228" s="686">
        <v>0</v>
      </c>
      <c r="BH228" s="686">
        <v>0</v>
      </c>
      <c r="BI228" s="686">
        <v>0</v>
      </c>
      <c r="BJ228" s="686">
        <v>0</v>
      </c>
      <c r="BK228" s="686">
        <v>0</v>
      </c>
      <c r="BL228" s="686">
        <v>0</v>
      </c>
      <c r="BM228" s="686">
        <v>0</v>
      </c>
      <c r="BN228" s="686">
        <v>0</v>
      </c>
      <c r="BO228" s="686">
        <v>0</v>
      </c>
      <c r="BP228" s="686">
        <v>0</v>
      </c>
      <c r="BQ228" s="686">
        <v>0</v>
      </c>
      <c r="BR228" s="686">
        <v>0</v>
      </c>
      <c r="BS228" s="686">
        <v>0</v>
      </c>
      <c r="BT228" s="686">
        <v>0</v>
      </c>
      <c r="BU228" s="686">
        <v>0</v>
      </c>
      <c r="BV228" s="686">
        <v>0</v>
      </c>
      <c r="BW228" s="686">
        <v>0</v>
      </c>
      <c r="BX228" s="686">
        <v>0</v>
      </c>
      <c r="BY228" s="686">
        <v>0</v>
      </c>
      <c r="BZ228" s="686">
        <v>0</v>
      </c>
      <c r="CA228" s="686">
        <v>0</v>
      </c>
      <c r="CB228" s="686">
        <v>22799</v>
      </c>
      <c r="CC228" s="686">
        <v>0</v>
      </c>
      <c r="CD228" s="686">
        <v>0</v>
      </c>
      <c r="CE228" s="686">
        <v>0</v>
      </c>
    </row>
    <row r="229" spans="1:83" x14ac:dyDescent="0.25">
      <c r="A229" s="622">
        <v>579</v>
      </c>
      <c r="B229" s="677">
        <v>579</v>
      </c>
      <c r="C229" s="677" t="s">
        <v>653</v>
      </c>
      <c r="D229" s="677" t="s">
        <v>654</v>
      </c>
      <c r="E229" s="638">
        <v>0</v>
      </c>
      <c r="F229" s="621">
        <v>0</v>
      </c>
      <c r="G229" s="621">
        <v>0</v>
      </c>
      <c r="H229" s="621">
        <v>0</v>
      </c>
      <c r="I229" s="621">
        <v>0</v>
      </c>
      <c r="J229" s="621">
        <v>0</v>
      </c>
      <c r="K229" s="672">
        <v>0</v>
      </c>
      <c r="L229" s="686">
        <v>0</v>
      </c>
      <c r="M229" s="686">
        <v>0</v>
      </c>
      <c r="N229" s="636">
        <v>0</v>
      </c>
      <c r="O229" s="636">
        <v>0</v>
      </c>
      <c r="P229" s="636">
        <v>0</v>
      </c>
      <c r="Q229" s="636">
        <v>0</v>
      </c>
      <c r="R229" s="636">
        <v>0</v>
      </c>
      <c r="S229" s="636">
        <v>0</v>
      </c>
      <c r="T229" s="636">
        <v>0</v>
      </c>
      <c r="U229" s="636">
        <v>0</v>
      </c>
      <c r="V229" s="636">
        <v>0</v>
      </c>
      <c r="W229" s="636">
        <v>2711441</v>
      </c>
      <c r="X229" s="636">
        <v>0</v>
      </c>
      <c r="Y229" s="636">
        <v>0</v>
      </c>
      <c r="Z229" s="636">
        <v>0</v>
      </c>
      <c r="AA229" s="636">
        <v>0</v>
      </c>
      <c r="AB229" s="686" t="e">
        <v>#VALUE!</v>
      </c>
      <c r="AC229" s="686">
        <v>0</v>
      </c>
      <c r="AD229" s="686" t="e">
        <v>#VALUE!</v>
      </c>
      <c r="AE229" s="686">
        <v>0</v>
      </c>
      <c r="AF229" s="686">
        <v>0</v>
      </c>
      <c r="AG229" s="686">
        <v>0</v>
      </c>
      <c r="AH229" s="686">
        <v>0</v>
      </c>
      <c r="AI229" s="686">
        <v>0</v>
      </c>
      <c r="AJ229" s="686">
        <v>0</v>
      </c>
      <c r="AK229" s="686">
        <v>0</v>
      </c>
      <c r="AL229" s="686">
        <v>0</v>
      </c>
      <c r="AM229" s="686">
        <v>0</v>
      </c>
      <c r="AN229" s="686">
        <v>0</v>
      </c>
      <c r="AO229" s="686">
        <v>0</v>
      </c>
      <c r="AP229" s="686">
        <v>0</v>
      </c>
      <c r="AQ229" s="686">
        <v>0</v>
      </c>
      <c r="AR229" s="686">
        <v>0</v>
      </c>
      <c r="AS229" s="686">
        <v>0</v>
      </c>
      <c r="AT229" s="686">
        <v>0</v>
      </c>
      <c r="AU229" s="686">
        <v>0</v>
      </c>
      <c r="AV229" s="686">
        <v>0</v>
      </c>
      <c r="AW229" s="686">
        <v>0</v>
      </c>
      <c r="AX229" s="686">
        <v>0</v>
      </c>
      <c r="AY229" s="686">
        <v>0</v>
      </c>
      <c r="AZ229" s="686">
        <v>0</v>
      </c>
      <c r="BA229" s="686">
        <v>0</v>
      </c>
      <c r="BB229" s="686">
        <v>0</v>
      </c>
      <c r="BC229" s="686">
        <v>0</v>
      </c>
      <c r="BD229" s="686">
        <v>0</v>
      </c>
      <c r="BE229" s="686">
        <v>0</v>
      </c>
      <c r="BF229" s="686">
        <v>0</v>
      </c>
      <c r="BG229" s="686">
        <v>0</v>
      </c>
      <c r="BH229" s="686">
        <v>0</v>
      </c>
      <c r="BI229" s="686">
        <v>0</v>
      </c>
      <c r="BJ229" s="686">
        <v>0</v>
      </c>
      <c r="BK229" s="686">
        <v>0</v>
      </c>
      <c r="BL229" s="686">
        <v>0</v>
      </c>
      <c r="BM229" s="686">
        <v>0</v>
      </c>
      <c r="BN229" s="686">
        <v>0</v>
      </c>
      <c r="BO229" s="686">
        <v>0</v>
      </c>
      <c r="BP229" s="686">
        <v>0</v>
      </c>
      <c r="BQ229" s="686">
        <v>0</v>
      </c>
      <c r="BR229" s="686">
        <v>0</v>
      </c>
      <c r="BS229" s="686">
        <v>0</v>
      </c>
      <c r="BT229" s="686">
        <v>0</v>
      </c>
      <c r="BU229" s="686">
        <v>0</v>
      </c>
      <c r="BV229" s="686">
        <v>0</v>
      </c>
      <c r="BW229" s="686">
        <v>0</v>
      </c>
      <c r="BX229" s="686">
        <v>0</v>
      </c>
      <c r="BY229" s="686">
        <v>0</v>
      </c>
      <c r="BZ229" s="686">
        <v>0</v>
      </c>
      <c r="CA229" s="686">
        <v>0</v>
      </c>
      <c r="CB229" s="686">
        <v>0</v>
      </c>
      <c r="CC229" s="686">
        <v>0</v>
      </c>
      <c r="CD229" s="686">
        <v>0</v>
      </c>
      <c r="CE229" s="686">
        <v>0</v>
      </c>
    </row>
    <row r="230" spans="1:83" x14ac:dyDescent="0.25">
      <c r="A230" s="622">
        <v>580</v>
      </c>
      <c r="B230" s="677">
        <v>580</v>
      </c>
      <c r="C230" s="677" t="s">
        <v>655</v>
      </c>
      <c r="D230" s="677" t="s">
        <v>656</v>
      </c>
      <c r="E230" s="638">
        <v>0</v>
      </c>
      <c r="F230" s="621">
        <v>0</v>
      </c>
      <c r="G230" s="621">
        <v>0</v>
      </c>
      <c r="H230" s="621">
        <v>0</v>
      </c>
      <c r="I230" s="621">
        <v>0</v>
      </c>
      <c r="J230" s="621">
        <v>0</v>
      </c>
      <c r="K230" s="672">
        <v>0</v>
      </c>
      <c r="L230" s="686">
        <v>0</v>
      </c>
      <c r="M230" s="686">
        <v>0</v>
      </c>
      <c r="N230" s="636">
        <v>0</v>
      </c>
      <c r="O230" s="636">
        <v>0</v>
      </c>
      <c r="P230" s="636">
        <v>0</v>
      </c>
      <c r="Q230" s="636">
        <v>0</v>
      </c>
      <c r="R230" s="636">
        <v>0</v>
      </c>
      <c r="S230" s="636">
        <v>0</v>
      </c>
      <c r="T230" s="636">
        <v>0</v>
      </c>
      <c r="U230" s="636">
        <v>0</v>
      </c>
      <c r="V230" s="636">
        <v>0</v>
      </c>
      <c r="W230" s="636">
        <v>0</v>
      </c>
      <c r="X230" s="636">
        <v>0</v>
      </c>
      <c r="Y230" s="636">
        <v>0</v>
      </c>
      <c r="Z230" s="636">
        <v>0</v>
      </c>
      <c r="AA230" s="636">
        <v>0</v>
      </c>
      <c r="AB230" s="686" t="e">
        <v>#VALUE!</v>
      </c>
      <c r="AC230" s="686">
        <v>0</v>
      </c>
      <c r="AD230" s="686" t="e">
        <v>#VALUE!</v>
      </c>
      <c r="AE230" s="686">
        <v>0</v>
      </c>
      <c r="AF230" s="686">
        <v>0</v>
      </c>
      <c r="AG230" s="686">
        <v>0</v>
      </c>
      <c r="AH230" s="686">
        <v>0</v>
      </c>
      <c r="AI230" s="686">
        <v>0</v>
      </c>
      <c r="AJ230" s="686">
        <v>0</v>
      </c>
      <c r="AK230" s="686">
        <v>0</v>
      </c>
      <c r="AL230" s="686">
        <v>0</v>
      </c>
      <c r="AM230" s="686">
        <v>0</v>
      </c>
      <c r="AN230" s="686">
        <v>0</v>
      </c>
      <c r="AO230" s="686">
        <v>0</v>
      </c>
      <c r="AP230" s="686">
        <v>0</v>
      </c>
      <c r="AQ230" s="686">
        <v>0</v>
      </c>
      <c r="AR230" s="686">
        <v>0</v>
      </c>
      <c r="AS230" s="686">
        <v>0</v>
      </c>
      <c r="AT230" s="686">
        <v>0</v>
      </c>
      <c r="AU230" s="686">
        <v>0</v>
      </c>
      <c r="AV230" s="686">
        <v>0</v>
      </c>
      <c r="AW230" s="686">
        <v>0</v>
      </c>
      <c r="AX230" s="686">
        <v>0</v>
      </c>
      <c r="AY230" s="686">
        <v>0</v>
      </c>
      <c r="AZ230" s="686">
        <v>0</v>
      </c>
      <c r="BA230" s="686">
        <v>0</v>
      </c>
      <c r="BB230" s="686">
        <v>0</v>
      </c>
      <c r="BC230" s="686">
        <v>0</v>
      </c>
      <c r="BD230" s="686">
        <v>0</v>
      </c>
      <c r="BE230" s="686">
        <v>0</v>
      </c>
      <c r="BF230" s="686">
        <v>0</v>
      </c>
      <c r="BG230" s="686">
        <v>0</v>
      </c>
      <c r="BH230" s="686">
        <v>0</v>
      </c>
      <c r="BI230" s="686">
        <v>0</v>
      </c>
      <c r="BJ230" s="686">
        <v>0</v>
      </c>
      <c r="BK230" s="686">
        <v>0</v>
      </c>
      <c r="BL230" s="686">
        <v>0</v>
      </c>
      <c r="BM230" s="686">
        <v>0</v>
      </c>
      <c r="BN230" s="686">
        <v>0</v>
      </c>
      <c r="BO230" s="686">
        <v>0</v>
      </c>
      <c r="BP230" s="686">
        <v>0</v>
      </c>
      <c r="BQ230" s="686">
        <v>0</v>
      </c>
      <c r="BR230" s="686">
        <v>0</v>
      </c>
      <c r="BS230" s="686">
        <v>0</v>
      </c>
      <c r="BT230" s="686">
        <v>0</v>
      </c>
      <c r="BU230" s="686">
        <v>0</v>
      </c>
      <c r="BV230" s="686">
        <v>0</v>
      </c>
      <c r="BW230" s="686">
        <v>0</v>
      </c>
      <c r="BX230" s="686">
        <v>0</v>
      </c>
      <c r="BY230" s="686">
        <v>0</v>
      </c>
      <c r="BZ230" s="686">
        <v>0</v>
      </c>
      <c r="CA230" s="686">
        <v>0</v>
      </c>
      <c r="CB230" s="686">
        <v>0</v>
      </c>
      <c r="CC230" s="686">
        <v>0</v>
      </c>
      <c r="CD230" s="686">
        <v>0</v>
      </c>
      <c r="CE230" s="686">
        <v>0</v>
      </c>
    </row>
    <row r="231" spans="1:83" x14ac:dyDescent="0.25">
      <c r="A231" s="622">
        <v>581</v>
      </c>
      <c r="B231" s="677">
        <v>581</v>
      </c>
      <c r="C231" s="677" t="s">
        <v>657</v>
      </c>
      <c r="D231" s="677" t="s">
        <v>658</v>
      </c>
      <c r="E231" s="638">
        <v>0</v>
      </c>
      <c r="F231" s="621">
        <v>0</v>
      </c>
      <c r="G231" s="621">
        <v>0</v>
      </c>
      <c r="H231" s="621">
        <v>0</v>
      </c>
      <c r="I231" s="621">
        <v>0</v>
      </c>
      <c r="J231" s="621">
        <v>0</v>
      </c>
      <c r="K231" s="672">
        <v>0</v>
      </c>
      <c r="L231" s="686">
        <v>0</v>
      </c>
      <c r="M231" s="686">
        <v>0</v>
      </c>
      <c r="N231" s="636">
        <v>0</v>
      </c>
      <c r="O231" s="636">
        <v>0</v>
      </c>
      <c r="P231" s="636">
        <v>0</v>
      </c>
      <c r="Q231" s="636">
        <v>0</v>
      </c>
      <c r="R231" s="636">
        <v>2262691</v>
      </c>
      <c r="S231" s="636">
        <v>0</v>
      </c>
      <c r="T231" s="636">
        <v>0</v>
      </c>
      <c r="U231" s="636">
        <v>0</v>
      </c>
      <c r="V231" s="636">
        <v>0</v>
      </c>
      <c r="W231" s="636">
        <v>0</v>
      </c>
      <c r="X231" s="636">
        <v>0</v>
      </c>
      <c r="Y231" s="636">
        <v>0</v>
      </c>
      <c r="Z231" s="636">
        <v>0</v>
      </c>
      <c r="AA231" s="636">
        <v>0</v>
      </c>
      <c r="AB231" s="686" t="e">
        <v>#VALUE!</v>
      </c>
      <c r="AC231" s="686">
        <v>0</v>
      </c>
      <c r="AD231" s="686" t="e">
        <v>#VALUE!</v>
      </c>
      <c r="AE231" s="686">
        <v>0</v>
      </c>
      <c r="AF231" s="686">
        <v>0</v>
      </c>
      <c r="AG231" s="686">
        <v>0</v>
      </c>
      <c r="AH231" s="686">
        <v>0</v>
      </c>
      <c r="AI231" s="686">
        <v>0</v>
      </c>
      <c r="AJ231" s="686">
        <v>0</v>
      </c>
      <c r="AK231" s="686">
        <v>0</v>
      </c>
      <c r="AL231" s="686">
        <v>0</v>
      </c>
      <c r="AM231" s="686">
        <v>0</v>
      </c>
      <c r="AN231" s="686">
        <v>0</v>
      </c>
      <c r="AO231" s="686">
        <v>0</v>
      </c>
      <c r="AP231" s="686">
        <v>0</v>
      </c>
      <c r="AQ231" s="686">
        <v>0</v>
      </c>
      <c r="AR231" s="686">
        <v>0</v>
      </c>
      <c r="AS231" s="686">
        <v>0</v>
      </c>
      <c r="AT231" s="686">
        <v>0</v>
      </c>
      <c r="AU231" s="686">
        <v>0</v>
      </c>
      <c r="AV231" s="686">
        <v>0</v>
      </c>
      <c r="AW231" s="686">
        <v>0</v>
      </c>
      <c r="AX231" s="686">
        <v>0</v>
      </c>
      <c r="AY231" s="686">
        <v>0</v>
      </c>
      <c r="AZ231" s="686">
        <v>0</v>
      </c>
      <c r="BA231" s="686">
        <v>0</v>
      </c>
      <c r="BB231" s="686">
        <v>0</v>
      </c>
      <c r="BC231" s="686">
        <v>0</v>
      </c>
      <c r="BD231" s="686">
        <v>0</v>
      </c>
      <c r="BE231" s="686">
        <v>0</v>
      </c>
      <c r="BF231" s="686">
        <v>0</v>
      </c>
      <c r="BG231" s="686">
        <v>0</v>
      </c>
      <c r="BH231" s="686">
        <v>0</v>
      </c>
      <c r="BI231" s="686">
        <v>0</v>
      </c>
      <c r="BJ231" s="686">
        <v>0</v>
      </c>
      <c r="BK231" s="686">
        <v>0</v>
      </c>
      <c r="BL231" s="686">
        <v>0</v>
      </c>
      <c r="BM231" s="686">
        <v>0</v>
      </c>
      <c r="BN231" s="686">
        <v>0</v>
      </c>
      <c r="BO231" s="686">
        <v>0</v>
      </c>
      <c r="BP231" s="686">
        <v>0</v>
      </c>
      <c r="BQ231" s="686">
        <v>0</v>
      </c>
      <c r="BR231" s="686">
        <v>0</v>
      </c>
      <c r="BS231" s="686">
        <v>0</v>
      </c>
      <c r="BT231" s="686">
        <v>0</v>
      </c>
      <c r="BU231" s="686">
        <v>0</v>
      </c>
      <c r="BV231" s="686">
        <v>0</v>
      </c>
      <c r="BW231" s="686">
        <v>0</v>
      </c>
      <c r="BX231" s="686">
        <v>0</v>
      </c>
      <c r="BY231" s="686">
        <v>0</v>
      </c>
      <c r="BZ231" s="686">
        <v>0</v>
      </c>
      <c r="CA231" s="686">
        <v>0</v>
      </c>
      <c r="CB231" s="686">
        <v>0</v>
      </c>
      <c r="CC231" s="686">
        <v>0</v>
      </c>
      <c r="CD231" s="686">
        <v>0</v>
      </c>
      <c r="CE231" s="686">
        <v>0</v>
      </c>
    </row>
    <row r="232" spans="1:83" x14ac:dyDescent="0.25">
      <c r="A232" s="622"/>
      <c r="B232" s="677">
        <v>582</v>
      </c>
      <c r="C232" s="677" t="s">
        <v>659</v>
      </c>
      <c r="D232" s="677" t="s">
        <v>660</v>
      </c>
      <c r="E232" s="638"/>
      <c r="F232" s="621"/>
      <c r="G232" s="621"/>
      <c r="H232" s="621"/>
      <c r="I232" s="621"/>
      <c r="J232" s="621"/>
      <c r="K232" s="672"/>
      <c r="L232" s="686"/>
      <c r="M232" s="686"/>
      <c r="N232" s="636"/>
      <c r="O232" s="636"/>
      <c r="P232" s="636"/>
      <c r="Q232" s="636"/>
      <c r="R232" s="636"/>
      <c r="S232" s="636"/>
      <c r="T232" s="636"/>
      <c r="U232" s="636"/>
      <c r="V232" s="636"/>
      <c r="W232" s="636"/>
      <c r="X232" s="636"/>
      <c r="Y232" s="636"/>
      <c r="Z232" s="636"/>
      <c r="AA232" s="636"/>
      <c r="AB232" s="686"/>
      <c r="AC232" s="686"/>
      <c r="AD232" s="686"/>
      <c r="AE232" s="686"/>
      <c r="AF232" s="686"/>
      <c r="AG232" s="686"/>
      <c r="AH232" s="686"/>
      <c r="AI232" s="686"/>
      <c r="AJ232" s="686"/>
      <c r="AK232" s="686"/>
      <c r="AL232" s="686"/>
      <c r="AM232" s="686"/>
      <c r="AN232" s="686"/>
      <c r="AO232" s="686"/>
      <c r="AP232" s="686"/>
      <c r="AQ232" s="686"/>
      <c r="AR232" s="686"/>
      <c r="AS232" s="686"/>
      <c r="AT232" s="686"/>
      <c r="AU232" s="686"/>
      <c r="AV232" s="686"/>
      <c r="AW232" s="686"/>
      <c r="AX232" s="686"/>
      <c r="AY232" s="686"/>
      <c r="AZ232" s="686"/>
      <c r="BA232" s="686"/>
      <c r="BB232" s="686"/>
      <c r="BC232" s="686"/>
      <c r="BD232" s="686"/>
      <c r="BE232" s="686"/>
      <c r="BF232" s="686"/>
      <c r="BG232" s="686"/>
      <c r="BH232" s="686"/>
      <c r="BI232" s="686"/>
      <c r="BJ232" s="686"/>
      <c r="BK232" s="686"/>
      <c r="BL232" s="686"/>
      <c r="BM232" s="686"/>
      <c r="BN232" s="686"/>
      <c r="BO232" s="686"/>
      <c r="BP232" s="686"/>
      <c r="BQ232" s="686"/>
      <c r="BR232" s="686"/>
      <c r="BS232" s="686"/>
      <c r="BT232" s="686"/>
      <c r="BU232" s="686"/>
      <c r="BV232" s="686"/>
      <c r="BW232" s="686"/>
      <c r="BX232" s="686"/>
      <c r="BY232" s="686"/>
      <c r="BZ232" s="686"/>
      <c r="CA232" s="686"/>
      <c r="CB232" s="686"/>
      <c r="CC232" s="686"/>
      <c r="CD232" s="686"/>
      <c r="CE232" s="686"/>
    </row>
    <row r="233" spans="1:83" x14ac:dyDescent="0.25">
      <c r="A233" s="622"/>
      <c r="B233" s="677">
        <v>583</v>
      </c>
      <c r="C233" s="677" t="s">
        <v>661</v>
      </c>
      <c r="D233" s="677" t="s">
        <v>662</v>
      </c>
      <c r="E233" s="638"/>
      <c r="F233" s="621"/>
      <c r="G233" s="621"/>
      <c r="H233" s="621"/>
      <c r="I233" s="621"/>
      <c r="J233" s="621"/>
      <c r="K233" s="672"/>
      <c r="L233" s="686"/>
      <c r="M233" s="686"/>
      <c r="N233" s="636"/>
      <c r="O233" s="636"/>
      <c r="P233" s="636"/>
      <c r="Q233" s="636"/>
      <c r="R233" s="636"/>
      <c r="S233" s="636"/>
      <c r="T233" s="636"/>
      <c r="U233" s="636"/>
      <c r="V233" s="636"/>
      <c r="W233" s="636"/>
      <c r="X233" s="636"/>
      <c r="Y233" s="636"/>
      <c r="Z233" s="636"/>
      <c r="AA233" s="636"/>
      <c r="AB233" s="686"/>
      <c r="AC233" s="686"/>
      <c r="AD233" s="686"/>
      <c r="AE233" s="686"/>
      <c r="AF233" s="686"/>
      <c r="AG233" s="686"/>
      <c r="AH233" s="686"/>
      <c r="AI233" s="686"/>
      <c r="AJ233" s="686"/>
      <c r="AK233" s="686"/>
      <c r="AL233" s="686"/>
      <c r="AM233" s="686"/>
      <c r="AN233" s="686"/>
      <c r="AO233" s="686"/>
      <c r="AP233" s="686"/>
      <c r="AQ233" s="686"/>
      <c r="AR233" s="686"/>
      <c r="AS233" s="686"/>
      <c r="AT233" s="686"/>
      <c r="AU233" s="686"/>
      <c r="AV233" s="686"/>
      <c r="AW233" s="686"/>
      <c r="AX233" s="686"/>
      <c r="AY233" s="686"/>
      <c r="AZ233" s="686"/>
      <c r="BA233" s="686"/>
      <c r="BB233" s="686"/>
      <c r="BC233" s="686"/>
      <c r="BD233" s="686"/>
      <c r="BE233" s="686"/>
      <c r="BF233" s="686"/>
      <c r="BG233" s="686"/>
      <c r="BH233" s="686"/>
      <c r="BI233" s="686"/>
      <c r="BJ233" s="686"/>
      <c r="BK233" s="686"/>
      <c r="BL233" s="686"/>
      <c r="BM233" s="686"/>
      <c r="BN233" s="686"/>
      <c r="BO233" s="686"/>
      <c r="BP233" s="686"/>
      <c r="BQ233" s="686"/>
      <c r="BR233" s="686"/>
      <c r="BS233" s="686"/>
      <c r="BT233" s="686"/>
      <c r="BU233" s="686"/>
      <c r="BV233" s="686"/>
      <c r="BW233" s="686"/>
      <c r="BX233" s="686"/>
      <c r="BY233" s="686"/>
      <c r="BZ233" s="686"/>
      <c r="CA233" s="686"/>
      <c r="CB233" s="686"/>
      <c r="CC233" s="686"/>
      <c r="CD233" s="686"/>
      <c r="CE233" s="686"/>
    </row>
    <row r="234" spans="1:83" x14ac:dyDescent="0.25">
      <c r="A234" s="622"/>
      <c r="B234" s="677">
        <v>584</v>
      </c>
      <c r="C234" s="677" t="s">
        <v>663</v>
      </c>
      <c r="D234" s="677" t="s">
        <v>664</v>
      </c>
      <c r="E234" s="638"/>
      <c r="F234" s="621"/>
      <c r="G234" s="621"/>
      <c r="H234" s="621"/>
      <c r="I234" s="621"/>
      <c r="J234" s="621"/>
      <c r="K234" s="672"/>
      <c r="L234" s="686"/>
      <c r="M234" s="686"/>
      <c r="N234" s="636"/>
      <c r="O234" s="636"/>
      <c r="P234" s="636"/>
      <c r="Q234" s="636"/>
      <c r="R234" s="636"/>
      <c r="S234" s="636"/>
      <c r="T234" s="636"/>
      <c r="U234" s="636"/>
      <c r="V234" s="636"/>
      <c r="W234" s="636"/>
      <c r="X234" s="636"/>
      <c r="Y234" s="636"/>
      <c r="Z234" s="636"/>
      <c r="AA234" s="636"/>
      <c r="AB234" s="686"/>
      <c r="AC234" s="686"/>
      <c r="AD234" s="686"/>
      <c r="AE234" s="686"/>
      <c r="AF234" s="686"/>
      <c r="AG234" s="686"/>
      <c r="AH234" s="686"/>
      <c r="AI234" s="686"/>
      <c r="AJ234" s="686"/>
      <c r="AK234" s="686"/>
      <c r="AL234" s="686"/>
      <c r="AM234" s="686"/>
      <c r="AN234" s="686"/>
      <c r="AO234" s="686"/>
      <c r="AP234" s="686"/>
      <c r="AQ234" s="686"/>
      <c r="AR234" s="686"/>
      <c r="AS234" s="686"/>
      <c r="AT234" s="686"/>
      <c r="AU234" s="686"/>
      <c r="AV234" s="686"/>
      <c r="AW234" s="686"/>
      <c r="AX234" s="686"/>
      <c r="AY234" s="686"/>
      <c r="AZ234" s="686"/>
      <c r="BA234" s="686"/>
      <c r="BB234" s="686"/>
      <c r="BC234" s="686"/>
      <c r="BD234" s="686"/>
      <c r="BE234" s="686"/>
      <c r="BF234" s="686"/>
      <c r="BG234" s="686"/>
      <c r="BH234" s="686"/>
      <c r="BI234" s="686"/>
      <c r="BJ234" s="686"/>
      <c r="BK234" s="686"/>
      <c r="BL234" s="686"/>
      <c r="BM234" s="686"/>
      <c r="BN234" s="686"/>
      <c r="BO234" s="686"/>
      <c r="BP234" s="686"/>
      <c r="BQ234" s="686"/>
      <c r="BR234" s="686"/>
      <c r="BS234" s="686"/>
      <c r="BT234" s="686"/>
      <c r="BU234" s="686"/>
      <c r="BV234" s="686"/>
      <c r="BW234" s="686"/>
      <c r="BX234" s="686"/>
      <c r="BY234" s="686"/>
      <c r="BZ234" s="686"/>
      <c r="CA234" s="686"/>
      <c r="CB234" s="686"/>
      <c r="CC234" s="686"/>
      <c r="CD234" s="686"/>
      <c r="CE234" s="686"/>
    </row>
    <row r="235" spans="1:83" x14ac:dyDescent="0.25">
      <c r="A235" s="622"/>
      <c r="B235" s="677">
        <v>585</v>
      </c>
      <c r="C235" s="677" t="s">
        <v>665</v>
      </c>
      <c r="D235" s="677" t="s">
        <v>666</v>
      </c>
      <c r="E235" s="638"/>
      <c r="F235" s="621"/>
      <c r="G235" s="621"/>
      <c r="H235" s="621"/>
      <c r="I235" s="621"/>
      <c r="J235" s="621"/>
      <c r="K235" s="672"/>
      <c r="L235" s="686"/>
      <c r="M235" s="686"/>
      <c r="N235" s="636"/>
      <c r="O235" s="636"/>
      <c r="P235" s="636"/>
      <c r="Q235" s="636"/>
      <c r="R235" s="636"/>
      <c r="S235" s="636"/>
      <c r="T235" s="636"/>
      <c r="U235" s="636"/>
      <c r="V235" s="636"/>
      <c r="W235" s="636"/>
      <c r="X235" s="636"/>
      <c r="Y235" s="636"/>
      <c r="Z235" s="636"/>
      <c r="AA235" s="636"/>
      <c r="AB235" s="686"/>
      <c r="AC235" s="686"/>
      <c r="AD235" s="686"/>
      <c r="AE235" s="686"/>
      <c r="AF235" s="686"/>
      <c r="AG235" s="686"/>
      <c r="AH235" s="686"/>
      <c r="AI235" s="686"/>
      <c r="AJ235" s="686"/>
      <c r="AK235" s="686"/>
      <c r="AL235" s="686"/>
      <c r="AM235" s="686"/>
      <c r="AN235" s="686"/>
      <c r="AO235" s="686"/>
      <c r="AP235" s="686"/>
      <c r="AQ235" s="686"/>
      <c r="AR235" s="686"/>
      <c r="AS235" s="686"/>
      <c r="AT235" s="686"/>
      <c r="AU235" s="686"/>
      <c r="AV235" s="686"/>
      <c r="AW235" s="686"/>
      <c r="AX235" s="686"/>
      <c r="AY235" s="686"/>
      <c r="AZ235" s="686"/>
      <c r="BA235" s="686"/>
      <c r="BB235" s="686"/>
      <c r="BC235" s="686"/>
      <c r="BD235" s="686"/>
      <c r="BE235" s="686"/>
      <c r="BF235" s="686"/>
      <c r="BG235" s="686"/>
      <c r="BH235" s="686"/>
      <c r="BI235" s="686"/>
      <c r="BJ235" s="686"/>
      <c r="BK235" s="686"/>
      <c r="BL235" s="686"/>
      <c r="BM235" s="686"/>
      <c r="BN235" s="686"/>
      <c r="BO235" s="686"/>
      <c r="BP235" s="686"/>
      <c r="BQ235" s="686"/>
      <c r="BR235" s="686"/>
      <c r="BS235" s="686"/>
      <c r="BT235" s="686"/>
      <c r="BU235" s="686"/>
      <c r="BV235" s="686"/>
      <c r="BW235" s="686"/>
      <c r="BX235" s="686"/>
      <c r="BY235" s="686"/>
      <c r="BZ235" s="686"/>
      <c r="CA235" s="686"/>
      <c r="CB235" s="686"/>
      <c r="CC235" s="686"/>
      <c r="CD235" s="686"/>
      <c r="CE235" s="686"/>
    </row>
    <row r="236" spans="1:83" x14ac:dyDescent="0.25">
      <c r="A236" s="622">
        <v>586</v>
      </c>
      <c r="B236" s="677">
        <v>586</v>
      </c>
      <c r="C236" s="677" t="s">
        <v>667</v>
      </c>
      <c r="D236" s="677" t="s">
        <v>668</v>
      </c>
      <c r="E236" s="638">
        <v>0</v>
      </c>
      <c r="F236" s="621">
        <v>0</v>
      </c>
      <c r="G236" s="621">
        <v>0</v>
      </c>
      <c r="H236" s="621">
        <v>0</v>
      </c>
      <c r="I236" s="621">
        <v>0</v>
      </c>
      <c r="J236" s="621">
        <v>0</v>
      </c>
      <c r="K236" s="672">
        <v>0</v>
      </c>
      <c r="L236" s="686">
        <v>0</v>
      </c>
      <c r="M236" s="686">
        <v>0</v>
      </c>
      <c r="N236" s="636">
        <v>0</v>
      </c>
      <c r="O236" s="636">
        <v>0</v>
      </c>
      <c r="P236" s="636">
        <v>0</v>
      </c>
      <c r="Q236" s="636">
        <v>0</v>
      </c>
      <c r="R236" s="636">
        <v>0</v>
      </c>
      <c r="S236" s="636">
        <v>0</v>
      </c>
      <c r="T236" s="636">
        <v>0</v>
      </c>
      <c r="U236" s="636">
        <v>0</v>
      </c>
      <c r="V236" s="636">
        <v>0</v>
      </c>
      <c r="W236" s="636">
        <v>0</v>
      </c>
      <c r="X236" s="636">
        <v>0</v>
      </c>
      <c r="Y236" s="636">
        <v>10997</v>
      </c>
      <c r="Z236" s="636">
        <v>0</v>
      </c>
      <c r="AA236" s="636">
        <v>0</v>
      </c>
      <c r="AB236" s="686" t="e">
        <v>#VALUE!</v>
      </c>
      <c r="AC236" s="686">
        <v>0</v>
      </c>
      <c r="AD236" s="686" t="e">
        <v>#VALUE!</v>
      </c>
      <c r="AE236" s="686">
        <v>0</v>
      </c>
      <c r="AF236" s="686">
        <v>0</v>
      </c>
      <c r="AG236" s="686">
        <v>0</v>
      </c>
      <c r="AH236" s="686">
        <v>0</v>
      </c>
      <c r="AI236" s="686">
        <v>0</v>
      </c>
      <c r="AJ236" s="686">
        <v>0</v>
      </c>
      <c r="AK236" s="686">
        <v>0</v>
      </c>
      <c r="AL236" s="686">
        <v>0</v>
      </c>
      <c r="AM236" s="686">
        <v>0</v>
      </c>
      <c r="AN236" s="686">
        <v>0</v>
      </c>
      <c r="AO236" s="686">
        <v>0</v>
      </c>
      <c r="AP236" s="686">
        <v>0</v>
      </c>
      <c r="AQ236" s="686">
        <v>0</v>
      </c>
      <c r="AR236" s="686">
        <v>0</v>
      </c>
      <c r="AS236" s="686">
        <v>0</v>
      </c>
      <c r="AT236" s="686">
        <v>0</v>
      </c>
      <c r="AU236" s="686">
        <v>0</v>
      </c>
      <c r="AV236" s="686">
        <v>0</v>
      </c>
      <c r="AW236" s="686">
        <v>0</v>
      </c>
      <c r="AX236" s="686">
        <v>0</v>
      </c>
      <c r="AY236" s="686">
        <v>0</v>
      </c>
      <c r="AZ236" s="686">
        <v>0</v>
      </c>
      <c r="BA236" s="686">
        <v>0</v>
      </c>
      <c r="BB236" s="686">
        <v>0</v>
      </c>
      <c r="BC236" s="686">
        <v>0</v>
      </c>
      <c r="BD236" s="686">
        <v>0</v>
      </c>
      <c r="BE236" s="686">
        <v>0</v>
      </c>
      <c r="BF236" s="686">
        <v>0</v>
      </c>
      <c r="BG236" s="686">
        <v>0</v>
      </c>
      <c r="BH236" s="686">
        <v>0</v>
      </c>
      <c r="BI236" s="686">
        <v>0</v>
      </c>
      <c r="BJ236" s="686">
        <v>0</v>
      </c>
      <c r="BK236" s="686">
        <v>0</v>
      </c>
      <c r="BL236" s="686">
        <v>0</v>
      </c>
      <c r="BM236" s="686">
        <v>0</v>
      </c>
      <c r="BN236" s="686">
        <v>0</v>
      </c>
      <c r="BO236" s="686">
        <v>0</v>
      </c>
      <c r="BP236" s="686">
        <v>0</v>
      </c>
      <c r="BQ236" s="686">
        <v>0</v>
      </c>
      <c r="BR236" s="686">
        <v>0</v>
      </c>
      <c r="BS236" s="686">
        <v>0</v>
      </c>
      <c r="BT236" s="686">
        <v>0</v>
      </c>
      <c r="BU236" s="686">
        <v>0</v>
      </c>
      <c r="BV236" s="686">
        <v>0</v>
      </c>
      <c r="BW236" s="686">
        <v>0</v>
      </c>
      <c r="BX236" s="686">
        <v>0</v>
      </c>
      <c r="BY236" s="686">
        <v>0</v>
      </c>
      <c r="BZ236" s="686">
        <v>0</v>
      </c>
      <c r="CA236" s="686">
        <v>0</v>
      </c>
      <c r="CB236" s="686">
        <v>22799</v>
      </c>
      <c r="CC236" s="686">
        <v>0</v>
      </c>
      <c r="CD236" s="686">
        <v>0</v>
      </c>
      <c r="CE236" s="686">
        <v>0</v>
      </c>
    </row>
    <row r="237" spans="1:83" x14ac:dyDescent="0.25">
      <c r="A237" s="622"/>
      <c r="B237" s="677">
        <v>587</v>
      </c>
      <c r="C237" s="677" t="s">
        <v>669</v>
      </c>
      <c r="D237" s="677" t="s">
        <v>670</v>
      </c>
      <c r="E237" s="638"/>
      <c r="F237" s="621"/>
      <c r="G237" s="621"/>
      <c r="H237" s="621"/>
      <c r="I237" s="621"/>
      <c r="J237" s="621"/>
      <c r="K237" s="672"/>
      <c r="L237" s="686"/>
      <c r="M237" s="686"/>
      <c r="N237" s="636"/>
      <c r="O237" s="636"/>
      <c r="P237" s="636"/>
      <c r="Q237" s="636"/>
      <c r="R237" s="636"/>
      <c r="S237" s="636"/>
      <c r="T237" s="636"/>
      <c r="U237" s="636"/>
      <c r="V237" s="636"/>
      <c r="W237" s="636"/>
      <c r="X237" s="636"/>
      <c r="Y237" s="636"/>
      <c r="Z237" s="636"/>
      <c r="AA237" s="636"/>
      <c r="AB237" s="686"/>
      <c r="AC237" s="686"/>
      <c r="AD237" s="686"/>
      <c r="AE237" s="686"/>
      <c r="AF237" s="686"/>
      <c r="AG237" s="686"/>
      <c r="AH237" s="686"/>
      <c r="AI237" s="686"/>
      <c r="AJ237" s="686"/>
      <c r="AK237" s="686"/>
      <c r="AL237" s="686"/>
      <c r="AM237" s="686"/>
      <c r="AN237" s="686"/>
      <c r="AO237" s="686"/>
      <c r="AP237" s="686"/>
      <c r="AQ237" s="686"/>
      <c r="AR237" s="686"/>
      <c r="AS237" s="686"/>
      <c r="AT237" s="686"/>
      <c r="AU237" s="686"/>
      <c r="AV237" s="686"/>
      <c r="AW237" s="686"/>
      <c r="AX237" s="686"/>
      <c r="AY237" s="686"/>
      <c r="AZ237" s="686"/>
      <c r="BA237" s="686"/>
      <c r="BB237" s="686"/>
      <c r="BC237" s="686"/>
      <c r="BD237" s="686"/>
      <c r="BE237" s="686"/>
      <c r="BF237" s="686"/>
      <c r="BG237" s="686"/>
      <c r="BH237" s="686"/>
      <c r="BI237" s="686"/>
      <c r="BJ237" s="686"/>
      <c r="BK237" s="686"/>
      <c r="BL237" s="686"/>
      <c r="BM237" s="686"/>
      <c r="BN237" s="686"/>
      <c r="BO237" s="686"/>
      <c r="BP237" s="686"/>
      <c r="BQ237" s="686"/>
      <c r="BR237" s="686"/>
      <c r="BS237" s="686"/>
      <c r="BT237" s="686"/>
      <c r="BU237" s="686"/>
      <c r="BV237" s="686"/>
      <c r="BW237" s="686"/>
      <c r="BX237" s="686"/>
      <c r="BY237" s="686"/>
      <c r="BZ237" s="686"/>
      <c r="CA237" s="686"/>
      <c r="CB237" s="686"/>
      <c r="CC237" s="686"/>
      <c r="CD237" s="686"/>
      <c r="CE237" s="686"/>
    </row>
    <row r="238" spans="1:83" x14ac:dyDescent="0.25">
      <c r="A238" s="622"/>
      <c r="B238" s="677">
        <v>588</v>
      </c>
      <c r="C238" s="677" t="s">
        <v>671</v>
      </c>
      <c r="D238" s="677" t="s">
        <v>672</v>
      </c>
      <c r="E238" s="638"/>
      <c r="F238" s="621"/>
      <c r="G238" s="621"/>
      <c r="H238" s="621"/>
      <c r="I238" s="621"/>
      <c r="J238" s="621"/>
      <c r="K238" s="672"/>
      <c r="L238" s="686"/>
      <c r="M238" s="686"/>
      <c r="N238" s="636"/>
      <c r="O238" s="636"/>
      <c r="P238" s="636"/>
      <c r="Q238" s="636"/>
      <c r="R238" s="636"/>
      <c r="S238" s="636"/>
      <c r="T238" s="636"/>
      <c r="U238" s="636"/>
      <c r="V238" s="636"/>
      <c r="W238" s="636"/>
      <c r="X238" s="636"/>
      <c r="Y238" s="636"/>
      <c r="Z238" s="636"/>
      <c r="AA238" s="636"/>
      <c r="AB238" s="686"/>
      <c r="AC238" s="686"/>
      <c r="AD238" s="686"/>
      <c r="AE238" s="686"/>
      <c r="AF238" s="686"/>
      <c r="AG238" s="686"/>
      <c r="AH238" s="686"/>
      <c r="AI238" s="686"/>
      <c r="AJ238" s="686"/>
      <c r="AK238" s="686"/>
      <c r="AL238" s="686"/>
      <c r="AM238" s="686"/>
      <c r="AN238" s="686"/>
      <c r="AO238" s="686"/>
      <c r="AP238" s="686"/>
      <c r="AQ238" s="686"/>
      <c r="AR238" s="686"/>
      <c r="AS238" s="686"/>
      <c r="AT238" s="686"/>
      <c r="AU238" s="686"/>
      <c r="AV238" s="686"/>
      <c r="AW238" s="686"/>
      <c r="AX238" s="686"/>
      <c r="AY238" s="686"/>
      <c r="AZ238" s="686"/>
      <c r="BA238" s="686"/>
      <c r="BB238" s="686"/>
      <c r="BC238" s="686"/>
      <c r="BD238" s="686"/>
      <c r="BE238" s="686"/>
      <c r="BF238" s="686"/>
      <c r="BG238" s="686"/>
      <c r="BH238" s="686"/>
      <c r="BI238" s="686"/>
      <c r="BJ238" s="686"/>
      <c r="BK238" s="686"/>
      <c r="BL238" s="686"/>
      <c r="BM238" s="686"/>
      <c r="BN238" s="686"/>
      <c r="BO238" s="686"/>
      <c r="BP238" s="686"/>
      <c r="BQ238" s="686"/>
      <c r="BR238" s="686"/>
      <c r="BS238" s="686"/>
      <c r="BT238" s="686"/>
      <c r="BU238" s="686"/>
      <c r="BV238" s="686"/>
      <c r="BW238" s="686"/>
      <c r="BX238" s="686"/>
      <c r="BY238" s="686"/>
      <c r="BZ238" s="686"/>
      <c r="CA238" s="686"/>
      <c r="CB238" s="686"/>
      <c r="CC238" s="686"/>
      <c r="CD238" s="686"/>
      <c r="CE238" s="686"/>
    </row>
    <row r="239" spans="1:83" x14ac:dyDescent="0.25">
      <c r="A239" s="622"/>
      <c r="B239" s="677">
        <v>589</v>
      </c>
      <c r="C239" s="677" t="s">
        <v>673</v>
      </c>
      <c r="D239" s="677" t="s">
        <v>674</v>
      </c>
      <c r="E239" s="638"/>
      <c r="F239" s="621"/>
      <c r="G239" s="621"/>
      <c r="H239" s="621"/>
      <c r="I239" s="621"/>
      <c r="J239" s="621"/>
      <c r="K239" s="672"/>
      <c r="L239" s="686"/>
      <c r="M239" s="686"/>
      <c r="N239" s="636"/>
      <c r="O239" s="636"/>
      <c r="P239" s="636"/>
      <c r="Q239" s="636"/>
      <c r="R239" s="636"/>
      <c r="S239" s="636"/>
      <c r="T239" s="636"/>
      <c r="U239" s="636"/>
      <c r="V239" s="636"/>
      <c r="W239" s="636"/>
      <c r="X239" s="636"/>
      <c r="Y239" s="636"/>
      <c r="Z239" s="636"/>
      <c r="AA239" s="636"/>
      <c r="AB239" s="686"/>
      <c r="AC239" s="686"/>
      <c r="AD239" s="686"/>
      <c r="AE239" s="686"/>
      <c r="AF239" s="686"/>
      <c r="AG239" s="686"/>
      <c r="AH239" s="686"/>
      <c r="AI239" s="686"/>
      <c r="AJ239" s="686"/>
      <c r="AK239" s="686"/>
      <c r="AL239" s="686"/>
      <c r="AM239" s="686"/>
      <c r="AN239" s="686"/>
      <c r="AO239" s="686"/>
      <c r="AP239" s="686"/>
      <c r="AQ239" s="686"/>
      <c r="AR239" s="686"/>
      <c r="AS239" s="686"/>
      <c r="AT239" s="686"/>
      <c r="AU239" s="686"/>
      <c r="AV239" s="686"/>
      <c r="AW239" s="686"/>
      <c r="AX239" s="686"/>
      <c r="AY239" s="686"/>
      <c r="AZ239" s="686"/>
      <c r="BA239" s="686"/>
      <c r="BB239" s="686"/>
      <c r="BC239" s="686"/>
      <c r="BD239" s="686"/>
      <c r="BE239" s="686"/>
      <c r="BF239" s="686"/>
      <c r="BG239" s="686"/>
      <c r="BH239" s="686"/>
      <c r="BI239" s="686"/>
      <c r="BJ239" s="686"/>
      <c r="BK239" s="686"/>
      <c r="BL239" s="686"/>
      <c r="BM239" s="686"/>
      <c r="BN239" s="686"/>
      <c r="BO239" s="686"/>
      <c r="BP239" s="686"/>
      <c r="BQ239" s="686"/>
      <c r="BR239" s="686"/>
      <c r="BS239" s="686"/>
      <c r="BT239" s="686"/>
      <c r="BU239" s="686"/>
      <c r="BV239" s="686"/>
      <c r="BW239" s="686"/>
      <c r="BX239" s="686"/>
      <c r="BY239" s="686"/>
      <c r="BZ239" s="686"/>
      <c r="CA239" s="686"/>
      <c r="CB239" s="686"/>
      <c r="CC239" s="686"/>
      <c r="CD239" s="686"/>
      <c r="CE239" s="686"/>
    </row>
    <row r="240" spans="1:83" x14ac:dyDescent="0.25">
      <c r="A240" s="622"/>
      <c r="B240" s="677">
        <v>590</v>
      </c>
      <c r="C240" s="688" t="s">
        <v>675</v>
      </c>
      <c r="D240" s="677" t="s">
        <v>676</v>
      </c>
      <c r="E240" s="638"/>
      <c r="F240" s="621"/>
      <c r="G240" s="621"/>
      <c r="H240" s="621"/>
      <c r="I240" s="621"/>
      <c r="J240" s="621"/>
      <c r="K240" s="672"/>
      <c r="L240" s="686"/>
      <c r="M240" s="686"/>
      <c r="N240" s="636"/>
      <c r="O240" s="636"/>
      <c r="P240" s="636"/>
      <c r="Q240" s="636"/>
      <c r="R240" s="636"/>
      <c r="S240" s="636"/>
      <c r="T240" s="636"/>
      <c r="U240" s="636"/>
      <c r="V240" s="636"/>
      <c r="W240" s="636"/>
      <c r="X240" s="636"/>
      <c r="Y240" s="636"/>
      <c r="Z240" s="636"/>
      <c r="AA240" s="636"/>
      <c r="AB240" s="686"/>
      <c r="AC240" s="686"/>
      <c r="AD240" s="686"/>
      <c r="AE240" s="686"/>
      <c r="AF240" s="686"/>
      <c r="AG240" s="686"/>
      <c r="AH240" s="686"/>
      <c r="AI240" s="686"/>
      <c r="AJ240" s="686"/>
      <c r="AK240" s="686"/>
      <c r="AL240" s="686"/>
      <c r="AM240" s="686"/>
      <c r="AN240" s="686"/>
      <c r="AO240" s="686"/>
      <c r="AP240" s="686"/>
      <c r="AQ240" s="686"/>
      <c r="AR240" s="686"/>
      <c r="AS240" s="686"/>
      <c r="AT240" s="686"/>
      <c r="AU240" s="686"/>
      <c r="AV240" s="686"/>
      <c r="AW240" s="686"/>
      <c r="AX240" s="686"/>
      <c r="AY240" s="686"/>
      <c r="AZ240" s="686"/>
      <c r="BA240" s="686"/>
      <c r="BB240" s="686"/>
      <c r="BC240" s="686"/>
      <c r="BD240" s="686"/>
      <c r="BE240" s="686"/>
      <c r="BF240" s="686"/>
      <c r="BG240" s="686"/>
      <c r="BH240" s="686"/>
      <c r="BI240" s="686"/>
      <c r="BJ240" s="686"/>
      <c r="BK240" s="686"/>
      <c r="BL240" s="686"/>
      <c r="BM240" s="686"/>
      <c r="BN240" s="686"/>
      <c r="BO240" s="686"/>
      <c r="BP240" s="686"/>
      <c r="BQ240" s="686"/>
      <c r="BR240" s="686"/>
      <c r="BS240" s="686"/>
      <c r="BT240" s="686"/>
      <c r="BU240" s="686"/>
      <c r="BV240" s="686"/>
      <c r="BW240" s="686"/>
      <c r="BX240" s="686"/>
      <c r="BY240" s="686"/>
      <c r="BZ240" s="686"/>
      <c r="CA240" s="686"/>
      <c r="CB240" s="686"/>
      <c r="CC240" s="686"/>
      <c r="CD240" s="686"/>
      <c r="CE240" s="686"/>
    </row>
    <row r="241" spans="1:83" x14ac:dyDescent="0.25">
      <c r="A241" s="622"/>
      <c r="B241" s="697">
        <v>992</v>
      </c>
      <c r="C241" s="664"/>
      <c r="D241" s="701" t="s">
        <v>607</v>
      </c>
      <c r="E241" s="638"/>
      <c r="F241" s="621"/>
      <c r="G241" s="621"/>
      <c r="H241" s="621"/>
      <c r="I241" s="621"/>
      <c r="J241" s="621"/>
      <c r="K241" s="672"/>
      <c r="L241" s="686"/>
      <c r="M241" s="686"/>
      <c r="N241" s="636"/>
      <c r="O241" s="636"/>
      <c r="P241" s="636"/>
      <c r="Q241" s="636"/>
      <c r="R241" s="636"/>
      <c r="S241" s="636"/>
      <c r="T241" s="636"/>
      <c r="U241" s="636"/>
      <c r="V241" s="636"/>
      <c r="W241" s="636"/>
      <c r="X241" s="636"/>
      <c r="Y241" s="636"/>
      <c r="Z241" s="636"/>
      <c r="AA241" s="636"/>
      <c r="AB241" s="686"/>
      <c r="AC241" s="686"/>
      <c r="AD241" s="686"/>
      <c r="AE241" s="686"/>
      <c r="AF241" s="686"/>
      <c r="AG241" s="686"/>
      <c r="AH241" s="686"/>
      <c r="AI241" s="686"/>
      <c r="AJ241" s="686"/>
      <c r="AK241" s="686"/>
      <c r="AL241" s="686"/>
      <c r="AM241" s="686"/>
      <c r="AN241" s="686"/>
      <c r="AO241" s="686"/>
      <c r="AP241" s="686"/>
      <c r="AQ241" s="686"/>
      <c r="AR241" s="686"/>
      <c r="AS241" s="686"/>
      <c r="AT241" s="686"/>
      <c r="AU241" s="686"/>
      <c r="AV241" s="686"/>
      <c r="AW241" s="686"/>
      <c r="AX241" s="686"/>
      <c r="AY241" s="686"/>
      <c r="AZ241" s="686"/>
      <c r="BA241" s="686"/>
      <c r="BB241" s="686"/>
      <c r="BC241" s="686"/>
      <c r="BD241" s="686"/>
      <c r="BE241" s="686"/>
      <c r="BF241" s="686"/>
      <c r="BG241" s="686"/>
      <c r="BH241" s="686"/>
      <c r="BI241" s="686"/>
      <c r="BJ241" s="686"/>
      <c r="BK241" s="686"/>
      <c r="BL241" s="686"/>
      <c r="BM241" s="686"/>
      <c r="BN241" s="686"/>
      <c r="BO241" s="686"/>
      <c r="BP241" s="686"/>
      <c r="BQ241" s="686"/>
      <c r="BR241" s="686"/>
      <c r="BS241" s="686"/>
      <c r="BT241" s="686"/>
      <c r="BU241" s="686"/>
      <c r="BV241" s="686"/>
      <c r="BW241" s="686"/>
      <c r="BX241" s="686"/>
      <c r="BY241" s="686"/>
      <c r="BZ241" s="686"/>
      <c r="CA241" s="686"/>
      <c r="CB241" s="686"/>
      <c r="CC241" s="686"/>
      <c r="CD241" s="686"/>
      <c r="CE241" s="686"/>
    </row>
    <row r="242" spans="1:83" x14ac:dyDescent="0.25">
      <c r="A242" s="701"/>
      <c r="B242" s="625">
        <v>993</v>
      </c>
      <c r="C242" s="653" t="s">
        <v>518</v>
      </c>
      <c r="D242" s="701" t="s">
        <v>519</v>
      </c>
      <c r="E242" s="638"/>
      <c r="F242" s="621"/>
      <c r="G242" s="621"/>
      <c r="H242" s="621"/>
      <c r="I242" s="621"/>
      <c r="J242" s="621"/>
      <c r="K242" s="672"/>
      <c r="L242" s="686"/>
      <c r="M242" s="686"/>
      <c r="N242" s="636"/>
      <c r="O242" s="636"/>
      <c r="P242" s="636"/>
      <c r="Q242" s="636"/>
      <c r="R242" s="636"/>
      <c r="S242" s="636"/>
      <c r="T242" s="636"/>
      <c r="U242" s="636"/>
      <c r="V242" s="636"/>
      <c r="W242" s="636"/>
      <c r="X242" s="636"/>
      <c r="Y242" s="636"/>
      <c r="Z242" s="636"/>
      <c r="AA242" s="636"/>
      <c r="AB242" s="686"/>
      <c r="AC242" s="686"/>
      <c r="AD242" s="686"/>
      <c r="AE242" s="686"/>
      <c r="AF242" s="686"/>
      <c r="AG242" s="686"/>
      <c r="AH242" s="686"/>
      <c r="AI242" s="686"/>
      <c r="AJ242" s="686"/>
      <c r="AK242" s="686"/>
      <c r="AL242" s="686"/>
      <c r="AM242" s="686"/>
      <c r="AN242" s="686"/>
      <c r="AO242" s="686"/>
      <c r="AP242" s="686"/>
      <c r="AQ242" s="686"/>
      <c r="AR242" s="686"/>
      <c r="AS242" s="686"/>
      <c r="AT242" s="686"/>
      <c r="AU242" s="686"/>
      <c r="AV242" s="686"/>
      <c r="AW242" s="686"/>
      <c r="AX242" s="686"/>
      <c r="AY242" s="686"/>
      <c r="AZ242" s="686"/>
      <c r="BA242" s="686"/>
      <c r="BB242" s="686"/>
      <c r="BC242" s="686"/>
      <c r="BD242" s="686"/>
      <c r="BE242" s="686"/>
      <c r="BF242" s="686"/>
      <c r="BG242" s="686"/>
      <c r="BH242" s="686"/>
      <c r="BI242" s="686"/>
      <c r="BJ242" s="686"/>
      <c r="BK242" s="686"/>
      <c r="BL242" s="686"/>
      <c r="BM242" s="686"/>
      <c r="BN242" s="686"/>
      <c r="BO242" s="686"/>
      <c r="BP242" s="686"/>
      <c r="BQ242" s="686"/>
      <c r="BR242" s="686"/>
      <c r="BS242" s="686"/>
      <c r="BT242" s="686"/>
      <c r="BU242" s="686"/>
      <c r="BV242" s="686"/>
      <c r="BW242" s="686"/>
      <c r="BX242" s="686"/>
      <c r="BY242" s="686"/>
      <c r="BZ242" s="686"/>
      <c r="CA242" s="686"/>
      <c r="CB242" s="686"/>
      <c r="CC242" s="686"/>
      <c r="CD242" s="686"/>
      <c r="CE242" s="686"/>
    </row>
    <row r="243" spans="1:83" x14ac:dyDescent="0.25">
      <c r="A243" s="701"/>
      <c r="B243" s="625">
        <v>994</v>
      </c>
      <c r="C243" s="653" t="s">
        <v>520</v>
      </c>
      <c r="D243" s="701" t="s">
        <v>521</v>
      </c>
      <c r="E243" s="638"/>
      <c r="F243" s="621"/>
      <c r="G243" s="621"/>
      <c r="H243" s="621"/>
      <c r="I243" s="621"/>
      <c r="J243" s="621"/>
      <c r="K243" s="672"/>
      <c r="L243" s="686"/>
      <c r="M243" s="686"/>
      <c r="N243" s="636"/>
      <c r="O243" s="636"/>
      <c r="P243" s="636"/>
      <c r="Q243" s="636"/>
      <c r="R243" s="636"/>
      <c r="S243" s="636"/>
      <c r="T243" s="636"/>
      <c r="U243" s="636"/>
      <c r="V243" s="636"/>
      <c r="W243" s="636"/>
      <c r="X243" s="636"/>
      <c r="Y243" s="636"/>
      <c r="Z243" s="636"/>
      <c r="AA243" s="636"/>
      <c r="AB243" s="686"/>
      <c r="AC243" s="686"/>
      <c r="AD243" s="686"/>
      <c r="AE243" s="686"/>
      <c r="AF243" s="686"/>
      <c r="AG243" s="686"/>
      <c r="AH243" s="686"/>
      <c r="AI243" s="686"/>
      <c r="AJ243" s="686"/>
      <c r="AK243" s="686"/>
      <c r="AL243" s="686"/>
      <c r="AM243" s="686"/>
      <c r="AN243" s="686"/>
      <c r="AO243" s="686"/>
      <c r="AP243" s="686"/>
      <c r="AQ243" s="686"/>
      <c r="AR243" s="686"/>
      <c r="AS243" s="686"/>
      <c r="AT243" s="686"/>
      <c r="AU243" s="686"/>
      <c r="AV243" s="686"/>
      <c r="AW243" s="686"/>
      <c r="AX243" s="686"/>
      <c r="AY243" s="686"/>
      <c r="AZ243" s="686"/>
      <c r="BA243" s="686"/>
      <c r="BB243" s="686"/>
      <c r="BC243" s="686"/>
      <c r="BD243" s="686"/>
      <c r="BE243" s="686"/>
      <c r="BF243" s="686"/>
      <c r="BG243" s="686"/>
      <c r="BH243" s="686"/>
      <c r="BI243" s="686"/>
      <c r="BJ243" s="686"/>
      <c r="BK243" s="686"/>
      <c r="BL243" s="686"/>
      <c r="BM243" s="686"/>
      <c r="BN243" s="686"/>
      <c r="BO243" s="686"/>
      <c r="BP243" s="686"/>
      <c r="BQ243" s="686"/>
      <c r="BR243" s="686"/>
      <c r="BS243" s="686"/>
      <c r="BT243" s="686"/>
      <c r="BU243" s="686"/>
      <c r="BV243" s="686"/>
      <c r="BW243" s="686"/>
      <c r="BX243" s="686"/>
      <c r="BY243" s="686"/>
      <c r="BZ243" s="686"/>
      <c r="CA243" s="686"/>
      <c r="CB243" s="686"/>
      <c r="CC243" s="686"/>
      <c r="CD243" s="686"/>
      <c r="CE243" s="686"/>
    </row>
    <row r="244" spans="1:83" x14ac:dyDescent="0.25">
      <c r="A244" s="701"/>
      <c r="B244" s="616">
        <v>995</v>
      </c>
      <c r="C244" s="662" t="s">
        <v>522</v>
      </c>
      <c r="D244" s="619" t="s">
        <v>523</v>
      </c>
      <c r="E244" s="694">
        <v>0</v>
      </c>
      <c r="F244" s="682">
        <v>0</v>
      </c>
      <c r="G244" s="682">
        <v>0</v>
      </c>
      <c r="H244" s="682">
        <v>0</v>
      </c>
      <c r="I244" s="682">
        <v>0</v>
      </c>
      <c r="J244" s="682">
        <v>0</v>
      </c>
      <c r="K244" s="640">
        <v>0</v>
      </c>
      <c r="L244" s="696">
        <v>0</v>
      </c>
      <c r="M244" s="696">
        <v>0</v>
      </c>
      <c r="N244" s="650">
        <v>0</v>
      </c>
      <c r="O244" s="650">
        <v>0</v>
      </c>
      <c r="P244" s="650">
        <v>0</v>
      </c>
      <c r="Q244" s="650">
        <v>0</v>
      </c>
      <c r="R244" s="650">
        <v>7.0000000000000007E-2</v>
      </c>
      <c r="S244" s="650">
        <v>0</v>
      </c>
      <c r="T244" s="650">
        <v>0</v>
      </c>
      <c r="U244" s="650">
        <v>0</v>
      </c>
      <c r="V244" s="650">
        <v>0</v>
      </c>
      <c r="W244" s="650">
        <v>7.0000000000000007E-2</v>
      </c>
      <c r="X244" s="650">
        <v>0</v>
      </c>
      <c r="Y244" s="650">
        <v>0</v>
      </c>
      <c r="Z244" s="650">
        <v>0</v>
      </c>
      <c r="AA244" s="650">
        <v>0</v>
      </c>
      <c r="AB244" s="696">
        <v>0</v>
      </c>
      <c r="AC244" s="696">
        <v>0</v>
      </c>
      <c r="AD244" s="696">
        <v>0</v>
      </c>
      <c r="AE244" s="696">
        <v>0</v>
      </c>
      <c r="AF244" s="696">
        <v>0</v>
      </c>
      <c r="AG244" s="696">
        <v>0</v>
      </c>
      <c r="AH244" s="696">
        <v>0</v>
      </c>
      <c r="AI244" s="696">
        <v>0</v>
      </c>
      <c r="AJ244" s="696">
        <v>0.08</v>
      </c>
      <c r="AK244" s="696">
        <v>0</v>
      </c>
      <c r="AL244" s="696">
        <v>0</v>
      </c>
      <c r="AM244" s="696">
        <v>0</v>
      </c>
      <c r="AN244" s="696">
        <v>7.0000000000000007E-2</v>
      </c>
      <c r="AO244" s="696">
        <v>0</v>
      </c>
      <c r="AP244" s="696">
        <v>0</v>
      </c>
      <c r="AQ244" s="696">
        <v>0</v>
      </c>
      <c r="AR244" s="696">
        <v>0</v>
      </c>
      <c r="AS244" s="696">
        <v>0</v>
      </c>
      <c r="AT244" s="696">
        <v>0</v>
      </c>
      <c r="AU244" s="696">
        <v>0</v>
      </c>
      <c r="AV244" s="696">
        <v>0.09</v>
      </c>
      <c r="AW244" s="696">
        <v>0</v>
      </c>
      <c r="AX244" s="696">
        <v>0</v>
      </c>
      <c r="AY244" s="696">
        <v>0</v>
      </c>
      <c r="AZ244" s="696">
        <v>0</v>
      </c>
      <c r="BA244" s="696">
        <v>0</v>
      </c>
      <c r="BB244" s="696">
        <v>0</v>
      </c>
      <c r="BC244" s="696">
        <v>0</v>
      </c>
      <c r="BD244" s="696">
        <v>0</v>
      </c>
      <c r="BE244" s="696">
        <v>0</v>
      </c>
      <c r="BF244" s="696">
        <v>0</v>
      </c>
      <c r="BG244" s="696">
        <v>0</v>
      </c>
      <c r="BH244" s="696">
        <v>0</v>
      </c>
      <c r="BI244" s="696">
        <v>0</v>
      </c>
      <c r="BJ244" s="696">
        <v>0</v>
      </c>
      <c r="BK244" s="696">
        <v>0</v>
      </c>
      <c r="BL244" s="696">
        <v>0</v>
      </c>
      <c r="BM244" s="696">
        <v>0.08</v>
      </c>
      <c r="BN244" s="696">
        <v>0</v>
      </c>
      <c r="BO244" s="696">
        <v>0</v>
      </c>
      <c r="BP244" s="696">
        <v>0</v>
      </c>
      <c r="BQ244" s="696">
        <v>0</v>
      </c>
      <c r="BR244" s="696">
        <v>0</v>
      </c>
      <c r="BS244" s="696">
        <v>0.09</v>
      </c>
      <c r="BT244" s="696">
        <v>7.0000000000000007E-2</v>
      </c>
      <c r="BU244" s="696">
        <v>0</v>
      </c>
      <c r="BV244" s="696">
        <v>0</v>
      </c>
      <c r="BW244" s="696">
        <v>0</v>
      </c>
      <c r="BX244" s="696">
        <v>0</v>
      </c>
      <c r="BY244" s="696">
        <v>0</v>
      </c>
      <c r="BZ244" s="696">
        <v>0</v>
      </c>
      <c r="CA244" s="696">
        <v>0</v>
      </c>
      <c r="CB244" s="696">
        <v>0</v>
      </c>
      <c r="CC244" s="696">
        <v>0</v>
      </c>
      <c r="CD244" s="696">
        <v>0</v>
      </c>
      <c r="CE244" s="696">
        <v>0</v>
      </c>
    </row>
    <row r="245" spans="1:83" x14ac:dyDescent="0.25">
      <c r="A245" s="701"/>
      <c r="B245" s="616">
        <v>996</v>
      </c>
      <c r="C245" s="662" t="s">
        <v>524</v>
      </c>
      <c r="D245" s="619" t="s">
        <v>525</v>
      </c>
      <c r="E245" s="694">
        <v>0.01</v>
      </c>
      <c r="F245" s="682">
        <v>0</v>
      </c>
      <c r="G245" s="682">
        <v>0.01</v>
      </c>
      <c r="H245" s="682">
        <v>0</v>
      </c>
      <c r="I245" s="682">
        <v>0</v>
      </c>
      <c r="J245" s="682">
        <v>0</v>
      </c>
      <c r="K245" s="640">
        <v>0.01</v>
      </c>
      <c r="L245" s="696">
        <v>0</v>
      </c>
      <c r="M245" s="696">
        <v>0</v>
      </c>
      <c r="N245" s="650">
        <v>0</v>
      </c>
      <c r="O245" s="650">
        <v>0</v>
      </c>
      <c r="P245" s="650">
        <v>0.01</v>
      </c>
      <c r="Q245" s="650">
        <v>0</v>
      </c>
      <c r="R245" s="650">
        <v>0.01</v>
      </c>
      <c r="S245" s="650">
        <v>0.01</v>
      </c>
      <c r="T245" s="650">
        <v>0</v>
      </c>
      <c r="U245" s="650">
        <v>0.01</v>
      </c>
      <c r="V245" s="650">
        <v>0.01</v>
      </c>
      <c r="W245" s="650">
        <v>0.01</v>
      </c>
      <c r="X245" s="650">
        <v>0</v>
      </c>
      <c r="Y245" s="650">
        <v>0.01</v>
      </c>
      <c r="Z245" s="650">
        <v>0.01</v>
      </c>
      <c r="AA245" s="650">
        <v>0.01</v>
      </c>
      <c r="AB245" s="696">
        <v>0.01</v>
      </c>
      <c r="AC245" s="696">
        <v>0.01</v>
      </c>
      <c r="AD245" s="696">
        <v>0.01</v>
      </c>
      <c r="AE245" s="696">
        <v>0.01</v>
      </c>
      <c r="AF245" s="696">
        <v>0.01</v>
      </c>
      <c r="AG245" s="696">
        <v>0.01</v>
      </c>
      <c r="AH245" s="696">
        <v>0.01</v>
      </c>
      <c r="AI245" s="696">
        <v>0.01</v>
      </c>
      <c r="AJ245" s="696">
        <v>0.01</v>
      </c>
      <c r="AK245" s="696">
        <v>0.01</v>
      </c>
      <c r="AL245" s="696">
        <v>0.01</v>
      </c>
      <c r="AM245" s="696">
        <v>0.01</v>
      </c>
      <c r="AN245" s="696">
        <v>0.01</v>
      </c>
      <c r="AO245" s="696">
        <v>0.01</v>
      </c>
      <c r="AP245" s="696">
        <v>0.01</v>
      </c>
      <c r="AQ245" s="696">
        <v>0</v>
      </c>
      <c r="AR245" s="696">
        <v>0</v>
      </c>
      <c r="AS245" s="696">
        <v>0.01</v>
      </c>
      <c r="AT245" s="696">
        <v>0.01</v>
      </c>
      <c r="AU245" s="696">
        <v>0.01</v>
      </c>
      <c r="AV245" s="696">
        <v>0</v>
      </c>
      <c r="AW245" s="696">
        <v>0.01</v>
      </c>
      <c r="AX245" s="696">
        <v>0</v>
      </c>
      <c r="AY245" s="696">
        <v>0.01</v>
      </c>
      <c r="AZ245" s="696">
        <v>0.01</v>
      </c>
      <c r="BA245" s="696">
        <v>0.01</v>
      </c>
      <c r="BB245" s="696">
        <v>0.01</v>
      </c>
      <c r="BC245" s="696">
        <v>0</v>
      </c>
      <c r="BD245" s="696">
        <v>0.01</v>
      </c>
      <c r="BE245" s="696">
        <v>0.01</v>
      </c>
      <c r="BF245" s="696">
        <v>0</v>
      </c>
      <c r="BG245" s="696">
        <v>0.01</v>
      </c>
      <c r="BH245" s="696">
        <v>0.01</v>
      </c>
      <c r="BI245" s="696">
        <v>0</v>
      </c>
      <c r="BJ245" s="696">
        <v>0.01</v>
      </c>
      <c r="BK245" s="696">
        <v>0</v>
      </c>
      <c r="BL245" s="696">
        <v>0.01</v>
      </c>
      <c r="BM245" s="696">
        <v>0.01</v>
      </c>
      <c r="BN245" s="696">
        <v>0.01</v>
      </c>
      <c r="BO245" s="696">
        <v>0.01</v>
      </c>
      <c r="BP245" s="696">
        <v>0.01</v>
      </c>
      <c r="BQ245" s="696">
        <v>0.01</v>
      </c>
      <c r="BR245" s="696">
        <v>0</v>
      </c>
      <c r="BS245" s="696">
        <v>0.01</v>
      </c>
      <c r="BT245" s="696">
        <v>0</v>
      </c>
      <c r="BU245" s="696">
        <v>0.01</v>
      </c>
      <c r="BV245" s="696">
        <v>0.01</v>
      </c>
      <c r="BW245" s="696">
        <v>0</v>
      </c>
      <c r="BX245" s="696">
        <v>0.01</v>
      </c>
      <c r="BY245" s="696">
        <v>0.01</v>
      </c>
      <c r="BZ245" s="696">
        <v>0.01</v>
      </c>
      <c r="CA245" s="696">
        <v>0.01</v>
      </c>
      <c r="CB245" s="696">
        <v>0.01</v>
      </c>
      <c r="CC245" s="696">
        <v>0.01</v>
      </c>
      <c r="CD245" s="696">
        <v>0</v>
      </c>
      <c r="CE245" s="696">
        <v>0.01</v>
      </c>
    </row>
    <row r="246" spans="1:83" x14ac:dyDescent="0.25">
      <c r="A246" s="701"/>
      <c r="B246" s="616">
        <v>997</v>
      </c>
      <c r="C246" s="662"/>
      <c r="D246" s="619"/>
      <c r="E246" s="694"/>
      <c r="F246" s="682"/>
      <c r="G246" s="682"/>
      <c r="H246" s="682"/>
      <c r="I246" s="682"/>
      <c r="J246" s="682"/>
      <c r="K246" s="640"/>
      <c r="L246" s="696"/>
      <c r="M246" s="696"/>
      <c r="N246" s="650"/>
      <c r="O246" s="650"/>
      <c r="P246" s="650"/>
      <c r="Q246" s="650"/>
      <c r="R246" s="650"/>
      <c r="S246" s="650"/>
      <c r="T246" s="650"/>
      <c r="U246" s="650"/>
      <c r="V246" s="650"/>
      <c r="W246" s="650"/>
      <c r="X246" s="650"/>
      <c r="Y246" s="650"/>
      <c r="Z246" s="650"/>
      <c r="AA246" s="650"/>
      <c r="AB246" s="696"/>
      <c r="AC246" s="696"/>
      <c r="AD246" s="696"/>
      <c r="AE246" s="696"/>
      <c r="AF246" s="696"/>
      <c r="AG246" s="696"/>
      <c r="AH246" s="696"/>
      <c r="AI246" s="696"/>
      <c r="AJ246" s="696"/>
      <c r="AK246" s="696"/>
      <c r="AL246" s="696"/>
      <c r="AM246" s="696"/>
      <c r="AN246" s="696"/>
      <c r="AO246" s="696"/>
      <c r="AP246" s="696"/>
      <c r="AQ246" s="696"/>
      <c r="AR246" s="696"/>
      <c r="AS246" s="696"/>
      <c r="AT246" s="696"/>
      <c r="AU246" s="696"/>
      <c r="AV246" s="696"/>
      <c r="AW246" s="696"/>
      <c r="AX246" s="696"/>
      <c r="AY246" s="696"/>
      <c r="AZ246" s="696"/>
      <c r="BA246" s="696"/>
      <c r="BB246" s="696"/>
      <c r="BC246" s="696"/>
      <c r="BD246" s="696"/>
      <c r="BE246" s="696"/>
      <c r="BF246" s="696"/>
      <c r="BG246" s="696"/>
      <c r="BH246" s="696"/>
      <c r="BI246" s="696"/>
      <c r="BJ246" s="696"/>
      <c r="BK246" s="696"/>
      <c r="BL246" s="696"/>
      <c r="BM246" s="696"/>
      <c r="BN246" s="696"/>
      <c r="BO246" s="696"/>
      <c r="BP246" s="696"/>
      <c r="BQ246" s="696"/>
      <c r="BR246" s="696"/>
      <c r="BS246" s="696"/>
      <c r="BT246" s="696"/>
      <c r="BU246" s="696"/>
      <c r="BV246" s="696"/>
      <c r="BW246" s="696"/>
      <c r="BX246" s="696"/>
      <c r="BY246" s="696"/>
      <c r="BZ246" s="696"/>
      <c r="CA246" s="696"/>
      <c r="CB246" s="696"/>
      <c r="CC246" s="696"/>
      <c r="CD246" s="696"/>
      <c r="CE246" s="696"/>
    </row>
    <row r="247" spans="1:83" x14ac:dyDescent="0.25">
      <c r="A247" s="701"/>
      <c r="B247" s="616">
        <v>998</v>
      </c>
      <c r="C247" s="617" t="s">
        <v>295</v>
      </c>
      <c r="D247" s="624" t="s">
        <v>526</v>
      </c>
      <c r="E247" s="671">
        <v>50</v>
      </c>
      <c r="F247" s="628">
        <v>50</v>
      </c>
      <c r="G247" s="628">
        <v>50</v>
      </c>
      <c r="H247" s="628">
        <v>50</v>
      </c>
      <c r="I247" s="628">
        <v>50</v>
      </c>
      <c r="J247" s="628">
        <v>50</v>
      </c>
      <c r="K247" s="626">
        <v>50</v>
      </c>
      <c r="L247" s="659">
        <v>50</v>
      </c>
      <c r="M247" s="659">
        <v>50</v>
      </c>
      <c r="N247" s="627">
        <v>50</v>
      </c>
      <c r="O247" s="627">
        <v>50</v>
      </c>
      <c r="P247" s="627">
        <v>50</v>
      </c>
      <c r="Q247" s="627">
        <v>50</v>
      </c>
      <c r="R247" s="627">
        <v>50</v>
      </c>
      <c r="S247" s="627">
        <v>50</v>
      </c>
      <c r="T247" s="627">
        <v>50</v>
      </c>
      <c r="U247" s="627">
        <v>50</v>
      </c>
      <c r="V247" s="627">
        <v>50</v>
      </c>
      <c r="W247" s="627">
        <v>50</v>
      </c>
      <c r="X247" s="627">
        <v>50</v>
      </c>
      <c r="Y247" s="627">
        <v>50</v>
      </c>
      <c r="Z247" s="627">
        <v>50</v>
      </c>
      <c r="AA247" s="627">
        <v>50</v>
      </c>
      <c r="AB247" s="659" t="e">
        <v>#VALUE!</v>
      </c>
      <c r="AC247" s="659">
        <v>50</v>
      </c>
      <c r="AD247" s="659" t="e">
        <v>#VALUE!</v>
      </c>
      <c r="AE247" s="659">
        <v>50</v>
      </c>
      <c r="AF247" s="659">
        <v>50</v>
      </c>
      <c r="AG247" s="659">
        <v>50</v>
      </c>
      <c r="AH247" s="659">
        <v>50</v>
      </c>
      <c r="AI247" s="659">
        <v>50</v>
      </c>
      <c r="AJ247" s="659">
        <v>50</v>
      </c>
      <c r="AK247" s="659">
        <v>50</v>
      </c>
      <c r="AL247" s="659">
        <v>50</v>
      </c>
      <c r="AM247" s="659">
        <v>50</v>
      </c>
      <c r="AN247" s="659">
        <v>50</v>
      </c>
      <c r="AO247" s="659">
        <v>50</v>
      </c>
      <c r="AP247" s="659">
        <v>50</v>
      </c>
      <c r="AQ247" s="659">
        <v>50</v>
      </c>
      <c r="AR247" s="659">
        <v>50</v>
      </c>
      <c r="AS247" s="659">
        <v>50</v>
      </c>
      <c r="AT247" s="659">
        <v>50</v>
      </c>
      <c r="AU247" s="659">
        <v>50</v>
      </c>
      <c r="AV247" s="659">
        <v>50</v>
      </c>
      <c r="AW247" s="659">
        <v>50</v>
      </c>
      <c r="AX247" s="659">
        <v>50</v>
      </c>
      <c r="AY247" s="659">
        <v>50</v>
      </c>
      <c r="AZ247" s="659">
        <v>50</v>
      </c>
      <c r="BA247" s="659">
        <v>50</v>
      </c>
      <c r="BB247" s="659">
        <v>50</v>
      </c>
      <c r="BC247" s="659">
        <v>50</v>
      </c>
      <c r="BD247" s="659">
        <v>50</v>
      </c>
      <c r="BE247" s="659">
        <v>50</v>
      </c>
      <c r="BF247" s="659">
        <v>50</v>
      </c>
      <c r="BG247" s="659">
        <v>50</v>
      </c>
      <c r="BH247" s="659">
        <v>50</v>
      </c>
      <c r="BI247" s="659">
        <v>50</v>
      </c>
      <c r="BJ247" s="659">
        <v>50</v>
      </c>
      <c r="BK247" s="659">
        <v>50</v>
      </c>
      <c r="BL247" s="659">
        <v>50</v>
      </c>
      <c r="BM247" s="659">
        <v>50</v>
      </c>
      <c r="BN247" s="659">
        <v>50</v>
      </c>
      <c r="BO247" s="659">
        <v>50</v>
      </c>
      <c r="BP247" s="659">
        <v>50</v>
      </c>
      <c r="BQ247" s="659">
        <v>50</v>
      </c>
      <c r="BR247" s="659">
        <v>50</v>
      </c>
      <c r="BS247" s="659">
        <v>50</v>
      </c>
      <c r="BT247" s="659">
        <v>50</v>
      </c>
      <c r="BU247" s="659">
        <v>50</v>
      </c>
      <c r="BV247" s="659">
        <v>50</v>
      </c>
      <c r="BW247" s="659">
        <v>50</v>
      </c>
      <c r="BX247" s="659">
        <v>50</v>
      </c>
      <c r="BY247" s="659">
        <v>50</v>
      </c>
      <c r="BZ247" s="659">
        <v>50</v>
      </c>
      <c r="CA247" s="659">
        <v>50</v>
      </c>
      <c r="CB247" s="659">
        <v>50</v>
      </c>
      <c r="CC247" s="659">
        <v>50</v>
      </c>
      <c r="CD247" s="659">
        <v>0</v>
      </c>
      <c r="CE247" s="659">
        <v>50</v>
      </c>
    </row>
    <row r="248" spans="1:83" x14ac:dyDescent="0.25">
      <c r="A248" s="701"/>
      <c r="B248" s="651">
        <v>999</v>
      </c>
      <c r="C248" s="679" t="s">
        <v>296</v>
      </c>
      <c r="D248" s="654" t="s">
        <v>527</v>
      </c>
      <c r="E248" s="649">
        <v>50254</v>
      </c>
      <c r="F248" s="698">
        <v>50255</v>
      </c>
      <c r="G248" s="698">
        <v>50256</v>
      </c>
      <c r="H248" s="698">
        <v>50558</v>
      </c>
      <c r="I248" s="698">
        <v>50566</v>
      </c>
      <c r="J248" s="698">
        <v>50562</v>
      </c>
      <c r="K248" s="660">
        <v>50257</v>
      </c>
      <c r="L248" s="695">
        <v>50555</v>
      </c>
      <c r="M248" s="695">
        <v>50445</v>
      </c>
      <c r="N248" s="674">
        <v>50452</v>
      </c>
      <c r="O248" s="674">
        <v>50563</v>
      </c>
      <c r="P248" s="674">
        <v>50258</v>
      </c>
      <c r="Q248" s="674">
        <v>50523</v>
      </c>
      <c r="R248" s="674">
        <v>50259</v>
      </c>
      <c r="S248" s="674">
        <v>50260</v>
      </c>
      <c r="T248" s="674">
        <v>50487</v>
      </c>
      <c r="U248" s="674">
        <v>50261</v>
      </c>
      <c r="V248" s="674">
        <v>50262</v>
      </c>
      <c r="W248" s="674">
        <v>50263</v>
      </c>
      <c r="X248" s="674">
        <v>50264</v>
      </c>
      <c r="Y248" s="674">
        <v>50265</v>
      </c>
      <c r="Z248" s="674">
        <v>50266</v>
      </c>
      <c r="AA248" s="674">
        <v>50267</v>
      </c>
      <c r="AB248" s="695" t="e">
        <v>#VALUE!</v>
      </c>
      <c r="AC248" s="695">
        <v>50269</v>
      </c>
      <c r="AD248" s="695" t="e">
        <v>#VALUE!</v>
      </c>
      <c r="AE248" s="695">
        <v>50271</v>
      </c>
      <c r="AF248" s="695">
        <v>50272</v>
      </c>
      <c r="AG248" s="695">
        <v>50273</v>
      </c>
      <c r="AH248" s="695">
        <v>50274</v>
      </c>
      <c r="AI248" s="695">
        <v>50480</v>
      </c>
      <c r="AJ248" s="695">
        <v>50275</v>
      </c>
      <c r="AK248" s="695">
        <v>50277</v>
      </c>
      <c r="AL248" s="695">
        <v>50276</v>
      </c>
      <c r="AM248" s="695">
        <v>50278</v>
      </c>
      <c r="AN248" s="695">
        <v>50279</v>
      </c>
      <c r="AO248" s="695">
        <v>50280</v>
      </c>
      <c r="AP248" s="695">
        <v>50281</v>
      </c>
      <c r="AQ248" s="695">
        <v>50478</v>
      </c>
      <c r="AR248" s="695">
        <v>50524</v>
      </c>
      <c r="AS248" s="695">
        <v>50282</v>
      </c>
      <c r="AT248" s="695">
        <v>50525</v>
      </c>
      <c r="AU248" s="695">
        <v>50283</v>
      </c>
      <c r="AV248" s="695">
        <v>50285</v>
      </c>
      <c r="AW248" s="695">
        <v>50553</v>
      </c>
      <c r="AX248" s="695">
        <v>50548</v>
      </c>
      <c r="AY248" s="695">
        <v>50284</v>
      </c>
      <c r="AZ248" s="695">
        <v>50286</v>
      </c>
      <c r="BA248" s="695">
        <v>50287</v>
      </c>
      <c r="BB248" s="695">
        <v>50288</v>
      </c>
      <c r="BC248" s="695">
        <v>50290</v>
      </c>
      <c r="BD248" s="695">
        <v>50564</v>
      </c>
      <c r="BE248" s="695">
        <v>50289</v>
      </c>
      <c r="BF248" s="695">
        <v>50291</v>
      </c>
      <c r="BG248" s="695">
        <v>50292</v>
      </c>
      <c r="BH248" s="695">
        <v>50293</v>
      </c>
      <c r="BI248" s="695">
        <v>50463</v>
      </c>
      <c r="BJ248" s="695">
        <v>50294</v>
      </c>
      <c r="BK248" s="695">
        <v>50538</v>
      </c>
      <c r="BL248" s="695">
        <v>50295</v>
      </c>
      <c r="BM248" s="695">
        <v>50296</v>
      </c>
      <c r="BN248" s="695">
        <v>50297</v>
      </c>
      <c r="BO248" s="695">
        <v>50449</v>
      </c>
      <c r="BP248" s="695">
        <v>50300</v>
      </c>
      <c r="BQ248" s="695">
        <v>50298</v>
      </c>
      <c r="BR248" s="695">
        <v>50299</v>
      </c>
      <c r="BS248" s="695">
        <v>50301</v>
      </c>
      <c r="BT248" s="695">
        <v>50302</v>
      </c>
      <c r="BU248" s="695">
        <v>50303</v>
      </c>
      <c r="BV248" s="695">
        <v>50304</v>
      </c>
      <c r="BW248" s="695">
        <v>50540</v>
      </c>
      <c r="BX248" s="695">
        <v>50305</v>
      </c>
      <c r="BY248" s="695">
        <v>50306</v>
      </c>
      <c r="BZ248" s="695">
        <v>50479</v>
      </c>
      <c r="CA248" s="695">
        <v>50307</v>
      </c>
      <c r="CB248" s="695">
        <v>50308</v>
      </c>
      <c r="CC248" s="695">
        <v>50309</v>
      </c>
      <c r="CD248" s="695">
        <v>0</v>
      </c>
      <c r="CE248" s="695">
        <v>50311</v>
      </c>
    </row>
    <row r="249" spans="1:83" x14ac:dyDescent="0.25">
      <c r="A249" s="701"/>
      <c r="B249" s="629">
        <v>1000</v>
      </c>
      <c r="C249" s="667"/>
      <c r="D249" s="692"/>
      <c r="E249" s="663" t="s">
        <v>1078</v>
      </c>
      <c r="F249" s="663" t="s">
        <v>711</v>
      </c>
      <c r="G249" s="663" t="s">
        <v>1078</v>
      </c>
      <c r="H249" s="663" t="s">
        <v>711</v>
      </c>
      <c r="I249" s="663" t="s">
        <v>711</v>
      </c>
      <c r="J249" s="663" t="s">
        <v>711</v>
      </c>
      <c r="K249" s="663" t="s">
        <v>1078</v>
      </c>
      <c r="L249" s="663" t="s">
        <v>711</v>
      </c>
      <c r="M249" s="663" t="s">
        <v>711</v>
      </c>
      <c r="N249" s="663" t="s">
        <v>711</v>
      </c>
      <c r="O249" s="663" t="s">
        <v>711</v>
      </c>
      <c r="P249" s="663" t="s">
        <v>1078</v>
      </c>
      <c r="Q249" s="663" t="s">
        <v>711</v>
      </c>
      <c r="R249" s="663" t="s">
        <v>1078</v>
      </c>
      <c r="S249" s="663" t="s">
        <v>1078</v>
      </c>
      <c r="T249" s="663" t="s">
        <v>711</v>
      </c>
      <c r="U249" s="663" t="s">
        <v>1078</v>
      </c>
      <c r="V249" s="663" t="s">
        <v>1078</v>
      </c>
      <c r="W249" s="663" t="s">
        <v>1078</v>
      </c>
      <c r="X249" s="663" t="s">
        <v>711</v>
      </c>
      <c r="Y249" s="663" t="s">
        <v>1078</v>
      </c>
      <c r="Z249" s="663" t="s">
        <v>1078</v>
      </c>
      <c r="AA249" s="663" t="s">
        <v>1078</v>
      </c>
      <c r="AB249" s="663" t="s">
        <v>1078</v>
      </c>
      <c r="AC249" s="663" t="s">
        <v>1078</v>
      </c>
      <c r="AD249" s="663" t="s">
        <v>1078</v>
      </c>
      <c r="AE249" s="663" t="s">
        <v>1078</v>
      </c>
      <c r="AF249" s="663" t="s">
        <v>1078</v>
      </c>
      <c r="AG249" s="663" t="s">
        <v>1078</v>
      </c>
      <c r="AH249" s="663" t="s">
        <v>1078</v>
      </c>
      <c r="AI249" s="663" t="s">
        <v>1078</v>
      </c>
      <c r="AJ249" s="663" t="s">
        <v>1078</v>
      </c>
      <c r="AK249" s="663" t="s">
        <v>1078</v>
      </c>
      <c r="AL249" s="663" t="s">
        <v>1078</v>
      </c>
      <c r="AM249" s="663" t="s">
        <v>1078</v>
      </c>
      <c r="AN249" s="663" t="s">
        <v>1078</v>
      </c>
      <c r="AO249" s="663" t="s">
        <v>1078</v>
      </c>
      <c r="AP249" s="663" t="s">
        <v>1078</v>
      </c>
      <c r="AQ249" s="663" t="s">
        <v>711</v>
      </c>
      <c r="AR249" s="663" t="s">
        <v>711</v>
      </c>
      <c r="AS249" s="663" t="s">
        <v>1078</v>
      </c>
      <c r="AT249" s="663" t="s">
        <v>1078</v>
      </c>
      <c r="AU249" s="663" t="s">
        <v>1078</v>
      </c>
      <c r="AV249" s="663" t="s">
        <v>711</v>
      </c>
      <c r="AW249" s="663" t="s">
        <v>1078</v>
      </c>
      <c r="AX249" s="663" t="s">
        <v>711</v>
      </c>
      <c r="AY249" s="663" t="s">
        <v>1078</v>
      </c>
      <c r="AZ249" s="663" t="s">
        <v>1078</v>
      </c>
      <c r="BA249" s="663" t="s">
        <v>1078</v>
      </c>
      <c r="BB249" s="663" t="s">
        <v>1078</v>
      </c>
      <c r="BC249" s="663" t="s">
        <v>711</v>
      </c>
      <c r="BD249" s="663" t="s">
        <v>1078</v>
      </c>
      <c r="BE249" s="663" t="s">
        <v>1078</v>
      </c>
      <c r="BF249" s="663" t="s">
        <v>711</v>
      </c>
      <c r="BG249" s="663" t="s">
        <v>1078</v>
      </c>
      <c r="BH249" s="663" t="s">
        <v>1078</v>
      </c>
      <c r="BI249" s="663" t="s">
        <v>711</v>
      </c>
      <c r="BJ249" s="663" t="s">
        <v>1078</v>
      </c>
      <c r="BK249" s="663" t="s">
        <v>711</v>
      </c>
      <c r="BL249" s="663" t="s">
        <v>1078</v>
      </c>
      <c r="BM249" s="663" t="s">
        <v>1078</v>
      </c>
      <c r="BN249" s="663" t="s">
        <v>1078</v>
      </c>
      <c r="BO249" s="663" t="s">
        <v>1078</v>
      </c>
      <c r="BP249" s="663" t="s">
        <v>1078</v>
      </c>
      <c r="BQ249" s="663" t="s">
        <v>1078</v>
      </c>
      <c r="BR249" s="663" t="s">
        <v>711</v>
      </c>
      <c r="BS249" s="663" t="s">
        <v>1078</v>
      </c>
      <c r="BT249" s="663" t="s">
        <v>711</v>
      </c>
      <c r="BU249" s="663" t="s">
        <v>1078</v>
      </c>
      <c r="BV249" s="663" t="s">
        <v>1078</v>
      </c>
      <c r="BW249" s="663" t="s">
        <v>711</v>
      </c>
      <c r="BX249" s="663" t="s">
        <v>1078</v>
      </c>
      <c r="BY249" s="663" t="s">
        <v>1078</v>
      </c>
      <c r="BZ249" s="663" t="s">
        <v>1078</v>
      </c>
      <c r="CA249" s="663" t="s">
        <v>1078</v>
      </c>
      <c r="CB249" s="663" t="s">
        <v>1078</v>
      </c>
      <c r="CC249" s="663" t="s">
        <v>1078</v>
      </c>
      <c r="CD249" s="663" t="s">
        <v>711</v>
      </c>
      <c r="CE249" s="663" t="s">
        <v>1078</v>
      </c>
    </row>
    <row r="250" spans="1:83" x14ac:dyDescent="0.25">
      <c r="A250" s="701"/>
      <c r="B250" s="629">
        <v>537</v>
      </c>
      <c r="C250" s="667"/>
      <c r="D250" s="692"/>
      <c r="E250" s="632" t="s">
        <v>53</v>
      </c>
      <c r="F250" s="632" t="s">
        <v>54</v>
      </c>
      <c r="G250" s="632" t="s">
        <v>54</v>
      </c>
      <c r="H250" s="632" t="s">
        <v>711</v>
      </c>
      <c r="I250" s="632" t="s">
        <v>711</v>
      </c>
      <c r="J250" s="632" t="s">
        <v>711</v>
      </c>
      <c r="K250" s="632" t="s">
        <v>53</v>
      </c>
      <c r="L250" s="632" t="s">
        <v>711</v>
      </c>
      <c r="M250" s="632" t="s">
        <v>54</v>
      </c>
      <c r="N250" s="632" t="s">
        <v>54</v>
      </c>
      <c r="O250" s="632" t="s">
        <v>711</v>
      </c>
      <c r="P250" s="632" t="s">
        <v>54</v>
      </c>
      <c r="Q250" s="632" t="s">
        <v>711</v>
      </c>
      <c r="R250" s="632" t="s">
        <v>53</v>
      </c>
      <c r="S250" s="632" t="s">
        <v>54</v>
      </c>
      <c r="T250" s="632" t="s">
        <v>711</v>
      </c>
      <c r="U250" s="632" t="s">
        <v>54</v>
      </c>
      <c r="V250" s="632" t="s">
        <v>53</v>
      </c>
      <c r="W250" s="632" t="s">
        <v>54</v>
      </c>
      <c r="X250" s="632" t="s">
        <v>54</v>
      </c>
      <c r="Y250" s="632" t="s">
        <v>54</v>
      </c>
      <c r="Z250" s="632" t="s">
        <v>54</v>
      </c>
      <c r="AA250" s="632" t="s">
        <v>53</v>
      </c>
      <c r="AB250" s="632" t="e">
        <v>#VALUE!</v>
      </c>
      <c r="AC250" s="632" t="s">
        <v>54</v>
      </c>
      <c r="AD250" s="632" t="e">
        <v>#VALUE!</v>
      </c>
      <c r="AE250" s="632" t="s">
        <v>54</v>
      </c>
      <c r="AF250" s="632" t="s">
        <v>54</v>
      </c>
      <c r="AG250" s="632" t="s">
        <v>54</v>
      </c>
      <c r="AH250" s="632" t="s">
        <v>54</v>
      </c>
      <c r="AI250" s="632" t="s">
        <v>54</v>
      </c>
      <c r="AJ250" s="632" t="s">
        <v>54</v>
      </c>
      <c r="AK250" s="632" t="s">
        <v>54</v>
      </c>
      <c r="AL250" s="632" t="s">
        <v>54</v>
      </c>
      <c r="AM250" s="632" t="s">
        <v>54</v>
      </c>
      <c r="AN250" s="632" t="s">
        <v>53</v>
      </c>
      <c r="AO250" s="632" t="s">
        <v>53</v>
      </c>
      <c r="AP250" s="632" t="s">
        <v>54</v>
      </c>
      <c r="AQ250" s="632" t="s">
        <v>711</v>
      </c>
      <c r="AR250" s="632" t="s">
        <v>711</v>
      </c>
      <c r="AS250" s="632" t="s">
        <v>54</v>
      </c>
      <c r="AT250" s="632" t="s">
        <v>53</v>
      </c>
      <c r="AU250" s="632" t="s">
        <v>54</v>
      </c>
      <c r="AV250" s="632" t="s">
        <v>711</v>
      </c>
      <c r="AW250" s="632" t="s">
        <v>54</v>
      </c>
      <c r="AX250" s="632" t="s">
        <v>54</v>
      </c>
      <c r="AY250" s="632" t="s">
        <v>54</v>
      </c>
      <c r="AZ250" s="632" t="s">
        <v>54</v>
      </c>
      <c r="BA250" s="632" t="s">
        <v>54</v>
      </c>
      <c r="BB250" s="632" t="s">
        <v>54</v>
      </c>
      <c r="BC250" s="632" t="s">
        <v>54</v>
      </c>
      <c r="BD250" s="632" t="s">
        <v>53</v>
      </c>
      <c r="BE250" s="632" t="s">
        <v>53</v>
      </c>
      <c r="BF250" s="632" t="s">
        <v>711</v>
      </c>
      <c r="BG250" s="632" t="s">
        <v>54</v>
      </c>
      <c r="BH250" s="632" t="s">
        <v>54</v>
      </c>
      <c r="BI250" s="632" t="s">
        <v>711</v>
      </c>
      <c r="BJ250" s="632" t="s">
        <v>53</v>
      </c>
      <c r="BK250" s="632" t="s">
        <v>711</v>
      </c>
      <c r="BL250" s="632" t="s">
        <v>54</v>
      </c>
      <c r="BM250" s="632" t="s">
        <v>54</v>
      </c>
      <c r="BN250" s="632" t="s">
        <v>54</v>
      </c>
      <c r="BO250" s="632" t="s">
        <v>54</v>
      </c>
      <c r="BP250" s="632" t="s">
        <v>54</v>
      </c>
      <c r="BQ250" s="632" t="s">
        <v>54</v>
      </c>
      <c r="BR250" s="632" t="s">
        <v>711</v>
      </c>
      <c r="BS250" s="632" t="s">
        <v>54</v>
      </c>
      <c r="BT250" s="632" t="s">
        <v>54</v>
      </c>
      <c r="BU250" s="632" t="s">
        <v>53</v>
      </c>
      <c r="BV250" s="632" t="s">
        <v>54</v>
      </c>
      <c r="BW250" s="632" t="s">
        <v>54</v>
      </c>
      <c r="BX250" s="632" t="s">
        <v>54</v>
      </c>
      <c r="BY250" s="632" t="s">
        <v>53</v>
      </c>
      <c r="BZ250" s="632" t="s">
        <v>54</v>
      </c>
      <c r="CA250" s="632" t="s">
        <v>54</v>
      </c>
      <c r="CB250" s="632" t="s">
        <v>54</v>
      </c>
      <c r="CC250" s="632" t="s">
        <v>54</v>
      </c>
      <c r="CD250" s="632" t="s">
        <v>711</v>
      </c>
      <c r="CE250" s="632" t="s">
        <v>54</v>
      </c>
    </row>
    <row r="251" spans="1:83" x14ac:dyDescent="0.25">
      <c r="A251" s="701"/>
      <c r="B251" s="629">
        <v>538</v>
      </c>
      <c r="C251" s="667"/>
      <c r="D251" s="692"/>
      <c r="E251" s="632" t="s">
        <v>53</v>
      </c>
      <c r="F251" s="632" t="s">
        <v>54</v>
      </c>
      <c r="G251" s="632" t="s">
        <v>54</v>
      </c>
      <c r="H251" s="632" t="s">
        <v>711</v>
      </c>
      <c r="I251" s="632" t="s">
        <v>711</v>
      </c>
      <c r="J251" s="632" t="s">
        <v>711</v>
      </c>
      <c r="K251" s="632" t="s">
        <v>54</v>
      </c>
      <c r="L251" s="632" t="s">
        <v>711</v>
      </c>
      <c r="M251" s="632" t="s">
        <v>54</v>
      </c>
      <c r="N251" s="632" t="s">
        <v>54</v>
      </c>
      <c r="O251" s="632" t="s">
        <v>711</v>
      </c>
      <c r="P251" s="632" t="s">
        <v>711</v>
      </c>
      <c r="Q251" s="632" t="s">
        <v>711</v>
      </c>
      <c r="R251" s="632" t="s">
        <v>53</v>
      </c>
      <c r="S251" s="632" t="s">
        <v>54</v>
      </c>
      <c r="T251" s="632" t="s">
        <v>711</v>
      </c>
      <c r="U251" s="632" t="s">
        <v>54</v>
      </c>
      <c r="V251" s="632" t="s">
        <v>54</v>
      </c>
      <c r="W251" s="632" t="s">
        <v>53</v>
      </c>
      <c r="X251" s="632" t="s">
        <v>54</v>
      </c>
      <c r="Y251" s="632" t="s">
        <v>54</v>
      </c>
      <c r="Z251" s="632" t="s">
        <v>711</v>
      </c>
      <c r="AA251" s="632" t="s">
        <v>54</v>
      </c>
      <c r="AB251" s="632" t="e">
        <v>#VALUE!</v>
      </c>
      <c r="AC251" s="632" t="s">
        <v>54</v>
      </c>
      <c r="AD251" s="632" t="e">
        <v>#VALUE!</v>
      </c>
      <c r="AE251" s="632" t="s">
        <v>54</v>
      </c>
      <c r="AF251" s="632" t="s">
        <v>53</v>
      </c>
      <c r="AG251" s="632" t="s">
        <v>53</v>
      </c>
      <c r="AH251" s="632" t="s">
        <v>54</v>
      </c>
      <c r="AI251" s="632" t="s">
        <v>54</v>
      </c>
      <c r="AJ251" s="632" t="s">
        <v>54</v>
      </c>
      <c r="AK251" s="632" t="s">
        <v>54</v>
      </c>
      <c r="AL251" s="632" t="s">
        <v>54</v>
      </c>
      <c r="AM251" s="632" t="s">
        <v>54</v>
      </c>
      <c r="AN251" s="632" t="s">
        <v>53</v>
      </c>
      <c r="AO251" s="632" t="s">
        <v>54</v>
      </c>
      <c r="AP251" s="632" t="s">
        <v>54</v>
      </c>
      <c r="AQ251" s="632" t="s">
        <v>711</v>
      </c>
      <c r="AR251" s="632" t="s">
        <v>711</v>
      </c>
      <c r="AS251" s="632" t="s">
        <v>54</v>
      </c>
      <c r="AT251" s="632" t="s">
        <v>54</v>
      </c>
      <c r="AU251" s="632" t="s">
        <v>53</v>
      </c>
      <c r="AV251" s="632" t="s">
        <v>711</v>
      </c>
      <c r="AW251" s="632" t="s">
        <v>54</v>
      </c>
      <c r="AX251" s="632" t="s">
        <v>54</v>
      </c>
      <c r="AY251" s="632" t="s">
        <v>54</v>
      </c>
      <c r="AZ251" s="632" t="s">
        <v>54</v>
      </c>
      <c r="BA251" s="632" t="s">
        <v>54</v>
      </c>
      <c r="BB251" s="632" t="s">
        <v>54</v>
      </c>
      <c r="BC251" s="632" t="s">
        <v>54</v>
      </c>
      <c r="BD251" s="632" t="s">
        <v>53</v>
      </c>
      <c r="BE251" s="632" t="s">
        <v>53</v>
      </c>
      <c r="BF251" s="632" t="s">
        <v>711</v>
      </c>
      <c r="BG251" s="632" t="s">
        <v>54</v>
      </c>
      <c r="BH251" s="632" t="s">
        <v>54</v>
      </c>
      <c r="BI251" s="632" t="s">
        <v>711</v>
      </c>
      <c r="BJ251" s="632" t="s">
        <v>53</v>
      </c>
      <c r="BK251" s="632" t="s">
        <v>54</v>
      </c>
      <c r="BL251" s="632" t="s">
        <v>54</v>
      </c>
      <c r="BM251" s="632" t="s">
        <v>54</v>
      </c>
      <c r="BN251" s="632" t="s">
        <v>53</v>
      </c>
      <c r="BO251" s="632" t="s">
        <v>54</v>
      </c>
      <c r="BP251" s="632" t="s">
        <v>54</v>
      </c>
      <c r="BQ251" s="632" t="s">
        <v>54</v>
      </c>
      <c r="BR251" s="632" t="s">
        <v>711</v>
      </c>
      <c r="BS251" s="632" t="s">
        <v>54</v>
      </c>
      <c r="BT251" s="632" t="s">
        <v>54</v>
      </c>
      <c r="BU251" s="632" t="s">
        <v>53</v>
      </c>
      <c r="BV251" s="632" t="s">
        <v>54</v>
      </c>
      <c r="BW251" s="632" t="s">
        <v>54</v>
      </c>
      <c r="BX251" s="632" t="s">
        <v>54</v>
      </c>
      <c r="BY251" s="632" t="s">
        <v>53</v>
      </c>
      <c r="BZ251" s="632" t="s">
        <v>54</v>
      </c>
      <c r="CA251" s="632" t="s">
        <v>54</v>
      </c>
      <c r="CB251" s="632" t="s">
        <v>54</v>
      </c>
      <c r="CC251" s="632" t="s">
        <v>54</v>
      </c>
      <c r="CD251" s="632" t="s">
        <v>711</v>
      </c>
      <c r="CE251" s="632" t="s">
        <v>54</v>
      </c>
    </row>
    <row r="252" spans="1:83" x14ac:dyDescent="0.25">
      <c r="A252" s="622">
        <v>591</v>
      </c>
      <c r="B252" s="701"/>
      <c r="C252" s="639" t="s">
        <v>614</v>
      </c>
      <c r="D252" s="629"/>
      <c r="E252" s="632">
        <v>331729</v>
      </c>
      <c r="F252" s="646">
        <v>0</v>
      </c>
      <c r="G252" s="646">
        <v>569516</v>
      </c>
      <c r="H252" s="646">
        <v>0</v>
      </c>
      <c r="I252" s="646">
        <v>0</v>
      </c>
      <c r="J252" s="646">
        <v>0</v>
      </c>
      <c r="K252" s="642">
        <v>187433</v>
      </c>
      <c r="L252" s="691">
        <v>0</v>
      </c>
      <c r="M252" s="691">
        <v>0</v>
      </c>
      <c r="N252" s="661">
        <v>0</v>
      </c>
      <c r="O252" s="661">
        <v>0</v>
      </c>
      <c r="P252" s="661">
        <v>2772704</v>
      </c>
      <c r="Q252" s="661">
        <v>0</v>
      </c>
      <c r="R252" s="661">
        <v>99428196</v>
      </c>
      <c r="S252" s="661">
        <v>271947</v>
      </c>
      <c r="T252" s="661">
        <v>0</v>
      </c>
      <c r="U252" s="661">
        <v>19625372</v>
      </c>
      <c r="V252" s="661">
        <v>7620171</v>
      </c>
      <c r="W252" s="661">
        <v>45879238</v>
      </c>
      <c r="X252" s="661">
        <v>382035</v>
      </c>
      <c r="Y252" s="661">
        <v>272216</v>
      </c>
      <c r="Z252" s="661">
        <v>5808455</v>
      </c>
      <c r="AA252" s="661">
        <v>1237320</v>
      </c>
      <c r="AB252" s="691" t="e">
        <v>#VALUE!</v>
      </c>
      <c r="AC252" s="691">
        <v>3357934</v>
      </c>
      <c r="AD252" s="691" t="e">
        <v>#VALUE!</v>
      </c>
      <c r="AE252" s="691">
        <v>1270731</v>
      </c>
      <c r="AF252" s="691">
        <v>2902702</v>
      </c>
      <c r="AG252" s="691">
        <v>3082644</v>
      </c>
      <c r="AH252" s="691">
        <v>3312866</v>
      </c>
      <c r="AI252" s="691">
        <v>517496</v>
      </c>
      <c r="AJ252" s="691">
        <v>65834877</v>
      </c>
      <c r="AK252" s="691">
        <v>284151</v>
      </c>
      <c r="AL252" s="691">
        <v>549260</v>
      </c>
      <c r="AM252" s="691">
        <v>2022523</v>
      </c>
      <c r="AN252" s="691">
        <v>23153049</v>
      </c>
      <c r="AO252" s="691">
        <v>503818</v>
      </c>
      <c r="AP252" s="691">
        <v>698090</v>
      </c>
      <c r="AQ252" s="691">
        <v>0</v>
      </c>
      <c r="AR252" s="691">
        <v>0</v>
      </c>
      <c r="AS252" s="691">
        <v>2765978</v>
      </c>
      <c r="AT252" s="691">
        <v>600145</v>
      </c>
      <c r="AU252" s="691">
        <v>1521545</v>
      </c>
      <c r="AV252" s="691">
        <v>353457</v>
      </c>
      <c r="AW252" s="691">
        <v>17525075</v>
      </c>
      <c r="AX252" s="691">
        <v>0</v>
      </c>
      <c r="AY252" s="691">
        <v>0</v>
      </c>
      <c r="AZ252" s="691">
        <v>2317099</v>
      </c>
      <c r="BA252" s="691">
        <v>755905</v>
      </c>
      <c r="BB252" s="691">
        <v>374941</v>
      </c>
      <c r="BC252" s="691">
        <v>0</v>
      </c>
      <c r="BD252" s="691">
        <v>122046</v>
      </c>
      <c r="BE252" s="691">
        <v>4516761</v>
      </c>
      <c r="BF252" s="691">
        <v>0</v>
      </c>
      <c r="BG252" s="691">
        <v>241604</v>
      </c>
      <c r="BH252" s="691">
        <v>165756</v>
      </c>
      <c r="BI252" s="691">
        <v>0</v>
      </c>
      <c r="BJ252" s="691">
        <v>183515</v>
      </c>
      <c r="BK252" s="691">
        <v>0</v>
      </c>
      <c r="BL252" s="691">
        <v>2763776</v>
      </c>
      <c r="BM252" s="691">
        <v>1567164</v>
      </c>
      <c r="BN252" s="691">
        <v>1175766</v>
      </c>
      <c r="BO252" s="691">
        <v>697465</v>
      </c>
      <c r="BP252" s="691">
        <v>796489</v>
      </c>
      <c r="BQ252" s="691">
        <v>366252</v>
      </c>
      <c r="BR252" s="691">
        <v>0</v>
      </c>
      <c r="BS252" s="691">
        <v>3289564</v>
      </c>
      <c r="BT252" s="691">
        <v>13806596</v>
      </c>
      <c r="BU252" s="691">
        <v>778307</v>
      </c>
      <c r="BV252" s="691">
        <v>2980628</v>
      </c>
      <c r="BW252" s="691">
        <v>0</v>
      </c>
      <c r="BX252" s="691">
        <v>2729930</v>
      </c>
      <c r="BY252" s="691">
        <v>352329</v>
      </c>
      <c r="BZ252" s="691">
        <v>35057</v>
      </c>
      <c r="CA252" s="691">
        <v>375290</v>
      </c>
      <c r="CB252" s="691">
        <v>302283</v>
      </c>
      <c r="CC252" s="691">
        <v>769120</v>
      </c>
      <c r="CD252" s="691">
        <v>0</v>
      </c>
      <c r="CE252" s="691">
        <v>48365</v>
      </c>
    </row>
    <row r="253" spans="1:83" x14ac:dyDescent="0.25">
      <c r="A253" s="622">
        <v>592</v>
      </c>
      <c r="B253" s="701"/>
      <c r="C253" s="639" t="s">
        <v>615</v>
      </c>
      <c r="D253" s="629"/>
      <c r="E253" s="632">
        <v>59850</v>
      </c>
      <c r="F253" s="646">
        <v>0</v>
      </c>
      <c r="G253" s="646">
        <v>-31897</v>
      </c>
      <c r="H253" s="646">
        <v>0</v>
      </c>
      <c r="I253" s="646">
        <v>0</v>
      </c>
      <c r="J253" s="646">
        <v>0</v>
      </c>
      <c r="K253" s="642">
        <v>-73025</v>
      </c>
      <c r="L253" s="691">
        <v>0</v>
      </c>
      <c r="M253" s="691">
        <v>0</v>
      </c>
      <c r="N253" s="661">
        <v>0</v>
      </c>
      <c r="O253" s="661">
        <v>0</v>
      </c>
      <c r="P253" s="661">
        <v>181318</v>
      </c>
      <c r="Q253" s="661">
        <v>0</v>
      </c>
      <c r="R253" s="661">
        <v>10963532</v>
      </c>
      <c r="S253" s="661">
        <v>65690</v>
      </c>
      <c r="T253" s="661">
        <v>0</v>
      </c>
      <c r="U253" s="661">
        <v>10129491</v>
      </c>
      <c r="V253" s="661">
        <v>892989</v>
      </c>
      <c r="W253" s="661">
        <v>1772629</v>
      </c>
      <c r="X253" s="661">
        <v>568475</v>
      </c>
      <c r="Y253" s="661">
        <v>-66356</v>
      </c>
      <c r="Z253" s="661">
        <v>374921</v>
      </c>
      <c r="AA253" s="661">
        <v>-127854</v>
      </c>
      <c r="AB253" s="691" t="e">
        <v>#VALUE!</v>
      </c>
      <c r="AC253" s="691">
        <v>2804212</v>
      </c>
      <c r="AD253" s="691" t="e">
        <v>#VALUE!</v>
      </c>
      <c r="AE253" s="691">
        <v>118477</v>
      </c>
      <c r="AF253" s="691">
        <v>-253840</v>
      </c>
      <c r="AG253" s="691">
        <v>-215857</v>
      </c>
      <c r="AH253" s="691">
        <v>1656231</v>
      </c>
      <c r="AI253" s="691">
        <v>-247241</v>
      </c>
      <c r="AJ253" s="691">
        <v>8283682</v>
      </c>
      <c r="AK253" s="691">
        <v>34796</v>
      </c>
      <c r="AL253" s="691">
        <v>-44167</v>
      </c>
      <c r="AM253" s="691">
        <v>-32304</v>
      </c>
      <c r="AN253" s="691">
        <v>1118212</v>
      </c>
      <c r="AO253" s="691">
        <v>-36948</v>
      </c>
      <c r="AP253" s="691">
        <v>-71133</v>
      </c>
      <c r="AQ253" s="691">
        <v>0</v>
      </c>
      <c r="AR253" s="691">
        <v>0</v>
      </c>
      <c r="AS253" s="691">
        <v>959203</v>
      </c>
      <c r="AT253" s="691">
        <v>-289698</v>
      </c>
      <c r="AU253" s="691">
        <v>263577</v>
      </c>
      <c r="AV253" s="691">
        <v>-32921</v>
      </c>
      <c r="AW253" s="691">
        <v>3481903</v>
      </c>
      <c r="AX253" s="691">
        <v>0</v>
      </c>
      <c r="AY253" s="691">
        <v>0</v>
      </c>
      <c r="AZ253" s="691">
        <v>486108</v>
      </c>
      <c r="BA253" s="691">
        <v>-139937</v>
      </c>
      <c r="BB253" s="691">
        <v>-64992</v>
      </c>
      <c r="BC253" s="691">
        <v>0</v>
      </c>
      <c r="BD253" s="691">
        <v>-4332</v>
      </c>
      <c r="BE253" s="691">
        <v>2217392</v>
      </c>
      <c r="BF253" s="691">
        <v>0</v>
      </c>
      <c r="BG253" s="691">
        <v>17739</v>
      </c>
      <c r="BH253" s="691">
        <v>-38166</v>
      </c>
      <c r="BI253" s="691">
        <v>0</v>
      </c>
      <c r="BJ253" s="691">
        <v>-21893</v>
      </c>
      <c r="BK253" s="691">
        <v>0</v>
      </c>
      <c r="BL253" s="691">
        <v>563079</v>
      </c>
      <c r="BM253" s="691">
        <v>223570</v>
      </c>
      <c r="BN253" s="691">
        <v>-118186</v>
      </c>
      <c r="BO253" s="691">
        <v>118868</v>
      </c>
      <c r="BP253" s="691">
        <v>24229</v>
      </c>
      <c r="BQ253" s="691">
        <v>86858</v>
      </c>
      <c r="BR253" s="691">
        <v>0</v>
      </c>
      <c r="BS253" s="691">
        <v>-475131</v>
      </c>
      <c r="BT253" s="691">
        <v>533228</v>
      </c>
      <c r="BU253" s="691">
        <v>-154582</v>
      </c>
      <c r="BV253" s="691">
        <v>216950</v>
      </c>
      <c r="BW253" s="691">
        <v>0</v>
      </c>
      <c r="BX253" s="691">
        <v>2238318</v>
      </c>
      <c r="BY253" s="691">
        <v>13244</v>
      </c>
      <c r="BZ253" s="691">
        <v>-21847</v>
      </c>
      <c r="CA253" s="691">
        <v>597978</v>
      </c>
      <c r="CB253" s="691">
        <v>-147313</v>
      </c>
      <c r="CC253" s="691">
        <v>-51354</v>
      </c>
      <c r="CD253" s="691">
        <v>0</v>
      </c>
      <c r="CE253" s="691">
        <v>-27153</v>
      </c>
    </row>
    <row r="254" spans="1:83" x14ac:dyDescent="0.25">
      <c r="A254" s="701"/>
      <c r="B254" s="701"/>
      <c r="C254" s="639" t="s">
        <v>688</v>
      </c>
      <c r="D254" s="629"/>
      <c r="E254" s="632"/>
      <c r="F254" s="646"/>
      <c r="G254" s="646"/>
      <c r="H254" s="646"/>
      <c r="I254" s="646"/>
      <c r="J254" s="646"/>
      <c r="K254" s="642"/>
      <c r="L254" s="691"/>
      <c r="M254" s="691"/>
      <c r="N254" s="661"/>
      <c r="O254" s="661"/>
      <c r="P254" s="661"/>
      <c r="Q254" s="661"/>
      <c r="R254" s="661"/>
      <c r="S254" s="661"/>
      <c r="T254" s="661"/>
      <c r="U254" s="661"/>
      <c r="V254" s="661"/>
      <c r="W254" s="661"/>
      <c r="X254" s="661"/>
      <c r="Y254" s="661"/>
      <c r="Z254" s="661"/>
      <c r="AA254" s="661"/>
      <c r="AB254" s="691"/>
      <c r="AC254" s="691"/>
      <c r="AD254" s="691"/>
      <c r="AE254" s="691"/>
      <c r="AF254" s="691"/>
      <c r="AG254" s="691"/>
      <c r="AH254" s="691"/>
      <c r="AI254" s="691"/>
      <c r="AJ254" s="691"/>
      <c r="AK254" s="691"/>
      <c r="AL254" s="691"/>
      <c r="AM254" s="691"/>
      <c r="AN254" s="691"/>
      <c r="AO254" s="691"/>
      <c r="AP254" s="691"/>
      <c r="AQ254" s="691"/>
      <c r="AR254" s="691"/>
      <c r="AS254" s="691"/>
      <c r="AT254" s="691"/>
      <c r="AU254" s="691"/>
      <c r="AV254" s="691"/>
      <c r="AW254" s="691"/>
      <c r="AX254" s="691"/>
      <c r="AY254" s="691"/>
      <c r="AZ254" s="691"/>
      <c r="BA254" s="691"/>
      <c r="BB254" s="691"/>
      <c r="BC254" s="691"/>
      <c r="BD254" s="691"/>
      <c r="BE254" s="691"/>
      <c r="BF254" s="691"/>
      <c r="BG254" s="691"/>
      <c r="BH254" s="691"/>
      <c r="BI254" s="691"/>
      <c r="BJ254" s="691"/>
      <c r="BK254" s="691"/>
      <c r="BL254" s="691"/>
      <c r="BM254" s="691"/>
      <c r="BN254" s="691"/>
      <c r="BO254" s="691"/>
      <c r="BP254" s="691"/>
      <c r="BQ254" s="691"/>
      <c r="BR254" s="691"/>
      <c r="BS254" s="691"/>
      <c r="BT254" s="691"/>
      <c r="BU254" s="691"/>
      <c r="BV254" s="691"/>
      <c r="BW254" s="691"/>
      <c r="BX254" s="691"/>
      <c r="BY254" s="691"/>
      <c r="BZ254" s="691"/>
      <c r="CA254" s="691"/>
      <c r="CB254" s="691"/>
      <c r="CC254" s="691"/>
      <c r="CD254" s="691"/>
      <c r="CE254" s="691"/>
    </row>
    <row r="255" spans="1:83" x14ac:dyDescent="0.25">
      <c r="A255" s="622">
        <v>596</v>
      </c>
      <c r="B255" s="701"/>
      <c r="C255" s="639" t="s">
        <v>621</v>
      </c>
      <c r="D255" s="629"/>
      <c r="E255" s="632">
        <v>52</v>
      </c>
      <c r="F255" s="646">
        <v>52</v>
      </c>
      <c r="G255" s="646">
        <v>52</v>
      </c>
      <c r="H255" s="646">
        <v>0</v>
      </c>
      <c r="I255" s="646">
        <v>0</v>
      </c>
      <c r="J255" s="646">
        <v>0</v>
      </c>
      <c r="K255" s="642">
        <v>52</v>
      </c>
      <c r="L255" s="691">
        <v>0</v>
      </c>
      <c r="M255" s="691">
        <v>52</v>
      </c>
      <c r="N255" s="661">
        <v>52</v>
      </c>
      <c r="O255" s="661">
        <v>52</v>
      </c>
      <c r="P255" s="661">
        <v>52</v>
      </c>
      <c r="Q255" s="661">
        <v>52</v>
      </c>
      <c r="R255" s="661">
        <v>52</v>
      </c>
      <c r="S255" s="661">
        <v>52</v>
      </c>
      <c r="T255" s="661">
        <v>0</v>
      </c>
      <c r="U255" s="661">
        <v>52</v>
      </c>
      <c r="V255" s="661">
        <v>52</v>
      </c>
      <c r="W255" s="661">
        <v>52</v>
      </c>
      <c r="X255" s="661">
        <v>52</v>
      </c>
      <c r="Y255" s="661">
        <v>52</v>
      </c>
      <c r="Z255" s="661">
        <v>52</v>
      </c>
      <c r="AA255" s="661">
        <v>52</v>
      </c>
      <c r="AB255" s="691" t="e">
        <v>#VALUE!</v>
      </c>
      <c r="AC255" s="691">
        <v>52</v>
      </c>
      <c r="AD255" s="691" t="e">
        <v>#VALUE!</v>
      </c>
      <c r="AE255" s="691">
        <v>52</v>
      </c>
      <c r="AF255" s="691">
        <v>52</v>
      </c>
      <c r="AG255" s="691">
        <v>52</v>
      </c>
      <c r="AH255" s="691">
        <v>52</v>
      </c>
      <c r="AI255" s="691">
        <v>52</v>
      </c>
      <c r="AJ255" s="691">
        <v>52</v>
      </c>
      <c r="AK255" s="691">
        <v>52</v>
      </c>
      <c r="AL255" s="691">
        <v>52</v>
      </c>
      <c r="AM255" s="691">
        <v>52</v>
      </c>
      <c r="AN255" s="691">
        <v>52</v>
      </c>
      <c r="AO255" s="691">
        <v>52</v>
      </c>
      <c r="AP255" s="691">
        <v>52</v>
      </c>
      <c r="AQ255" s="691">
        <v>52</v>
      </c>
      <c r="AR255" s="691">
        <v>0</v>
      </c>
      <c r="AS255" s="691">
        <v>52</v>
      </c>
      <c r="AT255" s="691">
        <v>52</v>
      </c>
      <c r="AU255" s="691">
        <v>52</v>
      </c>
      <c r="AV255" s="691">
        <v>0</v>
      </c>
      <c r="AW255" s="691">
        <v>52</v>
      </c>
      <c r="AX255" s="691">
        <v>52</v>
      </c>
      <c r="AY255" s="691">
        <v>52</v>
      </c>
      <c r="AZ255" s="691">
        <v>52</v>
      </c>
      <c r="BA255" s="691">
        <v>52</v>
      </c>
      <c r="BB255" s="691">
        <v>52</v>
      </c>
      <c r="BC255" s="691">
        <v>0</v>
      </c>
      <c r="BD255" s="691">
        <v>52</v>
      </c>
      <c r="BE255" s="691">
        <v>52</v>
      </c>
      <c r="BF255" s="691">
        <v>52</v>
      </c>
      <c r="BG255" s="691">
        <v>52</v>
      </c>
      <c r="BH255" s="691">
        <v>52</v>
      </c>
      <c r="BI255" s="691">
        <v>0</v>
      </c>
      <c r="BJ255" s="691">
        <v>52</v>
      </c>
      <c r="BK255" s="691">
        <v>52</v>
      </c>
      <c r="BL255" s="691">
        <v>52</v>
      </c>
      <c r="BM255" s="691">
        <v>52</v>
      </c>
      <c r="BN255" s="691">
        <v>52</v>
      </c>
      <c r="BO255" s="691">
        <v>52</v>
      </c>
      <c r="BP255" s="691">
        <v>52</v>
      </c>
      <c r="BQ255" s="691">
        <v>52</v>
      </c>
      <c r="BR255" s="691">
        <v>0</v>
      </c>
      <c r="BS255" s="691">
        <v>52</v>
      </c>
      <c r="BT255" s="691">
        <v>52</v>
      </c>
      <c r="BU255" s="691">
        <v>52</v>
      </c>
      <c r="BV255" s="691">
        <v>52</v>
      </c>
      <c r="BW255" s="691">
        <v>52</v>
      </c>
      <c r="BX255" s="691">
        <v>52</v>
      </c>
      <c r="BY255" s="691">
        <v>52</v>
      </c>
      <c r="BZ255" s="691">
        <v>52</v>
      </c>
      <c r="CA255" s="691">
        <v>52</v>
      </c>
      <c r="CB255" s="691">
        <v>52</v>
      </c>
      <c r="CC255" s="691">
        <v>52</v>
      </c>
      <c r="CD255" s="691">
        <v>0</v>
      </c>
      <c r="CE255" s="691">
        <v>52</v>
      </c>
    </row>
    <row r="256" spans="1:83" x14ac:dyDescent="0.25">
      <c r="A256" s="622">
        <v>597</v>
      </c>
      <c r="B256" s="701"/>
      <c r="C256" s="639" t="s">
        <v>689</v>
      </c>
      <c r="D256" s="629"/>
      <c r="E256" s="632">
        <v>42</v>
      </c>
      <c r="F256" s="646">
        <v>3</v>
      </c>
      <c r="G256" s="646">
        <v>3746</v>
      </c>
      <c r="H256" s="646">
        <v>9099</v>
      </c>
      <c r="I256" s="646">
        <v>29082</v>
      </c>
      <c r="J256" s="646">
        <v>37971</v>
      </c>
      <c r="K256" s="642">
        <v>520</v>
      </c>
      <c r="L256" s="691">
        <v>2128</v>
      </c>
      <c r="M256" s="691">
        <v>4102</v>
      </c>
      <c r="N256" s="661">
        <v>123332</v>
      </c>
      <c r="O256" s="661">
        <v>7361</v>
      </c>
      <c r="P256" s="661">
        <v>10773</v>
      </c>
      <c r="Q256" s="661">
        <v>5617</v>
      </c>
      <c r="R256" s="661">
        <v>-2014627</v>
      </c>
      <c r="S256" s="661">
        <v>4679</v>
      </c>
      <c r="T256" s="661">
        <v>412</v>
      </c>
      <c r="U256" s="661">
        <v>5053693</v>
      </c>
      <c r="V256" s="661">
        <v>240179</v>
      </c>
      <c r="W256" s="661">
        <v>366580</v>
      </c>
      <c r="X256" s="661">
        <v>519740</v>
      </c>
      <c r="Y256" s="661">
        <v>0</v>
      </c>
      <c r="Z256" s="661">
        <v>228779</v>
      </c>
      <c r="AA256" s="661">
        <v>3536</v>
      </c>
      <c r="AB256" s="691" t="e">
        <v>#VALUE!</v>
      </c>
      <c r="AC256" s="691">
        <v>1556</v>
      </c>
      <c r="AD256" s="691" t="e">
        <v>#VALUE!</v>
      </c>
      <c r="AE256" s="691">
        <v>9883</v>
      </c>
      <c r="AF256" s="691">
        <v>9746</v>
      </c>
      <c r="AG256" s="691">
        <v>120701</v>
      </c>
      <c r="AH256" s="691">
        <v>61354</v>
      </c>
      <c r="AI256" s="691">
        <v>2515</v>
      </c>
      <c r="AJ256" s="691">
        <v>750117</v>
      </c>
      <c r="AK256" s="691">
        <v>36398</v>
      </c>
      <c r="AL256" s="691">
        <v>1194</v>
      </c>
      <c r="AM256" s="691">
        <v>3091</v>
      </c>
      <c r="AN256" s="691">
        <v>227579</v>
      </c>
      <c r="AO256" s="691">
        <v>2233</v>
      </c>
      <c r="AP256" s="691">
        <v>96</v>
      </c>
      <c r="AQ256" s="691">
        <v>178</v>
      </c>
      <c r="AR256" s="691">
        <v>69017</v>
      </c>
      <c r="AS256" s="691">
        <v>278639</v>
      </c>
      <c r="AT256" s="691">
        <v>2299</v>
      </c>
      <c r="AU256" s="691">
        <v>19781</v>
      </c>
      <c r="AV256" s="691">
        <v>4008</v>
      </c>
      <c r="AW256" s="691">
        <v>136820</v>
      </c>
      <c r="AX256" s="691">
        <v>28556</v>
      </c>
      <c r="AY256" s="691">
        <v>14185</v>
      </c>
      <c r="AZ256" s="691">
        <v>95529</v>
      </c>
      <c r="BA256" s="691">
        <v>11042</v>
      </c>
      <c r="BB256" s="691">
        <v>3719</v>
      </c>
      <c r="BC256" s="691">
        <v>0</v>
      </c>
      <c r="BD256" s="691">
        <v>1746</v>
      </c>
      <c r="BE256" s="691">
        <v>159828</v>
      </c>
      <c r="BF256" s="691">
        <v>1008</v>
      </c>
      <c r="BG256" s="691">
        <v>6815</v>
      </c>
      <c r="BH256" s="691">
        <v>0</v>
      </c>
      <c r="BI256" s="691">
        <v>1463</v>
      </c>
      <c r="BJ256" s="691">
        <v>1300</v>
      </c>
      <c r="BK256" s="691">
        <v>101</v>
      </c>
      <c r="BL256" s="691">
        <v>14656</v>
      </c>
      <c r="BM256" s="691">
        <v>2440</v>
      </c>
      <c r="BN256" s="691">
        <v>8204</v>
      </c>
      <c r="BO256" s="691">
        <v>54952</v>
      </c>
      <c r="BP256" s="691">
        <v>2331</v>
      </c>
      <c r="BQ256" s="691">
        <v>1399</v>
      </c>
      <c r="BR256" s="691">
        <v>146038</v>
      </c>
      <c r="BS256" s="691">
        <v>3066</v>
      </c>
      <c r="BT256" s="691">
        <v>317605</v>
      </c>
      <c r="BU256" s="691">
        <v>322</v>
      </c>
      <c r="BV256" s="691">
        <v>4073</v>
      </c>
      <c r="BW256" s="691">
        <v>8236</v>
      </c>
      <c r="BX256" s="691">
        <v>14408</v>
      </c>
      <c r="BY256" s="691">
        <v>4152</v>
      </c>
      <c r="BZ256" s="691">
        <v>136</v>
      </c>
      <c r="CA256" s="691">
        <v>986</v>
      </c>
      <c r="CB256" s="691">
        <v>1363</v>
      </c>
      <c r="CC256" s="691">
        <v>1555</v>
      </c>
      <c r="CD256" s="691">
        <v>0</v>
      </c>
      <c r="CE256" s="691">
        <v>662</v>
      </c>
    </row>
    <row r="257" spans="1:83" x14ac:dyDescent="0.25">
      <c r="A257" s="701"/>
      <c r="B257" s="701"/>
      <c r="C257" s="639"/>
      <c r="D257" s="629"/>
      <c r="E257" s="705" t="s">
        <v>1078</v>
      </c>
      <c r="F257" s="646"/>
      <c r="G257" s="646"/>
      <c r="H257" s="646"/>
      <c r="I257" s="646"/>
      <c r="J257" s="646"/>
      <c r="K257" s="642"/>
      <c r="L257" s="691"/>
      <c r="M257" s="691"/>
      <c r="N257" s="661"/>
      <c r="O257" s="661"/>
      <c r="P257" s="661"/>
      <c r="Q257" s="661"/>
      <c r="R257" s="661"/>
      <c r="S257" s="661"/>
      <c r="T257" s="661"/>
      <c r="U257" s="661"/>
      <c r="V257" s="661"/>
      <c r="W257" s="661"/>
      <c r="X257" s="661"/>
      <c r="Y257" s="661"/>
      <c r="Z257" s="661"/>
      <c r="AA257" s="661"/>
      <c r="AB257" s="691"/>
      <c r="AC257" s="691"/>
      <c r="AD257" s="691"/>
      <c r="AE257" s="691"/>
      <c r="AF257" s="691"/>
      <c r="AG257" s="691"/>
      <c r="AH257" s="691"/>
      <c r="AI257" s="691"/>
      <c r="AJ257" s="691"/>
      <c r="AK257" s="691"/>
      <c r="AL257" s="691"/>
      <c r="AM257" s="691"/>
      <c r="AN257" s="691"/>
      <c r="AO257" s="691"/>
      <c r="AP257" s="691"/>
      <c r="AQ257" s="691"/>
      <c r="AR257" s="691"/>
      <c r="AS257" s="691"/>
      <c r="AT257" s="691"/>
      <c r="AU257" s="691"/>
      <c r="AV257" s="691"/>
      <c r="AW257" s="691"/>
      <c r="AX257" s="691"/>
      <c r="AY257" s="691"/>
      <c r="AZ257" s="691"/>
      <c r="BA257" s="691"/>
      <c r="BB257" s="691"/>
      <c r="BC257" s="691"/>
      <c r="BD257" s="691"/>
      <c r="BE257" s="691"/>
      <c r="BF257" s="691"/>
      <c r="BG257" s="691"/>
      <c r="BH257" s="691"/>
      <c r="BI257" s="691"/>
      <c r="BJ257" s="691"/>
      <c r="BK257" s="691"/>
      <c r="BL257" s="691"/>
      <c r="BM257" s="691"/>
      <c r="BN257" s="691"/>
      <c r="BO257" s="691"/>
      <c r="BP257" s="691"/>
      <c r="BQ257" s="691"/>
      <c r="BR257" s="691"/>
      <c r="BS257" s="691"/>
      <c r="BT257" s="691"/>
      <c r="BU257" s="691"/>
      <c r="BV257" s="691"/>
      <c r="BW257" s="691"/>
      <c r="BX257" s="691"/>
      <c r="BY257" s="691"/>
      <c r="BZ257" s="691"/>
      <c r="CA257" s="691"/>
      <c r="CB257" s="691"/>
      <c r="CC257" s="691"/>
      <c r="CD257" s="691"/>
      <c r="CE257" s="691"/>
    </row>
    <row r="258" spans="1:83" ht="51.75" x14ac:dyDescent="0.25">
      <c r="A258" s="622">
        <v>598</v>
      </c>
      <c r="B258" s="675">
        <v>598</v>
      </c>
      <c r="C258" s="645" t="s">
        <v>683</v>
      </c>
      <c r="D258" s="629"/>
      <c r="E258" s="632">
        <v>1126</v>
      </c>
      <c r="F258" s="646">
        <v>0</v>
      </c>
      <c r="G258" s="646">
        <v>0</v>
      </c>
      <c r="H258" s="646">
        <v>0</v>
      </c>
      <c r="I258" s="646">
        <v>0</v>
      </c>
      <c r="J258" s="646">
        <v>0</v>
      </c>
      <c r="K258" s="642">
        <v>0</v>
      </c>
      <c r="L258" s="691">
        <v>0</v>
      </c>
      <c r="M258" s="691">
        <v>0</v>
      </c>
      <c r="N258" s="661">
        <v>0</v>
      </c>
      <c r="O258" s="661">
        <v>0</v>
      </c>
      <c r="P258" s="661">
        <v>0</v>
      </c>
      <c r="Q258" s="661">
        <v>0</v>
      </c>
      <c r="R258" s="661">
        <v>153808</v>
      </c>
      <c r="S258" s="661">
        <v>18657</v>
      </c>
      <c r="T258" s="661">
        <v>0</v>
      </c>
      <c r="U258" s="661">
        <v>68798</v>
      </c>
      <c r="V258" s="661">
        <v>97174</v>
      </c>
      <c r="W258" s="661">
        <v>191823</v>
      </c>
      <c r="X258" s="661">
        <v>35728</v>
      </c>
      <c r="Y258" s="661">
        <v>0</v>
      </c>
      <c r="Z258" s="661">
        <v>81275</v>
      </c>
      <c r="AA258" s="661">
        <v>0</v>
      </c>
      <c r="AB258" s="691" t="e">
        <v>#VALUE!</v>
      </c>
      <c r="AC258" s="691">
        <v>27032</v>
      </c>
      <c r="AD258" s="691" t="e">
        <v>#VALUE!</v>
      </c>
      <c r="AE258" s="691">
        <v>3885</v>
      </c>
      <c r="AF258" s="691">
        <v>0</v>
      </c>
      <c r="AG258" s="691">
        <v>39593</v>
      </c>
      <c r="AH258" s="691">
        <v>0</v>
      </c>
      <c r="AI258" s="691">
        <v>0</v>
      </c>
      <c r="AJ258" s="691">
        <v>185918</v>
      </c>
      <c r="AK258" s="691">
        <v>0</v>
      </c>
      <c r="AL258" s="691">
        <v>0</v>
      </c>
      <c r="AM258" s="691">
        <v>1949</v>
      </c>
      <c r="AN258" s="691">
        <v>64961</v>
      </c>
      <c r="AO258" s="691">
        <v>0</v>
      </c>
      <c r="AP258" s="691">
        <v>0</v>
      </c>
      <c r="AQ258" s="691">
        <v>0</v>
      </c>
      <c r="AR258" s="691">
        <v>20603</v>
      </c>
      <c r="AS258" s="691">
        <v>29114</v>
      </c>
      <c r="AT258" s="691">
        <v>0</v>
      </c>
      <c r="AU258" s="691">
        <v>13499</v>
      </c>
      <c r="AV258" s="691">
        <v>0</v>
      </c>
      <c r="AW258" s="691">
        <v>20641</v>
      </c>
      <c r="AX258" s="691">
        <v>0</v>
      </c>
      <c r="AY258" s="691">
        <v>0</v>
      </c>
      <c r="AZ258" s="691">
        <v>28640</v>
      </c>
      <c r="BA258" s="691">
        <v>0</v>
      </c>
      <c r="BB258" s="691">
        <v>0</v>
      </c>
      <c r="BC258" s="691">
        <v>0</v>
      </c>
      <c r="BD258" s="691">
        <v>0</v>
      </c>
      <c r="BE258" s="691">
        <v>51676</v>
      </c>
      <c r="BF258" s="691">
        <v>0</v>
      </c>
      <c r="BG258" s="691">
        <v>0</v>
      </c>
      <c r="BH258" s="691">
        <v>0</v>
      </c>
      <c r="BI258" s="691">
        <v>0</v>
      </c>
      <c r="BJ258" s="691">
        <v>0</v>
      </c>
      <c r="BK258" s="691">
        <v>0</v>
      </c>
      <c r="BL258" s="691">
        <v>16512</v>
      </c>
      <c r="BM258" s="691">
        <v>1830</v>
      </c>
      <c r="BN258" s="691">
        <v>16149</v>
      </c>
      <c r="BO258" s="691">
        <v>3395</v>
      </c>
      <c r="BP258" s="691">
        <v>0</v>
      </c>
      <c r="BQ258" s="691">
        <v>0</v>
      </c>
      <c r="BR258" s="691">
        <v>47333</v>
      </c>
      <c r="BS258" s="691">
        <v>0</v>
      </c>
      <c r="BT258" s="691">
        <v>26833</v>
      </c>
      <c r="BU258" s="691">
        <v>0</v>
      </c>
      <c r="BV258" s="691">
        <v>16533</v>
      </c>
      <c r="BW258" s="691">
        <v>0</v>
      </c>
      <c r="BX258" s="691">
        <v>2508</v>
      </c>
      <c r="BY258" s="691">
        <v>0</v>
      </c>
      <c r="BZ258" s="691">
        <v>0</v>
      </c>
      <c r="CA258" s="691">
        <v>0</v>
      </c>
      <c r="CB258" s="691">
        <v>0</v>
      </c>
      <c r="CC258" s="691">
        <v>2164</v>
      </c>
      <c r="CD258" s="691">
        <v>0</v>
      </c>
      <c r="CE258" s="691">
        <v>0</v>
      </c>
    </row>
    <row r="259" spans="1:83" ht="26.25" x14ac:dyDescent="0.25">
      <c r="A259" s="701">
        <v>599</v>
      </c>
      <c r="B259" s="675">
        <v>599</v>
      </c>
      <c r="C259" s="645" t="s">
        <v>684</v>
      </c>
      <c r="D259" s="629"/>
      <c r="E259" s="632">
        <v>20398</v>
      </c>
      <c r="F259" s="646">
        <v>0</v>
      </c>
      <c r="G259" s="646">
        <v>24367</v>
      </c>
      <c r="H259" s="646">
        <v>0</v>
      </c>
      <c r="I259" s="646">
        <v>0</v>
      </c>
      <c r="J259" s="646">
        <v>0</v>
      </c>
      <c r="K259" s="642">
        <v>0</v>
      </c>
      <c r="L259" s="691">
        <v>0</v>
      </c>
      <c r="M259" s="691">
        <v>0</v>
      </c>
      <c r="N259" s="661">
        <v>495902</v>
      </c>
      <c r="O259" s="661">
        <v>42121</v>
      </c>
      <c r="P259" s="661">
        <v>134701</v>
      </c>
      <c r="Q259" s="661">
        <v>0</v>
      </c>
      <c r="R259" s="661">
        <v>4075929</v>
      </c>
      <c r="S259" s="661">
        <v>59532</v>
      </c>
      <c r="T259" s="661">
        <v>0</v>
      </c>
      <c r="U259" s="661">
        <v>2874949</v>
      </c>
      <c r="V259" s="661">
        <v>1081661</v>
      </c>
      <c r="W259" s="661">
        <v>2619567</v>
      </c>
      <c r="X259" s="661">
        <v>1164414</v>
      </c>
      <c r="Y259" s="661">
        <v>0</v>
      </c>
      <c r="Z259" s="661">
        <v>1438070</v>
      </c>
      <c r="AA259" s="661">
        <v>50220</v>
      </c>
      <c r="AB259" s="691" t="e">
        <v>#VALUE!</v>
      </c>
      <c r="AC259" s="691">
        <v>363709</v>
      </c>
      <c r="AD259" s="691" t="e">
        <v>#VALUE!</v>
      </c>
      <c r="AE259" s="691">
        <v>374872</v>
      </c>
      <c r="AF259" s="691">
        <v>180164</v>
      </c>
      <c r="AG259" s="691">
        <v>823639</v>
      </c>
      <c r="AH259" s="691">
        <v>135733</v>
      </c>
      <c r="AI259" s="691">
        <v>12436</v>
      </c>
      <c r="AJ259" s="691">
        <v>2767704</v>
      </c>
      <c r="AK259" s="691">
        <v>0</v>
      </c>
      <c r="AL259" s="691">
        <v>43712</v>
      </c>
      <c r="AM259" s="691">
        <v>218541</v>
      </c>
      <c r="AN259" s="691">
        <v>1064104</v>
      </c>
      <c r="AO259" s="691">
        <v>55230</v>
      </c>
      <c r="AP259" s="691">
        <v>11583</v>
      </c>
      <c r="AQ259" s="691">
        <v>0</v>
      </c>
      <c r="AR259" s="691">
        <v>336687</v>
      </c>
      <c r="AS259" s="691">
        <v>737751</v>
      </c>
      <c r="AT259" s="691">
        <v>21700</v>
      </c>
      <c r="AU259" s="691">
        <v>152141</v>
      </c>
      <c r="AV259" s="691">
        <v>0</v>
      </c>
      <c r="AW259" s="691">
        <v>682477</v>
      </c>
      <c r="AX259" s="691">
        <v>0</v>
      </c>
      <c r="AY259" s="691">
        <v>21533</v>
      </c>
      <c r="AZ259" s="691">
        <v>169081</v>
      </c>
      <c r="BA259" s="691">
        <v>55171</v>
      </c>
      <c r="BB259" s="691">
        <v>0</v>
      </c>
      <c r="BC259" s="691">
        <v>0</v>
      </c>
      <c r="BD259" s="691">
        <v>0</v>
      </c>
      <c r="BE259" s="691">
        <v>881989</v>
      </c>
      <c r="BF259" s="691">
        <v>0</v>
      </c>
      <c r="BG259" s="691">
        <v>0</v>
      </c>
      <c r="BH259" s="691">
        <v>0</v>
      </c>
      <c r="BI259" s="691">
        <v>0</v>
      </c>
      <c r="BJ259" s="691">
        <v>0</v>
      </c>
      <c r="BK259" s="691">
        <v>0</v>
      </c>
      <c r="BL259" s="691">
        <v>275321</v>
      </c>
      <c r="BM259" s="691">
        <v>64990</v>
      </c>
      <c r="BN259" s="691">
        <v>250078</v>
      </c>
      <c r="BO259" s="691">
        <v>84544</v>
      </c>
      <c r="BP259" s="691">
        <v>132388</v>
      </c>
      <c r="BQ259" s="691">
        <v>75532</v>
      </c>
      <c r="BR259" s="691">
        <v>1034234</v>
      </c>
      <c r="BS259" s="691">
        <v>43577</v>
      </c>
      <c r="BT259" s="691">
        <v>1200412</v>
      </c>
      <c r="BU259" s="691">
        <v>64527</v>
      </c>
      <c r="BV259" s="691">
        <v>493116</v>
      </c>
      <c r="BW259" s="691">
        <v>0</v>
      </c>
      <c r="BX259" s="691">
        <v>39821</v>
      </c>
      <c r="BY259" s="691">
        <v>12180</v>
      </c>
      <c r="BZ259" s="691">
        <v>0</v>
      </c>
      <c r="CA259" s="691">
        <v>0</v>
      </c>
      <c r="CB259" s="691">
        <v>0</v>
      </c>
      <c r="CC259" s="691">
        <v>26556</v>
      </c>
      <c r="CD259" s="691">
        <v>0</v>
      </c>
      <c r="CE259" s="691">
        <v>0</v>
      </c>
    </row>
    <row r="260" spans="1:83" s="281" customFormat="1" ht="90" x14ac:dyDescent="0.25">
      <c r="A260" s="624"/>
      <c r="B260" s="615">
        <v>600</v>
      </c>
      <c r="C260" s="643" t="s">
        <v>1079</v>
      </c>
      <c r="D260" s="651"/>
      <c r="E260" s="649">
        <v>0</v>
      </c>
      <c r="F260" s="698">
        <v>0</v>
      </c>
      <c r="G260" s="698">
        <v>0</v>
      </c>
      <c r="H260" s="698">
        <v>0</v>
      </c>
      <c r="I260" s="698">
        <v>0</v>
      </c>
      <c r="J260" s="698">
        <v>0</v>
      </c>
      <c r="K260" s="660">
        <v>0</v>
      </c>
      <c r="L260" s="695">
        <v>0</v>
      </c>
      <c r="M260" s="695">
        <v>0</v>
      </c>
      <c r="N260" s="674">
        <v>0</v>
      </c>
      <c r="O260" s="674">
        <v>0</v>
      </c>
      <c r="P260" s="674">
        <v>0</v>
      </c>
      <c r="Q260" s="674">
        <v>0</v>
      </c>
      <c r="R260" s="674">
        <v>0</v>
      </c>
      <c r="S260" s="674">
        <v>0</v>
      </c>
      <c r="T260" s="674">
        <v>0</v>
      </c>
      <c r="U260" s="674">
        <v>0</v>
      </c>
      <c r="V260" s="674">
        <v>0</v>
      </c>
      <c r="W260" s="674">
        <v>0</v>
      </c>
      <c r="X260" s="674">
        <v>0</v>
      </c>
      <c r="Y260" s="674">
        <v>0</v>
      </c>
      <c r="Z260" s="674">
        <v>0</v>
      </c>
      <c r="AA260" s="674">
        <v>0</v>
      </c>
      <c r="AB260" s="695" t="e">
        <v>#VALUE!</v>
      </c>
      <c r="AC260" s="695">
        <v>0</v>
      </c>
      <c r="AD260" s="695" t="e">
        <v>#VALUE!</v>
      </c>
      <c r="AE260" s="695">
        <v>0</v>
      </c>
      <c r="AF260" s="695">
        <v>0</v>
      </c>
      <c r="AG260" s="695">
        <v>0</v>
      </c>
      <c r="AH260" s="695">
        <v>0</v>
      </c>
      <c r="AI260" s="695">
        <v>0</v>
      </c>
      <c r="AJ260" s="695">
        <v>0</v>
      </c>
      <c r="AK260" s="695">
        <v>0</v>
      </c>
      <c r="AL260" s="695">
        <v>0</v>
      </c>
      <c r="AM260" s="695">
        <v>0</v>
      </c>
      <c r="AN260" s="695">
        <v>0</v>
      </c>
      <c r="AO260" s="695">
        <v>0</v>
      </c>
      <c r="AP260" s="695">
        <v>0</v>
      </c>
      <c r="AQ260" s="695">
        <v>0</v>
      </c>
      <c r="AR260" s="695">
        <v>0</v>
      </c>
      <c r="AS260" s="695">
        <v>0</v>
      </c>
      <c r="AT260" s="695">
        <v>0</v>
      </c>
      <c r="AU260" s="695">
        <v>0</v>
      </c>
      <c r="AV260" s="695">
        <v>0</v>
      </c>
      <c r="AW260" s="695">
        <v>0</v>
      </c>
      <c r="AX260" s="695">
        <v>0</v>
      </c>
      <c r="AY260" s="695">
        <v>0</v>
      </c>
      <c r="AZ260" s="695">
        <v>0</v>
      </c>
      <c r="BA260" s="695">
        <v>0</v>
      </c>
      <c r="BB260" s="695">
        <v>0</v>
      </c>
      <c r="BC260" s="695">
        <v>0</v>
      </c>
      <c r="BD260" s="695">
        <v>0</v>
      </c>
      <c r="BE260" s="695">
        <v>0</v>
      </c>
      <c r="BF260" s="695">
        <v>0</v>
      </c>
      <c r="BG260" s="695">
        <v>0</v>
      </c>
      <c r="BH260" s="695">
        <v>0</v>
      </c>
      <c r="BI260" s="695">
        <v>0</v>
      </c>
      <c r="BJ260" s="695">
        <v>0</v>
      </c>
      <c r="BK260" s="695">
        <v>0</v>
      </c>
      <c r="BL260" s="695">
        <v>0</v>
      </c>
      <c r="BM260" s="695">
        <v>0</v>
      </c>
      <c r="BN260" s="695">
        <v>0</v>
      </c>
      <c r="BO260" s="695">
        <v>0</v>
      </c>
      <c r="BP260" s="695">
        <v>0</v>
      </c>
      <c r="BQ260" s="695">
        <v>0</v>
      </c>
      <c r="BR260" s="695">
        <v>0</v>
      </c>
      <c r="BS260" s="695">
        <v>0</v>
      </c>
      <c r="BT260" s="695">
        <v>0</v>
      </c>
      <c r="BU260" s="695">
        <v>0</v>
      </c>
      <c r="BV260" s="695">
        <v>0</v>
      </c>
      <c r="BW260" s="695">
        <v>0</v>
      </c>
      <c r="BX260" s="695">
        <v>0</v>
      </c>
      <c r="BY260" s="695">
        <v>0</v>
      </c>
      <c r="BZ260" s="695">
        <v>0</v>
      </c>
      <c r="CA260" s="695">
        <v>0</v>
      </c>
      <c r="CB260" s="695">
        <v>0</v>
      </c>
      <c r="CC260" s="695">
        <v>0</v>
      </c>
      <c r="CD260" s="695">
        <v>0</v>
      </c>
      <c r="CE260" s="695">
        <v>0</v>
      </c>
    </row>
    <row r="261" spans="1:83" s="281" customFormat="1" ht="141" x14ac:dyDescent="0.25">
      <c r="A261" s="624"/>
      <c r="B261" s="615">
        <v>601</v>
      </c>
      <c r="C261" s="643" t="s">
        <v>1080</v>
      </c>
      <c r="D261" s="651"/>
      <c r="E261" s="649">
        <v>0</v>
      </c>
      <c r="F261" s="698">
        <v>0</v>
      </c>
      <c r="G261" s="698">
        <v>0</v>
      </c>
      <c r="H261" s="698">
        <v>0</v>
      </c>
      <c r="I261" s="698">
        <v>0</v>
      </c>
      <c r="J261" s="698">
        <v>0</v>
      </c>
      <c r="K261" s="660">
        <v>0</v>
      </c>
      <c r="L261" s="695">
        <v>0</v>
      </c>
      <c r="M261" s="695">
        <v>0</v>
      </c>
      <c r="N261" s="674">
        <v>0</v>
      </c>
      <c r="O261" s="674">
        <v>0</v>
      </c>
      <c r="P261" s="674">
        <v>0</v>
      </c>
      <c r="Q261" s="674">
        <v>0</v>
      </c>
      <c r="R261" s="674">
        <v>0</v>
      </c>
      <c r="S261" s="674">
        <v>0</v>
      </c>
      <c r="T261" s="674">
        <v>0</v>
      </c>
      <c r="U261" s="674">
        <v>0</v>
      </c>
      <c r="V261" s="674">
        <v>0</v>
      </c>
      <c r="W261" s="674">
        <v>0</v>
      </c>
      <c r="X261" s="674">
        <v>0</v>
      </c>
      <c r="Y261" s="674">
        <v>0</v>
      </c>
      <c r="Z261" s="674">
        <v>0</v>
      </c>
      <c r="AA261" s="674">
        <v>0</v>
      </c>
      <c r="AB261" s="695" t="e">
        <v>#VALUE!</v>
      </c>
      <c r="AC261" s="695">
        <v>0</v>
      </c>
      <c r="AD261" s="695" t="e">
        <v>#VALUE!</v>
      </c>
      <c r="AE261" s="695">
        <v>0</v>
      </c>
      <c r="AF261" s="695">
        <v>0</v>
      </c>
      <c r="AG261" s="695">
        <v>0</v>
      </c>
      <c r="AH261" s="695">
        <v>0</v>
      </c>
      <c r="AI261" s="695">
        <v>0</v>
      </c>
      <c r="AJ261" s="695">
        <v>0</v>
      </c>
      <c r="AK261" s="695">
        <v>0</v>
      </c>
      <c r="AL261" s="695">
        <v>0</v>
      </c>
      <c r="AM261" s="695">
        <v>0</v>
      </c>
      <c r="AN261" s="695">
        <v>0</v>
      </c>
      <c r="AO261" s="695">
        <v>0</v>
      </c>
      <c r="AP261" s="695">
        <v>0</v>
      </c>
      <c r="AQ261" s="695">
        <v>0</v>
      </c>
      <c r="AR261" s="695">
        <v>0</v>
      </c>
      <c r="AS261" s="695">
        <v>0</v>
      </c>
      <c r="AT261" s="695">
        <v>0</v>
      </c>
      <c r="AU261" s="695">
        <v>0</v>
      </c>
      <c r="AV261" s="695">
        <v>0</v>
      </c>
      <c r="AW261" s="695">
        <v>0</v>
      </c>
      <c r="AX261" s="695">
        <v>0</v>
      </c>
      <c r="AY261" s="695">
        <v>0</v>
      </c>
      <c r="AZ261" s="695">
        <v>0</v>
      </c>
      <c r="BA261" s="695">
        <v>0</v>
      </c>
      <c r="BB261" s="695">
        <v>0</v>
      </c>
      <c r="BC261" s="695">
        <v>0</v>
      </c>
      <c r="BD261" s="695">
        <v>0</v>
      </c>
      <c r="BE261" s="695">
        <v>0</v>
      </c>
      <c r="BF261" s="695">
        <v>0</v>
      </c>
      <c r="BG261" s="695">
        <v>0</v>
      </c>
      <c r="BH261" s="695">
        <v>0</v>
      </c>
      <c r="BI261" s="695">
        <v>0</v>
      </c>
      <c r="BJ261" s="695">
        <v>0</v>
      </c>
      <c r="BK261" s="695">
        <v>0</v>
      </c>
      <c r="BL261" s="695">
        <v>0</v>
      </c>
      <c r="BM261" s="695">
        <v>0</v>
      </c>
      <c r="BN261" s="695">
        <v>0</v>
      </c>
      <c r="BO261" s="695">
        <v>0</v>
      </c>
      <c r="BP261" s="695">
        <v>0</v>
      </c>
      <c r="BQ261" s="695">
        <v>0</v>
      </c>
      <c r="BR261" s="695">
        <v>0</v>
      </c>
      <c r="BS261" s="695">
        <v>0</v>
      </c>
      <c r="BT261" s="695">
        <v>0</v>
      </c>
      <c r="BU261" s="695">
        <v>0</v>
      </c>
      <c r="BV261" s="695">
        <v>0</v>
      </c>
      <c r="BW261" s="695">
        <v>0</v>
      </c>
      <c r="BX261" s="695">
        <v>0</v>
      </c>
      <c r="BY261" s="695">
        <v>0</v>
      </c>
      <c r="BZ261" s="695">
        <v>0</v>
      </c>
      <c r="CA261" s="695">
        <v>0</v>
      </c>
      <c r="CB261" s="695">
        <v>0</v>
      </c>
      <c r="CC261" s="695">
        <v>0</v>
      </c>
      <c r="CD261" s="695">
        <v>0</v>
      </c>
      <c r="CE261" s="695">
        <v>0</v>
      </c>
    </row>
    <row r="262" spans="1:83" ht="39" x14ac:dyDescent="0.25">
      <c r="A262" s="701">
        <v>602</v>
      </c>
      <c r="B262" s="675">
        <v>602</v>
      </c>
      <c r="C262" s="645" t="s">
        <v>712</v>
      </c>
      <c r="D262" s="629"/>
      <c r="E262" s="632">
        <v>0</v>
      </c>
      <c r="F262" s="646">
        <v>0</v>
      </c>
      <c r="G262" s="646">
        <v>0</v>
      </c>
      <c r="H262" s="646">
        <v>0</v>
      </c>
      <c r="I262" s="646">
        <v>0</v>
      </c>
      <c r="J262" s="646">
        <v>0</v>
      </c>
      <c r="K262" s="642">
        <v>0</v>
      </c>
      <c r="L262" s="691">
        <v>0</v>
      </c>
      <c r="M262" s="691">
        <v>0</v>
      </c>
      <c r="N262" s="661">
        <v>0</v>
      </c>
      <c r="O262" s="661">
        <v>0</v>
      </c>
      <c r="P262" s="661">
        <v>0</v>
      </c>
      <c r="Q262" s="661">
        <v>0</v>
      </c>
      <c r="R262" s="661">
        <v>0</v>
      </c>
      <c r="S262" s="661">
        <v>0</v>
      </c>
      <c r="T262" s="661">
        <v>0</v>
      </c>
      <c r="U262" s="661">
        <v>0</v>
      </c>
      <c r="V262" s="661">
        <v>0</v>
      </c>
      <c r="W262" s="661">
        <v>0</v>
      </c>
      <c r="X262" s="661">
        <v>0</v>
      </c>
      <c r="Y262" s="661">
        <v>0</v>
      </c>
      <c r="Z262" s="661">
        <v>0</v>
      </c>
      <c r="AA262" s="661">
        <v>0</v>
      </c>
      <c r="AB262" s="691" t="e">
        <v>#VALUE!</v>
      </c>
      <c r="AC262" s="691">
        <v>0</v>
      </c>
      <c r="AD262" s="691" t="e">
        <v>#VALUE!</v>
      </c>
      <c r="AE262" s="691">
        <v>0</v>
      </c>
      <c r="AF262" s="691">
        <v>0</v>
      </c>
      <c r="AG262" s="691">
        <v>0</v>
      </c>
      <c r="AH262" s="691">
        <v>0</v>
      </c>
      <c r="AI262" s="691">
        <v>0</v>
      </c>
      <c r="AJ262" s="691">
        <v>0</v>
      </c>
      <c r="AK262" s="691">
        <v>0</v>
      </c>
      <c r="AL262" s="691">
        <v>0</v>
      </c>
      <c r="AM262" s="691">
        <v>0</v>
      </c>
      <c r="AN262" s="691">
        <v>0</v>
      </c>
      <c r="AO262" s="691">
        <v>0</v>
      </c>
      <c r="AP262" s="691">
        <v>0</v>
      </c>
      <c r="AQ262" s="691">
        <v>0</v>
      </c>
      <c r="AR262" s="691">
        <v>0</v>
      </c>
      <c r="AS262" s="691">
        <v>0</v>
      </c>
      <c r="AT262" s="691">
        <v>0</v>
      </c>
      <c r="AU262" s="691">
        <v>0</v>
      </c>
      <c r="AV262" s="691">
        <v>0</v>
      </c>
      <c r="AW262" s="691">
        <v>0</v>
      </c>
      <c r="AX262" s="691">
        <v>0</v>
      </c>
      <c r="AY262" s="691">
        <v>0</v>
      </c>
      <c r="AZ262" s="691">
        <v>0</v>
      </c>
      <c r="BA262" s="691">
        <v>0</v>
      </c>
      <c r="BB262" s="691">
        <v>0</v>
      </c>
      <c r="BC262" s="691">
        <v>0</v>
      </c>
      <c r="BD262" s="691">
        <v>0</v>
      </c>
      <c r="BE262" s="691">
        <v>0</v>
      </c>
      <c r="BF262" s="691">
        <v>0</v>
      </c>
      <c r="BG262" s="691">
        <v>0</v>
      </c>
      <c r="BH262" s="691">
        <v>0</v>
      </c>
      <c r="BI262" s="691">
        <v>0</v>
      </c>
      <c r="BJ262" s="691">
        <v>0</v>
      </c>
      <c r="BK262" s="691">
        <v>0</v>
      </c>
      <c r="BL262" s="691">
        <v>0</v>
      </c>
      <c r="BM262" s="691">
        <v>0</v>
      </c>
      <c r="BN262" s="691">
        <v>0</v>
      </c>
      <c r="BO262" s="691">
        <v>0</v>
      </c>
      <c r="BP262" s="691">
        <v>0</v>
      </c>
      <c r="BQ262" s="691">
        <v>0</v>
      </c>
      <c r="BR262" s="691">
        <v>0</v>
      </c>
      <c r="BS262" s="691">
        <v>0</v>
      </c>
      <c r="BT262" s="691">
        <v>0</v>
      </c>
      <c r="BU262" s="691">
        <v>0</v>
      </c>
      <c r="BV262" s="691">
        <v>0</v>
      </c>
      <c r="BW262" s="691">
        <v>0</v>
      </c>
      <c r="BX262" s="691">
        <v>0</v>
      </c>
      <c r="BY262" s="691">
        <v>0</v>
      </c>
      <c r="BZ262" s="691">
        <v>0</v>
      </c>
      <c r="CA262" s="691">
        <v>0</v>
      </c>
      <c r="CB262" s="691">
        <v>0</v>
      </c>
      <c r="CC262" s="691">
        <v>0</v>
      </c>
      <c r="CD262" s="691">
        <v>0</v>
      </c>
      <c r="CE262" s="691">
        <v>0</v>
      </c>
    </row>
    <row r="263" spans="1:83" ht="165" x14ac:dyDescent="0.25">
      <c r="A263" s="701">
        <v>603</v>
      </c>
      <c r="B263" s="675">
        <v>603</v>
      </c>
      <c r="C263" s="618" t="s">
        <v>699</v>
      </c>
      <c r="D263" s="629"/>
      <c r="E263" s="632">
        <v>2</v>
      </c>
      <c r="F263" s="646">
        <v>2</v>
      </c>
      <c r="G263" s="646">
        <v>2</v>
      </c>
      <c r="H263" s="646">
        <v>2</v>
      </c>
      <c r="I263" s="646">
        <v>1</v>
      </c>
      <c r="J263" s="646">
        <v>1</v>
      </c>
      <c r="K263" s="642">
        <v>2</v>
      </c>
      <c r="L263" s="691">
        <v>1</v>
      </c>
      <c r="M263" s="691">
        <v>1</v>
      </c>
      <c r="N263" s="661">
        <v>1</v>
      </c>
      <c r="O263" s="661">
        <v>1</v>
      </c>
      <c r="P263" s="661">
        <v>1</v>
      </c>
      <c r="Q263" s="661">
        <v>1</v>
      </c>
      <c r="R263" s="661">
        <v>2</v>
      </c>
      <c r="S263" s="661">
        <v>4</v>
      </c>
      <c r="T263" s="661">
        <v>1</v>
      </c>
      <c r="U263" s="661">
        <v>1</v>
      </c>
      <c r="V263" s="661">
        <v>2</v>
      </c>
      <c r="W263" s="661">
        <v>1</v>
      </c>
      <c r="X263" s="661">
        <v>1</v>
      </c>
      <c r="Y263" s="661">
        <v>5</v>
      </c>
      <c r="Z263" s="661">
        <v>1</v>
      </c>
      <c r="AA263" s="661">
        <v>2</v>
      </c>
      <c r="AB263" s="691" t="e">
        <v>#VALUE!</v>
      </c>
      <c r="AC263" s="691">
        <v>4</v>
      </c>
      <c r="AD263" s="691" t="e">
        <v>#VALUE!</v>
      </c>
      <c r="AE263" s="691">
        <v>1</v>
      </c>
      <c r="AF263" s="691">
        <v>1</v>
      </c>
      <c r="AG263" s="691">
        <v>1</v>
      </c>
      <c r="AH263" s="691">
        <v>4</v>
      </c>
      <c r="AI263" s="691">
        <v>5</v>
      </c>
      <c r="AJ263" s="691">
        <v>2</v>
      </c>
      <c r="AK263" s="691">
        <v>1</v>
      </c>
      <c r="AL263" s="691">
        <v>6</v>
      </c>
      <c r="AM263" s="691">
        <v>4</v>
      </c>
      <c r="AN263" s="691">
        <v>1</v>
      </c>
      <c r="AO263" s="691">
        <v>1</v>
      </c>
      <c r="AP263" s="691">
        <v>5</v>
      </c>
      <c r="AQ263" s="691">
        <v>2</v>
      </c>
      <c r="AR263" s="691">
        <v>4</v>
      </c>
      <c r="AS263" s="691">
        <v>1</v>
      </c>
      <c r="AT263" s="691">
        <v>5</v>
      </c>
      <c r="AU263" s="691">
        <v>5</v>
      </c>
      <c r="AV263" s="691">
        <v>2</v>
      </c>
      <c r="AW263" s="691">
        <v>4</v>
      </c>
      <c r="AX263" s="691">
        <v>1</v>
      </c>
      <c r="AY263" s="691">
        <v>1</v>
      </c>
      <c r="AZ263" s="691">
        <v>1</v>
      </c>
      <c r="BA263" s="691">
        <v>1</v>
      </c>
      <c r="BB263" s="691">
        <v>2</v>
      </c>
      <c r="BC263" s="691">
        <v>2</v>
      </c>
      <c r="BD263" s="691">
        <v>5</v>
      </c>
      <c r="BE263" s="691">
        <v>1</v>
      </c>
      <c r="BF263" s="691">
        <v>2</v>
      </c>
      <c r="BG263" s="691">
        <v>2</v>
      </c>
      <c r="BH263" s="691">
        <v>2</v>
      </c>
      <c r="BI263" s="691">
        <v>2</v>
      </c>
      <c r="BJ263" s="691">
        <v>2</v>
      </c>
      <c r="BK263" s="691">
        <v>2</v>
      </c>
      <c r="BL263" s="691">
        <v>1</v>
      </c>
      <c r="BM263" s="691">
        <v>4</v>
      </c>
      <c r="BN263" s="691">
        <v>1</v>
      </c>
      <c r="BO263" s="691">
        <v>2</v>
      </c>
      <c r="BP263" s="691">
        <v>2</v>
      </c>
      <c r="BQ263" s="691">
        <v>2</v>
      </c>
      <c r="BR263" s="691">
        <v>1</v>
      </c>
      <c r="BS263" s="691">
        <v>4</v>
      </c>
      <c r="BT263" s="691">
        <v>1</v>
      </c>
      <c r="BU263" s="691">
        <v>2</v>
      </c>
      <c r="BV263" s="691">
        <v>2</v>
      </c>
      <c r="BW263" s="691">
        <v>1</v>
      </c>
      <c r="BX263" s="691">
        <v>5</v>
      </c>
      <c r="BY263" s="691">
        <v>2</v>
      </c>
      <c r="BZ263" s="691">
        <v>3</v>
      </c>
      <c r="CA263" s="691">
        <v>5</v>
      </c>
      <c r="CB263" s="691">
        <v>5</v>
      </c>
      <c r="CC263" s="691">
        <v>2</v>
      </c>
      <c r="CD263" s="691">
        <v>0</v>
      </c>
      <c r="CE263" s="691">
        <v>5</v>
      </c>
    </row>
    <row r="264" spans="1:83" ht="120" x14ac:dyDescent="0.25">
      <c r="A264" s="701">
        <v>604</v>
      </c>
      <c r="B264" s="675">
        <v>604</v>
      </c>
      <c r="C264" s="517" t="s">
        <v>700</v>
      </c>
      <c r="D264" s="629"/>
      <c r="E264" s="632">
        <v>2</v>
      </c>
      <c r="F264" s="646">
        <v>1</v>
      </c>
      <c r="G264" s="646">
        <v>1</v>
      </c>
      <c r="H264" s="646">
        <v>1</v>
      </c>
      <c r="I264" s="646">
        <v>1</v>
      </c>
      <c r="J264" s="646">
        <v>1</v>
      </c>
      <c r="K264" s="642">
        <v>5</v>
      </c>
      <c r="L264" s="691">
        <v>1</v>
      </c>
      <c r="M264" s="691">
        <v>1</v>
      </c>
      <c r="N264" s="661">
        <v>1</v>
      </c>
      <c r="O264" s="661">
        <v>1</v>
      </c>
      <c r="P264" s="661">
        <v>1</v>
      </c>
      <c r="Q264" s="661">
        <v>1</v>
      </c>
      <c r="R264" s="661">
        <v>1</v>
      </c>
      <c r="S264" s="661">
        <v>5</v>
      </c>
      <c r="T264" s="661">
        <v>1</v>
      </c>
      <c r="U264" s="661">
        <v>1</v>
      </c>
      <c r="V264" s="661">
        <v>1</v>
      </c>
      <c r="W264" s="661">
        <v>1</v>
      </c>
      <c r="X264" s="661">
        <v>1</v>
      </c>
      <c r="Y264" s="661">
        <v>5</v>
      </c>
      <c r="Z264" s="661">
        <v>1</v>
      </c>
      <c r="AA264" s="661">
        <v>1</v>
      </c>
      <c r="AB264" s="691" t="e">
        <v>#VALUE!</v>
      </c>
      <c r="AC264" s="691">
        <v>5</v>
      </c>
      <c r="AD264" s="691" t="e">
        <v>#VALUE!</v>
      </c>
      <c r="AE264" s="691">
        <v>3</v>
      </c>
      <c r="AF264" s="691">
        <v>1</v>
      </c>
      <c r="AG264" s="691">
        <v>1</v>
      </c>
      <c r="AH264" s="691">
        <v>3</v>
      </c>
      <c r="AI264" s="691">
        <v>5</v>
      </c>
      <c r="AJ264" s="691">
        <v>1</v>
      </c>
      <c r="AK264" s="691">
        <v>1</v>
      </c>
      <c r="AL264" s="691">
        <v>1</v>
      </c>
      <c r="AM264" s="691">
        <v>4</v>
      </c>
      <c r="AN264" s="691">
        <v>1</v>
      </c>
      <c r="AO264" s="691">
        <v>1</v>
      </c>
      <c r="AP264" s="691">
        <v>5</v>
      </c>
      <c r="AQ264" s="691">
        <v>1</v>
      </c>
      <c r="AR264" s="691">
        <v>5</v>
      </c>
      <c r="AS264" s="691">
        <v>1</v>
      </c>
      <c r="AT264" s="691">
        <v>5</v>
      </c>
      <c r="AU264" s="691">
        <v>5</v>
      </c>
      <c r="AV264" s="691">
        <v>1</v>
      </c>
      <c r="AW264" s="691">
        <v>3</v>
      </c>
      <c r="AX264" s="691">
        <v>1</v>
      </c>
      <c r="AY264" s="691">
        <v>1</v>
      </c>
      <c r="AZ264" s="691">
        <v>1</v>
      </c>
      <c r="BA264" s="691">
        <v>1</v>
      </c>
      <c r="BB264" s="691">
        <v>1</v>
      </c>
      <c r="BC264" s="691">
        <v>1</v>
      </c>
      <c r="BD264" s="691">
        <v>2</v>
      </c>
      <c r="BE264" s="691">
        <v>3</v>
      </c>
      <c r="BF264" s="691">
        <v>1</v>
      </c>
      <c r="BG264" s="691">
        <v>1</v>
      </c>
      <c r="BH264" s="691">
        <v>3</v>
      </c>
      <c r="BI264" s="691">
        <v>1</v>
      </c>
      <c r="BJ264" s="691">
        <v>1</v>
      </c>
      <c r="BK264" s="691">
        <v>1</v>
      </c>
      <c r="BL264" s="691">
        <v>1</v>
      </c>
      <c r="BM264" s="691">
        <v>5</v>
      </c>
      <c r="BN264" s="691">
        <v>3</v>
      </c>
      <c r="BO264" s="691">
        <v>1</v>
      </c>
      <c r="BP264" s="691">
        <v>1</v>
      </c>
      <c r="BQ264" s="691">
        <v>1</v>
      </c>
      <c r="BR264" s="691">
        <v>1</v>
      </c>
      <c r="BS264" s="691">
        <v>5</v>
      </c>
      <c r="BT264" s="691">
        <v>1</v>
      </c>
      <c r="BU264" s="691">
        <v>1</v>
      </c>
      <c r="BV264" s="691">
        <v>1</v>
      </c>
      <c r="BW264" s="691">
        <v>1</v>
      </c>
      <c r="BX264" s="691">
        <v>3</v>
      </c>
      <c r="BY264" s="691">
        <v>1</v>
      </c>
      <c r="BZ264" s="691">
        <v>1</v>
      </c>
      <c r="CA264" s="691">
        <v>1</v>
      </c>
      <c r="CB264" s="691">
        <v>3</v>
      </c>
      <c r="CC264" s="691">
        <v>1</v>
      </c>
      <c r="CD264" s="691">
        <v>0</v>
      </c>
      <c r="CE264" s="691">
        <v>5</v>
      </c>
    </row>
    <row r="265" spans="1:83" ht="30" x14ac:dyDescent="0.25">
      <c r="A265" s="701">
        <v>605</v>
      </c>
      <c r="B265" s="675">
        <v>605</v>
      </c>
      <c r="C265" s="618" t="s">
        <v>702</v>
      </c>
      <c r="D265" s="629"/>
      <c r="E265" s="632">
        <v>1</v>
      </c>
      <c r="F265" s="646">
        <v>1</v>
      </c>
      <c r="G265" s="646">
        <v>1</v>
      </c>
      <c r="H265" s="646">
        <v>1</v>
      </c>
      <c r="I265" s="646">
        <v>1</v>
      </c>
      <c r="J265" s="646">
        <v>0</v>
      </c>
      <c r="K265" s="642">
        <v>1</v>
      </c>
      <c r="L265" s="691">
        <v>1</v>
      </c>
      <c r="M265" s="691">
        <v>1</v>
      </c>
      <c r="N265" s="661">
        <v>1</v>
      </c>
      <c r="O265" s="661">
        <v>1</v>
      </c>
      <c r="P265" s="661">
        <v>1</v>
      </c>
      <c r="Q265" s="661">
        <v>1</v>
      </c>
      <c r="R265" s="661">
        <v>1</v>
      </c>
      <c r="S265" s="661">
        <v>1</v>
      </c>
      <c r="T265" s="661">
        <v>1</v>
      </c>
      <c r="U265" s="661">
        <v>1</v>
      </c>
      <c r="V265" s="661">
        <v>1</v>
      </c>
      <c r="W265" s="661">
        <v>1</v>
      </c>
      <c r="X265" s="661">
        <v>1</v>
      </c>
      <c r="Y265" s="661">
        <v>1</v>
      </c>
      <c r="Z265" s="661">
        <v>1</v>
      </c>
      <c r="AA265" s="661">
        <v>1</v>
      </c>
      <c r="AB265" s="691" t="e">
        <v>#VALUE!</v>
      </c>
      <c r="AC265" s="691">
        <v>1</v>
      </c>
      <c r="AD265" s="691" t="e">
        <v>#VALUE!</v>
      </c>
      <c r="AE265" s="691">
        <v>1</v>
      </c>
      <c r="AF265" s="691">
        <v>1</v>
      </c>
      <c r="AG265" s="691">
        <v>1</v>
      </c>
      <c r="AH265" s="691">
        <v>1</v>
      </c>
      <c r="AI265" s="691">
        <v>1</v>
      </c>
      <c r="AJ265" s="691">
        <v>1</v>
      </c>
      <c r="AK265" s="691">
        <v>1</v>
      </c>
      <c r="AL265" s="691">
        <v>1</v>
      </c>
      <c r="AM265" s="691">
        <v>1</v>
      </c>
      <c r="AN265" s="691">
        <v>1</v>
      </c>
      <c r="AO265" s="691">
        <v>1</v>
      </c>
      <c r="AP265" s="691">
        <v>1</v>
      </c>
      <c r="AQ265" s="691">
        <v>1</v>
      </c>
      <c r="AR265" s="691">
        <v>1</v>
      </c>
      <c r="AS265" s="691">
        <v>1</v>
      </c>
      <c r="AT265" s="691">
        <v>1</v>
      </c>
      <c r="AU265" s="691">
        <v>0</v>
      </c>
      <c r="AV265" s="691">
        <v>1</v>
      </c>
      <c r="AW265" s="691">
        <v>1</v>
      </c>
      <c r="AX265" s="691">
        <v>1</v>
      </c>
      <c r="AY265" s="691">
        <v>1</v>
      </c>
      <c r="AZ265" s="691">
        <v>1</v>
      </c>
      <c r="BA265" s="691">
        <v>1</v>
      </c>
      <c r="BB265" s="691">
        <v>1</v>
      </c>
      <c r="BC265" s="691">
        <v>1</v>
      </c>
      <c r="BD265" s="691">
        <v>1</v>
      </c>
      <c r="BE265" s="691">
        <v>1</v>
      </c>
      <c r="BF265" s="691">
        <v>1</v>
      </c>
      <c r="BG265" s="691">
        <v>1</v>
      </c>
      <c r="BH265" s="691">
        <v>1</v>
      </c>
      <c r="BI265" s="691">
        <v>1</v>
      </c>
      <c r="BJ265" s="691">
        <v>1</v>
      </c>
      <c r="BK265" s="691">
        <v>1</v>
      </c>
      <c r="BL265" s="691">
        <v>1</v>
      </c>
      <c r="BM265" s="691">
        <v>1</v>
      </c>
      <c r="BN265" s="691">
        <v>1</v>
      </c>
      <c r="BO265" s="691">
        <v>1</v>
      </c>
      <c r="BP265" s="691">
        <v>1</v>
      </c>
      <c r="BQ265" s="691">
        <v>1</v>
      </c>
      <c r="BR265" s="691">
        <v>1</v>
      </c>
      <c r="BS265" s="691">
        <v>1</v>
      </c>
      <c r="BT265" s="691">
        <v>1</v>
      </c>
      <c r="BU265" s="691">
        <v>1</v>
      </c>
      <c r="BV265" s="691">
        <v>1</v>
      </c>
      <c r="BW265" s="691">
        <v>1</v>
      </c>
      <c r="BX265" s="691">
        <v>1</v>
      </c>
      <c r="BY265" s="691">
        <v>1</v>
      </c>
      <c r="BZ265" s="691">
        <v>1</v>
      </c>
      <c r="CA265" s="691">
        <v>2</v>
      </c>
      <c r="CB265" s="691">
        <v>1</v>
      </c>
      <c r="CC265" s="691">
        <v>1</v>
      </c>
      <c r="CD265" s="691">
        <v>0</v>
      </c>
      <c r="CE265" s="691">
        <v>1</v>
      </c>
    </row>
    <row r="266" spans="1:83" ht="30" x14ac:dyDescent="0.25">
      <c r="A266" s="701">
        <v>606</v>
      </c>
      <c r="B266" s="675">
        <v>606</v>
      </c>
      <c r="C266" s="666" t="s">
        <v>720</v>
      </c>
      <c r="D266" s="629"/>
      <c r="E266" s="632">
        <v>0</v>
      </c>
      <c r="F266" s="646">
        <v>0</v>
      </c>
      <c r="G266" s="646">
        <v>0</v>
      </c>
      <c r="H266" s="646">
        <v>0</v>
      </c>
      <c r="I266" s="646">
        <v>0</v>
      </c>
      <c r="J266" s="646">
        <v>0</v>
      </c>
      <c r="K266" s="642">
        <v>0</v>
      </c>
      <c r="L266" s="691">
        <v>0</v>
      </c>
      <c r="M266" s="691">
        <v>0</v>
      </c>
      <c r="N266" s="661">
        <v>1</v>
      </c>
      <c r="O266" s="661">
        <v>0</v>
      </c>
      <c r="P266" s="661">
        <v>0</v>
      </c>
      <c r="Q266" s="661">
        <v>0</v>
      </c>
      <c r="R266" s="661">
        <v>1</v>
      </c>
      <c r="S266" s="661">
        <v>0</v>
      </c>
      <c r="T266" s="661">
        <v>0</v>
      </c>
      <c r="U266" s="661">
        <v>1</v>
      </c>
      <c r="V266" s="661">
        <v>1</v>
      </c>
      <c r="W266" s="661">
        <v>1</v>
      </c>
      <c r="X266" s="661">
        <v>1</v>
      </c>
      <c r="Y266" s="661">
        <v>0</v>
      </c>
      <c r="Z266" s="661">
        <v>1</v>
      </c>
      <c r="AA266" s="661">
        <v>0</v>
      </c>
      <c r="AB266" s="691" t="e">
        <v>#VALUE!</v>
      </c>
      <c r="AC266" s="691">
        <v>1</v>
      </c>
      <c r="AD266" s="691" t="e">
        <v>#VALUE!</v>
      </c>
      <c r="AE266" s="691">
        <v>0</v>
      </c>
      <c r="AF266" s="691">
        <v>0</v>
      </c>
      <c r="AG266" s="691">
        <v>0</v>
      </c>
      <c r="AH266" s="691">
        <v>0</v>
      </c>
      <c r="AI266" s="691">
        <v>0</v>
      </c>
      <c r="AJ266" s="691">
        <v>1</v>
      </c>
      <c r="AK266" s="691">
        <v>0</v>
      </c>
      <c r="AL266" s="691">
        <v>0</v>
      </c>
      <c r="AM266" s="691">
        <v>0</v>
      </c>
      <c r="AN266" s="691">
        <v>1</v>
      </c>
      <c r="AO266" s="691">
        <v>0</v>
      </c>
      <c r="AP266" s="691">
        <v>0</v>
      </c>
      <c r="AQ266" s="691">
        <v>0</v>
      </c>
      <c r="AR266" s="691">
        <v>0</v>
      </c>
      <c r="AS266" s="691">
        <v>0</v>
      </c>
      <c r="AT266" s="691">
        <v>0</v>
      </c>
      <c r="AU266" s="691">
        <v>0</v>
      </c>
      <c r="AV266" s="691">
        <v>0</v>
      </c>
      <c r="AW266" s="691">
        <v>0</v>
      </c>
      <c r="AX266" s="691">
        <v>0</v>
      </c>
      <c r="AY266" s="691">
        <v>0</v>
      </c>
      <c r="AZ266" s="691">
        <v>1</v>
      </c>
      <c r="BA266" s="691">
        <v>0</v>
      </c>
      <c r="BB266" s="691">
        <v>0</v>
      </c>
      <c r="BC266" s="691">
        <v>0</v>
      </c>
      <c r="BD266" s="691">
        <v>0</v>
      </c>
      <c r="BE266" s="691">
        <v>0</v>
      </c>
      <c r="BF266" s="691">
        <v>0</v>
      </c>
      <c r="BG266" s="691">
        <v>0</v>
      </c>
      <c r="BH266" s="691">
        <v>0</v>
      </c>
      <c r="BI266" s="691">
        <v>0</v>
      </c>
      <c r="BJ266" s="691">
        <v>0</v>
      </c>
      <c r="BK266" s="691">
        <v>0</v>
      </c>
      <c r="BL266" s="691">
        <v>0</v>
      </c>
      <c r="BM266" s="691">
        <v>0</v>
      </c>
      <c r="BN266" s="691">
        <v>0</v>
      </c>
      <c r="BO266" s="691">
        <v>0</v>
      </c>
      <c r="BP266" s="691">
        <v>0</v>
      </c>
      <c r="BQ266" s="691">
        <v>0</v>
      </c>
      <c r="BR266" s="691">
        <v>0</v>
      </c>
      <c r="BS266" s="691">
        <v>0</v>
      </c>
      <c r="BT266" s="691">
        <v>0</v>
      </c>
      <c r="BU266" s="691">
        <v>0</v>
      </c>
      <c r="BV266" s="691">
        <v>0</v>
      </c>
      <c r="BW266" s="691">
        <v>0</v>
      </c>
      <c r="BX266" s="691">
        <v>1</v>
      </c>
      <c r="BY266" s="691">
        <v>0</v>
      </c>
      <c r="BZ266" s="691">
        <v>0</v>
      </c>
      <c r="CA266" s="691">
        <v>0</v>
      </c>
      <c r="CB266" s="691">
        <v>0</v>
      </c>
      <c r="CC266" s="691">
        <v>0</v>
      </c>
      <c r="CD266" s="691">
        <v>0</v>
      </c>
      <c r="CE266" s="691">
        <v>0</v>
      </c>
    </row>
    <row r="267" spans="1:83" x14ac:dyDescent="0.25">
      <c r="A267" s="701">
        <v>607</v>
      </c>
      <c r="B267" s="675">
        <v>607</v>
      </c>
      <c r="C267" s="618" t="s">
        <v>692</v>
      </c>
      <c r="D267" s="629"/>
      <c r="E267" s="632">
        <v>0</v>
      </c>
      <c r="F267" s="646">
        <v>0</v>
      </c>
      <c r="G267" s="646">
        <v>2565</v>
      </c>
      <c r="H267" s="646">
        <v>0</v>
      </c>
      <c r="I267" s="646">
        <v>0</v>
      </c>
      <c r="J267" s="646">
        <v>0</v>
      </c>
      <c r="K267" s="642">
        <v>0</v>
      </c>
      <c r="L267" s="691">
        <v>0</v>
      </c>
      <c r="M267" s="691">
        <v>0</v>
      </c>
      <c r="N267" s="661">
        <v>2909603</v>
      </c>
      <c r="O267" s="661">
        <v>0</v>
      </c>
      <c r="P267" s="661">
        <v>634093</v>
      </c>
      <c r="Q267" s="661">
        <v>0</v>
      </c>
      <c r="R267" s="661">
        <v>41697873</v>
      </c>
      <c r="S267" s="661">
        <v>0</v>
      </c>
      <c r="T267" s="661">
        <v>0</v>
      </c>
      <c r="U267" s="661">
        <v>52289488</v>
      </c>
      <c r="V267" s="661">
        <v>2522556</v>
      </c>
      <c r="W267" s="661">
        <v>19005352</v>
      </c>
      <c r="X267" s="661">
        <v>4014427</v>
      </c>
      <c r="Y267" s="661">
        <v>0</v>
      </c>
      <c r="Z267" s="661">
        <v>0</v>
      </c>
      <c r="AA267" s="661">
        <v>0</v>
      </c>
      <c r="AB267" s="691" t="e">
        <v>#VALUE!</v>
      </c>
      <c r="AC267" s="691">
        <v>0</v>
      </c>
      <c r="AD267" s="691" t="e">
        <v>#VALUE!</v>
      </c>
      <c r="AE267" s="691">
        <v>0</v>
      </c>
      <c r="AF267" s="691">
        <v>0</v>
      </c>
      <c r="AG267" s="691">
        <v>4089885</v>
      </c>
      <c r="AH267" s="691">
        <v>848767</v>
      </c>
      <c r="AI267" s="691">
        <v>0</v>
      </c>
      <c r="AJ267" s="691">
        <v>31660786</v>
      </c>
      <c r="AK267" s="691">
        <v>0</v>
      </c>
      <c r="AL267" s="691">
        <v>0</v>
      </c>
      <c r="AM267" s="691">
        <v>0</v>
      </c>
      <c r="AN267" s="691">
        <v>1212209</v>
      </c>
      <c r="AO267" s="691">
        <v>0</v>
      </c>
      <c r="AP267" s="691">
        <v>0</v>
      </c>
      <c r="AQ267" s="691">
        <v>0</v>
      </c>
      <c r="AR267" s="691">
        <v>0</v>
      </c>
      <c r="AS267" s="691">
        <v>1737003</v>
      </c>
      <c r="AT267" s="691">
        <v>0</v>
      </c>
      <c r="AU267" s="691">
        <v>253228</v>
      </c>
      <c r="AV267" s="691">
        <v>0</v>
      </c>
      <c r="AW267" s="691">
        <v>3731745</v>
      </c>
      <c r="AX267" s="691">
        <v>0</v>
      </c>
      <c r="AY267" s="691">
        <v>0</v>
      </c>
      <c r="AZ267" s="691">
        <v>0</v>
      </c>
      <c r="BA267" s="691">
        <v>0</v>
      </c>
      <c r="BB267" s="691">
        <v>0</v>
      </c>
      <c r="BC267" s="691">
        <v>0</v>
      </c>
      <c r="BD267" s="691">
        <v>0</v>
      </c>
      <c r="BE267" s="691">
        <v>6447077</v>
      </c>
      <c r="BF267" s="691">
        <v>0</v>
      </c>
      <c r="BG267" s="691">
        <v>0</v>
      </c>
      <c r="BH267" s="691">
        <v>0</v>
      </c>
      <c r="BI267" s="691">
        <v>0</v>
      </c>
      <c r="BJ267" s="691">
        <v>0</v>
      </c>
      <c r="BK267" s="691">
        <v>0</v>
      </c>
      <c r="BL267" s="691">
        <v>2015301</v>
      </c>
      <c r="BM267" s="691">
        <v>0</v>
      </c>
      <c r="BN267" s="691">
        <v>30586</v>
      </c>
      <c r="BO267" s="691">
        <v>0</v>
      </c>
      <c r="BP267" s="691">
        <v>0</v>
      </c>
      <c r="BQ267" s="691">
        <v>0</v>
      </c>
      <c r="BR267" s="691">
        <v>0</v>
      </c>
      <c r="BS267" s="691">
        <v>58595</v>
      </c>
      <c r="BT267" s="691">
        <v>4532967</v>
      </c>
      <c r="BU267" s="691">
        <v>87317</v>
      </c>
      <c r="BV267" s="691">
        <v>992928</v>
      </c>
      <c r="BW267" s="691">
        <v>0</v>
      </c>
      <c r="BX267" s="691">
        <v>0</v>
      </c>
      <c r="BY267" s="691">
        <v>506402</v>
      </c>
      <c r="BZ267" s="691">
        <v>0</v>
      </c>
      <c r="CA267" s="691">
        <v>0</v>
      </c>
      <c r="CB267" s="691">
        <v>0</v>
      </c>
      <c r="CC267" s="691">
        <v>0</v>
      </c>
      <c r="CD267" s="691">
        <v>0</v>
      </c>
      <c r="CE267" s="691">
        <v>0</v>
      </c>
    </row>
    <row r="268" spans="1:83" x14ac:dyDescent="0.25">
      <c r="A268" s="701">
        <v>608</v>
      </c>
      <c r="B268" s="675">
        <v>608</v>
      </c>
      <c r="C268" s="618" t="s">
        <v>693</v>
      </c>
      <c r="D268" s="629"/>
      <c r="E268" s="668">
        <v>0</v>
      </c>
      <c r="F268" s="669">
        <v>0</v>
      </c>
      <c r="G268" s="669">
        <v>0</v>
      </c>
      <c r="H268" s="669">
        <v>0</v>
      </c>
      <c r="I268" s="669">
        <v>0</v>
      </c>
      <c r="J268" s="669">
        <v>0</v>
      </c>
      <c r="K268" s="693">
        <v>0</v>
      </c>
      <c r="L268" s="634">
        <v>0</v>
      </c>
      <c r="M268" s="634">
        <v>0</v>
      </c>
      <c r="N268" s="676">
        <v>0</v>
      </c>
      <c r="O268" s="676">
        <v>0</v>
      </c>
      <c r="P268" s="676">
        <v>0</v>
      </c>
      <c r="Q268" s="676">
        <v>0</v>
      </c>
      <c r="R268" s="676">
        <v>0</v>
      </c>
      <c r="S268" s="676">
        <v>0</v>
      </c>
      <c r="T268" s="676">
        <v>0</v>
      </c>
      <c r="U268" s="676">
        <v>0</v>
      </c>
      <c r="V268" s="676">
        <v>0</v>
      </c>
      <c r="W268" s="676">
        <v>0</v>
      </c>
      <c r="X268" s="676">
        <v>0</v>
      </c>
      <c r="Y268" s="676">
        <v>0</v>
      </c>
      <c r="Z268" s="676">
        <v>0</v>
      </c>
      <c r="AA268" s="676">
        <v>0</v>
      </c>
      <c r="AB268" s="634" t="e">
        <v>#VALUE!</v>
      </c>
      <c r="AC268" s="634">
        <v>0</v>
      </c>
      <c r="AD268" s="634" t="e">
        <v>#VALUE!</v>
      </c>
      <c r="AE268" s="634">
        <v>0</v>
      </c>
      <c r="AF268" s="634">
        <v>0</v>
      </c>
      <c r="AG268" s="634">
        <v>0</v>
      </c>
      <c r="AH268" s="634">
        <v>0</v>
      </c>
      <c r="AI268" s="634">
        <v>0</v>
      </c>
      <c r="AJ268" s="634">
        <v>0</v>
      </c>
      <c r="AK268" s="634">
        <v>0</v>
      </c>
      <c r="AL268" s="634">
        <v>0</v>
      </c>
      <c r="AM268" s="634">
        <v>0</v>
      </c>
      <c r="AN268" s="634">
        <v>0</v>
      </c>
      <c r="AO268" s="634">
        <v>0</v>
      </c>
      <c r="AP268" s="634">
        <v>0</v>
      </c>
      <c r="AQ268" s="634">
        <v>0</v>
      </c>
      <c r="AR268" s="634">
        <v>0</v>
      </c>
      <c r="AS268" s="634">
        <v>0</v>
      </c>
      <c r="AT268" s="634">
        <v>0</v>
      </c>
      <c r="AU268" s="634">
        <v>0</v>
      </c>
      <c r="AV268" s="634">
        <v>0</v>
      </c>
      <c r="AW268" s="634">
        <v>0</v>
      </c>
      <c r="AX268" s="634">
        <v>0</v>
      </c>
      <c r="AY268" s="634">
        <v>0</v>
      </c>
      <c r="AZ268" s="634">
        <v>0</v>
      </c>
      <c r="BA268" s="634">
        <v>0</v>
      </c>
      <c r="BB268" s="634">
        <v>0</v>
      </c>
      <c r="BC268" s="634">
        <v>0</v>
      </c>
      <c r="BD268" s="634">
        <v>0</v>
      </c>
      <c r="BE268" s="634">
        <v>0</v>
      </c>
      <c r="BF268" s="634">
        <v>0</v>
      </c>
      <c r="BG268" s="634">
        <v>0</v>
      </c>
      <c r="BH268" s="634">
        <v>0</v>
      </c>
      <c r="BI268" s="634">
        <v>0</v>
      </c>
      <c r="BJ268" s="634">
        <v>0</v>
      </c>
      <c r="BK268" s="634">
        <v>0</v>
      </c>
      <c r="BL268" s="634">
        <v>0</v>
      </c>
      <c r="BM268" s="634">
        <v>0</v>
      </c>
      <c r="BN268" s="634">
        <v>0</v>
      </c>
      <c r="BO268" s="634">
        <v>0</v>
      </c>
      <c r="BP268" s="634">
        <v>0</v>
      </c>
      <c r="BQ268" s="634">
        <v>0</v>
      </c>
      <c r="BR268" s="634">
        <v>0</v>
      </c>
      <c r="BS268" s="634">
        <v>0</v>
      </c>
      <c r="BT268" s="634">
        <v>0</v>
      </c>
      <c r="BU268" s="634">
        <v>0</v>
      </c>
      <c r="BV268" s="634">
        <v>0</v>
      </c>
      <c r="BW268" s="634">
        <v>0</v>
      </c>
      <c r="BX268" s="634">
        <v>0</v>
      </c>
      <c r="BY268" s="634">
        <v>0</v>
      </c>
      <c r="BZ268" s="634">
        <v>0</v>
      </c>
      <c r="CA268" s="634">
        <v>0</v>
      </c>
      <c r="CB268" s="634">
        <v>0</v>
      </c>
      <c r="CC268" s="634">
        <v>0</v>
      </c>
      <c r="CD268" s="634">
        <v>0</v>
      </c>
      <c r="CE268" s="634">
        <v>0</v>
      </c>
    </row>
    <row r="269" spans="1:83" ht="30" x14ac:dyDescent="0.25">
      <c r="A269" s="701">
        <v>609</v>
      </c>
      <c r="B269" s="675">
        <v>609</v>
      </c>
      <c r="C269" s="618" t="s">
        <v>713</v>
      </c>
      <c r="D269" s="629"/>
      <c r="E269" s="632">
        <v>0</v>
      </c>
      <c r="F269" s="646">
        <v>0</v>
      </c>
      <c r="G269" s="646">
        <v>0</v>
      </c>
      <c r="H269" s="646">
        <v>0</v>
      </c>
      <c r="I269" s="646">
        <v>0</v>
      </c>
      <c r="J269" s="646">
        <v>0</v>
      </c>
      <c r="K269" s="642">
        <v>0</v>
      </c>
      <c r="L269" s="691">
        <v>0</v>
      </c>
      <c r="M269" s="691">
        <v>0</v>
      </c>
      <c r="N269" s="661">
        <v>0</v>
      </c>
      <c r="O269" s="661">
        <v>0</v>
      </c>
      <c r="P269" s="661">
        <v>0</v>
      </c>
      <c r="Q269" s="661">
        <v>0</v>
      </c>
      <c r="R269" s="661">
        <v>0</v>
      </c>
      <c r="S269" s="661">
        <v>0</v>
      </c>
      <c r="T269" s="661">
        <v>0</v>
      </c>
      <c r="U269" s="661">
        <v>0</v>
      </c>
      <c r="V269" s="661">
        <v>0</v>
      </c>
      <c r="W269" s="661">
        <v>0</v>
      </c>
      <c r="X269" s="661">
        <v>0</v>
      </c>
      <c r="Y269" s="661">
        <v>0</v>
      </c>
      <c r="Z269" s="661">
        <v>0</v>
      </c>
      <c r="AA269" s="661">
        <v>0</v>
      </c>
      <c r="AB269" s="691" t="e">
        <v>#VALUE!</v>
      </c>
      <c r="AC269" s="691">
        <v>0</v>
      </c>
      <c r="AD269" s="691" t="e">
        <v>#VALUE!</v>
      </c>
      <c r="AE269" s="691">
        <v>0</v>
      </c>
      <c r="AF269" s="691">
        <v>0</v>
      </c>
      <c r="AG269" s="691">
        <v>0</v>
      </c>
      <c r="AH269" s="691">
        <v>0</v>
      </c>
      <c r="AI269" s="691">
        <v>0</v>
      </c>
      <c r="AJ269" s="691">
        <v>0</v>
      </c>
      <c r="AK269" s="691">
        <v>0</v>
      </c>
      <c r="AL269" s="691">
        <v>0</v>
      </c>
      <c r="AM269" s="691">
        <v>0</v>
      </c>
      <c r="AN269" s="691">
        <v>0</v>
      </c>
      <c r="AO269" s="691">
        <v>0</v>
      </c>
      <c r="AP269" s="691">
        <v>0</v>
      </c>
      <c r="AQ269" s="691">
        <v>0</v>
      </c>
      <c r="AR269" s="691">
        <v>0</v>
      </c>
      <c r="AS269" s="691">
        <v>0</v>
      </c>
      <c r="AT269" s="691">
        <v>0</v>
      </c>
      <c r="AU269" s="691">
        <v>0</v>
      </c>
      <c r="AV269" s="691">
        <v>0</v>
      </c>
      <c r="AW269" s="691">
        <v>0</v>
      </c>
      <c r="AX269" s="691">
        <v>0</v>
      </c>
      <c r="AY269" s="691">
        <v>0</v>
      </c>
      <c r="AZ269" s="691">
        <v>0</v>
      </c>
      <c r="BA269" s="691">
        <v>0</v>
      </c>
      <c r="BB269" s="691">
        <v>0</v>
      </c>
      <c r="BC269" s="691">
        <v>0</v>
      </c>
      <c r="BD269" s="691">
        <v>0</v>
      </c>
      <c r="BE269" s="691">
        <v>0</v>
      </c>
      <c r="BF269" s="691">
        <v>0</v>
      </c>
      <c r="BG269" s="691">
        <v>0</v>
      </c>
      <c r="BH269" s="691">
        <v>0</v>
      </c>
      <c r="BI269" s="691">
        <v>0</v>
      </c>
      <c r="BJ269" s="691">
        <v>0</v>
      </c>
      <c r="BK269" s="691">
        <v>0</v>
      </c>
      <c r="BL269" s="691">
        <v>0</v>
      </c>
      <c r="BM269" s="691">
        <v>0</v>
      </c>
      <c r="BN269" s="691">
        <v>0</v>
      </c>
      <c r="BO269" s="691">
        <v>0</v>
      </c>
      <c r="BP269" s="691">
        <v>0</v>
      </c>
      <c r="BQ269" s="691">
        <v>0</v>
      </c>
      <c r="BR269" s="691">
        <v>0</v>
      </c>
      <c r="BS269" s="691">
        <v>0</v>
      </c>
      <c r="BT269" s="691">
        <v>0</v>
      </c>
      <c r="BU269" s="691">
        <v>0</v>
      </c>
      <c r="BV269" s="691">
        <v>0</v>
      </c>
      <c r="BW269" s="691">
        <v>0</v>
      </c>
      <c r="BX269" s="691">
        <v>0</v>
      </c>
      <c r="BY269" s="691">
        <v>0</v>
      </c>
      <c r="BZ269" s="691">
        <v>0</v>
      </c>
      <c r="CA269" s="691">
        <v>0</v>
      </c>
      <c r="CB269" s="691">
        <v>0</v>
      </c>
      <c r="CC269" s="691">
        <v>0</v>
      </c>
      <c r="CD269" s="691">
        <v>0</v>
      </c>
      <c r="CE269" s="691">
        <v>0</v>
      </c>
    </row>
    <row r="270" spans="1:83" x14ac:dyDescent="0.25">
      <c r="A270" s="701">
        <v>610</v>
      </c>
      <c r="B270" s="675">
        <v>610</v>
      </c>
      <c r="C270" s="618" t="s">
        <v>694</v>
      </c>
      <c r="D270" s="629"/>
      <c r="E270" s="632">
        <v>0</v>
      </c>
      <c r="F270" s="646">
        <v>0</v>
      </c>
      <c r="G270" s="646">
        <v>0</v>
      </c>
      <c r="H270" s="646">
        <v>0</v>
      </c>
      <c r="I270" s="646">
        <v>0</v>
      </c>
      <c r="J270" s="646">
        <v>0</v>
      </c>
      <c r="K270" s="642">
        <v>0</v>
      </c>
      <c r="L270" s="691">
        <v>0</v>
      </c>
      <c r="M270" s="691">
        <v>0</v>
      </c>
      <c r="N270" s="661">
        <v>0</v>
      </c>
      <c r="O270" s="661">
        <v>0</v>
      </c>
      <c r="P270" s="661">
        <v>0</v>
      </c>
      <c r="Q270" s="661">
        <v>0</v>
      </c>
      <c r="R270" s="661">
        <v>0</v>
      </c>
      <c r="S270" s="661">
        <v>0</v>
      </c>
      <c r="T270" s="661">
        <v>0</v>
      </c>
      <c r="U270" s="661">
        <v>0</v>
      </c>
      <c r="V270" s="661">
        <v>0</v>
      </c>
      <c r="W270" s="661">
        <v>0</v>
      </c>
      <c r="X270" s="661">
        <v>0</v>
      </c>
      <c r="Y270" s="661">
        <v>0</v>
      </c>
      <c r="Z270" s="661">
        <v>0</v>
      </c>
      <c r="AA270" s="661">
        <v>0</v>
      </c>
      <c r="AB270" s="691" t="e">
        <v>#VALUE!</v>
      </c>
      <c r="AC270" s="691">
        <v>0</v>
      </c>
      <c r="AD270" s="691" t="e">
        <v>#VALUE!</v>
      </c>
      <c r="AE270" s="691">
        <v>0</v>
      </c>
      <c r="AF270" s="691">
        <v>0</v>
      </c>
      <c r="AG270" s="691">
        <v>0</v>
      </c>
      <c r="AH270" s="691">
        <v>0</v>
      </c>
      <c r="AI270" s="691">
        <v>0</v>
      </c>
      <c r="AJ270" s="691">
        <v>0</v>
      </c>
      <c r="AK270" s="691">
        <v>0</v>
      </c>
      <c r="AL270" s="691">
        <v>0</v>
      </c>
      <c r="AM270" s="691">
        <v>0</v>
      </c>
      <c r="AN270" s="691">
        <v>0</v>
      </c>
      <c r="AO270" s="691">
        <v>0</v>
      </c>
      <c r="AP270" s="691">
        <v>0</v>
      </c>
      <c r="AQ270" s="691">
        <v>0</v>
      </c>
      <c r="AR270" s="691">
        <v>0</v>
      </c>
      <c r="AS270" s="691">
        <v>0</v>
      </c>
      <c r="AT270" s="691">
        <v>0</v>
      </c>
      <c r="AU270" s="691">
        <v>0</v>
      </c>
      <c r="AV270" s="691">
        <v>0</v>
      </c>
      <c r="AW270" s="691">
        <v>0</v>
      </c>
      <c r="AX270" s="691">
        <v>0</v>
      </c>
      <c r="AY270" s="691">
        <v>0</v>
      </c>
      <c r="AZ270" s="691">
        <v>0</v>
      </c>
      <c r="BA270" s="691">
        <v>0</v>
      </c>
      <c r="BB270" s="691">
        <v>0</v>
      </c>
      <c r="BC270" s="691">
        <v>0</v>
      </c>
      <c r="BD270" s="691">
        <v>0</v>
      </c>
      <c r="BE270" s="691">
        <v>0</v>
      </c>
      <c r="BF270" s="691">
        <v>0</v>
      </c>
      <c r="BG270" s="691">
        <v>0</v>
      </c>
      <c r="BH270" s="691">
        <v>0</v>
      </c>
      <c r="BI270" s="691">
        <v>0</v>
      </c>
      <c r="BJ270" s="691">
        <v>0</v>
      </c>
      <c r="BK270" s="691">
        <v>0</v>
      </c>
      <c r="BL270" s="691">
        <v>0</v>
      </c>
      <c r="BM270" s="691">
        <v>0</v>
      </c>
      <c r="BN270" s="691">
        <v>0</v>
      </c>
      <c r="BO270" s="691">
        <v>0</v>
      </c>
      <c r="BP270" s="691">
        <v>0</v>
      </c>
      <c r="BQ270" s="691">
        <v>0</v>
      </c>
      <c r="BR270" s="691">
        <v>0</v>
      </c>
      <c r="BS270" s="691">
        <v>0</v>
      </c>
      <c r="BT270" s="691">
        <v>0</v>
      </c>
      <c r="BU270" s="691">
        <v>0</v>
      </c>
      <c r="BV270" s="691">
        <v>0</v>
      </c>
      <c r="BW270" s="691">
        <v>0</v>
      </c>
      <c r="BX270" s="691">
        <v>0</v>
      </c>
      <c r="BY270" s="691">
        <v>0</v>
      </c>
      <c r="BZ270" s="691">
        <v>0</v>
      </c>
      <c r="CA270" s="691">
        <v>0</v>
      </c>
      <c r="CB270" s="691">
        <v>0</v>
      </c>
      <c r="CC270" s="691">
        <v>0</v>
      </c>
      <c r="CD270" s="691">
        <v>0</v>
      </c>
      <c r="CE270" s="691">
        <v>0</v>
      </c>
    </row>
    <row r="271" spans="1:83" x14ac:dyDescent="0.25">
      <c r="A271" s="701">
        <v>611</v>
      </c>
      <c r="B271" s="675">
        <v>611</v>
      </c>
      <c r="C271" s="618" t="s">
        <v>695</v>
      </c>
      <c r="D271" s="629"/>
      <c r="E271" s="632">
        <v>0</v>
      </c>
      <c r="F271" s="646">
        <v>0</v>
      </c>
      <c r="G271" s="646">
        <v>0</v>
      </c>
      <c r="H271" s="646">
        <v>0</v>
      </c>
      <c r="I271" s="646">
        <v>0</v>
      </c>
      <c r="J271" s="646">
        <v>0</v>
      </c>
      <c r="K271" s="642">
        <v>0</v>
      </c>
      <c r="L271" s="691">
        <v>0</v>
      </c>
      <c r="M271" s="691">
        <v>0</v>
      </c>
      <c r="N271" s="661">
        <v>0</v>
      </c>
      <c r="O271" s="661">
        <v>0</v>
      </c>
      <c r="P271" s="661">
        <v>0</v>
      </c>
      <c r="Q271" s="661">
        <v>0</v>
      </c>
      <c r="R271" s="661">
        <v>0</v>
      </c>
      <c r="S271" s="661">
        <v>0</v>
      </c>
      <c r="T271" s="661">
        <v>0</v>
      </c>
      <c r="U271" s="661">
        <v>0</v>
      </c>
      <c r="V271" s="661">
        <v>0</v>
      </c>
      <c r="W271" s="661">
        <v>0</v>
      </c>
      <c r="X271" s="661">
        <v>0</v>
      </c>
      <c r="Y271" s="661">
        <v>0</v>
      </c>
      <c r="Z271" s="661">
        <v>0</v>
      </c>
      <c r="AA271" s="661">
        <v>0</v>
      </c>
      <c r="AB271" s="691" t="e">
        <v>#VALUE!</v>
      </c>
      <c r="AC271" s="691">
        <v>0</v>
      </c>
      <c r="AD271" s="691" t="e">
        <v>#VALUE!</v>
      </c>
      <c r="AE271" s="691">
        <v>0</v>
      </c>
      <c r="AF271" s="691">
        <v>0</v>
      </c>
      <c r="AG271" s="691">
        <v>0</v>
      </c>
      <c r="AH271" s="691">
        <v>0</v>
      </c>
      <c r="AI271" s="691">
        <v>0</v>
      </c>
      <c r="AJ271" s="691">
        <v>0</v>
      </c>
      <c r="AK271" s="691">
        <v>0</v>
      </c>
      <c r="AL271" s="691">
        <v>0</v>
      </c>
      <c r="AM271" s="691">
        <v>0</v>
      </c>
      <c r="AN271" s="691">
        <v>0</v>
      </c>
      <c r="AO271" s="691">
        <v>0</v>
      </c>
      <c r="AP271" s="691">
        <v>0</v>
      </c>
      <c r="AQ271" s="691">
        <v>0</v>
      </c>
      <c r="AR271" s="691">
        <v>0</v>
      </c>
      <c r="AS271" s="691">
        <v>0</v>
      </c>
      <c r="AT271" s="691">
        <v>0</v>
      </c>
      <c r="AU271" s="691">
        <v>0</v>
      </c>
      <c r="AV271" s="691">
        <v>0</v>
      </c>
      <c r="AW271" s="691">
        <v>0</v>
      </c>
      <c r="AX271" s="691">
        <v>0</v>
      </c>
      <c r="AY271" s="691">
        <v>0</v>
      </c>
      <c r="AZ271" s="691">
        <v>0</v>
      </c>
      <c r="BA271" s="691">
        <v>0</v>
      </c>
      <c r="BB271" s="691">
        <v>0</v>
      </c>
      <c r="BC271" s="691">
        <v>0</v>
      </c>
      <c r="BD271" s="691">
        <v>0</v>
      </c>
      <c r="BE271" s="691">
        <v>0</v>
      </c>
      <c r="BF271" s="691">
        <v>0</v>
      </c>
      <c r="BG271" s="691">
        <v>0</v>
      </c>
      <c r="BH271" s="691">
        <v>0</v>
      </c>
      <c r="BI271" s="691">
        <v>0</v>
      </c>
      <c r="BJ271" s="691">
        <v>0</v>
      </c>
      <c r="BK271" s="691">
        <v>0</v>
      </c>
      <c r="BL271" s="691">
        <v>0</v>
      </c>
      <c r="BM271" s="691">
        <v>0</v>
      </c>
      <c r="BN271" s="691">
        <v>0</v>
      </c>
      <c r="BO271" s="691">
        <v>0</v>
      </c>
      <c r="BP271" s="691">
        <v>0</v>
      </c>
      <c r="BQ271" s="691">
        <v>0</v>
      </c>
      <c r="BR271" s="691">
        <v>0</v>
      </c>
      <c r="BS271" s="691">
        <v>0</v>
      </c>
      <c r="BT271" s="691">
        <v>0</v>
      </c>
      <c r="BU271" s="691">
        <v>0</v>
      </c>
      <c r="BV271" s="691">
        <v>0</v>
      </c>
      <c r="BW271" s="691">
        <v>0</v>
      </c>
      <c r="BX271" s="691">
        <v>0</v>
      </c>
      <c r="BY271" s="691">
        <v>0</v>
      </c>
      <c r="BZ271" s="691">
        <v>0</v>
      </c>
      <c r="CA271" s="691">
        <v>0</v>
      </c>
      <c r="CB271" s="691">
        <v>0</v>
      </c>
      <c r="CC271" s="691">
        <v>0</v>
      </c>
      <c r="CD271" s="691">
        <v>0</v>
      </c>
      <c r="CE271" s="691">
        <v>0</v>
      </c>
    </row>
    <row r="272" spans="1:83" ht="30" x14ac:dyDescent="0.25">
      <c r="A272" s="701">
        <v>612</v>
      </c>
      <c r="B272" s="675">
        <v>612</v>
      </c>
      <c r="C272" s="618" t="s">
        <v>714</v>
      </c>
      <c r="D272" s="629"/>
      <c r="E272" s="668">
        <v>0</v>
      </c>
      <c r="F272" s="669">
        <v>0</v>
      </c>
      <c r="G272" s="669">
        <v>0</v>
      </c>
      <c r="H272" s="669">
        <v>0</v>
      </c>
      <c r="I272" s="669">
        <v>0</v>
      </c>
      <c r="J272" s="669">
        <v>0</v>
      </c>
      <c r="K272" s="693">
        <v>0</v>
      </c>
      <c r="L272" s="634">
        <v>0</v>
      </c>
      <c r="M272" s="634">
        <v>0</v>
      </c>
      <c r="N272" s="676">
        <v>0</v>
      </c>
      <c r="O272" s="676">
        <v>0</v>
      </c>
      <c r="P272" s="676">
        <v>0</v>
      </c>
      <c r="Q272" s="676">
        <v>0</v>
      </c>
      <c r="R272" s="676">
        <v>0</v>
      </c>
      <c r="S272" s="676">
        <v>0</v>
      </c>
      <c r="T272" s="676">
        <v>0</v>
      </c>
      <c r="U272" s="676">
        <v>0</v>
      </c>
      <c r="V272" s="676">
        <v>0</v>
      </c>
      <c r="W272" s="676">
        <v>0</v>
      </c>
      <c r="X272" s="676">
        <v>0</v>
      </c>
      <c r="Y272" s="676">
        <v>0</v>
      </c>
      <c r="Z272" s="676">
        <v>0</v>
      </c>
      <c r="AA272" s="676">
        <v>0</v>
      </c>
      <c r="AB272" s="634" t="e">
        <v>#VALUE!</v>
      </c>
      <c r="AC272" s="634">
        <v>0</v>
      </c>
      <c r="AD272" s="634" t="e">
        <v>#VALUE!</v>
      </c>
      <c r="AE272" s="634">
        <v>0</v>
      </c>
      <c r="AF272" s="634">
        <v>0</v>
      </c>
      <c r="AG272" s="634">
        <v>0</v>
      </c>
      <c r="AH272" s="634">
        <v>0</v>
      </c>
      <c r="AI272" s="634">
        <v>0</v>
      </c>
      <c r="AJ272" s="634">
        <v>0</v>
      </c>
      <c r="AK272" s="634">
        <v>0</v>
      </c>
      <c r="AL272" s="634">
        <v>0</v>
      </c>
      <c r="AM272" s="634">
        <v>0</v>
      </c>
      <c r="AN272" s="634">
        <v>0</v>
      </c>
      <c r="AO272" s="634">
        <v>0</v>
      </c>
      <c r="AP272" s="634">
        <v>0</v>
      </c>
      <c r="AQ272" s="634">
        <v>0</v>
      </c>
      <c r="AR272" s="634">
        <v>0</v>
      </c>
      <c r="AS272" s="634">
        <v>0</v>
      </c>
      <c r="AT272" s="634">
        <v>0</v>
      </c>
      <c r="AU272" s="634">
        <v>0</v>
      </c>
      <c r="AV272" s="634">
        <v>0</v>
      </c>
      <c r="AW272" s="634">
        <v>0</v>
      </c>
      <c r="AX272" s="634">
        <v>0</v>
      </c>
      <c r="AY272" s="634">
        <v>0</v>
      </c>
      <c r="AZ272" s="634">
        <v>0</v>
      </c>
      <c r="BA272" s="634">
        <v>0</v>
      </c>
      <c r="BB272" s="634">
        <v>0</v>
      </c>
      <c r="BC272" s="634">
        <v>0</v>
      </c>
      <c r="BD272" s="634">
        <v>0</v>
      </c>
      <c r="BE272" s="634">
        <v>0</v>
      </c>
      <c r="BF272" s="634">
        <v>0</v>
      </c>
      <c r="BG272" s="634">
        <v>0</v>
      </c>
      <c r="BH272" s="634">
        <v>0</v>
      </c>
      <c r="BI272" s="634">
        <v>0</v>
      </c>
      <c r="BJ272" s="634">
        <v>0</v>
      </c>
      <c r="BK272" s="634">
        <v>0</v>
      </c>
      <c r="BL272" s="634">
        <v>0</v>
      </c>
      <c r="BM272" s="634">
        <v>0</v>
      </c>
      <c r="BN272" s="634">
        <v>0</v>
      </c>
      <c r="BO272" s="634">
        <v>0</v>
      </c>
      <c r="BP272" s="634">
        <v>0</v>
      </c>
      <c r="BQ272" s="634">
        <v>0</v>
      </c>
      <c r="BR272" s="634">
        <v>0</v>
      </c>
      <c r="BS272" s="634">
        <v>0</v>
      </c>
      <c r="BT272" s="634">
        <v>0</v>
      </c>
      <c r="BU272" s="634">
        <v>0</v>
      </c>
      <c r="BV272" s="634">
        <v>0</v>
      </c>
      <c r="BW272" s="634">
        <v>0</v>
      </c>
      <c r="BX272" s="634">
        <v>0</v>
      </c>
      <c r="BY272" s="634">
        <v>0</v>
      </c>
      <c r="BZ272" s="634">
        <v>0</v>
      </c>
      <c r="CA272" s="634">
        <v>0</v>
      </c>
      <c r="CB272" s="634">
        <v>0</v>
      </c>
      <c r="CC272" s="634">
        <v>0</v>
      </c>
      <c r="CD272" s="634">
        <v>0</v>
      </c>
      <c r="CE272" s="634">
        <v>0</v>
      </c>
    </row>
    <row r="273" spans="1:83" x14ac:dyDescent="0.25">
      <c r="A273" s="701">
        <v>613</v>
      </c>
      <c r="B273" s="675">
        <v>613</v>
      </c>
      <c r="C273" s="618" t="s">
        <v>703</v>
      </c>
      <c r="D273" s="629"/>
      <c r="E273" s="632">
        <v>0</v>
      </c>
      <c r="F273" s="646">
        <v>0</v>
      </c>
      <c r="G273" s="646">
        <v>0</v>
      </c>
      <c r="H273" s="646">
        <v>0</v>
      </c>
      <c r="I273" s="646">
        <v>0</v>
      </c>
      <c r="J273" s="646">
        <v>0</v>
      </c>
      <c r="K273" s="642">
        <v>0</v>
      </c>
      <c r="L273" s="691">
        <v>0</v>
      </c>
      <c r="M273" s="691">
        <v>0</v>
      </c>
      <c r="N273" s="661">
        <v>0</v>
      </c>
      <c r="O273" s="661">
        <v>0</v>
      </c>
      <c r="P273" s="661">
        <v>0</v>
      </c>
      <c r="Q273" s="661">
        <v>0</v>
      </c>
      <c r="R273" s="661">
        <v>0</v>
      </c>
      <c r="S273" s="661">
        <v>0</v>
      </c>
      <c r="T273" s="661">
        <v>0</v>
      </c>
      <c r="U273" s="661">
        <v>0</v>
      </c>
      <c r="V273" s="661">
        <v>0</v>
      </c>
      <c r="W273" s="661">
        <v>0</v>
      </c>
      <c r="X273" s="661">
        <v>0</v>
      </c>
      <c r="Y273" s="661">
        <v>0</v>
      </c>
      <c r="Z273" s="661">
        <v>0</v>
      </c>
      <c r="AA273" s="661">
        <v>0</v>
      </c>
      <c r="AB273" s="691" t="e">
        <v>#VALUE!</v>
      </c>
      <c r="AC273" s="691">
        <v>0</v>
      </c>
      <c r="AD273" s="691" t="e">
        <v>#VALUE!</v>
      </c>
      <c r="AE273" s="691">
        <v>0</v>
      </c>
      <c r="AF273" s="691">
        <v>0</v>
      </c>
      <c r="AG273" s="691">
        <v>0</v>
      </c>
      <c r="AH273" s="691">
        <v>0</v>
      </c>
      <c r="AI273" s="691">
        <v>0</v>
      </c>
      <c r="AJ273" s="691">
        <v>0</v>
      </c>
      <c r="AK273" s="691">
        <v>0</v>
      </c>
      <c r="AL273" s="691">
        <v>0</v>
      </c>
      <c r="AM273" s="691">
        <v>0</v>
      </c>
      <c r="AN273" s="691">
        <v>0</v>
      </c>
      <c r="AO273" s="691">
        <v>0</v>
      </c>
      <c r="AP273" s="691">
        <v>0</v>
      </c>
      <c r="AQ273" s="691">
        <v>0</v>
      </c>
      <c r="AR273" s="691">
        <v>0</v>
      </c>
      <c r="AS273" s="691">
        <v>0</v>
      </c>
      <c r="AT273" s="691">
        <v>0</v>
      </c>
      <c r="AU273" s="691">
        <v>0</v>
      </c>
      <c r="AV273" s="691">
        <v>0</v>
      </c>
      <c r="AW273" s="691">
        <v>0</v>
      </c>
      <c r="AX273" s="691">
        <v>0</v>
      </c>
      <c r="AY273" s="691">
        <v>0</v>
      </c>
      <c r="AZ273" s="691">
        <v>0</v>
      </c>
      <c r="BA273" s="691">
        <v>0</v>
      </c>
      <c r="BB273" s="691">
        <v>0</v>
      </c>
      <c r="BC273" s="691">
        <v>0</v>
      </c>
      <c r="BD273" s="691">
        <v>0</v>
      </c>
      <c r="BE273" s="691">
        <v>0</v>
      </c>
      <c r="BF273" s="691">
        <v>0</v>
      </c>
      <c r="BG273" s="691">
        <v>0</v>
      </c>
      <c r="BH273" s="691">
        <v>0</v>
      </c>
      <c r="BI273" s="691">
        <v>0</v>
      </c>
      <c r="BJ273" s="691">
        <v>0</v>
      </c>
      <c r="BK273" s="691">
        <v>0</v>
      </c>
      <c r="BL273" s="691">
        <v>0</v>
      </c>
      <c r="BM273" s="691">
        <v>0</v>
      </c>
      <c r="BN273" s="691">
        <v>0</v>
      </c>
      <c r="BO273" s="691">
        <v>0</v>
      </c>
      <c r="BP273" s="691">
        <v>0</v>
      </c>
      <c r="BQ273" s="691">
        <v>0</v>
      </c>
      <c r="BR273" s="691">
        <v>0</v>
      </c>
      <c r="BS273" s="691">
        <v>0</v>
      </c>
      <c r="BT273" s="691">
        <v>0</v>
      </c>
      <c r="BU273" s="691">
        <v>0</v>
      </c>
      <c r="BV273" s="691">
        <v>0</v>
      </c>
      <c r="BW273" s="691">
        <v>0</v>
      </c>
      <c r="BX273" s="691">
        <v>0</v>
      </c>
      <c r="BY273" s="691">
        <v>0</v>
      </c>
      <c r="BZ273" s="691">
        <v>0</v>
      </c>
      <c r="CA273" s="691">
        <v>0</v>
      </c>
      <c r="CB273" s="691">
        <v>0</v>
      </c>
      <c r="CC273" s="691">
        <v>0</v>
      </c>
      <c r="CD273" s="691">
        <v>0</v>
      </c>
      <c r="CE273" s="691">
        <v>0</v>
      </c>
    </row>
    <row r="274" spans="1:83" x14ac:dyDescent="0.25">
      <c r="A274" s="701">
        <v>614</v>
      </c>
      <c r="B274" s="675">
        <v>614</v>
      </c>
      <c r="C274" s="618" t="s">
        <v>696</v>
      </c>
      <c r="D274" s="629"/>
      <c r="E274" s="632">
        <v>0</v>
      </c>
      <c r="F274" s="646">
        <v>0</v>
      </c>
      <c r="G274" s="646">
        <v>0</v>
      </c>
      <c r="H274" s="646">
        <v>0</v>
      </c>
      <c r="I274" s="646">
        <v>0</v>
      </c>
      <c r="J274" s="646">
        <v>0</v>
      </c>
      <c r="K274" s="642">
        <v>0</v>
      </c>
      <c r="L274" s="691">
        <v>0</v>
      </c>
      <c r="M274" s="691">
        <v>0</v>
      </c>
      <c r="N274" s="661">
        <v>0</v>
      </c>
      <c r="O274" s="661">
        <v>0</v>
      </c>
      <c r="P274" s="661">
        <v>0</v>
      </c>
      <c r="Q274" s="661">
        <v>0</v>
      </c>
      <c r="R274" s="661">
        <v>0</v>
      </c>
      <c r="S274" s="661">
        <v>0</v>
      </c>
      <c r="T274" s="661">
        <v>0</v>
      </c>
      <c r="U274" s="661">
        <v>0</v>
      </c>
      <c r="V274" s="661">
        <v>0</v>
      </c>
      <c r="W274" s="661">
        <v>0</v>
      </c>
      <c r="X274" s="661">
        <v>0</v>
      </c>
      <c r="Y274" s="661">
        <v>0</v>
      </c>
      <c r="Z274" s="661">
        <v>0</v>
      </c>
      <c r="AA274" s="661">
        <v>0</v>
      </c>
      <c r="AB274" s="691" t="e">
        <v>#VALUE!</v>
      </c>
      <c r="AC274" s="691">
        <v>0</v>
      </c>
      <c r="AD274" s="691" t="e">
        <v>#VALUE!</v>
      </c>
      <c r="AE274" s="691">
        <v>0</v>
      </c>
      <c r="AF274" s="691">
        <v>0</v>
      </c>
      <c r="AG274" s="691">
        <v>0</v>
      </c>
      <c r="AH274" s="691">
        <v>0</v>
      </c>
      <c r="AI274" s="691">
        <v>0</v>
      </c>
      <c r="AJ274" s="691">
        <v>0</v>
      </c>
      <c r="AK274" s="691">
        <v>0</v>
      </c>
      <c r="AL274" s="691">
        <v>0</v>
      </c>
      <c r="AM274" s="691">
        <v>0</v>
      </c>
      <c r="AN274" s="691">
        <v>0</v>
      </c>
      <c r="AO274" s="691">
        <v>0</v>
      </c>
      <c r="AP274" s="691">
        <v>0</v>
      </c>
      <c r="AQ274" s="691">
        <v>0</v>
      </c>
      <c r="AR274" s="691">
        <v>0</v>
      </c>
      <c r="AS274" s="691">
        <v>0</v>
      </c>
      <c r="AT274" s="691">
        <v>0</v>
      </c>
      <c r="AU274" s="691">
        <v>0</v>
      </c>
      <c r="AV274" s="691">
        <v>0</v>
      </c>
      <c r="AW274" s="691">
        <v>0</v>
      </c>
      <c r="AX274" s="691">
        <v>0</v>
      </c>
      <c r="AY274" s="691">
        <v>0</v>
      </c>
      <c r="AZ274" s="691">
        <v>0</v>
      </c>
      <c r="BA274" s="691">
        <v>0</v>
      </c>
      <c r="BB274" s="691">
        <v>0</v>
      </c>
      <c r="BC274" s="691">
        <v>0</v>
      </c>
      <c r="BD274" s="691">
        <v>0</v>
      </c>
      <c r="BE274" s="691">
        <v>0</v>
      </c>
      <c r="BF274" s="691">
        <v>0</v>
      </c>
      <c r="BG274" s="691">
        <v>0</v>
      </c>
      <c r="BH274" s="691">
        <v>0</v>
      </c>
      <c r="BI274" s="691">
        <v>0</v>
      </c>
      <c r="BJ274" s="691">
        <v>0</v>
      </c>
      <c r="BK274" s="691">
        <v>0</v>
      </c>
      <c r="BL274" s="691">
        <v>0</v>
      </c>
      <c r="BM274" s="691">
        <v>0</v>
      </c>
      <c r="BN274" s="691">
        <v>0</v>
      </c>
      <c r="BO274" s="691">
        <v>0</v>
      </c>
      <c r="BP274" s="691">
        <v>0</v>
      </c>
      <c r="BQ274" s="691">
        <v>0</v>
      </c>
      <c r="BR274" s="691">
        <v>0</v>
      </c>
      <c r="BS274" s="691">
        <v>0</v>
      </c>
      <c r="BT274" s="691">
        <v>0</v>
      </c>
      <c r="BU274" s="691">
        <v>0</v>
      </c>
      <c r="BV274" s="691">
        <v>0</v>
      </c>
      <c r="BW274" s="691">
        <v>0</v>
      </c>
      <c r="BX274" s="691">
        <v>0</v>
      </c>
      <c r="BY274" s="691">
        <v>0</v>
      </c>
      <c r="BZ274" s="691">
        <v>0</v>
      </c>
      <c r="CA274" s="691">
        <v>0</v>
      </c>
      <c r="CB274" s="691">
        <v>0</v>
      </c>
      <c r="CC274" s="691">
        <v>0</v>
      </c>
      <c r="CD274" s="691">
        <v>0</v>
      </c>
      <c r="CE274" s="691">
        <v>0</v>
      </c>
    </row>
    <row r="275" spans="1:83" ht="30" x14ac:dyDescent="0.25">
      <c r="A275" s="701">
        <v>615</v>
      </c>
      <c r="B275" s="675">
        <v>615</v>
      </c>
      <c r="C275" s="618" t="s">
        <v>715</v>
      </c>
      <c r="D275" s="629"/>
      <c r="E275" s="668">
        <v>0</v>
      </c>
      <c r="F275" s="669">
        <v>0</v>
      </c>
      <c r="G275" s="669">
        <v>0</v>
      </c>
      <c r="H275" s="669">
        <v>0</v>
      </c>
      <c r="I275" s="669">
        <v>0</v>
      </c>
      <c r="J275" s="669">
        <v>0</v>
      </c>
      <c r="K275" s="693">
        <v>0</v>
      </c>
      <c r="L275" s="634">
        <v>0</v>
      </c>
      <c r="M275" s="634">
        <v>0</v>
      </c>
      <c r="N275" s="676">
        <v>0</v>
      </c>
      <c r="O275" s="676">
        <v>0</v>
      </c>
      <c r="P275" s="676">
        <v>0</v>
      </c>
      <c r="Q275" s="676">
        <v>0</v>
      </c>
      <c r="R275" s="676">
        <v>0</v>
      </c>
      <c r="S275" s="676">
        <v>0</v>
      </c>
      <c r="T275" s="676">
        <v>0</v>
      </c>
      <c r="U275" s="676">
        <v>0</v>
      </c>
      <c r="V275" s="676">
        <v>0</v>
      </c>
      <c r="W275" s="676">
        <v>0</v>
      </c>
      <c r="X275" s="676">
        <v>0</v>
      </c>
      <c r="Y275" s="676">
        <v>0</v>
      </c>
      <c r="Z275" s="676">
        <v>0</v>
      </c>
      <c r="AA275" s="676">
        <v>0</v>
      </c>
      <c r="AB275" s="634" t="e">
        <v>#VALUE!</v>
      </c>
      <c r="AC275" s="634">
        <v>0</v>
      </c>
      <c r="AD275" s="634" t="e">
        <v>#VALUE!</v>
      </c>
      <c r="AE275" s="634">
        <v>0</v>
      </c>
      <c r="AF275" s="634">
        <v>0</v>
      </c>
      <c r="AG275" s="634">
        <v>0</v>
      </c>
      <c r="AH275" s="634">
        <v>0</v>
      </c>
      <c r="AI275" s="634">
        <v>0</v>
      </c>
      <c r="AJ275" s="634">
        <v>0</v>
      </c>
      <c r="AK275" s="634">
        <v>0</v>
      </c>
      <c r="AL275" s="634">
        <v>0</v>
      </c>
      <c r="AM275" s="634">
        <v>0</v>
      </c>
      <c r="AN275" s="634">
        <v>0</v>
      </c>
      <c r="AO275" s="634">
        <v>0</v>
      </c>
      <c r="AP275" s="634">
        <v>0</v>
      </c>
      <c r="AQ275" s="634">
        <v>0</v>
      </c>
      <c r="AR275" s="634">
        <v>0</v>
      </c>
      <c r="AS275" s="634">
        <v>0</v>
      </c>
      <c r="AT275" s="634">
        <v>0</v>
      </c>
      <c r="AU275" s="634">
        <v>0</v>
      </c>
      <c r="AV275" s="634">
        <v>0</v>
      </c>
      <c r="AW275" s="634">
        <v>0</v>
      </c>
      <c r="AX275" s="634">
        <v>0</v>
      </c>
      <c r="AY275" s="634">
        <v>0</v>
      </c>
      <c r="AZ275" s="634">
        <v>0</v>
      </c>
      <c r="BA275" s="634">
        <v>0</v>
      </c>
      <c r="BB275" s="634">
        <v>0</v>
      </c>
      <c r="BC275" s="634">
        <v>0</v>
      </c>
      <c r="BD275" s="634">
        <v>0</v>
      </c>
      <c r="BE275" s="634">
        <v>0</v>
      </c>
      <c r="BF275" s="634">
        <v>0</v>
      </c>
      <c r="BG275" s="634">
        <v>0</v>
      </c>
      <c r="BH275" s="634">
        <v>0</v>
      </c>
      <c r="BI275" s="634">
        <v>0</v>
      </c>
      <c r="BJ275" s="634">
        <v>0</v>
      </c>
      <c r="BK275" s="634">
        <v>0</v>
      </c>
      <c r="BL275" s="634">
        <v>0</v>
      </c>
      <c r="BM275" s="634">
        <v>0</v>
      </c>
      <c r="BN275" s="634">
        <v>0</v>
      </c>
      <c r="BO275" s="634">
        <v>0</v>
      </c>
      <c r="BP275" s="634">
        <v>0</v>
      </c>
      <c r="BQ275" s="634">
        <v>0</v>
      </c>
      <c r="BR275" s="634">
        <v>0</v>
      </c>
      <c r="BS275" s="634">
        <v>0</v>
      </c>
      <c r="BT275" s="634">
        <v>0</v>
      </c>
      <c r="BU275" s="634">
        <v>0</v>
      </c>
      <c r="BV275" s="634">
        <v>0</v>
      </c>
      <c r="BW275" s="634">
        <v>0</v>
      </c>
      <c r="BX275" s="634">
        <v>0</v>
      </c>
      <c r="BY275" s="634">
        <v>0</v>
      </c>
      <c r="BZ275" s="634">
        <v>0</v>
      </c>
      <c r="CA275" s="634">
        <v>0</v>
      </c>
      <c r="CB275" s="634">
        <v>0</v>
      </c>
      <c r="CC275" s="634">
        <v>0</v>
      </c>
      <c r="CD275" s="634">
        <v>0</v>
      </c>
      <c r="CE275" s="634">
        <v>0</v>
      </c>
    </row>
    <row r="276" spans="1:83" x14ac:dyDescent="0.25">
      <c r="A276" s="701">
        <v>616</v>
      </c>
      <c r="B276" s="675">
        <v>616</v>
      </c>
      <c r="C276" s="618" t="s">
        <v>697</v>
      </c>
      <c r="D276" s="629"/>
      <c r="E276" s="632">
        <v>0</v>
      </c>
      <c r="F276" s="646">
        <v>0</v>
      </c>
      <c r="G276" s="646">
        <v>0</v>
      </c>
      <c r="H276" s="646">
        <v>0</v>
      </c>
      <c r="I276" s="646">
        <v>0</v>
      </c>
      <c r="J276" s="646">
        <v>0</v>
      </c>
      <c r="K276" s="642">
        <v>0</v>
      </c>
      <c r="L276" s="691">
        <v>0</v>
      </c>
      <c r="M276" s="691">
        <v>0</v>
      </c>
      <c r="N276" s="661">
        <v>0</v>
      </c>
      <c r="O276" s="661">
        <v>0</v>
      </c>
      <c r="P276" s="661">
        <v>0</v>
      </c>
      <c r="Q276" s="661">
        <v>0</v>
      </c>
      <c r="R276" s="661">
        <v>0</v>
      </c>
      <c r="S276" s="661">
        <v>0</v>
      </c>
      <c r="T276" s="661">
        <v>0</v>
      </c>
      <c r="U276" s="661">
        <v>0</v>
      </c>
      <c r="V276" s="661">
        <v>0</v>
      </c>
      <c r="W276" s="661">
        <v>0</v>
      </c>
      <c r="X276" s="661">
        <v>0</v>
      </c>
      <c r="Y276" s="661">
        <v>0</v>
      </c>
      <c r="Z276" s="661">
        <v>0</v>
      </c>
      <c r="AA276" s="661">
        <v>0</v>
      </c>
      <c r="AB276" s="691" t="e">
        <v>#VALUE!</v>
      </c>
      <c r="AC276" s="691">
        <v>0</v>
      </c>
      <c r="AD276" s="691" t="e">
        <v>#VALUE!</v>
      </c>
      <c r="AE276" s="691">
        <v>0</v>
      </c>
      <c r="AF276" s="691">
        <v>0</v>
      </c>
      <c r="AG276" s="691">
        <v>0</v>
      </c>
      <c r="AH276" s="691">
        <v>0</v>
      </c>
      <c r="AI276" s="691">
        <v>0</v>
      </c>
      <c r="AJ276" s="691">
        <v>0</v>
      </c>
      <c r="AK276" s="691">
        <v>0</v>
      </c>
      <c r="AL276" s="691">
        <v>0</v>
      </c>
      <c r="AM276" s="691">
        <v>0</v>
      </c>
      <c r="AN276" s="691">
        <v>0</v>
      </c>
      <c r="AO276" s="691">
        <v>0</v>
      </c>
      <c r="AP276" s="691">
        <v>0</v>
      </c>
      <c r="AQ276" s="691">
        <v>0</v>
      </c>
      <c r="AR276" s="691">
        <v>0</v>
      </c>
      <c r="AS276" s="691">
        <v>0</v>
      </c>
      <c r="AT276" s="691">
        <v>0</v>
      </c>
      <c r="AU276" s="691">
        <v>0</v>
      </c>
      <c r="AV276" s="691">
        <v>0</v>
      </c>
      <c r="AW276" s="691">
        <v>0</v>
      </c>
      <c r="AX276" s="691">
        <v>0</v>
      </c>
      <c r="AY276" s="691">
        <v>0</v>
      </c>
      <c r="AZ276" s="691">
        <v>0</v>
      </c>
      <c r="BA276" s="691">
        <v>0</v>
      </c>
      <c r="BB276" s="691">
        <v>0</v>
      </c>
      <c r="BC276" s="691">
        <v>0</v>
      </c>
      <c r="BD276" s="691">
        <v>0</v>
      </c>
      <c r="BE276" s="691">
        <v>0</v>
      </c>
      <c r="BF276" s="691">
        <v>0</v>
      </c>
      <c r="BG276" s="691">
        <v>0</v>
      </c>
      <c r="BH276" s="691">
        <v>0</v>
      </c>
      <c r="BI276" s="691">
        <v>0</v>
      </c>
      <c r="BJ276" s="691">
        <v>0</v>
      </c>
      <c r="BK276" s="691">
        <v>0</v>
      </c>
      <c r="BL276" s="691">
        <v>0</v>
      </c>
      <c r="BM276" s="691">
        <v>0</v>
      </c>
      <c r="BN276" s="691">
        <v>0</v>
      </c>
      <c r="BO276" s="691">
        <v>0</v>
      </c>
      <c r="BP276" s="691">
        <v>0</v>
      </c>
      <c r="BQ276" s="691">
        <v>0</v>
      </c>
      <c r="BR276" s="691">
        <v>0</v>
      </c>
      <c r="BS276" s="691">
        <v>0</v>
      </c>
      <c r="BT276" s="691">
        <v>0</v>
      </c>
      <c r="BU276" s="691">
        <v>0</v>
      </c>
      <c r="BV276" s="691">
        <v>0</v>
      </c>
      <c r="BW276" s="691">
        <v>0</v>
      </c>
      <c r="BX276" s="691">
        <v>0</v>
      </c>
      <c r="BY276" s="691">
        <v>0</v>
      </c>
      <c r="BZ276" s="691">
        <v>0</v>
      </c>
      <c r="CA276" s="691">
        <v>0</v>
      </c>
      <c r="CB276" s="691">
        <v>0</v>
      </c>
      <c r="CC276" s="691">
        <v>0</v>
      </c>
      <c r="CD276" s="691">
        <v>0</v>
      </c>
      <c r="CE276" s="691">
        <v>0</v>
      </c>
    </row>
    <row r="277" spans="1:83" x14ac:dyDescent="0.25">
      <c r="A277" s="701">
        <v>617</v>
      </c>
      <c r="B277" s="675">
        <v>617</v>
      </c>
      <c r="C277" s="618" t="s">
        <v>698</v>
      </c>
      <c r="D277" s="629"/>
      <c r="E277" s="632">
        <v>0</v>
      </c>
      <c r="F277" s="646">
        <v>0</v>
      </c>
      <c r="G277" s="646">
        <v>0</v>
      </c>
      <c r="H277" s="646">
        <v>0</v>
      </c>
      <c r="I277" s="646">
        <v>0</v>
      </c>
      <c r="J277" s="646">
        <v>0</v>
      </c>
      <c r="K277" s="642">
        <v>0</v>
      </c>
      <c r="L277" s="691">
        <v>0</v>
      </c>
      <c r="M277" s="691">
        <v>0</v>
      </c>
      <c r="N277" s="661">
        <v>0</v>
      </c>
      <c r="O277" s="661">
        <v>0</v>
      </c>
      <c r="P277" s="661">
        <v>0</v>
      </c>
      <c r="Q277" s="661">
        <v>0</v>
      </c>
      <c r="R277" s="661">
        <v>0</v>
      </c>
      <c r="S277" s="661">
        <v>0</v>
      </c>
      <c r="T277" s="661">
        <v>0</v>
      </c>
      <c r="U277" s="661">
        <v>0</v>
      </c>
      <c r="V277" s="661">
        <v>0</v>
      </c>
      <c r="W277" s="661">
        <v>0</v>
      </c>
      <c r="X277" s="661">
        <v>0</v>
      </c>
      <c r="Y277" s="661">
        <v>0</v>
      </c>
      <c r="Z277" s="661">
        <v>0</v>
      </c>
      <c r="AA277" s="661">
        <v>0</v>
      </c>
      <c r="AB277" s="691" t="e">
        <v>#VALUE!</v>
      </c>
      <c r="AC277" s="691">
        <v>0</v>
      </c>
      <c r="AD277" s="691" t="e">
        <v>#VALUE!</v>
      </c>
      <c r="AE277" s="691">
        <v>0</v>
      </c>
      <c r="AF277" s="691">
        <v>0</v>
      </c>
      <c r="AG277" s="691">
        <v>0</v>
      </c>
      <c r="AH277" s="691">
        <v>0</v>
      </c>
      <c r="AI277" s="691">
        <v>0</v>
      </c>
      <c r="AJ277" s="691">
        <v>0</v>
      </c>
      <c r="AK277" s="691">
        <v>0</v>
      </c>
      <c r="AL277" s="691">
        <v>0</v>
      </c>
      <c r="AM277" s="691">
        <v>0</v>
      </c>
      <c r="AN277" s="691">
        <v>0</v>
      </c>
      <c r="AO277" s="691">
        <v>0</v>
      </c>
      <c r="AP277" s="691">
        <v>0</v>
      </c>
      <c r="AQ277" s="691">
        <v>0</v>
      </c>
      <c r="AR277" s="691">
        <v>0</v>
      </c>
      <c r="AS277" s="691">
        <v>0</v>
      </c>
      <c r="AT277" s="691">
        <v>0</v>
      </c>
      <c r="AU277" s="691">
        <v>0</v>
      </c>
      <c r="AV277" s="691">
        <v>0</v>
      </c>
      <c r="AW277" s="691">
        <v>0</v>
      </c>
      <c r="AX277" s="691">
        <v>0</v>
      </c>
      <c r="AY277" s="691">
        <v>0</v>
      </c>
      <c r="AZ277" s="691">
        <v>0</v>
      </c>
      <c r="BA277" s="691">
        <v>0</v>
      </c>
      <c r="BB277" s="691">
        <v>0</v>
      </c>
      <c r="BC277" s="691">
        <v>0</v>
      </c>
      <c r="BD277" s="691">
        <v>0</v>
      </c>
      <c r="BE277" s="691">
        <v>0</v>
      </c>
      <c r="BF277" s="691">
        <v>0</v>
      </c>
      <c r="BG277" s="691">
        <v>0</v>
      </c>
      <c r="BH277" s="691">
        <v>0</v>
      </c>
      <c r="BI277" s="691">
        <v>0</v>
      </c>
      <c r="BJ277" s="691">
        <v>0</v>
      </c>
      <c r="BK277" s="691">
        <v>0</v>
      </c>
      <c r="BL277" s="691">
        <v>0</v>
      </c>
      <c r="BM277" s="691">
        <v>0</v>
      </c>
      <c r="BN277" s="691">
        <v>0</v>
      </c>
      <c r="BO277" s="691">
        <v>0</v>
      </c>
      <c r="BP277" s="691">
        <v>0</v>
      </c>
      <c r="BQ277" s="691">
        <v>0</v>
      </c>
      <c r="BR277" s="691">
        <v>0</v>
      </c>
      <c r="BS277" s="691">
        <v>0</v>
      </c>
      <c r="BT277" s="691">
        <v>0</v>
      </c>
      <c r="BU277" s="691">
        <v>0</v>
      </c>
      <c r="BV277" s="691">
        <v>0</v>
      </c>
      <c r="BW277" s="691">
        <v>0</v>
      </c>
      <c r="BX277" s="691">
        <v>0</v>
      </c>
      <c r="BY277" s="691">
        <v>0</v>
      </c>
      <c r="BZ277" s="691">
        <v>0</v>
      </c>
      <c r="CA277" s="691">
        <v>0</v>
      </c>
      <c r="CB277" s="691">
        <v>0</v>
      </c>
      <c r="CC277" s="691">
        <v>0</v>
      </c>
      <c r="CD277" s="691">
        <v>0</v>
      </c>
      <c r="CE277" s="691">
        <v>0</v>
      </c>
    </row>
    <row r="278" spans="1:83" ht="30" x14ac:dyDescent="0.25">
      <c r="A278" s="701">
        <v>618</v>
      </c>
      <c r="B278" s="675">
        <v>618</v>
      </c>
      <c r="C278" s="618" t="s">
        <v>716</v>
      </c>
      <c r="D278" s="629"/>
      <c r="E278" s="668">
        <v>0</v>
      </c>
      <c r="F278" s="669">
        <v>0</v>
      </c>
      <c r="G278" s="669">
        <v>0</v>
      </c>
      <c r="H278" s="669">
        <v>0</v>
      </c>
      <c r="I278" s="669">
        <v>0</v>
      </c>
      <c r="J278" s="669">
        <v>0</v>
      </c>
      <c r="K278" s="693">
        <v>0</v>
      </c>
      <c r="L278" s="634">
        <v>0</v>
      </c>
      <c r="M278" s="634">
        <v>0</v>
      </c>
      <c r="N278" s="676">
        <v>0</v>
      </c>
      <c r="O278" s="676">
        <v>0</v>
      </c>
      <c r="P278" s="676">
        <v>0</v>
      </c>
      <c r="Q278" s="676">
        <v>0</v>
      </c>
      <c r="R278" s="676">
        <v>0</v>
      </c>
      <c r="S278" s="676">
        <v>0</v>
      </c>
      <c r="T278" s="676">
        <v>0</v>
      </c>
      <c r="U278" s="676">
        <v>0</v>
      </c>
      <c r="V278" s="676">
        <v>0</v>
      </c>
      <c r="W278" s="676">
        <v>0</v>
      </c>
      <c r="X278" s="676">
        <v>0</v>
      </c>
      <c r="Y278" s="676">
        <v>0</v>
      </c>
      <c r="Z278" s="676">
        <v>0</v>
      </c>
      <c r="AA278" s="676">
        <v>0</v>
      </c>
      <c r="AB278" s="634" t="e">
        <v>#VALUE!</v>
      </c>
      <c r="AC278" s="634">
        <v>0</v>
      </c>
      <c r="AD278" s="634" t="e">
        <v>#VALUE!</v>
      </c>
      <c r="AE278" s="634">
        <v>0</v>
      </c>
      <c r="AF278" s="634">
        <v>0</v>
      </c>
      <c r="AG278" s="634">
        <v>0</v>
      </c>
      <c r="AH278" s="634">
        <v>0</v>
      </c>
      <c r="AI278" s="634">
        <v>0</v>
      </c>
      <c r="AJ278" s="634">
        <v>0</v>
      </c>
      <c r="AK278" s="634">
        <v>0</v>
      </c>
      <c r="AL278" s="634">
        <v>0</v>
      </c>
      <c r="AM278" s="634">
        <v>0</v>
      </c>
      <c r="AN278" s="634">
        <v>0</v>
      </c>
      <c r="AO278" s="634">
        <v>0</v>
      </c>
      <c r="AP278" s="634">
        <v>0</v>
      </c>
      <c r="AQ278" s="634">
        <v>0</v>
      </c>
      <c r="AR278" s="634">
        <v>0</v>
      </c>
      <c r="AS278" s="634">
        <v>0</v>
      </c>
      <c r="AT278" s="634">
        <v>0</v>
      </c>
      <c r="AU278" s="634">
        <v>0</v>
      </c>
      <c r="AV278" s="634">
        <v>0</v>
      </c>
      <c r="AW278" s="634">
        <v>0</v>
      </c>
      <c r="AX278" s="634">
        <v>0</v>
      </c>
      <c r="AY278" s="634">
        <v>0</v>
      </c>
      <c r="AZ278" s="634">
        <v>0</v>
      </c>
      <c r="BA278" s="634">
        <v>0</v>
      </c>
      <c r="BB278" s="634">
        <v>0</v>
      </c>
      <c r="BC278" s="634">
        <v>0</v>
      </c>
      <c r="BD278" s="634">
        <v>0</v>
      </c>
      <c r="BE278" s="634">
        <v>0</v>
      </c>
      <c r="BF278" s="634">
        <v>0</v>
      </c>
      <c r="BG278" s="634">
        <v>0</v>
      </c>
      <c r="BH278" s="634">
        <v>0</v>
      </c>
      <c r="BI278" s="634">
        <v>0</v>
      </c>
      <c r="BJ278" s="634">
        <v>0</v>
      </c>
      <c r="BK278" s="634">
        <v>0</v>
      </c>
      <c r="BL278" s="634">
        <v>0</v>
      </c>
      <c r="BM278" s="634">
        <v>0</v>
      </c>
      <c r="BN278" s="634">
        <v>0</v>
      </c>
      <c r="BO278" s="634">
        <v>0</v>
      </c>
      <c r="BP278" s="634">
        <v>0</v>
      </c>
      <c r="BQ278" s="634">
        <v>0</v>
      </c>
      <c r="BR278" s="634">
        <v>0</v>
      </c>
      <c r="BS278" s="634">
        <v>0</v>
      </c>
      <c r="BT278" s="634">
        <v>0</v>
      </c>
      <c r="BU278" s="634">
        <v>0</v>
      </c>
      <c r="BV278" s="634">
        <v>0</v>
      </c>
      <c r="BW278" s="634">
        <v>0</v>
      </c>
      <c r="BX278" s="634">
        <v>0</v>
      </c>
      <c r="BY278" s="634">
        <v>0</v>
      </c>
      <c r="BZ278" s="634">
        <v>0</v>
      </c>
      <c r="CA278" s="634">
        <v>0</v>
      </c>
      <c r="CB278" s="634">
        <v>0</v>
      </c>
      <c r="CC278" s="634">
        <v>0</v>
      </c>
      <c r="CD278" s="634">
        <v>0</v>
      </c>
      <c r="CE278" s="634">
        <v>0</v>
      </c>
    </row>
    <row r="279" spans="1:83" ht="30" x14ac:dyDescent="0.25">
      <c r="A279" s="701">
        <v>619</v>
      </c>
      <c r="B279" s="675">
        <v>619</v>
      </c>
      <c r="C279" s="618" t="s">
        <v>718</v>
      </c>
      <c r="D279" s="629"/>
      <c r="E279" s="668">
        <v>0</v>
      </c>
      <c r="F279" s="669">
        <v>0</v>
      </c>
      <c r="G279" s="669">
        <v>0</v>
      </c>
      <c r="H279" s="669">
        <v>0</v>
      </c>
      <c r="I279" s="669">
        <v>0</v>
      </c>
      <c r="J279" s="669">
        <v>0</v>
      </c>
      <c r="K279" s="693">
        <v>0</v>
      </c>
      <c r="L279" s="634">
        <v>0</v>
      </c>
      <c r="M279" s="634">
        <v>0</v>
      </c>
      <c r="N279" s="676">
        <v>0</v>
      </c>
      <c r="O279" s="676">
        <v>0</v>
      </c>
      <c r="P279" s="676">
        <v>0</v>
      </c>
      <c r="Q279" s="676">
        <v>0</v>
      </c>
      <c r="R279" s="676">
        <v>0</v>
      </c>
      <c r="S279" s="676">
        <v>0</v>
      </c>
      <c r="T279" s="676">
        <v>0</v>
      </c>
      <c r="U279" s="676">
        <v>0</v>
      </c>
      <c r="V279" s="676">
        <v>0</v>
      </c>
      <c r="W279" s="676">
        <v>0</v>
      </c>
      <c r="X279" s="676">
        <v>0</v>
      </c>
      <c r="Y279" s="676">
        <v>0</v>
      </c>
      <c r="Z279" s="676">
        <v>0</v>
      </c>
      <c r="AA279" s="676">
        <v>0</v>
      </c>
      <c r="AB279" s="634" t="e">
        <v>#VALUE!</v>
      </c>
      <c r="AC279" s="634">
        <v>0</v>
      </c>
      <c r="AD279" s="634" t="e">
        <v>#VALUE!</v>
      </c>
      <c r="AE279" s="634">
        <v>0</v>
      </c>
      <c r="AF279" s="634">
        <v>0</v>
      </c>
      <c r="AG279" s="634">
        <v>0</v>
      </c>
      <c r="AH279" s="634">
        <v>0</v>
      </c>
      <c r="AI279" s="634">
        <v>0</v>
      </c>
      <c r="AJ279" s="634">
        <v>0</v>
      </c>
      <c r="AK279" s="634">
        <v>0</v>
      </c>
      <c r="AL279" s="634">
        <v>0</v>
      </c>
      <c r="AM279" s="634">
        <v>0</v>
      </c>
      <c r="AN279" s="634">
        <v>0</v>
      </c>
      <c r="AO279" s="634">
        <v>0</v>
      </c>
      <c r="AP279" s="634">
        <v>0</v>
      </c>
      <c r="AQ279" s="634">
        <v>0</v>
      </c>
      <c r="AR279" s="634">
        <v>0</v>
      </c>
      <c r="AS279" s="634">
        <v>0</v>
      </c>
      <c r="AT279" s="634">
        <v>0</v>
      </c>
      <c r="AU279" s="634">
        <v>0</v>
      </c>
      <c r="AV279" s="634">
        <v>0</v>
      </c>
      <c r="AW279" s="634">
        <v>0</v>
      </c>
      <c r="AX279" s="634">
        <v>0</v>
      </c>
      <c r="AY279" s="634">
        <v>0</v>
      </c>
      <c r="AZ279" s="634">
        <v>0</v>
      </c>
      <c r="BA279" s="634">
        <v>0</v>
      </c>
      <c r="BB279" s="634">
        <v>0</v>
      </c>
      <c r="BC279" s="634">
        <v>0</v>
      </c>
      <c r="BD279" s="634">
        <v>0</v>
      </c>
      <c r="BE279" s="634">
        <v>0</v>
      </c>
      <c r="BF279" s="634">
        <v>0</v>
      </c>
      <c r="BG279" s="634">
        <v>0</v>
      </c>
      <c r="BH279" s="634">
        <v>0</v>
      </c>
      <c r="BI279" s="634">
        <v>0</v>
      </c>
      <c r="BJ279" s="634">
        <v>0</v>
      </c>
      <c r="BK279" s="634">
        <v>0</v>
      </c>
      <c r="BL279" s="634">
        <v>0</v>
      </c>
      <c r="BM279" s="634">
        <v>0</v>
      </c>
      <c r="BN279" s="634">
        <v>0</v>
      </c>
      <c r="BO279" s="634">
        <v>0</v>
      </c>
      <c r="BP279" s="634">
        <v>0</v>
      </c>
      <c r="BQ279" s="634">
        <v>0</v>
      </c>
      <c r="BR279" s="634">
        <v>0</v>
      </c>
      <c r="BS279" s="634">
        <v>0</v>
      </c>
      <c r="BT279" s="634">
        <v>0</v>
      </c>
      <c r="BU279" s="634">
        <v>0</v>
      </c>
      <c r="BV279" s="634">
        <v>0</v>
      </c>
      <c r="BW279" s="634">
        <v>0</v>
      </c>
      <c r="BX279" s="634">
        <v>0</v>
      </c>
      <c r="BY279" s="634">
        <v>0</v>
      </c>
      <c r="BZ279" s="634">
        <v>0</v>
      </c>
      <c r="CA279" s="634">
        <v>0</v>
      </c>
      <c r="CB279" s="634">
        <v>0</v>
      </c>
      <c r="CC279" s="634">
        <v>0</v>
      </c>
      <c r="CD279" s="634">
        <v>0</v>
      </c>
      <c r="CE279" s="634">
        <v>0</v>
      </c>
    </row>
    <row r="280" spans="1:83" ht="45" x14ac:dyDescent="0.25">
      <c r="A280" s="701">
        <v>620</v>
      </c>
      <c r="B280" s="675">
        <v>620</v>
      </c>
      <c r="C280" s="618" t="s">
        <v>707</v>
      </c>
      <c r="D280" s="629"/>
      <c r="E280" s="632">
        <v>1</v>
      </c>
      <c r="F280" s="646">
        <v>2</v>
      </c>
      <c r="G280" s="646">
        <v>2</v>
      </c>
      <c r="H280" s="646">
        <v>2</v>
      </c>
      <c r="I280" s="646">
        <v>2</v>
      </c>
      <c r="J280" s="646">
        <v>2</v>
      </c>
      <c r="K280" s="642">
        <v>2</v>
      </c>
      <c r="L280" s="691">
        <v>2</v>
      </c>
      <c r="M280" s="691">
        <v>2</v>
      </c>
      <c r="N280" s="661">
        <v>2</v>
      </c>
      <c r="O280" s="661">
        <v>0</v>
      </c>
      <c r="P280" s="661">
        <v>2</v>
      </c>
      <c r="Q280" s="661">
        <v>2</v>
      </c>
      <c r="R280" s="661">
        <v>1</v>
      </c>
      <c r="S280" s="661">
        <v>1</v>
      </c>
      <c r="T280" s="661">
        <v>2</v>
      </c>
      <c r="U280" s="661">
        <v>1</v>
      </c>
      <c r="V280" s="661">
        <v>2</v>
      </c>
      <c r="W280" s="661">
        <v>2</v>
      </c>
      <c r="X280" s="661">
        <v>1</v>
      </c>
      <c r="Y280" s="661">
        <v>2</v>
      </c>
      <c r="Z280" s="661">
        <v>1</v>
      </c>
      <c r="AA280" s="661">
        <v>1</v>
      </c>
      <c r="AB280" s="691" t="e">
        <v>#VALUE!</v>
      </c>
      <c r="AC280" s="691">
        <v>2</v>
      </c>
      <c r="AD280" s="691" t="e">
        <v>#VALUE!</v>
      </c>
      <c r="AE280" s="691">
        <v>1</v>
      </c>
      <c r="AF280" s="691">
        <v>2</v>
      </c>
      <c r="AG280" s="691">
        <v>1</v>
      </c>
      <c r="AH280" s="691">
        <v>1</v>
      </c>
      <c r="AI280" s="691">
        <v>2</v>
      </c>
      <c r="AJ280" s="691">
        <v>1</v>
      </c>
      <c r="AK280" s="691">
        <v>2</v>
      </c>
      <c r="AL280" s="691">
        <v>1</v>
      </c>
      <c r="AM280" s="691">
        <v>1</v>
      </c>
      <c r="AN280" s="691">
        <v>1</v>
      </c>
      <c r="AO280" s="691">
        <v>2</v>
      </c>
      <c r="AP280" s="691">
        <v>2</v>
      </c>
      <c r="AQ280" s="691">
        <v>2</v>
      </c>
      <c r="AR280" s="691">
        <v>2</v>
      </c>
      <c r="AS280" s="691">
        <v>1</v>
      </c>
      <c r="AT280" s="691">
        <v>2</v>
      </c>
      <c r="AU280" s="691">
        <v>1</v>
      </c>
      <c r="AV280" s="691">
        <v>2</v>
      </c>
      <c r="AW280" s="691">
        <v>2</v>
      </c>
      <c r="AX280" s="691">
        <v>2</v>
      </c>
      <c r="AY280" s="691">
        <v>2</v>
      </c>
      <c r="AZ280" s="691">
        <v>1</v>
      </c>
      <c r="BA280" s="691">
        <v>2</v>
      </c>
      <c r="BB280" s="691">
        <v>2</v>
      </c>
      <c r="BC280" s="691">
        <v>2</v>
      </c>
      <c r="BD280" s="691">
        <v>2</v>
      </c>
      <c r="BE280" s="691">
        <v>2</v>
      </c>
      <c r="BF280" s="691">
        <v>2</v>
      </c>
      <c r="BG280" s="691">
        <v>2</v>
      </c>
      <c r="BH280" s="691">
        <v>2</v>
      </c>
      <c r="BI280" s="691">
        <v>2</v>
      </c>
      <c r="BJ280" s="691">
        <v>2</v>
      </c>
      <c r="BK280" s="691">
        <v>2</v>
      </c>
      <c r="BL280" s="691">
        <v>1</v>
      </c>
      <c r="BM280" s="691">
        <v>1</v>
      </c>
      <c r="BN280" s="691">
        <v>1</v>
      </c>
      <c r="BO280" s="691">
        <v>2</v>
      </c>
      <c r="BP280" s="691">
        <v>2</v>
      </c>
      <c r="BQ280" s="691">
        <v>2</v>
      </c>
      <c r="BR280" s="691">
        <v>2</v>
      </c>
      <c r="BS280" s="691">
        <v>1</v>
      </c>
      <c r="BT280" s="691">
        <v>2</v>
      </c>
      <c r="BU280" s="691">
        <v>2</v>
      </c>
      <c r="BV280" s="691">
        <v>2</v>
      </c>
      <c r="BW280" s="691">
        <v>2</v>
      </c>
      <c r="BX280" s="691">
        <v>1</v>
      </c>
      <c r="BY280" s="691">
        <v>2</v>
      </c>
      <c r="BZ280" s="691">
        <v>2</v>
      </c>
      <c r="CA280" s="691">
        <v>2</v>
      </c>
      <c r="CB280" s="691">
        <v>2</v>
      </c>
      <c r="CC280" s="691">
        <v>2</v>
      </c>
      <c r="CD280" s="691">
        <v>0</v>
      </c>
      <c r="CE280" s="691">
        <v>2</v>
      </c>
    </row>
    <row r="281" spans="1:83" x14ac:dyDescent="0.25">
      <c r="A281" s="701">
        <v>621</v>
      </c>
      <c r="B281" s="675">
        <v>621</v>
      </c>
      <c r="C281" s="678" t="s">
        <v>723</v>
      </c>
      <c r="D281" s="629"/>
      <c r="E281" s="632">
        <v>0</v>
      </c>
      <c r="F281" s="646">
        <v>0</v>
      </c>
      <c r="G281" s="646">
        <v>0</v>
      </c>
      <c r="H281" s="646">
        <v>0</v>
      </c>
      <c r="I281" s="646">
        <v>0</v>
      </c>
      <c r="J281" s="646">
        <v>0</v>
      </c>
      <c r="K281" s="642">
        <v>0</v>
      </c>
      <c r="L281" s="691">
        <v>0</v>
      </c>
      <c r="M281" s="691">
        <v>0</v>
      </c>
      <c r="N281" s="661">
        <v>0</v>
      </c>
      <c r="O281" s="661">
        <v>0</v>
      </c>
      <c r="P281" s="661">
        <v>0</v>
      </c>
      <c r="Q281" s="661">
        <v>0</v>
      </c>
      <c r="R281" s="661">
        <v>0</v>
      </c>
      <c r="S281" s="661">
        <v>0</v>
      </c>
      <c r="T281" s="661">
        <v>0</v>
      </c>
      <c r="U281" s="661">
        <v>0</v>
      </c>
      <c r="V281" s="661">
        <v>0</v>
      </c>
      <c r="W281" s="661">
        <v>0</v>
      </c>
      <c r="X281" s="661">
        <v>0</v>
      </c>
      <c r="Y281" s="661">
        <v>0</v>
      </c>
      <c r="Z281" s="661">
        <v>0</v>
      </c>
      <c r="AA281" s="661">
        <v>0</v>
      </c>
      <c r="AB281" s="691" t="e">
        <v>#VALUE!</v>
      </c>
      <c r="AC281" s="691">
        <v>0</v>
      </c>
      <c r="AD281" s="691" t="e">
        <v>#VALUE!</v>
      </c>
      <c r="AE281" s="691">
        <v>0</v>
      </c>
      <c r="AF281" s="691">
        <v>0</v>
      </c>
      <c r="AG281" s="691">
        <v>0</v>
      </c>
      <c r="AH281" s="691">
        <v>0</v>
      </c>
      <c r="AI281" s="691">
        <v>0</v>
      </c>
      <c r="AJ281" s="691">
        <v>0</v>
      </c>
      <c r="AK281" s="691">
        <v>0</v>
      </c>
      <c r="AL281" s="691">
        <v>0</v>
      </c>
      <c r="AM281" s="691">
        <v>0</v>
      </c>
      <c r="AN281" s="691">
        <v>0</v>
      </c>
      <c r="AO281" s="691">
        <v>0</v>
      </c>
      <c r="AP281" s="691">
        <v>0</v>
      </c>
      <c r="AQ281" s="691">
        <v>0</v>
      </c>
      <c r="AR281" s="691">
        <v>0</v>
      </c>
      <c r="AS281" s="691">
        <v>0</v>
      </c>
      <c r="AT281" s="691">
        <v>0</v>
      </c>
      <c r="AU281" s="691">
        <v>0</v>
      </c>
      <c r="AV281" s="691">
        <v>0</v>
      </c>
      <c r="AW281" s="691">
        <v>0</v>
      </c>
      <c r="AX281" s="691">
        <v>0</v>
      </c>
      <c r="AY281" s="691">
        <v>0</v>
      </c>
      <c r="AZ281" s="691">
        <v>0</v>
      </c>
      <c r="BA281" s="691">
        <v>0</v>
      </c>
      <c r="BB281" s="691">
        <v>0</v>
      </c>
      <c r="BC281" s="691">
        <v>0</v>
      </c>
      <c r="BD281" s="691">
        <v>0</v>
      </c>
      <c r="BE281" s="691">
        <v>0</v>
      </c>
      <c r="BF281" s="691">
        <v>0</v>
      </c>
      <c r="BG281" s="691">
        <v>0</v>
      </c>
      <c r="BH281" s="691">
        <v>0</v>
      </c>
      <c r="BI281" s="691">
        <v>0</v>
      </c>
      <c r="BJ281" s="691">
        <v>0</v>
      </c>
      <c r="BK281" s="691">
        <v>0</v>
      </c>
      <c r="BL281" s="691">
        <v>0</v>
      </c>
      <c r="BM281" s="691">
        <v>0</v>
      </c>
      <c r="BN281" s="691">
        <v>0</v>
      </c>
      <c r="BO281" s="691">
        <v>0</v>
      </c>
      <c r="BP281" s="691">
        <v>0</v>
      </c>
      <c r="BQ281" s="691">
        <v>0</v>
      </c>
      <c r="BR281" s="691">
        <v>0</v>
      </c>
      <c r="BS281" s="691">
        <v>0</v>
      </c>
      <c r="BT281" s="691">
        <v>0</v>
      </c>
      <c r="BU281" s="691">
        <v>0</v>
      </c>
      <c r="BV281" s="691">
        <v>0</v>
      </c>
      <c r="BW281" s="691">
        <v>0</v>
      </c>
      <c r="BX281" s="691">
        <v>0</v>
      </c>
      <c r="BY281" s="691">
        <v>0</v>
      </c>
      <c r="BZ281" s="691">
        <v>0</v>
      </c>
      <c r="CA281" s="691">
        <v>0</v>
      </c>
      <c r="CB281" s="691">
        <v>0</v>
      </c>
      <c r="CC281" s="691">
        <v>0</v>
      </c>
      <c r="CD281" s="691">
        <v>0</v>
      </c>
      <c r="CE281" s="691">
        <v>0</v>
      </c>
    </row>
    <row r="282" spans="1:83" s="385" customFormat="1" x14ac:dyDescent="0.25">
      <c r="A282" s="392">
        <v>647</v>
      </c>
      <c r="B282" s="392">
        <v>647</v>
      </c>
      <c r="C282" s="390" t="s">
        <v>830</v>
      </c>
      <c r="D282" s="389"/>
      <c r="E282" s="294">
        <v>0</v>
      </c>
      <c r="F282" s="294">
        <v>0</v>
      </c>
      <c r="G282" s="294">
        <v>0</v>
      </c>
      <c r="H282" s="294">
        <v>0</v>
      </c>
      <c r="I282" s="294">
        <v>0</v>
      </c>
      <c r="J282" s="294">
        <v>0</v>
      </c>
      <c r="K282" s="294">
        <v>0</v>
      </c>
      <c r="L282" s="294">
        <v>0</v>
      </c>
      <c r="M282" s="294">
        <v>0</v>
      </c>
      <c r="N282" s="294">
        <v>0</v>
      </c>
      <c r="O282" s="294">
        <v>0</v>
      </c>
      <c r="P282" s="294">
        <v>0</v>
      </c>
      <c r="Q282" s="294">
        <v>0</v>
      </c>
      <c r="R282" s="294">
        <v>0</v>
      </c>
      <c r="S282" s="294">
        <v>0</v>
      </c>
      <c r="T282" s="294">
        <v>0</v>
      </c>
      <c r="U282" s="294">
        <v>0</v>
      </c>
      <c r="V282" s="294">
        <v>0</v>
      </c>
      <c r="W282" s="294">
        <v>0</v>
      </c>
      <c r="X282" s="294">
        <v>0</v>
      </c>
      <c r="Y282" s="294">
        <v>0</v>
      </c>
      <c r="Z282" s="294">
        <v>0</v>
      </c>
      <c r="AA282" s="294">
        <v>0</v>
      </c>
      <c r="AB282" s="294">
        <v>0</v>
      </c>
      <c r="AC282" s="294">
        <v>0</v>
      </c>
      <c r="AD282" s="294">
        <v>0</v>
      </c>
      <c r="AE282" s="294">
        <v>0</v>
      </c>
      <c r="AF282" s="294">
        <v>0</v>
      </c>
      <c r="AG282" s="294">
        <v>0</v>
      </c>
      <c r="AH282" s="294">
        <v>0</v>
      </c>
      <c r="AI282" s="294">
        <v>0</v>
      </c>
      <c r="AJ282" s="294">
        <v>0</v>
      </c>
      <c r="AK282" s="294">
        <v>0</v>
      </c>
      <c r="AL282" s="294">
        <v>0</v>
      </c>
      <c r="AM282" s="294">
        <v>0</v>
      </c>
      <c r="AN282" s="294">
        <v>0</v>
      </c>
      <c r="AO282" s="294">
        <v>0</v>
      </c>
      <c r="AP282" s="294">
        <v>0</v>
      </c>
      <c r="AQ282" s="294">
        <v>0</v>
      </c>
      <c r="AR282" s="294">
        <v>0</v>
      </c>
      <c r="AS282" s="294">
        <v>0</v>
      </c>
      <c r="AT282" s="294">
        <v>0</v>
      </c>
      <c r="AU282" s="294">
        <v>0</v>
      </c>
      <c r="AV282" s="294">
        <v>0</v>
      </c>
      <c r="AW282" s="294">
        <v>0</v>
      </c>
      <c r="AX282" s="294">
        <v>0</v>
      </c>
      <c r="AY282" s="294">
        <v>0</v>
      </c>
      <c r="AZ282" s="294">
        <v>0</v>
      </c>
      <c r="BA282" s="294">
        <v>0</v>
      </c>
      <c r="BB282" s="294">
        <v>0</v>
      </c>
      <c r="BC282" s="294">
        <v>0</v>
      </c>
      <c r="BD282" s="294">
        <v>0</v>
      </c>
      <c r="BE282" s="294">
        <v>0</v>
      </c>
      <c r="BF282" s="294">
        <v>0</v>
      </c>
      <c r="BG282" s="294">
        <v>0</v>
      </c>
      <c r="BH282" s="294">
        <v>0</v>
      </c>
      <c r="BI282" s="294">
        <v>0</v>
      </c>
      <c r="BJ282" s="294">
        <v>0</v>
      </c>
      <c r="BK282" s="294">
        <v>0</v>
      </c>
      <c r="BL282" s="294">
        <v>0</v>
      </c>
      <c r="BM282" s="294">
        <v>0</v>
      </c>
      <c r="BN282" s="294">
        <v>0</v>
      </c>
      <c r="BO282" s="294">
        <v>0</v>
      </c>
      <c r="BP282" s="294">
        <v>0</v>
      </c>
      <c r="BQ282" s="294">
        <v>0</v>
      </c>
      <c r="BR282" s="294">
        <v>0</v>
      </c>
      <c r="BS282" s="294">
        <v>0</v>
      </c>
      <c r="BT282" s="294">
        <v>0</v>
      </c>
      <c r="BU282" s="294">
        <v>0</v>
      </c>
      <c r="BV282" s="294">
        <v>0</v>
      </c>
      <c r="BW282" s="294">
        <v>0</v>
      </c>
      <c r="BX282" s="294">
        <v>0</v>
      </c>
      <c r="BY282" s="294">
        <v>0</v>
      </c>
      <c r="BZ282" s="294">
        <v>0</v>
      </c>
      <c r="CA282" s="294">
        <v>0</v>
      </c>
      <c r="CB282" s="294">
        <v>0</v>
      </c>
      <c r="CC282" s="294">
        <v>0</v>
      </c>
      <c r="CD282" s="294">
        <v>0</v>
      </c>
      <c r="CE282" s="294">
        <v>0</v>
      </c>
    </row>
    <row r="283" spans="1:83" s="295" customFormat="1" x14ac:dyDescent="0.25">
      <c r="A283" s="297"/>
      <c r="B283" s="297"/>
      <c r="C283" s="296" t="s">
        <v>728</v>
      </c>
      <c r="D283" s="298"/>
      <c r="E283" s="299">
        <f t="shared" ref="E283:AJ283" si="0">E144-E226</f>
        <v>362906</v>
      </c>
      <c r="F283" s="299">
        <f t="shared" si="0"/>
        <v>296911</v>
      </c>
      <c r="G283" s="299">
        <f t="shared" si="0"/>
        <v>1599907</v>
      </c>
      <c r="H283" s="299">
        <f t="shared" si="0"/>
        <v>7834926</v>
      </c>
      <c r="I283" s="299">
        <f t="shared" si="0"/>
        <v>6695783</v>
      </c>
      <c r="J283" s="299">
        <f t="shared" si="0"/>
        <v>9936492</v>
      </c>
      <c r="K283" s="299">
        <f t="shared" si="0"/>
        <v>230666</v>
      </c>
      <c r="L283" s="299">
        <f t="shared" si="0"/>
        <v>2601296</v>
      </c>
      <c r="M283" s="299">
        <f t="shared" si="0"/>
        <v>1255074</v>
      </c>
      <c r="N283" s="299">
        <f t="shared" si="0"/>
        <v>69761405</v>
      </c>
      <c r="O283" s="299">
        <f t="shared" si="0"/>
        <v>1177376</v>
      </c>
      <c r="P283" s="299">
        <f t="shared" si="0"/>
        <v>14271674</v>
      </c>
      <c r="Q283" s="299">
        <f t="shared" si="0"/>
        <v>436436</v>
      </c>
      <c r="R283" s="299">
        <f t="shared" si="0"/>
        <v>123330403</v>
      </c>
      <c r="S283" s="299">
        <f t="shared" si="0"/>
        <v>6167775</v>
      </c>
      <c r="T283" s="299">
        <f t="shared" si="0"/>
        <v>337482</v>
      </c>
      <c r="U283" s="299">
        <f t="shared" si="0"/>
        <v>216755346</v>
      </c>
      <c r="V283" s="299">
        <f t="shared" si="0"/>
        <v>55993748</v>
      </c>
      <c r="W283" s="299">
        <f t="shared" si="0"/>
        <v>57764171</v>
      </c>
      <c r="X283" s="299">
        <f t="shared" si="0"/>
        <v>194219773</v>
      </c>
      <c r="Y283" s="299">
        <f t="shared" si="0"/>
        <v>552027</v>
      </c>
      <c r="Z283" s="299">
        <f t="shared" si="0"/>
        <v>43582986</v>
      </c>
      <c r="AA283" s="299">
        <f t="shared" si="0"/>
        <v>3166788</v>
      </c>
      <c r="AB283" s="299" t="e">
        <f t="shared" si="0"/>
        <v>#VALUE!</v>
      </c>
      <c r="AC283" s="299">
        <f t="shared" si="0"/>
        <v>5512042</v>
      </c>
      <c r="AD283" s="299" t="e">
        <f t="shared" si="0"/>
        <v>#VALUE!</v>
      </c>
      <c r="AE283" s="299">
        <f t="shared" si="0"/>
        <v>2444373</v>
      </c>
      <c r="AF283" s="299">
        <f t="shared" si="0"/>
        <v>7071097</v>
      </c>
      <c r="AG283" s="299">
        <f t="shared" si="0"/>
        <v>44942172</v>
      </c>
      <c r="AH283" s="299">
        <f t="shared" si="0"/>
        <v>12290844</v>
      </c>
      <c r="AI283" s="299">
        <f t="shared" si="0"/>
        <v>3704011</v>
      </c>
      <c r="AJ283" s="299">
        <f t="shared" si="0"/>
        <v>92196143</v>
      </c>
      <c r="AK283" s="299">
        <f t="shared" ref="AK283:BS283" si="1">AK144-AK226</f>
        <v>6745221</v>
      </c>
      <c r="AL283" s="299">
        <f t="shared" si="1"/>
        <v>3565263</v>
      </c>
      <c r="AM283" s="299">
        <f t="shared" si="1"/>
        <v>3779237</v>
      </c>
      <c r="AN283" s="299">
        <f t="shared" si="1"/>
        <v>30394926</v>
      </c>
      <c r="AO283" s="299">
        <f t="shared" si="1"/>
        <v>1150556</v>
      </c>
      <c r="AP283" s="299">
        <f t="shared" si="1"/>
        <v>750362</v>
      </c>
      <c r="AQ283" s="299">
        <f t="shared" si="1"/>
        <v>197392</v>
      </c>
      <c r="AR283" s="299">
        <f t="shared" si="1"/>
        <v>38080030</v>
      </c>
      <c r="AS283" s="299">
        <f t="shared" si="1"/>
        <v>99048177</v>
      </c>
      <c r="AT283" s="299">
        <f t="shared" si="1"/>
        <v>878764</v>
      </c>
      <c r="AU283" s="299">
        <f t="shared" si="1"/>
        <v>3856532</v>
      </c>
      <c r="AV283" s="299">
        <f t="shared" si="1"/>
        <v>690470</v>
      </c>
      <c r="AW283" s="299">
        <f t="shared" si="1"/>
        <v>48904635</v>
      </c>
      <c r="AX283" s="299">
        <f t="shared" si="1"/>
        <v>9951859</v>
      </c>
      <c r="AY283" s="299">
        <f t="shared" si="1"/>
        <v>4719703</v>
      </c>
      <c r="AZ283" s="299">
        <f t="shared" si="1"/>
        <v>26406359</v>
      </c>
      <c r="BA283" s="299">
        <f t="shared" si="1"/>
        <v>3982235</v>
      </c>
      <c r="BB283" s="299">
        <f t="shared" si="1"/>
        <v>2014349</v>
      </c>
      <c r="BC283" s="299">
        <f t="shared" si="1"/>
        <v>142729</v>
      </c>
      <c r="BD283" s="299">
        <f t="shared" si="1"/>
        <v>674785</v>
      </c>
      <c r="BE283" s="299">
        <f t="shared" si="1"/>
        <v>12760013</v>
      </c>
      <c r="BF283" s="299">
        <f t="shared" si="1"/>
        <v>824493</v>
      </c>
      <c r="BG283" s="299">
        <f t="shared" si="1"/>
        <v>999785</v>
      </c>
      <c r="BH283" s="299">
        <f t="shared" si="1"/>
        <v>222637</v>
      </c>
      <c r="BI283" s="299">
        <f t="shared" si="1"/>
        <v>356222</v>
      </c>
      <c r="BJ283" s="299">
        <f t="shared" si="1"/>
        <v>845681</v>
      </c>
      <c r="BK283" s="299">
        <f t="shared" si="1"/>
        <v>590723</v>
      </c>
      <c r="BL283" s="299">
        <f t="shared" si="1"/>
        <v>8282535</v>
      </c>
      <c r="BM283" s="299">
        <f t="shared" si="1"/>
        <v>894094</v>
      </c>
      <c r="BN283" s="299">
        <f t="shared" si="1"/>
        <v>3338781</v>
      </c>
      <c r="BO283" s="299">
        <f t="shared" si="1"/>
        <v>12601147</v>
      </c>
      <c r="BP283" s="299">
        <f t="shared" si="1"/>
        <v>2128950</v>
      </c>
      <c r="BQ283" s="299">
        <f t="shared" si="1"/>
        <v>4791831</v>
      </c>
      <c r="BR283" s="299">
        <f t="shared" si="1"/>
        <v>36587487</v>
      </c>
      <c r="BS283" s="299">
        <f t="shared" si="1"/>
        <v>1746384</v>
      </c>
      <c r="BT283" s="299">
        <f t="shared" ref="BT283:CE283" si="2">BT144-BT226</f>
        <v>48848039</v>
      </c>
      <c r="BU283" s="299">
        <f t="shared" si="2"/>
        <v>2079636</v>
      </c>
      <c r="BV283" s="299">
        <f t="shared" si="2"/>
        <v>10572065</v>
      </c>
      <c r="BW283" s="299">
        <f t="shared" si="2"/>
        <v>5416249</v>
      </c>
      <c r="BX283" s="299">
        <f t="shared" si="2"/>
        <v>5145667</v>
      </c>
      <c r="BY283" s="299">
        <f t="shared" si="2"/>
        <v>2468321</v>
      </c>
      <c r="BZ283" s="299">
        <f t="shared" si="2"/>
        <v>675267</v>
      </c>
      <c r="CA283" s="299">
        <f t="shared" si="2"/>
        <v>812823</v>
      </c>
      <c r="CB283" s="299">
        <f t="shared" si="2"/>
        <v>161480</v>
      </c>
      <c r="CC283" s="299">
        <f t="shared" si="2"/>
        <v>1497899</v>
      </c>
      <c r="CD283" s="299">
        <f t="shared" si="2"/>
        <v>0</v>
      </c>
      <c r="CE283" s="299">
        <f t="shared" si="2"/>
        <v>451961</v>
      </c>
    </row>
    <row r="284" spans="1:83" s="295" customFormat="1" x14ac:dyDescent="0.25">
      <c r="A284" s="297"/>
      <c r="B284" s="297"/>
      <c r="C284" s="296" t="s">
        <v>729</v>
      </c>
      <c r="D284" s="298"/>
      <c r="E284" s="299">
        <f t="shared" ref="E284:AJ284" si="3">E102-E226</f>
        <v>25249</v>
      </c>
      <c r="F284" s="299">
        <f t="shared" si="3"/>
        <v>4059</v>
      </c>
      <c r="G284" s="299">
        <f t="shared" si="3"/>
        <v>14196</v>
      </c>
      <c r="H284" s="299">
        <f t="shared" si="3"/>
        <v>101375</v>
      </c>
      <c r="I284" s="299">
        <f t="shared" si="3"/>
        <v>38594</v>
      </c>
      <c r="J284" s="299">
        <f t="shared" si="3"/>
        <v>136941</v>
      </c>
      <c r="K284" s="299">
        <f t="shared" si="3"/>
        <v>630</v>
      </c>
      <c r="L284" s="299">
        <f t="shared" si="3"/>
        <v>1692</v>
      </c>
      <c r="M284" s="299">
        <f t="shared" si="3"/>
        <v>7165</v>
      </c>
      <c r="N284" s="299">
        <f t="shared" si="3"/>
        <v>1074090</v>
      </c>
      <c r="O284" s="299">
        <f t="shared" si="3"/>
        <v>44900</v>
      </c>
      <c r="P284" s="299">
        <f t="shared" si="3"/>
        <v>292480</v>
      </c>
      <c r="Q284" s="299">
        <f t="shared" si="3"/>
        <v>892</v>
      </c>
      <c r="R284" s="299">
        <f t="shared" si="3"/>
        <v>3004314</v>
      </c>
      <c r="S284" s="299">
        <f t="shared" si="3"/>
        <v>116869</v>
      </c>
      <c r="T284" s="299">
        <f t="shared" si="3"/>
        <v>3092</v>
      </c>
      <c r="U284" s="299">
        <f t="shared" si="3"/>
        <v>13595614</v>
      </c>
      <c r="V284" s="299">
        <f t="shared" si="3"/>
        <v>1570507</v>
      </c>
      <c r="W284" s="299">
        <f t="shared" si="3"/>
        <v>2642108</v>
      </c>
      <c r="X284" s="299">
        <f t="shared" si="3"/>
        <v>4371795</v>
      </c>
      <c r="Y284" s="299">
        <f t="shared" si="3"/>
        <v>7157</v>
      </c>
      <c r="Z284" s="299">
        <f t="shared" si="3"/>
        <v>990727</v>
      </c>
      <c r="AA284" s="299">
        <f t="shared" si="3"/>
        <v>74813</v>
      </c>
      <c r="AB284" s="299" t="e">
        <f t="shared" si="3"/>
        <v>#VALUE!</v>
      </c>
      <c r="AC284" s="299">
        <f t="shared" si="3"/>
        <v>242874</v>
      </c>
      <c r="AD284" s="299" t="e">
        <f t="shared" si="3"/>
        <v>#VALUE!</v>
      </c>
      <c r="AE284" s="299">
        <f t="shared" si="3"/>
        <v>69295</v>
      </c>
      <c r="AF284" s="299">
        <f t="shared" si="3"/>
        <v>91013</v>
      </c>
      <c r="AG284" s="299">
        <f t="shared" si="3"/>
        <v>1439126</v>
      </c>
      <c r="AH284" s="299">
        <f t="shared" si="3"/>
        <v>87283</v>
      </c>
      <c r="AI284" s="299">
        <f t="shared" si="3"/>
        <v>29280</v>
      </c>
      <c r="AJ284" s="299">
        <f t="shared" si="3"/>
        <v>5302089</v>
      </c>
      <c r="AK284" s="299">
        <f t="shared" ref="AK284:BS284" si="4">AK102-AK226</f>
        <v>7138</v>
      </c>
      <c r="AL284" s="299">
        <f t="shared" si="4"/>
        <v>53730</v>
      </c>
      <c r="AM284" s="299">
        <f t="shared" si="4"/>
        <v>157160</v>
      </c>
      <c r="AN284" s="299">
        <f t="shared" si="4"/>
        <v>2103633</v>
      </c>
      <c r="AO284" s="299">
        <f t="shared" si="4"/>
        <v>8697</v>
      </c>
      <c r="AP284" s="299">
        <f t="shared" si="4"/>
        <v>44243</v>
      </c>
      <c r="AQ284" s="299">
        <f t="shared" si="4"/>
        <v>623</v>
      </c>
      <c r="AR284" s="299">
        <f t="shared" si="4"/>
        <v>702025</v>
      </c>
      <c r="AS284" s="299">
        <f t="shared" si="4"/>
        <v>319951</v>
      </c>
      <c r="AT284" s="299">
        <f t="shared" si="4"/>
        <v>35595</v>
      </c>
      <c r="AU284" s="299">
        <f t="shared" si="4"/>
        <v>98495</v>
      </c>
      <c r="AV284" s="299">
        <f t="shared" si="4"/>
        <v>4734</v>
      </c>
      <c r="AW284" s="299">
        <f t="shared" si="4"/>
        <v>1946228</v>
      </c>
      <c r="AX284" s="299">
        <f t="shared" si="4"/>
        <v>53402</v>
      </c>
      <c r="AY284" s="299">
        <f t="shared" si="4"/>
        <v>103678</v>
      </c>
      <c r="AZ284" s="299">
        <f t="shared" si="4"/>
        <v>524460</v>
      </c>
      <c r="BA284" s="299">
        <f t="shared" si="4"/>
        <v>41221</v>
      </c>
      <c r="BB284" s="299">
        <f t="shared" si="4"/>
        <v>42664</v>
      </c>
      <c r="BC284" s="299">
        <f t="shared" si="4"/>
        <v>0</v>
      </c>
      <c r="BD284" s="299">
        <f t="shared" si="4"/>
        <v>7453</v>
      </c>
      <c r="BE284" s="299">
        <f t="shared" si="4"/>
        <v>5688833</v>
      </c>
      <c r="BF284" s="299">
        <f t="shared" si="4"/>
        <v>1434</v>
      </c>
      <c r="BG284" s="299">
        <f t="shared" si="4"/>
        <v>7100</v>
      </c>
      <c r="BH284" s="299">
        <f t="shared" si="4"/>
        <v>0</v>
      </c>
      <c r="BI284" s="299">
        <f t="shared" si="4"/>
        <v>1381</v>
      </c>
      <c r="BJ284" s="299">
        <f t="shared" si="4"/>
        <v>7129</v>
      </c>
      <c r="BK284" s="299">
        <f t="shared" si="4"/>
        <v>18613</v>
      </c>
      <c r="BL284" s="299">
        <f t="shared" si="4"/>
        <v>326557</v>
      </c>
      <c r="BM284" s="299">
        <f t="shared" si="4"/>
        <v>16543</v>
      </c>
      <c r="BN284" s="299">
        <f t="shared" si="4"/>
        <v>72943</v>
      </c>
      <c r="BO284" s="299">
        <f t="shared" si="4"/>
        <v>358269</v>
      </c>
      <c r="BP284" s="299">
        <f t="shared" si="4"/>
        <v>46769</v>
      </c>
      <c r="BQ284" s="299">
        <f t="shared" si="4"/>
        <v>73303</v>
      </c>
      <c r="BR284" s="299">
        <f t="shared" si="4"/>
        <v>1283215</v>
      </c>
      <c r="BS284" s="299">
        <f t="shared" si="4"/>
        <v>54884</v>
      </c>
      <c r="BT284" s="299">
        <f t="shared" ref="BT284:CE284" si="5">BT102-BT226</f>
        <v>1691030</v>
      </c>
      <c r="BU284" s="299">
        <f t="shared" si="5"/>
        <v>35372</v>
      </c>
      <c r="BV284" s="299">
        <f t="shared" si="5"/>
        <v>241347</v>
      </c>
      <c r="BW284" s="299">
        <f t="shared" si="5"/>
        <v>21307</v>
      </c>
      <c r="BX284" s="299">
        <f t="shared" si="5"/>
        <v>202467</v>
      </c>
      <c r="BY284" s="299">
        <f t="shared" si="5"/>
        <v>35950</v>
      </c>
      <c r="BZ284" s="299">
        <f t="shared" si="5"/>
        <v>4756</v>
      </c>
      <c r="CA284" s="299">
        <f t="shared" si="5"/>
        <v>4004</v>
      </c>
      <c r="CB284" s="299">
        <f t="shared" si="5"/>
        <v>1212</v>
      </c>
      <c r="CC284" s="299">
        <f t="shared" si="5"/>
        <v>152738</v>
      </c>
      <c r="CD284" s="299">
        <f t="shared" si="5"/>
        <v>0</v>
      </c>
      <c r="CE284" s="299">
        <f t="shared" si="5"/>
        <v>3647</v>
      </c>
    </row>
    <row r="285" spans="1:83" s="295" customFormat="1" x14ac:dyDescent="0.25">
      <c r="A285" s="297"/>
      <c r="B285" s="297"/>
      <c r="C285" s="296" t="s">
        <v>730</v>
      </c>
      <c r="D285" s="298"/>
      <c r="E285" s="299">
        <f t="shared" ref="E285:AJ285" si="6">E104-E226</f>
        <v>63184</v>
      </c>
      <c r="F285" s="299">
        <f t="shared" si="6"/>
        <v>13359</v>
      </c>
      <c r="G285" s="299">
        <f t="shared" si="6"/>
        <v>126790</v>
      </c>
      <c r="H285" s="299">
        <f t="shared" si="6"/>
        <v>777742</v>
      </c>
      <c r="I285" s="299">
        <f t="shared" si="6"/>
        <v>60865</v>
      </c>
      <c r="J285" s="299">
        <f t="shared" si="6"/>
        <v>749623</v>
      </c>
      <c r="K285" s="299">
        <f t="shared" si="6"/>
        <v>630</v>
      </c>
      <c r="L285" s="299">
        <f t="shared" si="6"/>
        <v>39983</v>
      </c>
      <c r="M285" s="299">
        <f t="shared" si="6"/>
        <v>7165</v>
      </c>
      <c r="N285" s="299">
        <f t="shared" si="6"/>
        <v>7496684</v>
      </c>
      <c r="O285" s="299">
        <f t="shared" si="6"/>
        <v>224597</v>
      </c>
      <c r="P285" s="299">
        <f t="shared" si="6"/>
        <v>2715055</v>
      </c>
      <c r="Q285" s="299">
        <f t="shared" si="6"/>
        <v>2396</v>
      </c>
      <c r="R285" s="299">
        <f t="shared" si="6"/>
        <v>51996149</v>
      </c>
      <c r="S285" s="299">
        <f t="shared" si="6"/>
        <v>554540</v>
      </c>
      <c r="T285" s="299">
        <f t="shared" si="6"/>
        <v>3092</v>
      </c>
      <c r="U285" s="299">
        <f t="shared" si="6"/>
        <v>184411370</v>
      </c>
      <c r="V285" s="299">
        <f t="shared" si="6"/>
        <v>17016993</v>
      </c>
      <c r="W285" s="299">
        <f t="shared" si="6"/>
        <v>25933755</v>
      </c>
      <c r="X285" s="299">
        <f t="shared" si="6"/>
        <v>30923717</v>
      </c>
      <c r="Y285" s="299">
        <f t="shared" si="6"/>
        <v>15445</v>
      </c>
      <c r="Z285" s="299">
        <f t="shared" si="6"/>
        <v>5426835</v>
      </c>
      <c r="AA285" s="299">
        <f t="shared" si="6"/>
        <v>266816</v>
      </c>
      <c r="AB285" s="299" t="e">
        <f t="shared" si="6"/>
        <v>#VALUE!</v>
      </c>
      <c r="AC285" s="299">
        <f t="shared" si="6"/>
        <v>1595117</v>
      </c>
      <c r="AD285" s="299" t="e">
        <f t="shared" si="6"/>
        <v>#VALUE!</v>
      </c>
      <c r="AE285" s="299">
        <f t="shared" si="6"/>
        <v>581375</v>
      </c>
      <c r="AF285" s="299">
        <f t="shared" si="6"/>
        <v>2234809</v>
      </c>
      <c r="AG285" s="299">
        <f t="shared" si="6"/>
        <v>9643961</v>
      </c>
      <c r="AH285" s="299">
        <f t="shared" si="6"/>
        <v>1789977</v>
      </c>
      <c r="AI285" s="299">
        <f t="shared" si="6"/>
        <v>362086</v>
      </c>
      <c r="AJ285" s="299">
        <f t="shared" si="6"/>
        <v>54704955</v>
      </c>
      <c r="AK285" s="299">
        <f t="shared" ref="AK285:BS285" si="7">AK104-AK226</f>
        <v>7138</v>
      </c>
      <c r="AL285" s="299">
        <f t="shared" si="7"/>
        <v>225271</v>
      </c>
      <c r="AM285" s="299">
        <f t="shared" si="7"/>
        <v>910547</v>
      </c>
      <c r="AN285" s="299">
        <f t="shared" si="7"/>
        <v>13148759</v>
      </c>
      <c r="AO285" s="299">
        <f t="shared" si="7"/>
        <v>112232</v>
      </c>
      <c r="AP285" s="299">
        <f t="shared" si="7"/>
        <v>184696</v>
      </c>
      <c r="AQ285" s="299">
        <f t="shared" si="7"/>
        <v>623</v>
      </c>
      <c r="AR285" s="299">
        <f t="shared" si="7"/>
        <v>17152417</v>
      </c>
      <c r="AS285" s="299">
        <f t="shared" si="7"/>
        <v>54197601</v>
      </c>
      <c r="AT285" s="299">
        <f t="shared" si="7"/>
        <v>105645</v>
      </c>
      <c r="AU285" s="299">
        <f t="shared" si="7"/>
        <v>955109</v>
      </c>
      <c r="AV285" s="299">
        <f t="shared" si="7"/>
        <v>5386</v>
      </c>
      <c r="AW285" s="299">
        <f t="shared" si="7"/>
        <v>9931316</v>
      </c>
      <c r="AX285" s="299">
        <f t="shared" si="7"/>
        <v>169821</v>
      </c>
      <c r="AY285" s="299">
        <f t="shared" si="7"/>
        <v>306836</v>
      </c>
      <c r="AZ285" s="299">
        <f t="shared" si="7"/>
        <v>4165876</v>
      </c>
      <c r="BA285" s="299">
        <f t="shared" si="7"/>
        <v>164838</v>
      </c>
      <c r="BB285" s="299">
        <f t="shared" si="7"/>
        <v>132952</v>
      </c>
      <c r="BC285" s="299">
        <f t="shared" si="7"/>
        <v>0</v>
      </c>
      <c r="BD285" s="299">
        <f t="shared" si="7"/>
        <v>9278</v>
      </c>
      <c r="BE285" s="299">
        <f t="shared" si="7"/>
        <v>8705335</v>
      </c>
      <c r="BF285" s="299">
        <f t="shared" si="7"/>
        <v>1434</v>
      </c>
      <c r="BG285" s="299">
        <f t="shared" si="7"/>
        <v>32448</v>
      </c>
      <c r="BH285" s="299">
        <f t="shared" si="7"/>
        <v>0</v>
      </c>
      <c r="BI285" s="299">
        <f t="shared" si="7"/>
        <v>1381</v>
      </c>
      <c r="BJ285" s="299">
        <f t="shared" si="7"/>
        <v>25173</v>
      </c>
      <c r="BK285" s="299">
        <f t="shared" si="7"/>
        <v>89712</v>
      </c>
      <c r="BL285" s="299">
        <f t="shared" si="7"/>
        <v>4213937</v>
      </c>
      <c r="BM285" s="299">
        <f t="shared" si="7"/>
        <v>154807</v>
      </c>
      <c r="BN285" s="299">
        <f t="shared" si="7"/>
        <v>935400</v>
      </c>
      <c r="BO285" s="299">
        <f t="shared" si="7"/>
        <v>2134607</v>
      </c>
      <c r="BP285" s="299">
        <f t="shared" si="7"/>
        <v>956782</v>
      </c>
      <c r="BQ285" s="299">
        <f t="shared" si="7"/>
        <v>1903020</v>
      </c>
      <c r="BR285" s="299">
        <f t="shared" si="7"/>
        <v>5091248</v>
      </c>
      <c r="BS285" s="299">
        <f t="shared" si="7"/>
        <v>500523</v>
      </c>
      <c r="BT285" s="299">
        <f t="shared" ref="BT285:CE285" si="8">BT104-BT226</f>
        <v>9336216</v>
      </c>
      <c r="BU285" s="299">
        <f t="shared" si="8"/>
        <v>487753</v>
      </c>
      <c r="BV285" s="299">
        <f t="shared" si="8"/>
        <v>2493180</v>
      </c>
      <c r="BW285" s="299">
        <f t="shared" si="8"/>
        <v>21307</v>
      </c>
      <c r="BX285" s="299">
        <f t="shared" si="8"/>
        <v>814125</v>
      </c>
      <c r="BY285" s="299">
        <f t="shared" si="8"/>
        <v>610883</v>
      </c>
      <c r="BZ285" s="299">
        <f t="shared" si="8"/>
        <v>4756</v>
      </c>
      <c r="CA285" s="299">
        <f t="shared" si="8"/>
        <v>28308</v>
      </c>
      <c r="CB285" s="299">
        <f t="shared" si="8"/>
        <v>1607</v>
      </c>
      <c r="CC285" s="299">
        <f t="shared" si="8"/>
        <v>948299</v>
      </c>
      <c r="CD285" s="299">
        <f t="shared" si="8"/>
        <v>0</v>
      </c>
      <c r="CE285" s="299">
        <f t="shared" si="8"/>
        <v>3647</v>
      </c>
    </row>
    <row r="286" spans="1:83" s="295" customFormat="1" x14ac:dyDescent="0.25">
      <c r="A286" s="297"/>
      <c r="B286" s="297"/>
      <c r="C286" s="296"/>
      <c r="D286" s="298"/>
      <c r="E286" s="299"/>
      <c r="F286" s="299"/>
      <c r="G286" s="299"/>
      <c r="H286" s="299"/>
      <c r="I286" s="299"/>
      <c r="J286" s="299"/>
      <c r="K286" s="299"/>
      <c r="L286" s="299"/>
      <c r="M286" s="299"/>
      <c r="N286" s="299"/>
      <c r="O286" s="299"/>
      <c r="P286" s="299"/>
      <c r="Q286" s="299"/>
      <c r="R286" s="299"/>
      <c r="S286" s="299"/>
      <c r="T286" s="299"/>
      <c r="U286" s="299"/>
      <c r="V286" s="299"/>
      <c r="W286" s="299"/>
      <c r="X286" s="299"/>
      <c r="Y286" s="299"/>
      <c r="Z286" s="299"/>
      <c r="AA286" s="299"/>
      <c r="AB286" s="299"/>
      <c r="AC286" s="299"/>
      <c r="AD286" s="299"/>
      <c r="AE286" s="299"/>
      <c r="AF286" s="299"/>
      <c r="AG286" s="299"/>
      <c r="AH286" s="299"/>
      <c r="AI286" s="299"/>
      <c r="AJ286" s="299"/>
      <c r="AK286" s="299"/>
      <c r="AL286" s="299"/>
      <c r="AM286" s="299"/>
      <c r="AN286" s="299"/>
      <c r="AO286" s="299"/>
      <c r="AP286" s="299"/>
      <c r="AQ286" s="299"/>
      <c r="AR286" s="299"/>
      <c r="AS286" s="299"/>
      <c r="AT286" s="299"/>
      <c r="AU286" s="299"/>
      <c r="AV286" s="299"/>
      <c r="AW286" s="299"/>
      <c r="AX286" s="299"/>
      <c r="AY286" s="299"/>
      <c r="AZ286" s="299"/>
      <c r="BA286" s="299"/>
      <c r="BB286" s="299"/>
      <c r="BC286" s="299"/>
      <c r="BD286" s="299"/>
      <c r="BE286" s="299"/>
      <c r="BF286" s="299"/>
      <c r="BG286" s="299"/>
      <c r="BH286" s="299"/>
      <c r="BI286" s="299"/>
      <c r="BJ286" s="299"/>
      <c r="BK286" s="299"/>
      <c r="BL286" s="299"/>
      <c r="BM286" s="299"/>
      <c r="BN286" s="299"/>
      <c r="BO286" s="299"/>
      <c r="BP286" s="299"/>
      <c r="BQ286" s="299"/>
      <c r="BR286" s="299"/>
      <c r="BS286" s="299"/>
      <c r="BT286" s="299"/>
      <c r="BU286" s="299"/>
      <c r="BV286" s="299"/>
      <c r="BW286" s="299"/>
      <c r="BX286" s="299"/>
      <c r="BY286" s="299"/>
      <c r="BZ286" s="299"/>
      <c r="CA286" s="299"/>
      <c r="CB286" s="299"/>
      <c r="CC286" s="299"/>
      <c r="CD286" s="299"/>
      <c r="CE286" s="299"/>
    </row>
    <row r="287" spans="1:83" s="295" customFormat="1" x14ac:dyDescent="0.25">
      <c r="A287" s="297"/>
      <c r="B287" s="297"/>
      <c r="C287" s="296"/>
      <c r="D287" s="298"/>
      <c r="E287" s="299"/>
      <c r="F287" s="299"/>
      <c r="G287" s="299"/>
      <c r="H287" s="299"/>
      <c r="I287" s="299"/>
      <c r="J287" s="299"/>
      <c r="K287" s="299"/>
      <c r="L287" s="299"/>
      <c r="M287" s="299"/>
      <c r="N287" s="299"/>
      <c r="O287" s="299"/>
      <c r="P287" s="299"/>
      <c r="Q287" s="299"/>
      <c r="R287" s="299"/>
      <c r="S287" s="299"/>
      <c r="T287" s="299"/>
      <c r="U287" s="299"/>
      <c r="V287" s="299"/>
      <c r="W287" s="299"/>
      <c r="X287" s="299"/>
      <c r="Y287" s="299"/>
      <c r="Z287" s="299"/>
      <c r="AA287" s="299"/>
      <c r="AB287" s="299"/>
      <c r="AC287" s="299"/>
      <c r="AD287" s="299"/>
      <c r="AE287" s="299"/>
      <c r="AF287" s="299"/>
      <c r="AG287" s="299"/>
      <c r="AH287" s="299"/>
      <c r="AI287" s="299"/>
      <c r="AJ287" s="299"/>
      <c r="AK287" s="299"/>
      <c r="AL287" s="299"/>
      <c r="AM287" s="299"/>
      <c r="AN287" s="299"/>
      <c r="AO287" s="299"/>
      <c r="AP287" s="299"/>
      <c r="AQ287" s="299"/>
      <c r="AR287" s="299"/>
      <c r="AS287" s="299"/>
      <c r="AT287" s="299"/>
      <c r="AU287" s="299"/>
      <c r="AV287" s="299"/>
      <c r="AW287" s="299"/>
      <c r="AX287" s="299"/>
      <c r="AY287" s="299"/>
      <c r="AZ287" s="299"/>
      <c r="BA287" s="299"/>
      <c r="BB287" s="299"/>
      <c r="BC287" s="299"/>
      <c r="BD287" s="299"/>
      <c r="BE287" s="299"/>
      <c r="BF287" s="299"/>
      <c r="BG287" s="299"/>
      <c r="BH287" s="299"/>
      <c r="BI287" s="299"/>
      <c r="BJ287" s="299"/>
      <c r="BK287" s="299"/>
      <c r="BL287" s="299"/>
      <c r="BM287" s="299"/>
      <c r="BN287" s="299"/>
      <c r="BO287" s="299"/>
      <c r="BP287" s="299"/>
      <c r="BQ287" s="299"/>
      <c r="BR287" s="299"/>
      <c r="BS287" s="299"/>
      <c r="BT287" s="299"/>
      <c r="BU287" s="299"/>
      <c r="BV287" s="299"/>
      <c r="BW287" s="299"/>
      <c r="BX287" s="299"/>
      <c r="BY287" s="299"/>
      <c r="BZ287" s="299"/>
      <c r="CA287" s="299"/>
      <c r="CB287" s="299"/>
      <c r="CC287" s="299"/>
      <c r="CD287" s="299"/>
      <c r="CE287" s="299"/>
    </row>
    <row r="288" spans="1:83" s="281" customFormat="1" x14ac:dyDescent="0.25">
      <c r="A288" s="284"/>
      <c r="B288" s="284"/>
      <c r="C288" s="283"/>
      <c r="D288" s="282"/>
      <c r="E288" s="294"/>
      <c r="F288" s="294"/>
      <c r="G288" s="294"/>
      <c r="H288" s="294"/>
      <c r="I288" s="294"/>
      <c r="J288" s="294"/>
      <c r="K288" s="294"/>
      <c r="L288" s="294"/>
      <c r="M288" s="294"/>
      <c r="N288" s="294"/>
      <c r="O288" s="294"/>
      <c r="P288" s="294"/>
      <c r="Q288" s="294"/>
      <c r="R288" s="294"/>
      <c r="S288" s="294"/>
      <c r="T288" s="294"/>
      <c r="U288" s="294"/>
      <c r="V288" s="294"/>
      <c r="W288" s="294"/>
      <c r="X288" s="294"/>
      <c r="Y288" s="294"/>
      <c r="Z288" s="294"/>
      <c r="AA288" s="294"/>
      <c r="AB288" s="294"/>
      <c r="AC288" s="294"/>
      <c r="AD288" s="294"/>
      <c r="AE288" s="294"/>
      <c r="AF288" s="294"/>
      <c r="AG288" s="294"/>
      <c r="AH288" s="294"/>
      <c r="AI288" s="294"/>
      <c r="AJ288" s="294"/>
      <c r="AK288" s="294"/>
      <c r="AL288" s="294"/>
      <c r="AM288" s="294"/>
      <c r="AN288" s="294"/>
      <c r="AO288" s="294"/>
      <c r="AP288" s="294"/>
      <c r="AQ288" s="294"/>
      <c r="AR288" s="294"/>
      <c r="AS288" s="294"/>
      <c r="AT288" s="294"/>
      <c r="AU288" s="294"/>
      <c r="AV288" s="294"/>
      <c r="AW288" s="294"/>
      <c r="AX288" s="294"/>
      <c r="AY288" s="294"/>
      <c r="AZ288" s="294"/>
      <c r="BA288" s="294"/>
      <c r="BB288" s="294"/>
      <c r="BC288" s="294"/>
      <c r="BD288" s="294"/>
      <c r="BE288" s="294"/>
      <c r="BF288" s="294"/>
      <c r="BG288" s="294"/>
      <c r="BH288" s="294"/>
      <c r="BI288" s="294"/>
      <c r="BJ288" s="294"/>
      <c r="BK288" s="294"/>
      <c r="BL288" s="294"/>
      <c r="BM288" s="294"/>
      <c r="BN288" s="294"/>
      <c r="BO288" s="294"/>
      <c r="BP288" s="294"/>
      <c r="BQ288" s="294"/>
      <c r="BR288" s="294"/>
      <c r="BS288" s="294"/>
      <c r="BT288" s="294"/>
      <c r="BU288" s="294"/>
      <c r="BV288" s="294"/>
      <c r="BW288" s="294"/>
      <c r="BX288" s="294"/>
      <c r="BY288" s="294"/>
      <c r="BZ288" s="294"/>
      <c r="CA288" s="294"/>
      <c r="CB288" s="294"/>
      <c r="CC288" s="294"/>
      <c r="CD288" s="294"/>
      <c r="CE288" s="294"/>
    </row>
    <row r="289" spans="1:83" s="385" customFormat="1" x14ac:dyDescent="0.25">
      <c r="A289" s="398" t="s">
        <v>831</v>
      </c>
      <c r="B289" s="388"/>
      <c r="C289" s="388" t="s">
        <v>835</v>
      </c>
      <c r="D289" s="388"/>
      <c r="E289" s="380">
        <f t="shared" ref="E289:AJ289" si="9">+E156+E186-E3-E4-E5+E282</f>
        <v>154187</v>
      </c>
      <c r="F289" s="380">
        <f t="shared" si="9"/>
        <v>115572</v>
      </c>
      <c r="G289" s="380">
        <f t="shared" si="9"/>
        <v>788791</v>
      </c>
      <c r="H289" s="380">
        <f t="shared" si="9"/>
        <v>3614561</v>
      </c>
      <c r="I289" s="380">
        <f t="shared" si="9"/>
        <v>4285114</v>
      </c>
      <c r="J289" s="380">
        <f t="shared" si="9"/>
        <v>4243618</v>
      </c>
      <c r="K289" s="380">
        <f t="shared" si="9"/>
        <v>96358</v>
      </c>
      <c r="L289" s="380">
        <f t="shared" si="9"/>
        <v>747313</v>
      </c>
      <c r="M289" s="380">
        <f t="shared" si="9"/>
        <v>864175</v>
      </c>
      <c r="N289" s="380">
        <f t="shared" si="9"/>
        <v>7178881</v>
      </c>
      <c r="O289" s="380">
        <f t="shared" si="9"/>
        <v>550403</v>
      </c>
      <c r="P289" s="380">
        <f t="shared" si="9"/>
        <v>6493401</v>
      </c>
      <c r="Q289" s="380">
        <f t="shared" si="9"/>
        <v>250572</v>
      </c>
      <c r="R289" s="380">
        <f t="shared" si="9"/>
        <v>22201835</v>
      </c>
      <c r="S289" s="380">
        <f t="shared" si="9"/>
        <v>1656888</v>
      </c>
      <c r="T289" s="380">
        <f t="shared" si="9"/>
        <v>200513</v>
      </c>
      <c r="U289" s="380">
        <f t="shared" si="9"/>
        <v>26644535</v>
      </c>
      <c r="V289" s="380">
        <f t="shared" si="9"/>
        <v>8574426</v>
      </c>
      <c r="W289" s="380">
        <f t="shared" si="9"/>
        <v>15467062</v>
      </c>
      <c r="X289" s="380">
        <f t="shared" si="9"/>
        <v>22814898</v>
      </c>
      <c r="Y289" s="380">
        <f t="shared" si="9"/>
        <v>197434</v>
      </c>
      <c r="Z289" s="380">
        <f t="shared" si="9"/>
        <v>10919285</v>
      </c>
      <c r="AA289" s="380">
        <f t="shared" si="9"/>
        <v>1442373</v>
      </c>
      <c r="AB289" s="380" t="e">
        <f t="shared" si="9"/>
        <v>#VALUE!</v>
      </c>
      <c r="AC289" s="380">
        <f t="shared" si="9"/>
        <v>421896</v>
      </c>
      <c r="AD289" s="380" t="e">
        <f t="shared" si="9"/>
        <v>#VALUE!</v>
      </c>
      <c r="AE289" s="380">
        <f t="shared" si="9"/>
        <v>472408</v>
      </c>
      <c r="AF289" s="380">
        <f t="shared" si="9"/>
        <v>2946053</v>
      </c>
      <c r="AG289" s="380">
        <f t="shared" si="9"/>
        <v>13924722</v>
      </c>
      <c r="AH289" s="380">
        <f t="shared" si="9"/>
        <v>4635018</v>
      </c>
      <c r="AI289" s="380">
        <f t="shared" si="9"/>
        <v>779786</v>
      </c>
      <c r="AJ289" s="380">
        <f t="shared" si="9"/>
        <v>14236881</v>
      </c>
      <c r="AK289" s="380">
        <f t="shared" ref="AK289:BS289" si="10">+AK156+AK186-AK3-AK4-AK5+AK282</f>
        <v>2891123</v>
      </c>
      <c r="AL289" s="380">
        <f t="shared" si="10"/>
        <v>594040</v>
      </c>
      <c r="AM289" s="380">
        <f t="shared" si="10"/>
        <v>1595133</v>
      </c>
      <c r="AN289" s="380">
        <f t="shared" si="10"/>
        <v>8082955</v>
      </c>
      <c r="AO289" s="380">
        <f t="shared" si="10"/>
        <v>718755</v>
      </c>
      <c r="AP289" s="380">
        <f t="shared" si="10"/>
        <v>246225</v>
      </c>
      <c r="AQ289" s="380">
        <f t="shared" si="10"/>
        <v>80244</v>
      </c>
      <c r="AR289" s="380">
        <f t="shared" si="10"/>
        <v>1512275</v>
      </c>
      <c r="AS289" s="380">
        <f t="shared" si="10"/>
        <v>1053428</v>
      </c>
      <c r="AT289" s="380">
        <f t="shared" si="10"/>
        <v>542590</v>
      </c>
      <c r="AU289" s="380">
        <f t="shared" si="10"/>
        <v>1481570</v>
      </c>
      <c r="AV289" s="380">
        <f t="shared" si="10"/>
        <v>374959</v>
      </c>
      <c r="AW289" s="380">
        <f t="shared" si="10"/>
        <v>14144235</v>
      </c>
      <c r="AX289" s="380">
        <f t="shared" si="10"/>
        <v>3486813</v>
      </c>
      <c r="AY289" s="380">
        <f t="shared" si="10"/>
        <v>1019595</v>
      </c>
      <c r="AZ289" s="380">
        <f t="shared" si="10"/>
        <v>13899146</v>
      </c>
      <c r="BA289" s="380">
        <f t="shared" si="10"/>
        <v>1851683</v>
      </c>
      <c r="BB289" s="380">
        <f t="shared" si="10"/>
        <v>1042153</v>
      </c>
      <c r="BC289" s="380">
        <f t="shared" si="10"/>
        <v>88430</v>
      </c>
      <c r="BD289" s="380">
        <f t="shared" si="10"/>
        <v>268001</v>
      </c>
      <c r="BE289" s="380">
        <f t="shared" si="10"/>
        <v>3569484</v>
      </c>
      <c r="BF289" s="380">
        <f t="shared" si="10"/>
        <v>477458</v>
      </c>
      <c r="BG289" s="380">
        <f t="shared" si="10"/>
        <v>762322</v>
      </c>
      <c r="BH289" s="380">
        <f t="shared" si="10"/>
        <v>117647</v>
      </c>
      <c r="BI289" s="380">
        <f t="shared" si="10"/>
        <v>265405</v>
      </c>
      <c r="BJ289" s="380">
        <f t="shared" si="10"/>
        <v>511995</v>
      </c>
      <c r="BK289" s="380">
        <f t="shared" si="10"/>
        <v>261992</v>
      </c>
      <c r="BL289" s="380">
        <f t="shared" si="10"/>
        <v>1195193</v>
      </c>
      <c r="BM289" s="380">
        <f t="shared" si="10"/>
        <v>332672</v>
      </c>
      <c r="BN289" s="380">
        <f t="shared" si="10"/>
        <v>451228</v>
      </c>
      <c r="BO289" s="380">
        <f t="shared" si="10"/>
        <v>2412130</v>
      </c>
      <c r="BP289" s="380">
        <f t="shared" si="10"/>
        <v>865588</v>
      </c>
      <c r="BQ289" s="380">
        <f t="shared" si="10"/>
        <v>1909796</v>
      </c>
      <c r="BR289" s="380">
        <f t="shared" si="10"/>
        <v>8697654</v>
      </c>
      <c r="BS289" s="380">
        <f t="shared" si="10"/>
        <v>653102</v>
      </c>
      <c r="BT289" s="380">
        <f t="shared" ref="BT289:CE289" si="11">+BT156+BT186-BT3-BT4-BT5+BT282</f>
        <v>17688334</v>
      </c>
      <c r="BU289" s="380">
        <f t="shared" si="11"/>
        <v>666770</v>
      </c>
      <c r="BV289" s="380">
        <f t="shared" si="11"/>
        <v>4272800</v>
      </c>
      <c r="BW289" s="380">
        <f t="shared" si="11"/>
        <v>1060344</v>
      </c>
      <c r="BX289" s="380">
        <f t="shared" si="11"/>
        <v>1003561</v>
      </c>
      <c r="BY289" s="380">
        <f t="shared" si="11"/>
        <v>1893657</v>
      </c>
      <c r="BZ289" s="380">
        <f t="shared" si="11"/>
        <v>310779</v>
      </c>
      <c r="CA289" s="380">
        <f t="shared" si="11"/>
        <v>223332</v>
      </c>
      <c r="CB289" s="380">
        <f t="shared" si="11"/>
        <v>95422</v>
      </c>
      <c r="CC289" s="380">
        <f t="shared" si="11"/>
        <v>296980</v>
      </c>
      <c r="CD289" s="380">
        <f t="shared" si="11"/>
        <v>0</v>
      </c>
      <c r="CE289" s="380">
        <f t="shared" si="11"/>
        <v>363815</v>
      </c>
    </row>
    <row r="290" spans="1:83" s="385" customFormat="1" x14ac:dyDescent="0.25">
      <c r="A290" s="398" t="s">
        <v>832</v>
      </c>
      <c r="B290" s="388"/>
      <c r="C290" s="388" t="s">
        <v>842</v>
      </c>
      <c r="D290" s="388"/>
      <c r="E290" s="380">
        <f t="shared" ref="E290:AJ290" si="12">+E182+E15+E159-E158-E183</f>
        <v>258584</v>
      </c>
      <c r="F290" s="380">
        <f t="shared" si="12"/>
        <v>32882</v>
      </c>
      <c r="G290" s="380">
        <f t="shared" si="12"/>
        <v>707374</v>
      </c>
      <c r="H290" s="380">
        <f t="shared" si="12"/>
        <v>1485388</v>
      </c>
      <c r="I290" s="380">
        <f t="shared" si="12"/>
        <v>935200</v>
      </c>
      <c r="J290" s="380">
        <f t="shared" si="12"/>
        <v>2729424</v>
      </c>
      <c r="K290" s="380">
        <f t="shared" si="12"/>
        <v>55167</v>
      </c>
      <c r="L290" s="380">
        <f t="shared" si="12"/>
        <v>246950</v>
      </c>
      <c r="M290" s="380">
        <f t="shared" si="12"/>
        <v>230347</v>
      </c>
      <c r="N290" s="380">
        <f t="shared" si="12"/>
        <v>12830788</v>
      </c>
      <c r="O290" s="380">
        <f t="shared" si="12"/>
        <v>588545</v>
      </c>
      <c r="P290" s="380">
        <f t="shared" si="12"/>
        <v>5297359</v>
      </c>
      <c r="Q290" s="380">
        <f t="shared" si="12"/>
        <v>58735</v>
      </c>
      <c r="R290" s="380">
        <f t="shared" si="12"/>
        <v>35644950</v>
      </c>
      <c r="S290" s="380">
        <f t="shared" si="12"/>
        <v>1826830</v>
      </c>
      <c r="T290" s="380">
        <f t="shared" si="12"/>
        <v>37900</v>
      </c>
      <c r="U290" s="380">
        <f t="shared" si="12"/>
        <v>63775013</v>
      </c>
      <c r="V290" s="380">
        <f t="shared" si="12"/>
        <v>12450097</v>
      </c>
      <c r="W290" s="380">
        <f t="shared" si="12"/>
        <v>20469391</v>
      </c>
      <c r="X290" s="380">
        <f t="shared" si="12"/>
        <v>31703577</v>
      </c>
      <c r="Y290" s="380">
        <f t="shared" si="12"/>
        <v>273926</v>
      </c>
      <c r="Z290" s="380">
        <f t="shared" si="12"/>
        <v>13257631</v>
      </c>
      <c r="AA290" s="380">
        <f t="shared" si="12"/>
        <v>950973</v>
      </c>
      <c r="AB290" s="380" t="e">
        <f t="shared" si="12"/>
        <v>#VALUE!</v>
      </c>
      <c r="AC290" s="380">
        <f t="shared" si="12"/>
        <v>4028041</v>
      </c>
      <c r="AD290" s="380" t="e">
        <f t="shared" si="12"/>
        <v>#VALUE!</v>
      </c>
      <c r="AE290" s="380">
        <f t="shared" si="12"/>
        <v>2201366</v>
      </c>
      <c r="AF290" s="380">
        <f t="shared" si="12"/>
        <v>2242974</v>
      </c>
      <c r="AG290" s="380">
        <f t="shared" si="12"/>
        <v>13195222</v>
      </c>
      <c r="AH290" s="380">
        <f t="shared" si="12"/>
        <v>5461851</v>
      </c>
      <c r="AI290" s="380">
        <f t="shared" si="12"/>
        <v>869229</v>
      </c>
      <c r="AJ290" s="380">
        <f t="shared" si="12"/>
        <v>36043235</v>
      </c>
      <c r="AK290" s="380">
        <f t="shared" ref="AK290:BS290" si="13">+AK182+AK15+AK159-AK158-AK183</f>
        <v>333782</v>
      </c>
      <c r="AL290" s="380">
        <f t="shared" si="13"/>
        <v>761005</v>
      </c>
      <c r="AM290" s="380">
        <f t="shared" si="13"/>
        <v>2572091</v>
      </c>
      <c r="AN290" s="380">
        <f t="shared" si="13"/>
        <v>12501146</v>
      </c>
      <c r="AO290" s="380">
        <f t="shared" si="13"/>
        <v>599248</v>
      </c>
      <c r="AP290" s="380">
        <f t="shared" si="13"/>
        <v>726334</v>
      </c>
      <c r="AQ290" s="380">
        <f t="shared" si="13"/>
        <v>37943</v>
      </c>
      <c r="AR290" s="380">
        <f t="shared" si="13"/>
        <v>3796022</v>
      </c>
      <c r="AS290" s="380">
        <f t="shared" si="13"/>
        <v>7227630</v>
      </c>
      <c r="AT290" s="380">
        <f t="shared" si="13"/>
        <v>419609</v>
      </c>
      <c r="AU290" s="380">
        <f t="shared" si="13"/>
        <v>2964692</v>
      </c>
      <c r="AV290" s="380">
        <f t="shared" si="13"/>
        <v>192845</v>
      </c>
      <c r="AW290" s="380">
        <f t="shared" si="13"/>
        <v>12172418</v>
      </c>
      <c r="AX290" s="380">
        <f t="shared" si="13"/>
        <v>1116697</v>
      </c>
      <c r="AY290" s="380">
        <f t="shared" si="13"/>
        <v>1533598</v>
      </c>
      <c r="AZ290" s="380">
        <f t="shared" si="13"/>
        <v>6434017</v>
      </c>
      <c r="BA290" s="380">
        <f t="shared" si="13"/>
        <v>895109</v>
      </c>
      <c r="BB290" s="380">
        <f t="shared" si="13"/>
        <v>912774</v>
      </c>
      <c r="BC290" s="380">
        <f t="shared" si="13"/>
        <v>15900</v>
      </c>
      <c r="BD290" s="380">
        <f t="shared" si="13"/>
        <v>196620</v>
      </c>
      <c r="BE290" s="380">
        <f t="shared" si="13"/>
        <v>8487400</v>
      </c>
      <c r="BF290" s="380">
        <f t="shared" si="13"/>
        <v>140197</v>
      </c>
      <c r="BG290" s="380">
        <f t="shared" si="13"/>
        <v>288692</v>
      </c>
      <c r="BH290" s="380">
        <f t="shared" si="13"/>
        <v>122696</v>
      </c>
      <c r="BI290" s="380">
        <f t="shared" si="13"/>
        <v>56760</v>
      </c>
      <c r="BJ290" s="380">
        <f t="shared" si="13"/>
        <v>206808</v>
      </c>
      <c r="BK290" s="380">
        <f t="shared" si="13"/>
        <v>151770</v>
      </c>
      <c r="BL290" s="380">
        <f t="shared" si="13"/>
        <v>3210195</v>
      </c>
      <c r="BM290" s="380">
        <f t="shared" si="13"/>
        <v>878073</v>
      </c>
      <c r="BN290" s="380">
        <f t="shared" si="13"/>
        <v>1649092</v>
      </c>
      <c r="BO290" s="380">
        <f t="shared" si="13"/>
        <v>3521864</v>
      </c>
      <c r="BP290" s="380">
        <f t="shared" si="13"/>
        <v>1021967</v>
      </c>
      <c r="BQ290" s="380">
        <f t="shared" si="13"/>
        <v>684838</v>
      </c>
      <c r="BR290" s="380">
        <f t="shared" si="13"/>
        <v>18206689</v>
      </c>
      <c r="BS290" s="380">
        <f t="shared" si="13"/>
        <v>1450822</v>
      </c>
      <c r="BT290" s="380">
        <f t="shared" ref="BT290:CE290" si="14">+BT182+BT15+BT159-BT158-BT183</f>
        <v>13077076</v>
      </c>
      <c r="BU290" s="380">
        <f t="shared" si="14"/>
        <v>613102</v>
      </c>
      <c r="BV290" s="380">
        <f t="shared" si="14"/>
        <v>4304815</v>
      </c>
      <c r="BW290" s="380">
        <f t="shared" si="14"/>
        <v>623943</v>
      </c>
      <c r="BX290" s="380">
        <f t="shared" si="14"/>
        <v>2005730</v>
      </c>
      <c r="BY290" s="380">
        <f t="shared" si="14"/>
        <v>834785</v>
      </c>
      <c r="BZ290" s="380">
        <f t="shared" si="14"/>
        <v>84639</v>
      </c>
      <c r="CA290" s="380">
        <f t="shared" si="14"/>
        <v>104169</v>
      </c>
      <c r="CB290" s="380">
        <f t="shared" si="14"/>
        <v>99019</v>
      </c>
      <c r="CC290" s="380">
        <f t="shared" si="14"/>
        <v>958495</v>
      </c>
      <c r="CD290" s="380">
        <f t="shared" si="14"/>
        <v>0</v>
      </c>
      <c r="CE290" s="380">
        <f t="shared" si="14"/>
        <v>51409</v>
      </c>
    </row>
    <row r="291" spans="1:83" s="385" customFormat="1" x14ac:dyDescent="0.25">
      <c r="A291" s="398" t="s">
        <v>833</v>
      </c>
      <c r="B291" s="388"/>
      <c r="C291" s="394" t="s">
        <v>841</v>
      </c>
      <c r="D291" s="388"/>
      <c r="E291" s="395">
        <f>E289/E290</f>
        <v>0.59627432478420939</v>
      </c>
      <c r="F291" s="395">
        <f t="shared" ref="F291:BQ291" si="15">F289/F290</f>
        <v>3.5147497110881334</v>
      </c>
      <c r="G291" s="395">
        <f t="shared" si="15"/>
        <v>1.1150975297367447</v>
      </c>
      <c r="H291" s="395">
        <f t="shared" si="15"/>
        <v>2.4334120108685409</v>
      </c>
      <c r="I291" s="395">
        <f t="shared" si="15"/>
        <v>4.5820295124037642</v>
      </c>
      <c r="J291" s="395">
        <f t="shared" si="15"/>
        <v>1.5547668665623222</v>
      </c>
      <c r="K291" s="395">
        <f t="shared" si="15"/>
        <v>1.7466601410263383</v>
      </c>
      <c r="L291" s="395">
        <f t="shared" si="15"/>
        <v>3.0261712897347639</v>
      </c>
      <c r="M291" s="395">
        <f t="shared" si="15"/>
        <v>3.7516225520627575</v>
      </c>
      <c r="N291" s="395">
        <f t="shared" si="15"/>
        <v>0.55950429544935198</v>
      </c>
      <c r="O291" s="395">
        <f t="shared" si="15"/>
        <v>0.93519272103237649</v>
      </c>
      <c r="P291" s="395">
        <f t="shared" si="15"/>
        <v>1.2257808088898638</v>
      </c>
      <c r="Q291" s="395">
        <f t="shared" si="15"/>
        <v>4.2661445475440534</v>
      </c>
      <c r="R291" s="395">
        <f t="shared" si="15"/>
        <v>0.62286060157189171</v>
      </c>
      <c r="S291" s="395">
        <f t="shared" si="15"/>
        <v>0.90697437637875444</v>
      </c>
      <c r="T291" s="395">
        <f t="shared" si="15"/>
        <v>5.2905804749340373</v>
      </c>
      <c r="U291" s="395">
        <f t="shared" si="15"/>
        <v>0.4177895659543025</v>
      </c>
      <c r="V291" s="395">
        <f t="shared" si="15"/>
        <v>0.68870354985989268</v>
      </c>
      <c r="W291" s="395">
        <f t="shared" si="15"/>
        <v>0.75561906067454576</v>
      </c>
      <c r="X291" s="395">
        <f t="shared" si="15"/>
        <v>0.71963166806067336</v>
      </c>
      <c r="Y291" s="395">
        <f t="shared" si="15"/>
        <v>0.72075670071479159</v>
      </c>
      <c r="Z291" s="395">
        <f t="shared" si="15"/>
        <v>0.82362263665356206</v>
      </c>
      <c r="AA291" s="395">
        <f t="shared" si="15"/>
        <v>1.5167339135811426</v>
      </c>
      <c r="AB291" s="395" t="e">
        <f t="shared" si="15"/>
        <v>#VALUE!</v>
      </c>
      <c r="AC291" s="395">
        <f t="shared" si="15"/>
        <v>0.10473974818031892</v>
      </c>
      <c r="AD291" s="395" t="e">
        <f t="shared" si="15"/>
        <v>#VALUE!</v>
      </c>
      <c r="AE291" s="395">
        <f t="shared" si="15"/>
        <v>0.21459766345078465</v>
      </c>
      <c r="AF291" s="395">
        <f t="shared" si="15"/>
        <v>1.3134583815951499</v>
      </c>
      <c r="AG291" s="395">
        <f t="shared" si="15"/>
        <v>1.0552851630688744</v>
      </c>
      <c r="AH291" s="395">
        <f t="shared" si="15"/>
        <v>0.84861670521586907</v>
      </c>
      <c r="AI291" s="395">
        <f t="shared" si="15"/>
        <v>0.89710076401040462</v>
      </c>
      <c r="AJ291" s="395">
        <f t="shared" si="15"/>
        <v>0.39499453919716143</v>
      </c>
      <c r="AK291" s="395">
        <f t="shared" si="15"/>
        <v>8.6617103378852072</v>
      </c>
      <c r="AL291" s="395">
        <f t="shared" si="15"/>
        <v>0.78059933903193801</v>
      </c>
      <c r="AM291" s="395">
        <f t="shared" si="15"/>
        <v>0.6201697373848748</v>
      </c>
      <c r="AN291" s="395">
        <f t="shared" si="15"/>
        <v>0.64657712180947247</v>
      </c>
      <c r="AO291" s="395">
        <f t="shared" si="15"/>
        <v>1.199428283448589</v>
      </c>
      <c r="AP291" s="395">
        <f t="shared" si="15"/>
        <v>0.33899693529423103</v>
      </c>
      <c r="AQ291" s="395">
        <f t="shared" si="15"/>
        <v>2.1148564952692195</v>
      </c>
      <c r="AR291" s="395">
        <f t="shared" si="15"/>
        <v>0.39838415056603993</v>
      </c>
      <c r="AS291" s="395">
        <f t="shared" si="15"/>
        <v>0.14575012832698961</v>
      </c>
      <c r="AT291" s="395">
        <f t="shared" si="15"/>
        <v>1.2930847527102611</v>
      </c>
      <c r="AU291" s="395">
        <f t="shared" si="15"/>
        <v>0.49973825274261202</v>
      </c>
      <c r="AV291" s="395">
        <f t="shared" si="15"/>
        <v>1.9443542741580024</v>
      </c>
      <c r="AW291" s="395">
        <f t="shared" si="15"/>
        <v>1.1619905757426339</v>
      </c>
      <c r="AX291" s="395">
        <f t="shared" si="15"/>
        <v>3.122434286113422</v>
      </c>
      <c r="AY291" s="395">
        <f t="shared" si="15"/>
        <v>0.66483850396257693</v>
      </c>
      <c r="AZ291" s="395">
        <f t="shared" si="15"/>
        <v>2.1602594460039506</v>
      </c>
      <c r="BA291" s="395">
        <f t="shared" si="15"/>
        <v>2.0686676147821101</v>
      </c>
      <c r="BB291" s="395">
        <f t="shared" si="15"/>
        <v>1.1417426438526952</v>
      </c>
      <c r="BC291" s="395">
        <f t="shared" si="15"/>
        <v>5.5616352201257859</v>
      </c>
      <c r="BD291" s="395">
        <f t="shared" si="15"/>
        <v>1.3630403824636355</v>
      </c>
      <c r="BE291" s="395">
        <f t="shared" si="15"/>
        <v>0.42056271649739613</v>
      </c>
      <c r="BF291" s="395">
        <f t="shared" si="15"/>
        <v>3.4056220889177373</v>
      </c>
      <c r="BG291" s="395">
        <f t="shared" si="15"/>
        <v>2.6406065980352764</v>
      </c>
      <c r="BH291" s="395">
        <f t="shared" si="15"/>
        <v>0.95884951424659326</v>
      </c>
      <c r="BI291" s="395">
        <f t="shared" si="15"/>
        <v>4.6759161381254408</v>
      </c>
      <c r="BJ291" s="395">
        <f t="shared" si="15"/>
        <v>2.4757021004990136</v>
      </c>
      <c r="BK291" s="395">
        <f t="shared" si="15"/>
        <v>1.7262436581669631</v>
      </c>
      <c r="BL291" s="395">
        <f t="shared" si="15"/>
        <v>0.3723116508498705</v>
      </c>
      <c r="BM291" s="395">
        <f t="shared" si="15"/>
        <v>0.3788659940574417</v>
      </c>
      <c r="BN291" s="395">
        <f t="shared" si="15"/>
        <v>0.27362209021691936</v>
      </c>
      <c r="BO291" s="395">
        <f t="shared" si="15"/>
        <v>0.68490151805975474</v>
      </c>
      <c r="BP291" s="395">
        <f t="shared" si="15"/>
        <v>0.84698233896006425</v>
      </c>
      <c r="BQ291" s="395">
        <f t="shared" si="15"/>
        <v>2.7886828709855469</v>
      </c>
      <c r="BR291" s="395">
        <f>BR289/BR290</f>
        <v>0.47771750261675805</v>
      </c>
      <c r="BS291" s="395">
        <f>BS289/BS290</f>
        <v>0.45015997827438514</v>
      </c>
      <c r="BT291" s="395">
        <f t="shared" ref="BT291:CE291" si="16">BT289/BT290</f>
        <v>1.3526214881675385</v>
      </c>
      <c r="BU291" s="395">
        <f t="shared" si="16"/>
        <v>1.0875351899031482</v>
      </c>
      <c r="BV291" s="395">
        <f t="shared" si="16"/>
        <v>0.99256297889688638</v>
      </c>
      <c r="BW291" s="395">
        <f t="shared" si="16"/>
        <v>1.6994244666580121</v>
      </c>
      <c r="BX291" s="395">
        <f t="shared" si="16"/>
        <v>0.50034700582830194</v>
      </c>
      <c r="BY291" s="395">
        <f t="shared" si="16"/>
        <v>2.2684367831237982</v>
      </c>
      <c r="BZ291" s="395">
        <f t="shared" si="16"/>
        <v>3.671817956261298</v>
      </c>
      <c r="CA291" s="395">
        <f t="shared" si="16"/>
        <v>2.1439391757624628</v>
      </c>
      <c r="CB291" s="395">
        <f t="shared" si="16"/>
        <v>0.96367363839263176</v>
      </c>
      <c r="CC291" s="395">
        <f t="shared" si="16"/>
        <v>0.30983990526815475</v>
      </c>
      <c r="CD291" s="395" t="e">
        <f t="shared" si="16"/>
        <v>#DIV/0!</v>
      </c>
      <c r="CE291" s="395">
        <f t="shared" si="16"/>
        <v>7.0768736991577352</v>
      </c>
    </row>
    <row r="292" spans="1:83" s="385" customFormat="1" x14ac:dyDescent="0.25">
      <c r="A292" s="398" t="s">
        <v>836</v>
      </c>
      <c r="B292" s="388"/>
      <c r="C292" s="396" t="s">
        <v>844</v>
      </c>
      <c r="D292" s="388"/>
      <c r="E292" s="380">
        <f>+E97+E51</f>
        <v>28527</v>
      </c>
      <c r="F292" s="380">
        <f t="shared" ref="F292:BQ292" si="17">+F97+F51</f>
        <v>0</v>
      </c>
      <c r="G292" s="380">
        <f t="shared" si="17"/>
        <v>118002</v>
      </c>
      <c r="H292" s="380">
        <f t="shared" si="17"/>
        <v>0</v>
      </c>
      <c r="I292" s="380">
        <f t="shared" si="17"/>
        <v>0</v>
      </c>
      <c r="J292" s="380">
        <f t="shared" si="17"/>
        <v>0</v>
      </c>
      <c r="K292" s="380">
        <f t="shared" si="17"/>
        <v>21305</v>
      </c>
      <c r="L292" s="380">
        <f t="shared" si="17"/>
        <v>0</v>
      </c>
      <c r="M292" s="380">
        <f t="shared" si="17"/>
        <v>0</v>
      </c>
      <c r="N292" s="380">
        <f t="shared" si="17"/>
        <v>0</v>
      </c>
      <c r="O292" s="380">
        <f t="shared" si="17"/>
        <v>0</v>
      </c>
      <c r="P292" s="380">
        <f t="shared" si="17"/>
        <v>0</v>
      </c>
      <c r="Q292" s="380">
        <f t="shared" si="17"/>
        <v>0</v>
      </c>
      <c r="R292" s="380">
        <f t="shared" si="17"/>
        <v>1983178</v>
      </c>
      <c r="S292" s="380">
        <f t="shared" si="17"/>
        <v>96053</v>
      </c>
      <c r="T292" s="380">
        <f t="shared" si="17"/>
        <v>0</v>
      </c>
      <c r="U292" s="380">
        <f t="shared" si="17"/>
        <v>6683364</v>
      </c>
      <c r="V292" s="380">
        <f t="shared" si="17"/>
        <v>1496097</v>
      </c>
      <c r="W292" s="380">
        <f t="shared" si="17"/>
        <v>2211641</v>
      </c>
      <c r="X292" s="380">
        <f t="shared" si="17"/>
        <v>0</v>
      </c>
      <c r="Y292" s="380">
        <f t="shared" si="17"/>
        <v>0</v>
      </c>
      <c r="Z292" s="380">
        <f t="shared" si="17"/>
        <v>1477301</v>
      </c>
      <c r="AA292" s="380">
        <f t="shared" si="17"/>
        <v>67716</v>
      </c>
      <c r="AB292" s="380" t="e">
        <f t="shared" si="17"/>
        <v>#VALUE!</v>
      </c>
      <c r="AC292" s="380">
        <f t="shared" si="17"/>
        <v>723918</v>
      </c>
      <c r="AD292" s="380" t="e">
        <f t="shared" si="17"/>
        <v>#VALUE!</v>
      </c>
      <c r="AE292" s="380">
        <f t="shared" si="17"/>
        <v>371500</v>
      </c>
      <c r="AF292" s="380">
        <f t="shared" si="17"/>
        <v>32920</v>
      </c>
      <c r="AG292" s="380">
        <f t="shared" si="17"/>
        <v>149107</v>
      </c>
      <c r="AH292" s="380">
        <f t="shared" si="17"/>
        <v>49892</v>
      </c>
      <c r="AI292" s="380">
        <f t="shared" si="17"/>
        <v>45861</v>
      </c>
      <c r="AJ292" s="380">
        <f t="shared" si="17"/>
        <v>6104699</v>
      </c>
      <c r="AK292" s="380">
        <f t="shared" si="17"/>
        <v>0</v>
      </c>
      <c r="AL292" s="380">
        <f t="shared" si="17"/>
        <v>79814</v>
      </c>
      <c r="AM292" s="380">
        <f t="shared" si="17"/>
        <v>678498</v>
      </c>
      <c r="AN292" s="380">
        <f t="shared" si="17"/>
        <v>1766304</v>
      </c>
      <c r="AO292" s="380">
        <f t="shared" si="17"/>
        <v>35833</v>
      </c>
      <c r="AP292" s="380">
        <f t="shared" si="17"/>
        <v>80250</v>
      </c>
      <c r="AQ292" s="380">
        <f t="shared" si="17"/>
        <v>0</v>
      </c>
      <c r="AR292" s="380">
        <f t="shared" si="17"/>
        <v>0</v>
      </c>
      <c r="AS292" s="380">
        <f t="shared" si="17"/>
        <v>579074</v>
      </c>
      <c r="AT292" s="380">
        <f t="shared" si="17"/>
        <v>87510</v>
      </c>
      <c r="AU292" s="380">
        <f t="shared" si="17"/>
        <v>355173</v>
      </c>
      <c r="AV292" s="380">
        <f t="shared" si="17"/>
        <v>0</v>
      </c>
      <c r="AW292" s="380">
        <f t="shared" si="17"/>
        <v>6676281</v>
      </c>
      <c r="AX292" s="380">
        <f t="shared" si="17"/>
        <v>0</v>
      </c>
      <c r="AY292" s="380">
        <f t="shared" si="17"/>
        <v>337765</v>
      </c>
      <c r="AZ292" s="380">
        <f t="shared" si="17"/>
        <v>0</v>
      </c>
      <c r="BA292" s="380">
        <f t="shared" si="17"/>
        <v>65073</v>
      </c>
      <c r="BB292" s="380">
        <f t="shared" si="17"/>
        <v>0</v>
      </c>
      <c r="BC292" s="380">
        <f t="shared" si="17"/>
        <v>0</v>
      </c>
      <c r="BD292" s="380">
        <f t="shared" si="17"/>
        <v>0</v>
      </c>
      <c r="BE292" s="380">
        <f t="shared" si="17"/>
        <v>887446</v>
      </c>
      <c r="BF292" s="380">
        <f t="shared" si="17"/>
        <v>0</v>
      </c>
      <c r="BG292" s="380">
        <f t="shared" si="17"/>
        <v>29371</v>
      </c>
      <c r="BH292" s="380">
        <f t="shared" si="17"/>
        <v>0</v>
      </c>
      <c r="BI292" s="380">
        <f t="shared" si="17"/>
        <v>0</v>
      </c>
      <c r="BJ292" s="380">
        <f t="shared" si="17"/>
        <v>5558</v>
      </c>
      <c r="BK292" s="380">
        <f t="shared" si="17"/>
        <v>0</v>
      </c>
      <c r="BL292" s="380">
        <f t="shared" si="17"/>
        <v>140504</v>
      </c>
      <c r="BM292" s="380">
        <f t="shared" si="17"/>
        <v>46127</v>
      </c>
      <c r="BN292" s="380">
        <f t="shared" si="17"/>
        <v>138186</v>
      </c>
      <c r="BO292" s="380">
        <f t="shared" si="17"/>
        <v>259296</v>
      </c>
      <c r="BP292" s="380">
        <f t="shared" si="17"/>
        <v>85952</v>
      </c>
      <c r="BQ292" s="380">
        <f t="shared" si="17"/>
        <v>41841</v>
      </c>
      <c r="BR292" s="380">
        <f t="shared" ref="BR292:CE292" si="18">+BR97+BR51</f>
        <v>0</v>
      </c>
      <c r="BS292" s="380">
        <f t="shared" si="18"/>
        <v>0</v>
      </c>
      <c r="BT292" s="380">
        <f t="shared" si="18"/>
        <v>0</v>
      </c>
      <c r="BU292" s="380">
        <f t="shared" si="18"/>
        <v>46081</v>
      </c>
      <c r="BV292" s="380">
        <f t="shared" si="18"/>
        <v>190884</v>
      </c>
      <c r="BW292" s="380">
        <f t="shared" si="18"/>
        <v>0</v>
      </c>
      <c r="BX292" s="380">
        <f t="shared" si="18"/>
        <v>217252</v>
      </c>
      <c r="BY292" s="380">
        <f t="shared" si="18"/>
        <v>0</v>
      </c>
      <c r="BZ292" s="380">
        <f t="shared" si="18"/>
        <v>0</v>
      </c>
      <c r="CA292" s="380">
        <f t="shared" si="18"/>
        <v>64225</v>
      </c>
      <c r="CB292" s="380">
        <f t="shared" si="18"/>
        <v>16856</v>
      </c>
      <c r="CC292" s="380">
        <f t="shared" si="18"/>
        <v>128151</v>
      </c>
      <c r="CD292" s="380">
        <f t="shared" si="18"/>
        <v>0</v>
      </c>
      <c r="CE292" s="380">
        <f t="shared" si="18"/>
        <v>0</v>
      </c>
    </row>
    <row r="293" spans="1:83" s="385" customFormat="1" x14ac:dyDescent="0.25">
      <c r="A293" s="398" t="s">
        <v>1086</v>
      </c>
      <c r="B293" s="388"/>
      <c r="C293" s="388"/>
      <c r="D293" s="388"/>
      <c r="E293" s="380">
        <f t="shared" ref="E293:AJ293" si="19">+E60+E58</f>
        <v>0</v>
      </c>
      <c r="F293" s="380">
        <f t="shared" si="19"/>
        <v>0</v>
      </c>
      <c r="G293" s="380">
        <f t="shared" si="19"/>
        <v>0</v>
      </c>
      <c r="H293" s="380">
        <f t="shared" si="19"/>
        <v>0</v>
      </c>
      <c r="I293" s="380">
        <f t="shared" si="19"/>
        <v>0</v>
      </c>
      <c r="J293" s="380">
        <f t="shared" si="19"/>
        <v>0</v>
      </c>
      <c r="K293" s="380">
        <f t="shared" si="19"/>
        <v>0</v>
      </c>
      <c r="L293" s="380">
        <f t="shared" si="19"/>
        <v>0</v>
      </c>
      <c r="M293" s="380">
        <f t="shared" si="19"/>
        <v>0</v>
      </c>
      <c r="N293" s="380">
        <f t="shared" si="19"/>
        <v>0</v>
      </c>
      <c r="O293" s="380">
        <f t="shared" si="19"/>
        <v>0</v>
      </c>
      <c r="P293" s="380">
        <f t="shared" si="19"/>
        <v>0</v>
      </c>
      <c r="Q293" s="380">
        <f t="shared" si="19"/>
        <v>0</v>
      </c>
      <c r="R293" s="380">
        <f t="shared" si="19"/>
        <v>1743590</v>
      </c>
      <c r="S293" s="380">
        <f t="shared" si="19"/>
        <v>0</v>
      </c>
      <c r="T293" s="380">
        <f t="shared" si="19"/>
        <v>0</v>
      </c>
      <c r="U293" s="380">
        <f t="shared" si="19"/>
        <v>0</v>
      </c>
      <c r="V293" s="380">
        <f t="shared" si="19"/>
        <v>0</v>
      </c>
      <c r="W293" s="380">
        <f t="shared" si="19"/>
        <v>115077</v>
      </c>
      <c r="X293" s="380">
        <f t="shared" si="19"/>
        <v>0</v>
      </c>
      <c r="Y293" s="380">
        <f t="shared" si="19"/>
        <v>0</v>
      </c>
      <c r="Z293" s="380">
        <f t="shared" si="19"/>
        <v>0</v>
      </c>
      <c r="AA293" s="380">
        <f t="shared" si="19"/>
        <v>0</v>
      </c>
      <c r="AB293" s="380" t="e">
        <f t="shared" si="19"/>
        <v>#VALUE!</v>
      </c>
      <c r="AC293" s="380">
        <f t="shared" si="19"/>
        <v>0</v>
      </c>
      <c r="AD293" s="380" t="e">
        <f t="shared" si="19"/>
        <v>#VALUE!</v>
      </c>
      <c r="AE293" s="380">
        <f t="shared" si="19"/>
        <v>0</v>
      </c>
      <c r="AF293" s="380">
        <f t="shared" si="19"/>
        <v>0</v>
      </c>
      <c r="AG293" s="380">
        <f t="shared" si="19"/>
        <v>0</v>
      </c>
      <c r="AH293" s="380">
        <f t="shared" si="19"/>
        <v>0</v>
      </c>
      <c r="AI293" s="380">
        <f t="shared" si="19"/>
        <v>0</v>
      </c>
      <c r="AJ293" s="380">
        <f t="shared" si="19"/>
        <v>1852732</v>
      </c>
      <c r="AK293" s="380">
        <f t="shared" ref="AK293:BS293" si="20">+AK60+AK58</f>
        <v>0</v>
      </c>
      <c r="AL293" s="380">
        <f t="shared" si="20"/>
        <v>0</v>
      </c>
      <c r="AM293" s="380">
        <f t="shared" si="20"/>
        <v>0</v>
      </c>
      <c r="AN293" s="380">
        <f t="shared" si="20"/>
        <v>883790</v>
      </c>
      <c r="AO293" s="380">
        <f t="shared" si="20"/>
        <v>0</v>
      </c>
      <c r="AP293" s="380">
        <f t="shared" si="20"/>
        <v>0</v>
      </c>
      <c r="AQ293" s="380">
        <f t="shared" si="20"/>
        <v>0</v>
      </c>
      <c r="AR293" s="380">
        <f t="shared" si="20"/>
        <v>0</v>
      </c>
      <c r="AS293" s="380">
        <f t="shared" si="20"/>
        <v>0</v>
      </c>
      <c r="AT293" s="380">
        <f t="shared" si="20"/>
        <v>0</v>
      </c>
      <c r="AU293" s="380">
        <f t="shared" si="20"/>
        <v>0</v>
      </c>
      <c r="AV293" s="380">
        <f t="shared" si="20"/>
        <v>0</v>
      </c>
      <c r="AW293" s="380">
        <f t="shared" si="20"/>
        <v>0</v>
      </c>
      <c r="AX293" s="380">
        <f t="shared" si="20"/>
        <v>0</v>
      </c>
      <c r="AY293" s="380">
        <f t="shared" si="20"/>
        <v>0</v>
      </c>
      <c r="AZ293" s="380">
        <f t="shared" si="20"/>
        <v>0</v>
      </c>
      <c r="BA293" s="380">
        <f t="shared" si="20"/>
        <v>0</v>
      </c>
      <c r="BB293" s="380">
        <f t="shared" si="20"/>
        <v>0</v>
      </c>
      <c r="BC293" s="380">
        <f t="shared" si="20"/>
        <v>0</v>
      </c>
      <c r="BD293" s="380">
        <f t="shared" si="20"/>
        <v>0</v>
      </c>
      <c r="BE293" s="380">
        <f t="shared" si="20"/>
        <v>0</v>
      </c>
      <c r="BF293" s="380">
        <f t="shared" si="20"/>
        <v>0</v>
      </c>
      <c r="BG293" s="380">
        <f t="shared" si="20"/>
        <v>0</v>
      </c>
      <c r="BH293" s="380">
        <f t="shared" si="20"/>
        <v>0</v>
      </c>
      <c r="BI293" s="380">
        <f t="shared" si="20"/>
        <v>0</v>
      </c>
      <c r="BJ293" s="380">
        <f t="shared" si="20"/>
        <v>0</v>
      </c>
      <c r="BK293" s="380">
        <f t="shared" si="20"/>
        <v>0</v>
      </c>
      <c r="BL293" s="380">
        <f t="shared" si="20"/>
        <v>0</v>
      </c>
      <c r="BM293" s="380">
        <f t="shared" si="20"/>
        <v>67409</v>
      </c>
      <c r="BN293" s="380">
        <f t="shared" si="20"/>
        <v>0</v>
      </c>
      <c r="BO293" s="380">
        <f t="shared" si="20"/>
        <v>0</v>
      </c>
      <c r="BP293" s="380">
        <f t="shared" si="20"/>
        <v>0</v>
      </c>
      <c r="BQ293" s="380">
        <f t="shared" si="20"/>
        <v>0</v>
      </c>
      <c r="BR293" s="380">
        <f t="shared" si="20"/>
        <v>0</v>
      </c>
      <c r="BS293" s="380">
        <f t="shared" si="20"/>
        <v>14445</v>
      </c>
      <c r="BT293" s="380">
        <f t="shared" ref="BT293:CE293" si="21">+BT60+BT58</f>
        <v>0</v>
      </c>
      <c r="BU293" s="380">
        <f t="shared" si="21"/>
        <v>0</v>
      </c>
      <c r="BV293" s="380">
        <f t="shared" si="21"/>
        <v>0</v>
      </c>
      <c r="BW293" s="380">
        <f t="shared" si="21"/>
        <v>0</v>
      </c>
      <c r="BX293" s="380">
        <f t="shared" si="21"/>
        <v>0</v>
      </c>
      <c r="BY293" s="380">
        <f t="shared" si="21"/>
        <v>0</v>
      </c>
      <c r="BZ293" s="380">
        <f t="shared" si="21"/>
        <v>0</v>
      </c>
      <c r="CA293" s="380">
        <f t="shared" si="21"/>
        <v>0</v>
      </c>
      <c r="CB293" s="380">
        <f t="shared" si="21"/>
        <v>0</v>
      </c>
      <c r="CC293" s="380">
        <f t="shared" si="21"/>
        <v>0</v>
      </c>
      <c r="CD293" s="380">
        <f t="shared" si="21"/>
        <v>0</v>
      </c>
      <c r="CE293" s="380">
        <f t="shared" si="21"/>
        <v>0</v>
      </c>
    </row>
    <row r="294" spans="1:83" x14ac:dyDescent="0.25">
      <c r="A294" s="398" t="s">
        <v>840</v>
      </c>
      <c r="C294" s="391" t="s">
        <v>839</v>
      </c>
      <c r="E294" s="397">
        <f t="shared" ref="E294:AJ294" si="22">+E31-E160</f>
        <v>204432</v>
      </c>
      <c r="F294" s="397">
        <f t="shared" si="22"/>
        <v>0</v>
      </c>
      <c r="G294" s="397">
        <f t="shared" si="22"/>
        <v>635041</v>
      </c>
      <c r="H294" s="397">
        <f t="shared" si="22"/>
        <v>0</v>
      </c>
      <c r="I294" s="397">
        <f t="shared" si="22"/>
        <v>0</v>
      </c>
      <c r="J294" s="397">
        <f t="shared" si="22"/>
        <v>0</v>
      </c>
      <c r="K294" s="397">
        <f t="shared" si="22"/>
        <v>29674</v>
      </c>
      <c r="L294" s="397">
        <f t="shared" si="22"/>
        <v>0</v>
      </c>
      <c r="M294" s="397">
        <f t="shared" si="22"/>
        <v>0</v>
      </c>
      <c r="N294" s="397">
        <f t="shared" si="22"/>
        <v>0</v>
      </c>
      <c r="O294" s="397">
        <f t="shared" si="22"/>
        <v>0</v>
      </c>
      <c r="P294" s="397">
        <f t="shared" si="22"/>
        <v>1196512</v>
      </c>
      <c r="Q294" s="397">
        <f t="shared" si="22"/>
        <v>0</v>
      </c>
      <c r="R294" s="397">
        <f t="shared" si="22"/>
        <v>40584076</v>
      </c>
      <c r="S294" s="397">
        <f t="shared" si="22"/>
        <v>874307</v>
      </c>
      <c r="T294" s="397">
        <f t="shared" si="22"/>
        <v>0</v>
      </c>
      <c r="U294" s="397">
        <f t="shared" si="22"/>
        <v>47909838</v>
      </c>
      <c r="V294" s="397">
        <f t="shared" si="22"/>
        <v>14364764</v>
      </c>
      <c r="W294" s="397">
        <f t="shared" si="22"/>
        <v>18361331</v>
      </c>
      <c r="X294" s="397">
        <f t="shared" si="22"/>
        <v>0</v>
      </c>
      <c r="Y294" s="397">
        <f t="shared" si="22"/>
        <v>264143</v>
      </c>
      <c r="Z294" s="397">
        <f t="shared" si="22"/>
        <v>5766333</v>
      </c>
      <c r="AA294" s="397">
        <f t="shared" si="22"/>
        <v>1361902</v>
      </c>
      <c r="AB294" s="397" t="e">
        <f t="shared" si="22"/>
        <v>#VALUE!</v>
      </c>
      <c r="AC294" s="397">
        <f t="shared" si="22"/>
        <v>277983</v>
      </c>
      <c r="AD294" s="397" t="e">
        <f t="shared" si="22"/>
        <v>#VALUE!</v>
      </c>
      <c r="AE294" s="397">
        <f t="shared" si="22"/>
        <v>1296726</v>
      </c>
      <c r="AF294" s="397">
        <f t="shared" si="22"/>
        <v>2010350</v>
      </c>
      <c r="AG294" s="397">
        <f t="shared" si="22"/>
        <v>3573448</v>
      </c>
      <c r="AH294" s="397">
        <f t="shared" si="22"/>
        <v>2624705</v>
      </c>
      <c r="AI294" s="397">
        <f t="shared" si="22"/>
        <v>134070</v>
      </c>
      <c r="AJ294" s="397">
        <f t="shared" si="22"/>
        <v>17912407</v>
      </c>
      <c r="AK294" s="397">
        <f t="shared" ref="AK294:BS294" si="23">+AK31-AK160</f>
        <v>776241</v>
      </c>
      <c r="AL294" s="397">
        <f t="shared" si="23"/>
        <v>375690</v>
      </c>
      <c r="AM294" s="397">
        <f t="shared" si="23"/>
        <v>1476795</v>
      </c>
      <c r="AN294" s="397">
        <f t="shared" si="23"/>
        <v>3878022</v>
      </c>
      <c r="AO294" s="397">
        <f t="shared" si="23"/>
        <v>387678</v>
      </c>
      <c r="AP294" s="397">
        <f t="shared" si="23"/>
        <v>138125</v>
      </c>
      <c r="AQ294" s="397">
        <f t="shared" si="23"/>
        <v>0</v>
      </c>
      <c r="AR294" s="397">
        <f t="shared" si="23"/>
        <v>0</v>
      </c>
      <c r="AS294" s="397">
        <f t="shared" si="23"/>
        <v>3867681</v>
      </c>
      <c r="AT294" s="397">
        <f t="shared" si="23"/>
        <v>200940</v>
      </c>
      <c r="AU294" s="397">
        <f t="shared" si="23"/>
        <v>886338</v>
      </c>
      <c r="AV294" s="397">
        <f t="shared" si="23"/>
        <v>0</v>
      </c>
      <c r="AW294" s="397">
        <f t="shared" si="23"/>
        <v>29056925</v>
      </c>
      <c r="AX294" s="397">
        <f t="shared" si="23"/>
        <v>0</v>
      </c>
      <c r="AY294" s="397">
        <f t="shared" si="23"/>
        <v>1893241</v>
      </c>
      <c r="AZ294" s="397">
        <f t="shared" si="23"/>
        <v>5632580</v>
      </c>
      <c r="BA294" s="397">
        <f t="shared" si="23"/>
        <v>907198</v>
      </c>
      <c r="BB294" s="397">
        <f t="shared" si="23"/>
        <v>196091</v>
      </c>
      <c r="BC294" s="397">
        <f t="shared" si="23"/>
        <v>0</v>
      </c>
      <c r="BD294" s="397">
        <f t="shared" si="23"/>
        <v>110687</v>
      </c>
      <c r="BE294" s="397">
        <f t="shared" si="23"/>
        <v>8741110</v>
      </c>
      <c r="BF294" s="397">
        <f t="shared" si="23"/>
        <v>0</v>
      </c>
      <c r="BG294" s="397">
        <f t="shared" si="23"/>
        <v>175981</v>
      </c>
      <c r="BH294" s="397">
        <f t="shared" si="23"/>
        <v>116236</v>
      </c>
      <c r="BI294" s="397">
        <f t="shared" si="23"/>
        <v>0</v>
      </c>
      <c r="BJ294" s="397">
        <f t="shared" si="23"/>
        <v>173068</v>
      </c>
      <c r="BK294" s="397">
        <f t="shared" si="23"/>
        <v>0</v>
      </c>
      <c r="BL294" s="397">
        <f t="shared" si="23"/>
        <v>2393369</v>
      </c>
      <c r="BM294" s="397">
        <f t="shared" si="23"/>
        <v>177865</v>
      </c>
      <c r="BN294" s="397">
        <f t="shared" si="23"/>
        <v>296187</v>
      </c>
      <c r="BO294" s="397">
        <f t="shared" si="23"/>
        <v>893381</v>
      </c>
      <c r="BP294" s="397">
        <f t="shared" si="23"/>
        <v>621723</v>
      </c>
      <c r="BQ294" s="397">
        <f t="shared" si="23"/>
        <v>770084</v>
      </c>
      <c r="BR294" s="397">
        <f t="shared" si="23"/>
        <v>0</v>
      </c>
      <c r="BS294" s="397">
        <f t="shared" si="23"/>
        <v>631947</v>
      </c>
      <c r="BT294" s="397">
        <f t="shared" ref="BT294:CE294" si="24">+BT31-BT160</f>
        <v>0</v>
      </c>
      <c r="BU294" s="397">
        <f t="shared" si="24"/>
        <v>619000</v>
      </c>
      <c r="BV294" s="397">
        <f t="shared" si="24"/>
        <v>3917194</v>
      </c>
      <c r="BW294" s="397">
        <f t="shared" si="24"/>
        <v>0</v>
      </c>
      <c r="BX294" s="397">
        <f t="shared" si="24"/>
        <v>2151586</v>
      </c>
      <c r="BY294" s="397">
        <f t="shared" si="24"/>
        <v>999064</v>
      </c>
      <c r="BZ294" s="397">
        <f t="shared" si="24"/>
        <v>4653</v>
      </c>
      <c r="CA294" s="397">
        <f t="shared" si="24"/>
        <v>370241</v>
      </c>
      <c r="CB294" s="397">
        <f t="shared" si="24"/>
        <v>20194</v>
      </c>
      <c r="CC294" s="397">
        <f t="shared" si="24"/>
        <v>182187</v>
      </c>
      <c r="CD294" s="397">
        <f t="shared" si="24"/>
        <v>0</v>
      </c>
      <c r="CE294" s="397">
        <f t="shared" si="24"/>
        <v>6828</v>
      </c>
    </row>
    <row r="295" spans="1:83" s="385" customFormat="1" x14ac:dyDescent="0.25">
      <c r="A295" s="398" t="s">
        <v>845</v>
      </c>
      <c r="C295" s="391" t="s">
        <v>847</v>
      </c>
      <c r="E295" s="310">
        <f t="shared" ref="E295:AJ295" si="25">+(E45*365)/E50</f>
        <v>49.28092106588926</v>
      </c>
      <c r="F295" s="310" t="e">
        <f t="shared" si="25"/>
        <v>#DIV/0!</v>
      </c>
      <c r="G295" s="310">
        <f t="shared" si="25"/>
        <v>32.615062100683552</v>
      </c>
      <c r="H295" s="310" t="e">
        <f t="shared" si="25"/>
        <v>#DIV/0!</v>
      </c>
      <c r="I295" s="310" t="e">
        <f t="shared" si="25"/>
        <v>#DIV/0!</v>
      </c>
      <c r="J295" s="310" t="e">
        <f t="shared" si="25"/>
        <v>#DIV/0!</v>
      </c>
      <c r="K295" s="310">
        <f t="shared" si="25"/>
        <v>81.293526864305335</v>
      </c>
      <c r="L295" s="310" t="e">
        <f t="shared" si="25"/>
        <v>#DIV/0!</v>
      </c>
      <c r="M295" s="310" t="e">
        <f t="shared" si="25"/>
        <v>#DIV/0!</v>
      </c>
      <c r="N295" s="310" t="e">
        <f t="shared" si="25"/>
        <v>#DIV/0!</v>
      </c>
      <c r="O295" s="310" t="e">
        <f t="shared" si="25"/>
        <v>#DIV/0!</v>
      </c>
      <c r="P295" s="310">
        <f t="shared" si="25"/>
        <v>37.644983888151415</v>
      </c>
      <c r="Q295" s="310" t="e">
        <f t="shared" si="25"/>
        <v>#DIV/0!</v>
      </c>
      <c r="R295" s="310">
        <f t="shared" si="25"/>
        <v>41.323411364533428</v>
      </c>
      <c r="S295" s="310">
        <f t="shared" si="25"/>
        <v>42.400621194049691</v>
      </c>
      <c r="T295" s="310" t="e">
        <f t="shared" si="25"/>
        <v>#DIV/0!</v>
      </c>
      <c r="U295" s="310">
        <f t="shared" si="25"/>
        <v>63.669654677701061</v>
      </c>
      <c r="V295" s="310">
        <f t="shared" si="25"/>
        <v>68.971622127200874</v>
      </c>
      <c r="W295" s="310">
        <f t="shared" si="25"/>
        <v>36.72241122003382</v>
      </c>
      <c r="X295" s="310" t="e">
        <f t="shared" si="25"/>
        <v>#DIV/0!</v>
      </c>
      <c r="Y295" s="310">
        <f t="shared" si="25"/>
        <v>29.741060176433521</v>
      </c>
      <c r="Z295" s="310">
        <f t="shared" si="25"/>
        <v>46.543726115471472</v>
      </c>
      <c r="AA295" s="310">
        <f t="shared" si="25"/>
        <v>43.179767424358616</v>
      </c>
      <c r="AB295" s="310" t="e">
        <f t="shared" si="25"/>
        <v>#VALUE!</v>
      </c>
      <c r="AC295" s="310">
        <f t="shared" si="25"/>
        <v>36.756398167103129</v>
      </c>
      <c r="AD295" s="310" t="e">
        <f t="shared" si="25"/>
        <v>#VALUE!</v>
      </c>
      <c r="AE295" s="310">
        <f t="shared" si="25"/>
        <v>23.481629959269874</v>
      </c>
      <c r="AF295" s="310">
        <f t="shared" si="25"/>
        <v>34.335462584593323</v>
      </c>
      <c r="AG295" s="310">
        <f t="shared" si="25"/>
        <v>62.951009506378249</v>
      </c>
      <c r="AH295" s="310">
        <f t="shared" si="25"/>
        <v>29.289143572794917</v>
      </c>
      <c r="AI295" s="310">
        <f t="shared" si="25"/>
        <v>99.040344414732743</v>
      </c>
      <c r="AJ295" s="310">
        <f t="shared" si="25"/>
        <v>41.106132944365719</v>
      </c>
      <c r="AK295" s="310">
        <f t="shared" ref="AK295:BS295" si="26">+(AK45*365)/AK50</f>
        <v>31.65581719415222</v>
      </c>
      <c r="AL295" s="310">
        <f t="shared" si="26"/>
        <v>52.983048241936388</v>
      </c>
      <c r="AM295" s="310">
        <f t="shared" si="26"/>
        <v>59.073477664005431</v>
      </c>
      <c r="AN295" s="310">
        <f t="shared" si="26"/>
        <v>52.726427736287178</v>
      </c>
      <c r="AO295" s="310">
        <f t="shared" si="26"/>
        <v>59.935467180038621</v>
      </c>
      <c r="AP295" s="310">
        <f t="shared" si="26"/>
        <v>47.537767871817316</v>
      </c>
      <c r="AQ295" s="310" t="e">
        <f t="shared" si="26"/>
        <v>#DIV/0!</v>
      </c>
      <c r="AR295" s="310" t="e">
        <f t="shared" si="26"/>
        <v>#DIV/0!</v>
      </c>
      <c r="AS295" s="310">
        <f t="shared" si="26"/>
        <v>59.804299880408308</v>
      </c>
      <c r="AT295" s="310">
        <f t="shared" si="26"/>
        <v>41.786557076162246</v>
      </c>
      <c r="AU295" s="310">
        <f t="shared" si="26"/>
        <v>56.893082576410443</v>
      </c>
      <c r="AV295" s="310" t="e">
        <f t="shared" si="26"/>
        <v>#DIV/0!</v>
      </c>
      <c r="AW295" s="310">
        <f t="shared" si="26"/>
        <v>64.011056732083276</v>
      </c>
      <c r="AX295" s="310" t="e">
        <f t="shared" si="26"/>
        <v>#DIV/0!</v>
      </c>
      <c r="AY295" s="310">
        <f t="shared" si="26"/>
        <v>45.703088777627286</v>
      </c>
      <c r="AZ295" s="310">
        <f t="shared" si="26"/>
        <v>81.135996423175357</v>
      </c>
      <c r="BA295" s="310">
        <f t="shared" si="26"/>
        <v>65.387951697793298</v>
      </c>
      <c r="BB295" s="310">
        <f t="shared" si="26"/>
        <v>34.71001250190362</v>
      </c>
      <c r="BC295" s="310" t="e">
        <f t="shared" si="26"/>
        <v>#DIV/0!</v>
      </c>
      <c r="BD295" s="310">
        <f t="shared" si="26"/>
        <v>58.358677134693217</v>
      </c>
      <c r="BE295" s="310">
        <f t="shared" si="26"/>
        <v>41.625720351835</v>
      </c>
      <c r="BF295" s="310" t="e">
        <f t="shared" si="26"/>
        <v>#DIV/0!</v>
      </c>
      <c r="BG295" s="310">
        <f t="shared" si="26"/>
        <v>43.686404206152346</v>
      </c>
      <c r="BH295" s="310">
        <f t="shared" si="26"/>
        <v>9.4318128379967074</v>
      </c>
      <c r="BI295" s="310" t="e">
        <f t="shared" si="26"/>
        <v>#DIV/0!</v>
      </c>
      <c r="BJ295" s="310">
        <f t="shared" si="26"/>
        <v>43.351935745759455</v>
      </c>
      <c r="BK295" s="310" t="e">
        <f t="shared" si="26"/>
        <v>#DIV/0!</v>
      </c>
      <c r="BL295" s="310">
        <f t="shared" si="26"/>
        <v>15.396874962612014</v>
      </c>
      <c r="BM295" s="310">
        <f t="shared" si="26"/>
        <v>70.253792150956642</v>
      </c>
      <c r="BN295" s="310">
        <f t="shared" si="26"/>
        <v>58.040343838328234</v>
      </c>
      <c r="BO295" s="310">
        <f t="shared" si="26"/>
        <v>101.37249980001158</v>
      </c>
      <c r="BP295" s="310">
        <f t="shared" si="26"/>
        <v>50.307639938162559</v>
      </c>
      <c r="BQ295" s="310">
        <f t="shared" si="26"/>
        <v>9.1127863629827104</v>
      </c>
      <c r="BR295" s="310" t="e">
        <f t="shared" si="26"/>
        <v>#DIV/0!</v>
      </c>
      <c r="BS295" s="310">
        <f t="shared" si="26"/>
        <v>44.136247963874347</v>
      </c>
      <c r="BT295" s="310" t="e">
        <f t="shared" ref="BT295:CE295" si="27">+(BT45*365)/BT50</f>
        <v>#DIV/0!</v>
      </c>
      <c r="BU295" s="310">
        <f t="shared" si="27"/>
        <v>44.019490706590062</v>
      </c>
      <c r="BV295" s="310">
        <f t="shared" si="27"/>
        <v>46.402508311584967</v>
      </c>
      <c r="BW295" s="310" t="e">
        <f t="shared" si="27"/>
        <v>#DIV/0!</v>
      </c>
      <c r="BX295" s="310">
        <f t="shared" si="27"/>
        <v>84.103933300895548</v>
      </c>
      <c r="BY295" s="310">
        <f t="shared" si="27"/>
        <v>37.933057254807132</v>
      </c>
      <c r="BZ295" s="310">
        <f t="shared" si="27"/>
        <v>42.109008327024981</v>
      </c>
      <c r="CA295" s="310">
        <f t="shared" si="27"/>
        <v>33.073296445874838</v>
      </c>
      <c r="CB295" s="310">
        <f t="shared" si="27"/>
        <v>34.653470458880562</v>
      </c>
      <c r="CC295" s="310">
        <f t="shared" si="27"/>
        <v>37.315148302614745</v>
      </c>
      <c r="CD295" s="310" t="e">
        <f t="shared" si="27"/>
        <v>#DIV/0!</v>
      </c>
      <c r="CE295" s="310">
        <f t="shared" si="27"/>
        <v>0</v>
      </c>
    </row>
    <row r="296" spans="1:83" s="385" customFormat="1" x14ac:dyDescent="0.25">
      <c r="A296" s="398" t="s">
        <v>846</v>
      </c>
      <c r="C296" s="391" t="s">
        <v>848</v>
      </c>
      <c r="E296" s="310" t="e">
        <f t="shared" ref="E296:AJ296" si="28">+E53*365/E57</f>
        <v>#DIV/0!</v>
      </c>
      <c r="F296" s="310" t="e">
        <f t="shared" si="28"/>
        <v>#DIV/0!</v>
      </c>
      <c r="G296" s="310" t="e">
        <f t="shared" si="28"/>
        <v>#DIV/0!</v>
      </c>
      <c r="H296" s="310" t="e">
        <f t="shared" si="28"/>
        <v>#DIV/0!</v>
      </c>
      <c r="I296" s="310" t="e">
        <f t="shared" si="28"/>
        <v>#DIV/0!</v>
      </c>
      <c r="J296" s="310" t="e">
        <f t="shared" si="28"/>
        <v>#DIV/0!</v>
      </c>
      <c r="K296" s="310" t="e">
        <f t="shared" si="28"/>
        <v>#DIV/0!</v>
      </c>
      <c r="L296" s="310" t="e">
        <f t="shared" si="28"/>
        <v>#DIV/0!</v>
      </c>
      <c r="M296" s="310" t="e">
        <f t="shared" si="28"/>
        <v>#DIV/0!</v>
      </c>
      <c r="N296" s="310" t="e">
        <f t="shared" si="28"/>
        <v>#DIV/0!</v>
      </c>
      <c r="O296" s="310" t="e">
        <f t="shared" si="28"/>
        <v>#DIV/0!</v>
      </c>
      <c r="P296" s="310" t="e">
        <f t="shared" si="28"/>
        <v>#DIV/0!</v>
      </c>
      <c r="Q296" s="310" t="e">
        <f t="shared" si="28"/>
        <v>#DIV/0!</v>
      </c>
      <c r="R296" s="310">
        <f t="shared" si="28"/>
        <v>54.348949276086117</v>
      </c>
      <c r="S296" s="310" t="e">
        <f t="shared" si="28"/>
        <v>#DIV/0!</v>
      </c>
      <c r="T296" s="310" t="e">
        <f t="shared" si="28"/>
        <v>#DIV/0!</v>
      </c>
      <c r="U296" s="310" t="e">
        <f t="shared" si="28"/>
        <v>#DIV/0!</v>
      </c>
      <c r="V296" s="310" t="e">
        <f t="shared" si="28"/>
        <v>#DIV/0!</v>
      </c>
      <c r="W296" s="310">
        <f t="shared" si="28"/>
        <v>44.573359495759334</v>
      </c>
      <c r="X296" s="310" t="e">
        <f t="shared" si="28"/>
        <v>#DIV/0!</v>
      </c>
      <c r="Y296" s="310" t="e">
        <f t="shared" si="28"/>
        <v>#DIV/0!</v>
      </c>
      <c r="Z296" s="310" t="e">
        <f t="shared" si="28"/>
        <v>#DIV/0!</v>
      </c>
      <c r="AA296" s="310" t="e">
        <f t="shared" si="28"/>
        <v>#DIV/0!</v>
      </c>
      <c r="AB296" s="310" t="e">
        <f t="shared" si="28"/>
        <v>#VALUE!</v>
      </c>
      <c r="AC296" s="310" t="e">
        <f t="shared" si="28"/>
        <v>#DIV/0!</v>
      </c>
      <c r="AD296" s="310" t="e">
        <f t="shared" si="28"/>
        <v>#VALUE!</v>
      </c>
      <c r="AE296" s="310" t="e">
        <f t="shared" si="28"/>
        <v>#DIV/0!</v>
      </c>
      <c r="AF296" s="310" t="e">
        <f t="shared" si="28"/>
        <v>#DIV/0!</v>
      </c>
      <c r="AG296" s="310" t="e">
        <f t="shared" si="28"/>
        <v>#DIV/0!</v>
      </c>
      <c r="AH296" s="310" t="e">
        <f t="shared" si="28"/>
        <v>#DIV/0!</v>
      </c>
      <c r="AI296" s="310" t="e">
        <f t="shared" si="28"/>
        <v>#DIV/0!</v>
      </c>
      <c r="AJ296" s="310">
        <f t="shared" si="28"/>
        <v>46.813966455762476</v>
      </c>
      <c r="AK296" s="310" t="e">
        <f t="shared" ref="AK296:BS296" si="29">+AK53*365/AK57</f>
        <v>#DIV/0!</v>
      </c>
      <c r="AL296" s="310" t="e">
        <f t="shared" si="29"/>
        <v>#DIV/0!</v>
      </c>
      <c r="AM296" s="310" t="e">
        <f t="shared" si="29"/>
        <v>#DIV/0!</v>
      </c>
      <c r="AN296" s="310">
        <f t="shared" si="29"/>
        <v>38.506282592582785</v>
      </c>
      <c r="AO296" s="310" t="e">
        <f t="shared" si="29"/>
        <v>#DIV/0!</v>
      </c>
      <c r="AP296" s="310" t="e">
        <f t="shared" si="29"/>
        <v>#DIV/0!</v>
      </c>
      <c r="AQ296" s="310" t="e">
        <f t="shared" si="29"/>
        <v>#DIV/0!</v>
      </c>
      <c r="AR296" s="310" t="e">
        <f t="shared" si="29"/>
        <v>#DIV/0!</v>
      </c>
      <c r="AS296" s="310" t="e">
        <f t="shared" si="29"/>
        <v>#DIV/0!</v>
      </c>
      <c r="AT296" s="310" t="e">
        <f t="shared" si="29"/>
        <v>#DIV/0!</v>
      </c>
      <c r="AU296" s="310" t="e">
        <f t="shared" si="29"/>
        <v>#DIV/0!</v>
      </c>
      <c r="AV296" s="310">
        <f t="shared" si="29"/>
        <v>40.536888019442003</v>
      </c>
      <c r="AW296" s="310" t="e">
        <f t="shared" si="29"/>
        <v>#DIV/0!</v>
      </c>
      <c r="AX296" s="310" t="e">
        <f t="shared" si="29"/>
        <v>#DIV/0!</v>
      </c>
      <c r="AY296" s="310" t="e">
        <f t="shared" si="29"/>
        <v>#DIV/0!</v>
      </c>
      <c r="AZ296" s="310" t="e">
        <f t="shared" si="29"/>
        <v>#DIV/0!</v>
      </c>
      <c r="BA296" s="310" t="e">
        <f t="shared" si="29"/>
        <v>#DIV/0!</v>
      </c>
      <c r="BB296" s="310" t="e">
        <f t="shared" si="29"/>
        <v>#DIV/0!</v>
      </c>
      <c r="BC296" s="310" t="e">
        <f t="shared" si="29"/>
        <v>#DIV/0!</v>
      </c>
      <c r="BD296" s="310" t="e">
        <f t="shared" si="29"/>
        <v>#DIV/0!</v>
      </c>
      <c r="BE296" s="310" t="e">
        <f t="shared" si="29"/>
        <v>#DIV/0!</v>
      </c>
      <c r="BF296" s="310" t="e">
        <f t="shared" si="29"/>
        <v>#DIV/0!</v>
      </c>
      <c r="BG296" s="310" t="e">
        <f t="shared" si="29"/>
        <v>#DIV/0!</v>
      </c>
      <c r="BH296" s="310" t="e">
        <f t="shared" si="29"/>
        <v>#DIV/0!</v>
      </c>
      <c r="BI296" s="310" t="e">
        <f t="shared" si="29"/>
        <v>#DIV/0!</v>
      </c>
      <c r="BJ296" s="310" t="e">
        <f t="shared" si="29"/>
        <v>#DIV/0!</v>
      </c>
      <c r="BK296" s="310" t="e">
        <f t="shared" si="29"/>
        <v>#DIV/0!</v>
      </c>
      <c r="BL296" s="310" t="e">
        <f t="shared" si="29"/>
        <v>#DIV/0!</v>
      </c>
      <c r="BM296" s="310">
        <f t="shared" si="29"/>
        <v>48.580910331751888</v>
      </c>
      <c r="BN296" s="310" t="e">
        <f t="shared" si="29"/>
        <v>#DIV/0!</v>
      </c>
      <c r="BO296" s="310" t="e">
        <f t="shared" si="29"/>
        <v>#DIV/0!</v>
      </c>
      <c r="BP296" s="310" t="e">
        <f t="shared" si="29"/>
        <v>#DIV/0!</v>
      </c>
      <c r="BQ296" s="310" t="e">
        <f t="shared" si="29"/>
        <v>#DIV/0!</v>
      </c>
      <c r="BR296" s="310" t="e">
        <f t="shared" si="29"/>
        <v>#DIV/0!</v>
      </c>
      <c r="BS296" s="310">
        <f t="shared" si="29"/>
        <v>42.350309635750207</v>
      </c>
      <c r="BT296" s="310">
        <f t="shared" ref="BT296:CE296" si="30">+BT53*365/BT57</f>
        <v>58.206006573828191</v>
      </c>
      <c r="BU296" s="310" t="e">
        <f t="shared" si="30"/>
        <v>#DIV/0!</v>
      </c>
      <c r="BV296" s="310" t="e">
        <f t="shared" si="30"/>
        <v>#DIV/0!</v>
      </c>
      <c r="BW296" s="310" t="e">
        <f t="shared" si="30"/>
        <v>#DIV/0!</v>
      </c>
      <c r="BX296" s="310" t="e">
        <f t="shared" si="30"/>
        <v>#DIV/0!</v>
      </c>
      <c r="BY296" s="310" t="e">
        <f t="shared" si="30"/>
        <v>#DIV/0!</v>
      </c>
      <c r="BZ296" s="310" t="e">
        <f t="shared" si="30"/>
        <v>#DIV/0!</v>
      </c>
      <c r="CA296" s="310" t="e">
        <f t="shared" si="30"/>
        <v>#DIV/0!</v>
      </c>
      <c r="CB296" s="310" t="e">
        <f t="shared" si="30"/>
        <v>#DIV/0!</v>
      </c>
      <c r="CC296" s="310" t="e">
        <f t="shared" si="30"/>
        <v>#DIV/0!</v>
      </c>
      <c r="CD296" s="310" t="e">
        <f t="shared" si="30"/>
        <v>#DIV/0!</v>
      </c>
      <c r="CE296" s="310" t="e">
        <f t="shared" si="30"/>
        <v>#DIV/0!</v>
      </c>
    </row>
    <row r="297" spans="1:83" x14ac:dyDescent="0.25">
      <c r="C297" s="296" t="s">
        <v>731</v>
      </c>
      <c r="E297" s="277">
        <f t="shared" ref="E297:AJ297" si="31">SUM(E3:E281)</f>
        <v>11796993.01</v>
      </c>
      <c r="F297" s="277">
        <f t="shared" si="31"/>
        <v>2156825.2199999997</v>
      </c>
      <c r="G297" s="277">
        <f t="shared" si="31"/>
        <v>37873772.869999997</v>
      </c>
      <c r="H297" s="277">
        <f t="shared" si="31"/>
        <v>45363537.719999999</v>
      </c>
      <c r="I297" s="277">
        <f t="shared" si="31"/>
        <v>42564725.920000002</v>
      </c>
      <c r="J297" s="277">
        <f t="shared" si="31"/>
        <v>61267564.310000002</v>
      </c>
      <c r="K297" s="277">
        <f t="shared" si="31"/>
        <v>12379092.52</v>
      </c>
      <c r="L297" s="277">
        <f t="shared" si="31"/>
        <v>11626983.609999999</v>
      </c>
      <c r="M297" s="277">
        <f t="shared" si="31"/>
        <v>8144428.1399999997</v>
      </c>
      <c r="N297" s="277">
        <f t="shared" si="31"/>
        <v>371690749.05000001</v>
      </c>
      <c r="O297" s="277">
        <f t="shared" si="31"/>
        <v>8351417.4800000004</v>
      </c>
      <c r="P297" s="277">
        <f t="shared" si="31"/>
        <v>198030215.75999999</v>
      </c>
      <c r="Q297" s="277">
        <f t="shared" si="31"/>
        <v>2610452.0700000003</v>
      </c>
      <c r="R297" s="277">
        <f t="shared" si="31"/>
        <v>2682340345.2300005</v>
      </c>
      <c r="S297" s="277">
        <f t="shared" si="31"/>
        <v>48062390.009999998</v>
      </c>
      <c r="T297" s="277">
        <f t="shared" si="31"/>
        <v>2184158</v>
      </c>
      <c r="U297" s="277">
        <f t="shared" si="31"/>
        <v>2556336145.5</v>
      </c>
      <c r="V297" s="277">
        <f t="shared" si="31"/>
        <v>649361687.42999995</v>
      </c>
      <c r="W297" s="277">
        <f t="shared" si="31"/>
        <v>1244789359.3999999</v>
      </c>
      <c r="X297" s="277">
        <f t="shared" si="31"/>
        <v>941899129.87</v>
      </c>
      <c r="Y297" s="277">
        <f t="shared" si="31"/>
        <v>19221099.710000001</v>
      </c>
      <c r="Z297" s="277">
        <f t="shared" si="31"/>
        <v>572610554.76999998</v>
      </c>
      <c r="AA297" s="277">
        <f t="shared" si="31"/>
        <v>82857703.900000006</v>
      </c>
      <c r="AB297" s="277" t="e">
        <f t="shared" si="31"/>
        <v>#VALUE!</v>
      </c>
      <c r="AC297" s="277">
        <f t="shared" si="31"/>
        <v>192232061.16</v>
      </c>
      <c r="AD297" s="277" t="e">
        <f t="shared" si="31"/>
        <v>#VALUE!</v>
      </c>
      <c r="AE297" s="277">
        <f t="shared" si="31"/>
        <v>72329350.329999998</v>
      </c>
      <c r="AF297" s="277">
        <f t="shared" si="31"/>
        <v>125393179.07000001</v>
      </c>
      <c r="AG297" s="277">
        <f t="shared" si="31"/>
        <v>434589910</v>
      </c>
      <c r="AH297" s="277">
        <f t="shared" si="31"/>
        <v>165298457.97</v>
      </c>
      <c r="AI297" s="277">
        <f t="shared" si="31"/>
        <v>40257358.059999995</v>
      </c>
      <c r="AJ297" s="277">
        <f t="shared" si="31"/>
        <v>1964715990.8099999</v>
      </c>
      <c r="AK297" s="277">
        <f t="shared" ref="AK297:BS297" si="32">SUM(AK3:AK281)</f>
        <v>46877921.189999998</v>
      </c>
      <c r="AL297" s="277">
        <f t="shared" si="32"/>
        <v>45657463.539999999</v>
      </c>
      <c r="AM297" s="277">
        <f t="shared" si="32"/>
        <v>117999115.84</v>
      </c>
      <c r="AN297" s="277">
        <f t="shared" si="32"/>
        <v>675315128.70000005</v>
      </c>
      <c r="AO297" s="277">
        <f t="shared" si="32"/>
        <v>22339187.320000004</v>
      </c>
      <c r="AP297" s="277">
        <f t="shared" si="32"/>
        <v>24394006.500000004</v>
      </c>
      <c r="AQ297" s="277">
        <f t="shared" si="32"/>
        <v>1281229</v>
      </c>
      <c r="AR297" s="277">
        <f t="shared" si="32"/>
        <v>183225699.17000002</v>
      </c>
      <c r="AS297" s="277">
        <f t="shared" si="32"/>
        <v>568062007.98000002</v>
      </c>
      <c r="AT297" s="277">
        <f t="shared" si="32"/>
        <v>36182968.229999997</v>
      </c>
      <c r="AU297" s="277">
        <f t="shared" si="32"/>
        <v>97663515.63000001</v>
      </c>
      <c r="AV297" s="277">
        <f t="shared" si="32"/>
        <v>11964592.57</v>
      </c>
      <c r="AW297" s="277">
        <f t="shared" si="32"/>
        <v>1080640703.4099998</v>
      </c>
      <c r="AX297" s="277">
        <f t="shared" si="32"/>
        <v>51003108.18</v>
      </c>
      <c r="AY297" s="277">
        <f t="shared" si="32"/>
        <v>78898355.510000005</v>
      </c>
      <c r="AZ297" s="277">
        <f t="shared" si="32"/>
        <v>242302641.39999998</v>
      </c>
      <c r="BA297" s="277">
        <f t="shared" si="32"/>
        <v>61489629.139999993</v>
      </c>
      <c r="BB297" s="277">
        <f t="shared" si="32"/>
        <v>24175827.91</v>
      </c>
      <c r="BC297" s="277">
        <f t="shared" si="32"/>
        <v>918334</v>
      </c>
      <c r="BD297" s="277">
        <f t="shared" si="32"/>
        <v>6900431.2299999995</v>
      </c>
      <c r="BE297" s="277">
        <f t="shared" si="32"/>
        <v>334993486.24000001</v>
      </c>
      <c r="BF297" s="277">
        <f t="shared" si="32"/>
        <v>5035485.54</v>
      </c>
      <c r="BG297" s="277">
        <f t="shared" si="32"/>
        <v>22975170.710000001</v>
      </c>
      <c r="BH297" s="277">
        <f t="shared" si="32"/>
        <v>13140529.33</v>
      </c>
      <c r="BI297" s="277">
        <f t="shared" si="32"/>
        <v>2505827.9899999998</v>
      </c>
      <c r="BJ297" s="277">
        <f t="shared" si="32"/>
        <v>20489973.190000001</v>
      </c>
      <c r="BK297" s="277">
        <f t="shared" si="32"/>
        <v>3421757.8200000003</v>
      </c>
      <c r="BL297" s="277">
        <f t="shared" si="32"/>
        <v>142089418.98999998</v>
      </c>
      <c r="BM297" s="277">
        <f t="shared" si="32"/>
        <v>58488235.43999999</v>
      </c>
      <c r="BN297" s="277">
        <f t="shared" si="32"/>
        <v>68388473.609999999</v>
      </c>
      <c r="BO297" s="277">
        <f t="shared" si="32"/>
        <v>98872313.329999998</v>
      </c>
      <c r="BP297" s="277">
        <f t="shared" si="32"/>
        <v>39468375.009999998</v>
      </c>
      <c r="BQ297" s="277">
        <f t="shared" si="32"/>
        <v>45180180.689999998</v>
      </c>
      <c r="BR297" s="277">
        <f t="shared" si="32"/>
        <v>276690818.86000001</v>
      </c>
      <c r="BS297" s="277">
        <f t="shared" si="32"/>
        <v>67753412.330000013</v>
      </c>
      <c r="BT297" s="310">
        <f t="shared" ref="BT297:CE297" si="33">SUM(BT3:BT281)</f>
        <v>452849339.45999998</v>
      </c>
      <c r="BU297" s="310">
        <f t="shared" si="33"/>
        <v>52268063.890000001</v>
      </c>
      <c r="BV297" s="310">
        <f t="shared" si="33"/>
        <v>178869688.19</v>
      </c>
      <c r="BW297" s="310">
        <f t="shared" si="33"/>
        <v>23042320.219999999</v>
      </c>
      <c r="BX297" s="310">
        <f t="shared" si="33"/>
        <v>115819105.11</v>
      </c>
      <c r="BY297" s="310">
        <f t="shared" si="33"/>
        <v>36566193.530000001</v>
      </c>
      <c r="BZ297" s="310">
        <f t="shared" si="33"/>
        <v>6020082.5199999996</v>
      </c>
      <c r="CA297" s="310">
        <f t="shared" si="33"/>
        <v>30186564.080000002</v>
      </c>
      <c r="CB297" s="310">
        <f t="shared" si="33"/>
        <v>20871826.700000003</v>
      </c>
      <c r="CC297" s="310">
        <f t="shared" si="33"/>
        <v>38959678.909999996</v>
      </c>
      <c r="CD297" s="310">
        <f t="shared" si="33"/>
        <v>0</v>
      </c>
      <c r="CE297" s="310">
        <f t="shared" si="33"/>
        <v>6485502.54</v>
      </c>
    </row>
    <row r="298" spans="1:83" s="279" customFormat="1" x14ac:dyDescent="0.25">
      <c r="E298" s="280">
        <f t="shared" ref="E298:AJ298" si="34">SUM(E187:E188,E204:E207,E227,E244:E248,E263:E266)</f>
        <v>50313.01</v>
      </c>
      <c r="F298" s="280">
        <f t="shared" si="34"/>
        <v>50315</v>
      </c>
      <c r="G298" s="280">
        <f t="shared" si="34"/>
        <v>50316.01</v>
      </c>
      <c r="H298" s="280">
        <f t="shared" si="34"/>
        <v>50614</v>
      </c>
      <c r="I298" s="280">
        <f t="shared" si="34"/>
        <v>50619</v>
      </c>
      <c r="J298" s="280">
        <f t="shared" si="34"/>
        <v>50616</v>
      </c>
      <c r="K298" s="280">
        <f t="shared" si="34"/>
        <v>50320.01</v>
      </c>
      <c r="L298" s="280">
        <f t="shared" si="34"/>
        <v>50608</v>
      </c>
      <c r="M298" s="280">
        <f t="shared" si="34"/>
        <v>50504</v>
      </c>
      <c r="N298" s="280">
        <f t="shared" si="34"/>
        <v>1455976</v>
      </c>
      <c r="O298" s="280">
        <f t="shared" si="34"/>
        <v>50618</v>
      </c>
      <c r="P298" s="280">
        <f t="shared" si="34"/>
        <v>50315.01</v>
      </c>
      <c r="Q298" s="280">
        <f t="shared" si="34"/>
        <v>50578</v>
      </c>
      <c r="R298" s="280">
        <f t="shared" si="34"/>
        <v>4085465.0799999996</v>
      </c>
      <c r="S298" s="280">
        <f t="shared" si="34"/>
        <v>50326.01</v>
      </c>
      <c r="T298" s="280">
        <f t="shared" si="34"/>
        <v>50542</v>
      </c>
      <c r="U298" s="280">
        <f t="shared" si="34"/>
        <v>3803607.01</v>
      </c>
      <c r="V298" s="280">
        <f t="shared" si="34"/>
        <v>3569330.01</v>
      </c>
      <c r="W298" s="280">
        <f t="shared" si="34"/>
        <v>1027342.08</v>
      </c>
      <c r="X298" s="280">
        <f t="shared" si="34"/>
        <v>6891776</v>
      </c>
      <c r="Y298" s="280">
        <f t="shared" si="34"/>
        <v>50332.01</v>
      </c>
      <c r="Z298" s="280">
        <f t="shared" si="34"/>
        <v>1646955.01</v>
      </c>
      <c r="AA298" s="280">
        <f t="shared" si="34"/>
        <v>50326.01</v>
      </c>
      <c r="AB298" s="280" t="e">
        <f t="shared" si="34"/>
        <v>#VALUE!</v>
      </c>
      <c r="AC298" s="280">
        <f t="shared" si="34"/>
        <v>8241948.0099999998</v>
      </c>
      <c r="AD298" s="280" t="e">
        <f t="shared" si="34"/>
        <v>#VALUE!</v>
      </c>
      <c r="AE298" s="280">
        <f t="shared" si="34"/>
        <v>50332.01</v>
      </c>
      <c r="AF298" s="280">
        <f t="shared" si="34"/>
        <v>50330.01</v>
      </c>
      <c r="AG298" s="280">
        <f t="shared" si="34"/>
        <v>50331.01</v>
      </c>
      <c r="AH298" s="280">
        <f t="shared" si="34"/>
        <v>50338.01</v>
      </c>
      <c r="AI298" s="280">
        <f t="shared" si="34"/>
        <v>50547.01</v>
      </c>
      <c r="AJ298" s="280">
        <f t="shared" si="34"/>
        <v>2258634.09</v>
      </c>
      <c r="AK298" s="280">
        <f t="shared" ref="AK298:BS298" si="35">SUM(AK187:AK188,AK204:AK207,AK227,AK244:AK248,AK263:AK266)</f>
        <v>50336.01</v>
      </c>
      <c r="AL298" s="280">
        <f t="shared" si="35"/>
        <v>50340.01</v>
      </c>
      <c r="AM298" s="280">
        <f t="shared" si="35"/>
        <v>50343.01</v>
      </c>
      <c r="AN298" s="280">
        <f t="shared" si="35"/>
        <v>1348725.08</v>
      </c>
      <c r="AO298" s="280">
        <f t="shared" si="35"/>
        <v>50338.01</v>
      </c>
      <c r="AP298" s="280">
        <f t="shared" si="35"/>
        <v>50348.01</v>
      </c>
      <c r="AQ298" s="280">
        <f t="shared" si="35"/>
        <v>50534</v>
      </c>
      <c r="AR298" s="280">
        <f t="shared" si="35"/>
        <v>50586</v>
      </c>
      <c r="AS298" s="280">
        <f t="shared" si="35"/>
        <v>50341.01</v>
      </c>
      <c r="AT298" s="280">
        <f t="shared" si="35"/>
        <v>50591.01</v>
      </c>
      <c r="AU298" s="280">
        <f t="shared" si="35"/>
        <v>50348.01</v>
      </c>
      <c r="AV298" s="280">
        <f t="shared" si="35"/>
        <v>50339.09</v>
      </c>
      <c r="AW298" s="280">
        <f t="shared" si="35"/>
        <v>50617.01</v>
      </c>
      <c r="AX298" s="280">
        <f t="shared" si="35"/>
        <v>50607</v>
      </c>
      <c r="AY298" s="280">
        <f t="shared" si="35"/>
        <v>50343.01</v>
      </c>
      <c r="AZ298" s="280">
        <f t="shared" si="35"/>
        <v>3235353.01</v>
      </c>
      <c r="BA298" s="280">
        <f t="shared" si="35"/>
        <v>50346.01</v>
      </c>
      <c r="BB298" s="280">
        <f t="shared" si="35"/>
        <v>50348.01</v>
      </c>
      <c r="BC298" s="280">
        <f t="shared" si="35"/>
        <v>50350</v>
      </c>
      <c r="BD298" s="280">
        <f t="shared" si="35"/>
        <v>50626.01</v>
      </c>
      <c r="BE298" s="280">
        <f t="shared" si="35"/>
        <v>50348.01</v>
      </c>
      <c r="BF298" s="280">
        <f t="shared" si="35"/>
        <v>50347</v>
      </c>
      <c r="BG298" s="280">
        <f t="shared" si="35"/>
        <v>50352.01</v>
      </c>
      <c r="BH298" s="280">
        <f t="shared" si="35"/>
        <v>50355.01</v>
      </c>
      <c r="BI298" s="280">
        <f t="shared" si="35"/>
        <v>50517</v>
      </c>
      <c r="BJ298" s="280">
        <f t="shared" si="35"/>
        <v>50352.01</v>
      </c>
      <c r="BK298" s="280">
        <f t="shared" si="35"/>
        <v>50596</v>
      </c>
      <c r="BL298" s="280">
        <f t="shared" si="35"/>
        <v>50354.01</v>
      </c>
      <c r="BM298" s="280">
        <f t="shared" si="35"/>
        <v>50360.09</v>
      </c>
      <c r="BN298" s="280">
        <f t="shared" si="35"/>
        <v>50357.01</v>
      </c>
      <c r="BO298" s="280">
        <f t="shared" si="35"/>
        <v>50509.01</v>
      </c>
      <c r="BP298" s="280">
        <f t="shared" si="35"/>
        <v>50360.01</v>
      </c>
      <c r="BQ298" s="280">
        <f t="shared" si="35"/>
        <v>50358.01</v>
      </c>
      <c r="BR298" s="280">
        <f t="shared" si="35"/>
        <v>50354</v>
      </c>
      <c r="BS298" s="280">
        <f t="shared" si="35"/>
        <v>50366.1</v>
      </c>
      <c r="BT298" s="280">
        <f t="shared" ref="BT298:CE298" si="36">SUM(BT187:BT188,BT204:BT207,BT227,BT244:BT248,BT263:BT266)</f>
        <v>50361.07</v>
      </c>
      <c r="BU298" s="280">
        <f t="shared" si="36"/>
        <v>50361.01</v>
      </c>
      <c r="BV298" s="280">
        <f t="shared" si="36"/>
        <v>50364.01</v>
      </c>
      <c r="BW298" s="280">
        <f t="shared" si="36"/>
        <v>50599</v>
      </c>
      <c r="BX298" s="280">
        <f t="shared" si="36"/>
        <v>4571355.01</v>
      </c>
      <c r="BY298" s="280">
        <f t="shared" si="36"/>
        <v>50364.01</v>
      </c>
      <c r="BZ298" s="280">
        <f t="shared" si="36"/>
        <v>50540.01</v>
      </c>
      <c r="CA298" s="280">
        <f t="shared" si="36"/>
        <v>50369.01</v>
      </c>
      <c r="CB298" s="280">
        <f t="shared" si="36"/>
        <v>50373.01</v>
      </c>
      <c r="CC298" s="280">
        <f t="shared" si="36"/>
        <v>50369.01</v>
      </c>
      <c r="CD298" s="280">
        <f t="shared" si="36"/>
        <v>0</v>
      </c>
      <c r="CE298" s="280">
        <f t="shared" si="36"/>
        <v>50378.01</v>
      </c>
    </row>
    <row r="299" spans="1:83" x14ac:dyDescent="0.25">
      <c r="E299" s="277">
        <f>E297-E298</f>
        <v>11746680</v>
      </c>
      <c r="F299" s="277">
        <f t="shared" ref="F299:BQ299" si="37">F297-F298</f>
        <v>2106510.2199999997</v>
      </c>
      <c r="G299" s="277">
        <f t="shared" si="37"/>
        <v>37823456.859999999</v>
      </c>
      <c r="H299" s="277">
        <f t="shared" si="37"/>
        <v>45312923.719999999</v>
      </c>
      <c r="I299" s="277">
        <f t="shared" si="37"/>
        <v>42514106.920000002</v>
      </c>
      <c r="J299" s="277">
        <f t="shared" si="37"/>
        <v>61216948.310000002</v>
      </c>
      <c r="K299" s="277">
        <f t="shared" si="37"/>
        <v>12328772.51</v>
      </c>
      <c r="L299" s="277">
        <f t="shared" si="37"/>
        <v>11576375.609999999</v>
      </c>
      <c r="M299" s="277">
        <f t="shared" si="37"/>
        <v>8093924.1399999997</v>
      </c>
      <c r="N299" s="277">
        <f t="shared" si="37"/>
        <v>370234773.05000001</v>
      </c>
      <c r="O299" s="277">
        <f t="shared" si="37"/>
        <v>8300799.4800000004</v>
      </c>
      <c r="P299" s="277">
        <f t="shared" si="37"/>
        <v>197979900.75</v>
      </c>
      <c r="Q299" s="277">
        <f t="shared" si="37"/>
        <v>2559874.0700000003</v>
      </c>
      <c r="R299" s="277">
        <f t="shared" si="37"/>
        <v>2678254880.1500006</v>
      </c>
      <c r="S299" s="277">
        <f t="shared" si="37"/>
        <v>48012064</v>
      </c>
      <c r="T299" s="277">
        <f t="shared" si="37"/>
        <v>2133616</v>
      </c>
      <c r="U299" s="277">
        <f t="shared" si="37"/>
        <v>2552532538.4899998</v>
      </c>
      <c r="V299" s="277">
        <f t="shared" si="37"/>
        <v>645792357.41999996</v>
      </c>
      <c r="W299" s="277">
        <f t="shared" si="37"/>
        <v>1243762017.3199999</v>
      </c>
      <c r="X299" s="277">
        <f t="shared" si="37"/>
        <v>935007353.87</v>
      </c>
      <c r="Y299" s="277">
        <f t="shared" si="37"/>
        <v>19170767.699999999</v>
      </c>
      <c r="Z299" s="277">
        <f t="shared" si="37"/>
        <v>570963599.75999999</v>
      </c>
      <c r="AA299" s="277">
        <f t="shared" si="37"/>
        <v>82807377.890000001</v>
      </c>
      <c r="AB299" s="277" t="e">
        <f t="shared" si="37"/>
        <v>#VALUE!</v>
      </c>
      <c r="AC299" s="277">
        <f t="shared" si="37"/>
        <v>183990113.15000001</v>
      </c>
      <c r="AD299" s="277" t="e">
        <f t="shared" si="37"/>
        <v>#VALUE!</v>
      </c>
      <c r="AE299" s="277">
        <f t="shared" si="37"/>
        <v>72279018.319999993</v>
      </c>
      <c r="AF299" s="277">
        <f t="shared" si="37"/>
        <v>125342849.06</v>
      </c>
      <c r="AG299" s="277">
        <f t="shared" si="37"/>
        <v>434539578.99000001</v>
      </c>
      <c r="AH299" s="277">
        <f t="shared" si="37"/>
        <v>165248119.96000001</v>
      </c>
      <c r="AI299" s="277">
        <f t="shared" si="37"/>
        <v>40206811.049999997</v>
      </c>
      <c r="AJ299" s="277">
        <f t="shared" si="37"/>
        <v>1962457356.72</v>
      </c>
      <c r="AK299" s="277">
        <f t="shared" si="37"/>
        <v>46827585.18</v>
      </c>
      <c r="AL299" s="277">
        <f t="shared" si="37"/>
        <v>45607123.530000001</v>
      </c>
      <c r="AM299" s="277">
        <f t="shared" si="37"/>
        <v>117948772.83</v>
      </c>
      <c r="AN299" s="277">
        <f t="shared" si="37"/>
        <v>673966403.62</v>
      </c>
      <c r="AO299" s="277">
        <f t="shared" si="37"/>
        <v>22288849.310000002</v>
      </c>
      <c r="AP299" s="277">
        <f t="shared" si="37"/>
        <v>24343658.490000002</v>
      </c>
      <c r="AQ299" s="277">
        <f t="shared" si="37"/>
        <v>1230695</v>
      </c>
      <c r="AR299" s="277">
        <f t="shared" si="37"/>
        <v>183175113.17000002</v>
      </c>
      <c r="AS299" s="277">
        <f t="shared" si="37"/>
        <v>568011666.97000003</v>
      </c>
      <c r="AT299" s="277">
        <f t="shared" si="37"/>
        <v>36132377.219999999</v>
      </c>
      <c r="AU299" s="277">
        <f t="shared" si="37"/>
        <v>97613167.620000005</v>
      </c>
      <c r="AV299" s="277">
        <f t="shared" si="37"/>
        <v>11914253.48</v>
      </c>
      <c r="AW299" s="277">
        <f t="shared" si="37"/>
        <v>1080590086.3999999</v>
      </c>
      <c r="AX299" s="277">
        <f t="shared" si="37"/>
        <v>50952501.18</v>
      </c>
      <c r="AY299" s="277">
        <f t="shared" si="37"/>
        <v>78848012.5</v>
      </c>
      <c r="AZ299" s="277">
        <f t="shared" si="37"/>
        <v>239067288.38999999</v>
      </c>
      <c r="BA299" s="277">
        <f t="shared" si="37"/>
        <v>61439283.129999995</v>
      </c>
      <c r="BB299" s="277">
        <f t="shared" si="37"/>
        <v>24125479.899999999</v>
      </c>
      <c r="BC299" s="277">
        <f t="shared" si="37"/>
        <v>867984</v>
      </c>
      <c r="BD299" s="277">
        <f t="shared" si="37"/>
        <v>6849805.2199999997</v>
      </c>
      <c r="BE299" s="277">
        <f t="shared" si="37"/>
        <v>334943138.23000002</v>
      </c>
      <c r="BF299" s="277">
        <f t="shared" si="37"/>
        <v>4985138.54</v>
      </c>
      <c r="BG299" s="277">
        <f t="shared" si="37"/>
        <v>22924818.699999999</v>
      </c>
      <c r="BH299" s="277">
        <f t="shared" si="37"/>
        <v>13090174.32</v>
      </c>
      <c r="BI299" s="277">
        <f t="shared" si="37"/>
        <v>2455310.9899999998</v>
      </c>
      <c r="BJ299" s="277">
        <f t="shared" si="37"/>
        <v>20439621.18</v>
      </c>
      <c r="BK299" s="277">
        <f t="shared" si="37"/>
        <v>3371161.8200000003</v>
      </c>
      <c r="BL299" s="277">
        <f t="shared" si="37"/>
        <v>142039064.97999999</v>
      </c>
      <c r="BM299" s="277">
        <f t="shared" si="37"/>
        <v>58437875.349999987</v>
      </c>
      <c r="BN299" s="277">
        <f t="shared" si="37"/>
        <v>68338116.599999994</v>
      </c>
      <c r="BO299" s="277">
        <f t="shared" si="37"/>
        <v>98821804.319999993</v>
      </c>
      <c r="BP299" s="277">
        <f t="shared" si="37"/>
        <v>39418015</v>
      </c>
      <c r="BQ299" s="277">
        <f t="shared" si="37"/>
        <v>45129822.68</v>
      </c>
      <c r="BR299" s="277">
        <f>BR297-BR298</f>
        <v>276640464.86000001</v>
      </c>
      <c r="BS299" s="277">
        <f>BS297-BS298</f>
        <v>67703046.230000019</v>
      </c>
      <c r="BT299" s="310">
        <f t="shared" ref="BT299:CE299" si="38">BT297-BT298</f>
        <v>452798978.38999999</v>
      </c>
      <c r="BU299" s="310">
        <f t="shared" si="38"/>
        <v>52217702.880000003</v>
      </c>
      <c r="BV299" s="310">
        <f t="shared" si="38"/>
        <v>178819324.18000001</v>
      </c>
      <c r="BW299" s="310">
        <f t="shared" si="38"/>
        <v>22991721.219999999</v>
      </c>
      <c r="BX299" s="310">
        <f t="shared" si="38"/>
        <v>111247750.09999999</v>
      </c>
      <c r="BY299" s="310">
        <f t="shared" si="38"/>
        <v>36515829.520000003</v>
      </c>
      <c r="BZ299" s="310">
        <f t="shared" si="38"/>
        <v>5969542.5099999998</v>
      </c>
      <c r="CA299" s="310">
        <f t="shared" si="38"/>
        <v>30136195.07</v>
      </c>
      <c r="CB299" s="310">
        <f t="shared" si="38"/>
        <v>20821453.690000001</v>
      </c>
      <c r="CC299" s="310">
        <f t="shared" si="38"/>
        <v>38909309.899999999</v>
      </c>
      <c r="CD299" s="310">
        <f t="shared" si="38"/>
        <v>0</v>
      </c>
      <c r="CE299" s="310">
        <f t="shared" si="38"/>
        <v>6435124.5300000003</v>
      </c>
    </row>
    <row r="300" spans="1:83" x14ac:dyDescent="0.25">
      <c r="BT300" s="701"/>
      <c r="BU300" s="701"/>
      <c r="BV300" s="701"/>
      <c r="BW300" s="701"/>
      <c r="BX300" s="701"/>
      <c r="BY300" s="701"/>
      <c r="BZ300" s="701"/>
      <c r="CA300" s="701"/>
      <c r="CB300" s="701"/>
      <c r="CC300" s="701"/>
      <c r="CD300" s="701"/>
      <c r="CE300" s="701"/>
    </row>
    <row r="301" spans="1:83" x14ac:dyDescent="0.25">
      <c r="E301" s="310">
        <f t="shared" ref="E301:AJ301" si="39">E226</f>
        <v>0</v>
      </c>
      <c r="F301" s="310">
        <f t="shared" si="39"/>
        <v>0</v>
      </c>
      <c r="G301" s="310">
        <f t="shared" si="39"/>
        <v>0</v>
      </c>
      <c r="H301" s="310">
        <f t="shared" si="39"/>
        <v>0</v>
      </c>
      <c r="I301" s="310">
        <f t="shared" si="39"/>
        <v>0</v>
      </c>
      <c r="J301" s="310">
        <f t="shared" si="39"/>
        <v>0</v>
      </c>
      <c r="K301" s="310">
        <f t="shared" si="39"/>
        <v>0</v>
      </c>
      <c r="L301" s="310">
        <f t="shared" si="39"/>
        <v>0</v>
      </c>
      <c r="M301" s="310">
        <f t="shared" si="39"/>
        <v>0</v>
      </c>
      <c r="N301" s="310">
        <f t="shared" si="39"/>
        <v>0</v>
      </c>
      <c r="O301" s="310">
        <f t="shared" si="39"/>
        <v>0</v>
      </c>
      <c r="P301" s="310">
        <f t="shared" si="39"/>
        <v>0</v>
      </c>
      <c r="Q301" s="310">
        <f t="shared" si="39"/>
        <v>0</v>
      </c>
      <c r="R301" s="310">
        <f t="shared" si="39"/>
        <v>130352</v>
      </c>
      <c r="S301" s="310">
        <f t="shared" si="39"/>
        <v>0</v>
      </c>
      <c r="T301" s="310">
        <f t="shared" si="39"/>
        <v>0</v>
      </c>
      <c r="U301" s="310">
        <f t="shared" si="39"/>
        <v>0</v>
      </c>
      <c r="V301" s="310">
        <f t="shared" si="39"/>
        <v>0</v>
      </c>
      <c r="W301" s="310">
        <f t="shared" si="39"/>
        <v>0</v>
      </c>
      <c r="X301" s="310">
        <f t="shared" si="39"/>
        <v>0</v>
      </c>
      <c r="Y301" s="310">
        <f t="shared" si="39"/>
        <v>10997</v>
      </c>
      <c r="Z301" s="310">
        <f t="shared" si="39"/>
        <v>106827</v>
      </c>
      <c r="AA301" s="310">
        <f t="shared" si="39"/>
        <v>0</v>
      </c>
      <c r="AB301" s="310" t="e">
        <f t="shared" si="39"/>
        <v>#VALUE!</v>
      </c>
      <c r="AC301" s="310">
        <f t="shared" si="39"/>
        <v>0</v>
      </c>
      <c r="AD301" s="310" t="e">
        <f t="shared" si="39"/>
        <v>#VALUE!</v>
      </c>
      <c r="AE301" s="310">
        <f t="shared" si="39"/>
        <v>31766</v>
      </c>
      <c r="AF301" s="310">
        <f t="shared" si="39"/>
        <v>10290</v>
      </c>
      <c r="AG301" s="310">
        <f t="shared" si="39"/>
        <v>0</v>
      </c>
      <c r="AH301" s="310">
        <f t="shared" si="39"/>
        <v>33481</v>
      </c>
      <c r="AI301" s="310">
        <f t="shared" si="39"/>
        <v>0</v>
      </c>
      <c r="AJ301" s="310">
        <f t="shared" si="39"/>
        <v>1076075</v>
      </c>
      <c r="AK301" s="310">
        <f t="shared" ref="AK301:BS301" si="40">AK226</f>
        <v>0</v>
      </c>
      <c r="AL301" s="310">
        <f t="shared" si="40"/>
        <v>0</v>
      </c>
      <c r="AM301" s="310">
        <f t="shared" si="40"/>
        <v>0</v>
      </c>
      <c r="AN301" s="310">
        <f t="shared" si="40"/>
        <v>331101</v>
      </c>
      <c r="AO301" s="310">
        <f t="shared" si="40"/>
        <v>0</v>
      </c>
      <c r="AP301" s="310">
        <f t="shared" si="40"/>
        <v>3066</v>
      </c>
      <c r="AQ301" s="310">
        <f t="shared" si="40"/>
        <v>0</v>
      </c>
      <c r="AR301" s="310">
        <f t="shared" si="40"/>
        <v>0</v>
      </c>
      <c r="AS301" s="310">
        <f t="shared" si="40"/>
        <v>7570</v>
      </c>
      <c r="AT301" s="310">
        <f t="shared" si="40"/>
        <v>0</v>
      </c>
      <c r="AU301" s="310">
        <f t="shared" si="40"/>
        <v>0</v>
      </c>
      <c r="AV301" s="310">
        <f t="shared" si="40"/>
        <v>8170</v>
      </c>
      <c r="AW301" s="310">
        <f t="shared" si="40"/>
        <v>0</v>
      </c>
      <c r="AX301" s="310">
        <f t="shared" si="40"/>
        <v>0</v>
      </c>
      <c r="AY301" s="310">
        <f t="shared" si="40"/>
        <v>0</v>
      </c>
      <c r="AZ301" s="310">
        <f t="shared" si="40"/>
        <v>0</v>
      </c>
      <c r="BA301" s="310">
        <f t="shared" si="40"/>
        <v>0</v>
      </c>
      <c r="BB301" s="310">
        <f t="shared" si="40"/>
        <v>0</v>
      </c>
      <c r="BC301" s="310">
        <f t="shared" si="40"/>
        <v>0</v>
      </c>
      <c r="BD301" s="310">
        <f t="shared" si="40"/>
        <v>0</v>
      </c>
      <c r="BE301" s="310">
        <f t="shared" si="40"/>
        <v>0</v>
      </c>
      <c r="BF301" s="310">
        <f t="shared" si="40"/>
        <v>0</v>
      </c>
      <c r="BG301" s="310">
        <f t="shared" si="40"/>
        <v>0</v>
      </c>
      <c r="BH301" s="310">
        <f t="shared" si="40"/>
        <v>13361</v>
      </c>
      <c r="BI301" s="310">
        <f t="shared" si="40"/>
        <v>0</v>
      </c>
      <c r="BJ301" s="310">
        <f t="shared" si="40"/>
        <v>0</v>
      </c>
      <c r="BK301" s="310">
        <f t="shared" si="40"/>
        <v>0</v>
      </c>
      <c r="BL301" s="310">
        <f t="shared" si="40"/>
        <v>0</v>
      </c>
      <c r="BM301" s="310">
        <f t="shared" si="40"/>
        <v>0</v>
      </c>
      <c r="BN301" s="310">
        <f t="shared" si="40"/>
        <v>3268</v>
      </c>
      <c r="BO301" s="310">
        <f t="shared" si="40"/>
        <v>0</v>
      </c>
      <c r="BP301" s="310">
        <f t="shared" si="40"/>
        <v>0</v>
      </c>
      <c r="BQ301" s="310">
        <f t="shared" si="40"/>
        <v>0</v>
      </c>
      <c r="BR301" s="310">
        <f t="shared" si="40"/>
        <v>0</v>
      </c>
      <c r="BS301" s="310">
        <f t="shared" si="40"/>
        <v>32063</v>
      </c>
      <c r="BT301" s="310">
        <f t="shared" ref="BT301:CE301" si="41">BT226</f>
        <v>0</v>
      </c>
      <c r="BU301" s="310">
        <f t="shared" si="41"/>
        <v>0</v>
      </c>
      <c r="BV301" s="310">
        <f t="shared" si="41"/>
        <v>0</v>
      </c>
      <c r="BW301" s="310">
        <f t="shared" si="41"/>
        <v>0</v>
      </c>
      <c r="BX301" s="310">
        <f t="shared" si="41"/>
        <v>0</v>
      </c>
      <c r="BY301" s="310">
        <f t="shared" si="41"/>
        <v>0</v>
      </c>
      <c r="BZ301" s="310">
        <f t="shared" si="41"/>
        <v>0</v>
      </c>
      <c r="CA301" s="310">
        <f t="shared" si="41"/>
        <v>0</v>
      </c>
      <c r="CB301" s="310">
        <f t="shared" si="41"/>
        <v>0</v>
      </c>
      <c r="CC301" s="310">
        <f t="shared" si="41"/>
        <v>0</v>
      </c>
      <c r="CD301" s="310">
        <f t="shared" si="41"/>
        <v>0</v>
      </c>
      <c r="CE301" s="310">
        <f t="shared" si="41"/>
        <v>0</v>
      </c>
    </row>
    <row r="302" spans="1:83" x14ac:dyDescent="0.25">
      <c r="E302" s="225">
        <v>0</v>
      </c>
      <c r="F302" s="225">
        <v>0</v>
      </c>
      <c r="G302" s="225">
        <v>0</v>
      </c>
      <c r="H302" s="225">
        <v>1075726</v>
      </c>
      <c r="I302" s="225">
        <v>0</v>
      </c>
      <c r="J302" s="225">
        <v>0</v>
      </c>
      <c r="K302" s="225">
        <v>0</v>
      </c>
      <c r="L302" s="225">
        <v>10303</v>
      </c>
      <c r="M302" s="225">
        <v>216339</v>
      </c>
      <c r="N302" s="225">
        <v>0</v>
      </c>
      <c r="O302" s="225">
        <v>0</v>
      </c>
      <c r="P302" s="225">
        <v>0</v>
      </c>
      <c r="Q302" s="225">
        <v>0</v>
      </c>
      <c r="R302" s="225">
        <v>0</v>
      </c>
      <c r="S302" s="225">
        <v>0</v>
      </c>
      <c r="T302" s="225">
        <v>0</v>
      </c>
      <c r="U302" s="225">
        <v>0</v>
      </c>
      <c r="V302" s="225">
        <v>0</v>
      </c>
      <c r="W302" s="225">
        <v>0</v>
      </c>
      <c r="X302" s="225">
        <v>0</v>
      </c>
      <c r="Y302" s="225">
        <v>0</v>
      </c>
      <c r="Z302" s="225">
        <v>0</v>
      </c>
      <c r="AA302" s="225">
        <v>2340</v>
      </c>
      <c r="AB302" s="225">
        <v>0</v>
      </c>
      <c r="AC302" s="225">
        <v>0</v>
      </c>
      <c r="AD302" s="225">
        <v>0</v>
      </c>
      <c r="AE302" s="225">
        <v>0</v>
      </c>
      <c r="AF302" s="225">
        <v>0</v>
      </c>
      <c r="AG302" s="225">
        <v>0</v>
      </c>
      <c r="AH302" s="225">
        <v>0</v>
      </c>
      <c r="AI302" s="225">
        <v>0</v>
      </c>
      <c r="AJ302" s="225">
        <v>0</v>
      </c>
      <c r="AK302" s="225">
        <v>0</v>
      </c>
      <c r="AL302" s="225">
        <v>0</v>
      </c>
      <c r="AM302" s="225">
        <v>0</v>
      </c>
      <c r="AN302" s="225">
        <v>0</v>
      </c>
      <c r="AO302" s="225">
        <v>0</v>
      </c>
      <c r="AP302" s="225">
        <v>0</v>
      </c>
      <c r="AQ302" s="225">
        <v>0</v>
      </c>
      <c r="AR302" s="225">
        <v>0</v>
      </c>
      <c r="AS302" s="225">
        <v>0</v>
      </c>
      <c r="AT302" s="225">
        <v>0</v>
      </c>
      <c r="AU302" s="225">
        <v>0</v>
      </c>
      <c r="AV302" s="225">
        <v>0</v>
      </c>
      <c r="AW302" s="225">
        <v>0</v>
      </c>
      <c r="AX302" s="225">
        <v>0</v>
      </c>
      <c r="AY302" s="225">
        <v>0</v>
      </c>
      <c r="AZ302" s="225">
        <v>0</v>
      </c>
      <c r="BA302" s="225">
        <v>0</v>
      </c>
      <c r="BB302" s="225">
        <v>0</v>
      </c>
      <c r="BC302" s="225">
        <v>0</v>
      </c>
      <c r="BD302" s="225">
        <v>0</v>
      </c>
      <c r="BE302" s="225">
        <v>0</v>
      </c>
      <c r="BF302" s="225">
        <v>290080</v>
      </c>
      <c r="BG302" s="225">
        <v>0</v>
      </c>
      <c r="BH302" s="225">
        <v>0</v>
      </c>
      <c r="BI302" s="225">
        <v>0</v>
      </c>
      <c r="BJ302" s="225">
        <v>0</v>
      </c>
      <c r="BK302" s="225">
        <v>0</v>
      </c>
      <c r="BL302" s="225">
        <v>0</v>
      </c>
      <c r="BM302" s="225">
        <v>0</v>
      </c>
      <c r="BN302" s="225">
        <v>0</v>
      </c>
      <c r="BO302" s="225">
        <v>0</v>
      </c>
      <c r="BP302" s="225">
        <v>0</v>
      </c>
      <c r="BQ302" s="225">
        <v>0</v>
      </c>
      <c r="BR302" s="225">
        <v>0</v>
      </c>
      <c r="BS302" s="225">
        <v>0</v>
      </c>
      <c r="BT302" s="701">
        <v>0</v>
      </c>
      <c r="BU302" s="701">
        <v>0</v>
      </c>
      <c r="BV302" s="701">
        <v>0</v>
      </c>
      <c r="BW302" s="701">
        <v>0</v>
      </c>
      <c r="BX302" s="701">
        <v>0</v>
      </c>
      <c r="BY302" s="701">
        <v>0</v>
      </c>
      <c r="BZ302" s="701">
        <v>0</v>
      </c>
      <c r="CA302" s="701">
        <v>0</v>
      </c>
      <c r="CB302" s="701">
        <v>0</v>
      </c>
      <c r="CC302" s="701">
        <v>0</v>
      </c>
      <c r="CD302" s="701">
        <v>0</v>
      </c>
      <c r="CE302" s="701">
        <v>0</v>
      </c>
    </row>
    <row r="303" spans="1:83" x14ac:dyDescent="0.25">
      <c r="E303" s="225">
        <v>0</v>
      </c>
      <c r="F303" s="225">
        <v>0</v>
      </c>
      <c r="G303" s="225">
        <v>0</v>
      </c>
      <c r="H303" s="225">
        <v>1075726</v>
      </c>
      <c r="I303" s="225">
        <v>0</v>
      </c>
      <c r="J303" s="225">
        <v>0</v>
      </c>
      <c r="K303" s="225">
        <v>0</v>
      </c>
      <c r="L303" s="225">
        <v>10303</v>
      </c>
      <c r="M303" s="225">
        <v>216339</v>
      </c>
      <c r="N303" s="225">
        <v>0</v>
      </c>
      <c r="O303" s="225">
        <v>0</v>
      </c>
      <c r="P303" s="225">
        <v>0</v>
      </c>
      <c r="Q303" s="225">
        <v>0</v>
      </c>
      <c r="R303" s="225">
        <v>0</v>
      </c>
      <c r="S303" s="225">
        <v>0</v>
      </c>
      <c r="T303" s="225">
        <v>0</v>
      </c>
      <c r="U303" s="225">
        <v>0</v>
      </c>
      <c r="V303" s="225">
        <v>0</v>
      </c>
      <c r="W303" s="225">
        <v>0</v>
      </c>
      <c r="X303" s="225">
        <v>0</v>
      </c>
      <c r="Y303" s="225">
        <v>0</v>
      </c>
      <c r="Z303" s="225">
        <v>0</v>
      </c>
      <c r="AA303" s="225">
        <v>2340</v>
      </c>
      <c r="AB303" s="225">
        <v>0</v>
      </c>
      <c r="AC303" s="225">
        <v>0</v>
      </c>
      <c r="AD303" s="225">
        <v>0</v>
      </c>
      <c r="AE303" s="225">
        <v>0</v>
      </c>
      <c r="AF303" s="225">
        <v>0</v>
      </c>
      <c r="AG303" s="225">
        <v>0</v>
      </c>
      <c r="AH303" s="225">
        <v>0</v>
      </c>
      <c r="AI303" s="225">
        <v>0</v>
      </c>
      <c r="AJ303" s="225">
        <v>0</v>
      </c>
      <c r="AK303" s="225">
        <v>0</v>
      </c>
      <c r="AL303" s="225">
        <v>0</v>
      </c>
      <c r="AM303" s="225">
        <v>0</v>
      </c>
      <c r="AN303" s="225">
        <v>0</v>
      </c>
      <c r="AO303" s="225">
        <v>0</v>
      </c>
      <c r="AP303" s="225">
        <v>0</v>
      </c>
      <c r="AQ303" s="225">
        <v>0</v>
      </c>
      <c r="AR303" s="225">
        <v>0</v>
      </c>
      <c r="AS303" s="225">
        <v>0</v>
      </c>
      <c r="AT303" s="225">
        <v>0</v>
      </c>
      <c r="AU303" s="225">
        <v>0</v>
      </c>
      <c r="AV303" s="225">
        <v>0</v>
      </c>
      <c r="AW303" s="225">
        <v>0</v>
      </c>
      <c r="AX303" s="225">
        <v>0</v>
      </c>
      <c r="AY303" s="225">
        <v>0</v>
      </c>
      <c r="AZ303" s="225">
        <v>0</v>
      </c>
      <c r="BA303" s="225">
        <v>0</v>
      </c>
      <c r="BB303" s="225">
        <v>0</v>
      </c>
      <c r="BC303" s="225">
        <v>0</v>
      </c>
      <c r="BD303" s="225">
        <v>0</v>
      </c>
      <c r="BE303" s="225">
        <v>0</v>
      </c>
      <c r="BF303" s="225">
        <v>290080</v>
      </c>
      <c r="BG303" s="225">
        <v>0</v>
      </c>
      <c r="BH303" s="225">
        <v>0</v>
      </c>
      <c r="BI303" s="225">
        <v>0</v>
      </c>
      <c r="BJ303" s="225">
        <v>0</v>
      </c>
      <c r="BK303" s="225">
        <v>0</v>
      </c>
      <c r="BL303" s="225">
        <v>0</v>
      </c>
      <c r="BM303" s="225">
        <v>0</v>
      </c>
      <c r="BN303" s="225">
        <v>0</v>
      </c>
      <c r="BO303" s="225">
        <v>0</v>
      </c>
      <c r="BP303" s="225">
        <v>0</v>
      </c>
      <c r="BQ303" s="225">
        <v>0</v>
      </c>
      <c r="BR303" s="225">
        <v>0</v>
      </c>
      <c r="BS303" s="225">
        <v>0</v>
      </c>
      <c r="BT303" s="701">
        <v>0</v>
      </c>
      <c r="BU303" s="701">
        <v>0</v>
      </c>
      <c r="BV303" s="701">
        <v>0</v>
      </c>
      <c r="BW303" s="701">
        <v>0</v>
      </c>
      <c r="BX303" s="701">
        <v>0</v>
      </c>
      <c r="BY303" s="701">
        <v>0</v>
      </c>
      <c r="BZ303" s="701">
        <v>0</v>
      </c>
      <c r="CA303" s="701">
        <v>0</v>
      </c>
      <c r="CB303" s="701">
        <v>0</v>
      </c>
      <c r="CC303" s="701">
        <v>0</v>
      </c>
      <c r="CD303" s="701">
        <v>0</v>
      </c>
      <c r="CE303" s="701">
        <v>0</v>
      </c>
    </row>
    <row r="304" spans="1:83" x14ac:dyDescent="0.25">
      <c r="BT304" s="701"/>
      <c r="BU304" s="701"/>
      <c r="BV304" s="701"/>
      <c r="BW304" s="701"/>
      <c r="BX304" s="701"/>
      <c r="BY304" s="701"/>
      <c r="BZ304" s="701"/>
      <c r="CA304" s="701"/>
      <c r="CB304" s="701"/>
      <c r="CC304" s="701"/>
      <c r="CD304" s="701"/>
      <c r="CE304" s="701"/>
    </row>
    <row r="305" spans="5:83" x14ac:dyDescent="0.25">
      <c r="E305" s="310">
        <f>E299-E301-E302-E303</f>
        <v>11746680</v>
      </c>
      <c r="F305" s="310">
        <f t="shared" ref="F305:BQ305" si="42">F299-F301-F302-F303</f>
        <v>2106510.2199999997</v>
      </c>
      <c r="G305" s="310">
        <f t="shared" si="42"/>
        <v>37823456.859999999</v>
      </c>
      <c r="H305" s="310">
        <f t="shared" si="42"/>
        <v>43161471.719999999</v>
      </c>
      <c r="I305" s="310">
        <f t="shared" si="42"/>
        <v>42514106.920000002</v>
      </c>
      <c r="J305" s="310">
        <f t="shared" si="42"/>
        <v>61216948.310000002</v>
      </c>
      <c r="K305" s="310">
        <f t="shared" si="42"/>
        <v>12328772.51</v>
      </c>
      <c r="L305" s="310">
        <f t="shared" si="42"/>
        <v>11555769.609999999</v>
      </c>
      <c r="M305" s="310">
        <f t="shared" si="42"/>
        <v>7661246.1399999997</v>
      </c>
      <c r="N305" s="310">
        <f t="shared" si="42"/>
        <v>370234773.05000001</v>
      </c>
      <c r="O305" s="310">
        <f t="shared" si="42"/>
        <v>8300799.4800000004</v>
      </c>
      <c r="P305" s="310">
        <f t="shared" si="42"/>
        <v>197979900.75</v>
      </c>
      <c r="Q305" s="310">
        <f t="shared" si="42"/>
        <v>2559874.0700000003</v>
      </c>
      <c r="R305" s="310">
        <f t="shared" si="42"/>
        <v>2678124528.1500006</v>
      </c>
      <c r="S305" s="310">
        <f t="shared" si="42"/>
        <v>48012064</v>
      </c>
      <c r="T305" s="310">
        <f t="shared" si="42"/>
        <v>2133616</v>
      </c>
      <c r="U305" s="310">
        <f t="shared" si="42"/>
        <v>2552532538.4899998</v>
      </c>
      <c r="V305" s="310">
        <f t="shared" si="42"/>
        <v>645792357.41999996</v>
      </c>
      <c r="W305" s="310">
        <f t="shared" si="42"/>
        <v>1243762017.3199999</v>
      </c>
      <c r="X305" s="310">
        <f t="shared" si="42"/>
        <v>935007353.87</v>
      </c>
      <c r="Y305" s="310">
        <f t="shared" si="42"/>
        <v>19159770.699999999</v>
      </c>
      <c r="Z305" s="310">
        <f t="shared" si="42"/>
        <v>570856772.75999999</v>
      </c>
      <c r="AA305" s="310">
        <f t="shared" si="42"/>
        <v>82802697.890000001</v>
      </c>
      <c r="AB305" s="310" t="e">
        <f t="shared" si="42"/>
        <v>#VALUE!</v>
      </c>
      <c r="AC305" s="310">
        <f t="shared" si="42"/>
        <v>183990113.15000001</v>
      </c>
      <c r="AD305" s="310" t="e">
        <f t="shared" si="42"/>
        <v>#VALUE!</v>
      </c>
      <c r="AE305" s="310">
        <f t="shared" si="42"/>
        <v>72247252.319999993</v>
      </c>
      <c r="AF305" s="310">
        <f t="shared" si="42"/>
        <v>125332559.06</v>
      </c>
      <c r="AG305" s="310">
        <f t="shared" si="42"/>
        <v>434539578.99000001</v>
      </c>
      <c r="AH305" s="310">
        <f t="shared" si="42"/>
        <v>165214638.96000001</v>
      </c>
      <c r="AI305" s="310">
        <f t="shared" si="42"/>
        <v>40206811.049999997</v>
      </c>
      <c r="AJ305" s="310">
        <f t="shared" si="42"/>
        <v>1961381281.72</v>
      </c>
      <c r="AK305" s="310">
        <f t="shared" si="42"/>
        <v>46827585.18</v>
      </c>
      <c r="AL305" s="310">
        <f t="shared" si="42"/>
        <v>45607123.530000001</v>
      </c>
      <c r="AM305" s="310">
        <f t="shared" si="42"/>
        <v>117948772.83</v>
      </c>
      <c r="AN305" s="310">
        <f t="shared" si="42"/>
        <v>673635302.62</v>
      </c>
      <c r="AO305" s="310">
        <f t="shared" si="42"/>
        <v>22288849.310000002</v>
      </c>
      <c r="AP305" s="310">
        <f t="shared" si="42"/>
        <v>24340592.490000002</v>
      </c>
      <c r="AQ305" s="310">
        <f t="shared" si="42"/>
        <v>1230695</v>
      </c>
      <c r="AR305" s="310">
        <f t="shared" si="42"/>
        <v>183175113.17000002</v>
      </c>
      <c r="AS305" s="310">
        <f t="shared" si="42"/>
        <v>568004096.97000003</v>
      </c>
      <c r="AT305" s="310">
        <f t="shared" si="42"/>
        <v>36132377.219999999</v>
      </c>
      <c r="AU305" s="310">
        <f t="shared" si="42"/>
        <v>97613167.620000005</v>
      </c>
      <c r="AV305" s="310">
        <f t="shared" si="42"/>
        <v>11906083.48</v>
      </c>
      <c r="AW305" s="310">
        <f t="shared" si="42"/>
        <v>1080590086.3999999</v>
      </c>
      <c r="AX305" s="310">
        <f t="shared" si="42"/>
        <v>50952501.18</v>
      </c>
      <c r="AY305" s="310">
        <f t="shared" si="42"/>
        <v>78848012.5</v>
      </c>
      <c r="AZ305" s="310">
        <f t="shared" si="42"/>
        <v>239067288.38999999</v>
      </c>
      <c r="BA305" s="310">
        <f t="shared" si="42"/>
        <v>61439283.129999995</v>
      </c>
      <c r="BB305" s="310">
        <f t="shared" si="42"/>
        <v>24125479.899999999</v>
      </c>
      <c r="BC305" s="310">
        <f t="shared" si="42"/>
        <v>867984</v>
      </c>
      <c r="BD305" s="310">
        <f t="shared" si="42"/>
        <v>6849805.2199999997</v>
      </c>
      <c r="BE305" s="310">
        <f t="shared" si="42"/>
        <v>334943138.23000002</v>
      </c>
      <c r="BF305" s="310">
        <f t="shared" si="42"/>
        <v>4404978.54</v>
      </c>
      <c r="BG305" s="310">
        <f t="shared" si="42"/>
        <v>22924818.699999999</v>
      </c>
      <c r="BH305" s="310">
        <f t="shared" si="42"/>
        <v>13076813.32</v>
      </c>
      <c r="BI305" s="310">
        <f t="shared" si="42"/>
        <v>2455310.9899999998</v>
      </c>
      <c r="BJ305" s="310">
        <f t="shared" si="42"/>
        <v>20439621.18</v>
      </c>
      <c r="BK305" s="310">
        <f t="shared" si="42"/>
        <v>3371161.8200000003</v>
      </c>
      <c r="BL305" s="310">
        <f t="shared" si="42"/>
        <v>142039064.97999999</v>
      </c>
      <c r="BM305" s="310">
        <f t="shared" si="42"/>
        <v>58437875.349999987</v>
      </c>
      <c r="BN305" s="310">
        <f t="shared" si="42"/>
        <v>68334848.599999994</v>
      </c>
      <c r="BO305" s="310">
        <f t="shared" si="42"/>
        <v>98821804.319999993</v>
      </c>
      <c r="BP305" s="310">
        <f t="shared" si="42"/>
        <v>39418015</v>
      </c>
      <c r="BQ305" s="310">
        <f t="shared" si="42"/>
        <v>45129822.68</v>
      </c>
      <c r="BR305" s="310">
        <f>BR299-BR301-BR302-BR303</f>
        <v>276640464.86000001</v>
      </c>
      <c r="BS305" s="310">
        <f>BS299-BS301-BS302-BS303</f>
        <v>67670983.230000019</v>
      </c>
      <c r="BT305" s="310">
        <f t="shared" ref="BT305:CE305" si="43">BT299-BT301-BT302-BT303</f>
        <v>452798978.38999999</v>
      </c>
      <c r="BU305" s="310">
        <f t="shared" si="43"/>
        <v>52217702.880000003</v>
      </c>
      <c r="BV305" s="310">
        <f t="shared" si="43"/>
        <v>178819324.18000001</v>
      </c>
      <c r="BW305" s="310">
        <f t="shared" si="43"/>
        <v>22991721.219999999</v>
      </c>
      <c r="BX305" s="310">
        <f t="shared" si="43"/>
        <v>111247750.09999999</v>
      </c>
      <c r="BY305" s="310">
        <f t="shared" si="43"/>
        <v>36515829.520000003</v>
      </c>
      <c r="BZ305" s="310">
        <f t="shared" si="43"/>
        <v>5969542.5099999998</v>
      </c>
      <c r="CA305" s="310">
        <f t="shared" si="43"/>
        <v>30136195.07</v>
      </c>
      <c r="CB305" s="310">
        <f t="shared" si="43"/>
        <v>20821453.690000001</v>
      </c>
      <c r="CC305" s="310">
        <f t="shared" si="43"/>
        <v>38909309.899999999</v>
      </c>
      <c r="CD305" s="310">
        <f t="shared" si="43"/>
        <v>0</v>
      </c>
      <c r="CE305" s="310">
        <f t="shared" si="43"/>
        <v>6435124.5300000003</v>
      </c>
    </row>
    <row r="307" spans="5:83" x14ac:dyDescent="0.25">
      <c r="H307" s="311"/>
    </row>
    <row r="308" spans="5:83" x14ac:dyDescent="0.25">
      <c r="E308" s="310"/>
      <c r="H308" s="312"/>
    </row>
  </sheetData>
  <sheetProtection password="CEAA" sheet="1" objects="1" scenarios="1"/>
  <conditionalFormatting sqref="E7:CE7 AN80:CE81">
    <cfRule type="cellIs" dxfId="7" priority="8" stopIfTrue="1" operator="equal">
      <formula>0</formula>
    </cfRule>
  </conditionalFormatting>
  <conditionalFormatting sqref="E80:AM80">
    <cfRule type="cellIs" dxfId="6" priority="7" stopIfTrue="1" operator="equal">
      <formula>0</formula>
    </cfRule>
  </conditionalFormatting>
  <conditionalFormatting sqref="E81:AM81">
    <cfRule type="cellIs" dxfId="5" priority="6" stopIfTrue="1" operator="equal">
      <formula>0</formula>
    </cfRule>
  </conditionalFormatting>
  <conditionalFormatting sqref="E158:CE158 E84:CE84 AN107:CE107">
    <cfRule type="cellIs" dxfId="4" priority="5" stopIfTrue="1" operator="lessThan">
      <formula>0</formula>
    </cfRule>
  </conditionalFormatting>
  <conditionalFormatting sqref="E107:AM107">
    <cfRule type="cellIs" dxfId="3" priority="4" stopIfTrue="1" operator="lessThan">
      <formula>0</formula>
    </cfRule>
  </conditionalFormatting>
  <conditionalFormatting sqref="E159:CE159">
    <cfRule type="cellIs" dxfId="2" priority="2" stopIfTrue="1" operator="greaterThan">
      <formula>0</formula>
    </cfRule>
    <cfRule type="cellIs" dxfId="1" priority="3" stopIfTrue="1" operator="greaterThan">
      <formula>0</formula>
    </cfRule>
  </conditionalFormatting>
  <conditionalFormatting sqref="E178:CE181">
    <cfRule type="cellIs" dxfId="0" priority="1" stopIfTrue="1" operator="lessThan">
      <formula>1</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TI381"/>
  <sheetViews>
    <sheetView zoomScale="96" zoomScaleNormal="96" workbookViewId="0">
      <pane ySplit="5" topLeftCell="A6" activePane="bottomLeft" state="frozen"/>
      <selection activeCell="K169" sqref="K169"/>
      <selection pane="bottomLeft" activeCell="D2" sqref="D2"/>
    </sheetView>
  </sheetViews>
  <sheetFormatPr defaultRowHeight="15" x14ac:dyDescent="0.25"/>
  <cols>
    <col min="1" max="1" width="8.5703125" style="15" customWidth="1"/>
    <col min="2" max="2" width="16.140625" style="17" customWidth="1"/>
    <col min="3" max="3" width="17.42578125" style="17" customWidth="1"/>
    <col min="4" max="4" width="46.28515625" style="15" customWidth="1"/>
    <col min="5" max="5" width="17.140625" style="15" customWidth="1"/>
    <col min="6" max="6" width="21.5703125" style="15" customWidth="1"/>
    <col min="7" max="7" width="26.7109375" style="7" customWidth="1"/>
    <col min="8" max="8" width="17.140625" style="805" customWidth="1"/>
    <col min="9" max="9" width="24" style="15" customWidth="1"/>
    <col min="10" max="10" width="13.5703125" style="44" customWidth="1"/>
    <col min="11" max="11" width="11.7109375" style="44" customWidth="1"/>
    <col min="12" max="12" width="18.140625" style="44" hidden="1" customWidth="1"/>
    <col min="13" max="13" width="9.140625" style="44" hidden="1" customWidth="1"/>
    <col min="14" max="14" width="11.42578125" style="756" hidden="1" customWidth="1"/>
    <col min="15" max="15" width="9.140625" style="44" hidden="1" customWidth="1"/>
    <col min="16" max="1881" width="9.140625" style="44"/>
    <col min="1882" max="16384" width="9.140625" style="15"/>
  </cols>
  <sheetData>
    <row r="1" spans="1:15" ht="29.25" thickBot="1" x14ac:dyDescent="0.5">
      <c r="B1" s="752" t="s">
        <v>797</v>
      </c>
      <c r="C1" s="752"/>
      <c r="E1" s="23" t="s">
        <v>37</v>
      </c>
      <c r="F1" s="12">
        <v>2020</v>
      </c>
      <c r="G1" s="354" t="s">
        <v>128</v>
      </c>
      <c r="H1" s="753"/>
      <c r="I1" s="754"/>
      <c r="J1" s="755" t="s">
        <v>1254</v>
      </c>
      <c r="M1" s="44" t="s">
        <v>53</v>
      </c>
      <c r="O1" s="44">
        <v>1</v>
      </c>
    </row>
    <row r="2" spans="1:15" ht="44.25" customHeight="1" thickBot="1" x14ac:dyDescent="0.4">
      <c r="B2" s="929" t="s">
        <v>528</v>
      </c>
      <c r="C2" s="930"/>
      <c r="D2" s="173"/>
      <c r="E2" s="927" t="s">
        <v>542</v>
      </c>
      <c r="F2" s="927"/>
      <c r="G2" s="928"/>
      <c r="H2" s="757"/>
      <c r="M2" s="44" t="s">
        <v>54</v>
      </c>
      <c r="N2" s="756">
        <v>50</v>
      </c>
      <c r="O2" s="44">
        <v>2</v>
      </c>
    </row>
    <row r="3" spans="1:15" ht="19.5" thickBot="1" x14ac:dyDescent="0.35">
      <c r="B3" s="758" t="s">
        <v>0</v>
      </c>
      <c r="C3" s="759"/>
      <c r="D3" s="121" t="e">
        <f>VLOOKUP(D2,'Unit Names(H)'!A1:B150,2,FALSE)</f>
        <v>#N/A</v>
      </c>
      <c r="E3" s="98"/>
      <c r="F3" s="760"/>
      <c r="G3" s="9"/>
      <c r="H3" s="757"/>
      <c r="N3" s="756">
        <v>51</v>
      </c>
      <c r="O3" s="44">
        <v>3</v>
      </c>
    </row>
    <row r="4" spans="1:15" ht="19.5" thickBot="1" x14ac:dyDescent="0.35">
      <c r="B4" s="761" t="s">
        <v>1101</v>
      </c>
      <c r="C4" s="762"/>
      <c r="D4" s="20"/>
      <c r="E4" s="20"/>
      <c r="F4" s="28"/>
      <c r="G4" s="10"/>
      <c r="H4" s="757"/>
      <c r="I4" s="11"/>
      <c r="M4" s="44" t="s">
        <v>609</v>
      </c>
      <c r="N4" s="756">
        <v>52</v>
      </c>
      <c r="O4" s="44">
        <v>4</v>
      </c>
    </row>
    <row r="5" spans="1:15" ht="37.5" customHeight="1" x14ac:dyDescent="0.35">
      <c r="A5" s="16" t="s">
        <v>790</v>
      </c>
      <c r="B5" s="763" t="s">
        <v>113</v>
      </c>
      <c r="C5" s="763" t="s">
        <v>130</v>
      </c>
      <c r="D5" s="4" t="s">
        <v>1</v>
      </c>
      <c r="E5" s="34">
        <v>2019</v>
      </c>
      <c r="F5" s="95">
        <v>2020</v>
      </c>
      <c r="G5" s="450" t="s">
        <v>11</v>
      </c>
      <c r="H5" s="177" t="s">
        <v>548</v>
      </c>
      <c r="I5" s="178" t="s">
        <v>14</v>
      </c>
      <c r="M5" s="44" t="s">
        <v>976</v>
      </c>
    </row>
    <row r="6" spans="1:15" ht="22.5" customHeight="1" x14ac:dyDescent="0.25">
      <c r="A6" s="17"/>
      <c r="B6" s="764" t="s">
        <v>129</v>
      </c>
      <c r="C6" s="765"/>
      <c r="D6" s="766"/>
      <c r="E6" s="106"/>
      <c r="F6" s="767"/>
      <c r="G6" s="451"/>
      <c r="H6" s="43"/>
      <c r="M6" s="44" t="s">
        <v>857</v>
      </c>
    </row>
    <row r="7" spans="1:15" s="44" customFormat="1" ht="57.75" customHeight="1" thickBot="1" x14ac:dyDescent="0.3">
      <c r="A7" s="317">
        <v>333</v>
      </c>
      <c r="B7" s="768" t="s">
        <v>69</v>
      </c>
      <c r="C7" s="769" t="s">
        <v>131</v>
      </c>
      <c r="D7" s="103" t="s">
        <v>1102</v>
      </c>
      <c r="E7" s="588" t="e">
        <f>HLOOKUP($D$2,'2019 Data(H)'!$C$1:$CF$293,99,FALSE)</f>
        <v>#N/A</v>
      </c>
      <c r="F7" s="504"/>
      <c r="G7" s="500">
        <f>IF(F7&lt;0,"Note: Number is normally positive.",)</f>
        <v>0</v>
      </c>
      <c r="H7" s="770"/>
      <c r="I7" s="771"/>
      <c r="J7" s="772"/>
      <c r="L7" s="773" t="s">
        <v>985</v>
      </c>
      <c r="M7" s="44" t="s">
        <v>977</v>
      </c>
      <c r="N7" s="756"/>
    </row>
    <row r="8" spans="1:15" s="44" customFormat="1" ht="48" customHeight="1" thickBot="1" x14ac:dyDescent="0.3">
      <c r="A8" s="317">
        <v>500</v>
      </c>
      <c r="B8" s="768" t="s">
        <v>57</v>
      </c>
      <c r="C8" s="769" t="s">
        <v>131</v>
      </c>
      <c r="D8" s="103" t="s">
        <v>1103</v>
      </c>
      <c r="E8" s="588" t="e">
        <f>HLOOKUP($D$2,'2019 Data(H)'!$C$1:$CF$293,150,FALSE)</f>
        <v>#N/A</v>
      </c>
      <c r="F8" s="504"/>
      <c r="G8" s="500">
        <f>IF(F8&lt;0,"Note: Number is normally positive.",)</f>
        <v>0</v>
      </c>
      <c r="H8" s="770"/>
      <c r="I8" s="770"/>
      <c r="J8" s="772"/>
      <c r="L8" s="773" t="s">
        <v>986</v>
      </c>
      <c r="M8" s="44" t="s">
        <v>978</v>
      </c>
      <c r="N8" s="756"/>
    </row>
    <row r="9" spans="1:15" ht="36.75" thickBot="1" x14ac:dyDescent="0.3">
      <c r="A9" s="317">
        <v>385</v>
      </c>
      <c r="B9" s="774" t="s">
        <v>62</v>
      </c>
      <c r="C9" s="769" t="s">
        <v>131</v>
      </c>
      <c r="D9" s="316" t="s">
        <v>132</v>
      </c>
      <c r="E9" s="588" t="e">
        <f>HLOOKUP($D$2,'2019 Data(H)'!$C$1:$CF$293,144,FALSE)</f>
        <v>#N/A</v>
      </c>
      <c r="F9" s="504"/>
      <c r="G9" s="500">
        <f>IF((F7+F8)&gt;F9,"Error: Please review cells Account numbers (333+500)&gt;385",)</f>
        <v>0</v>
      </c>
      <c r="H9" s="43"/>
      <c r="I9" s="220"/>
      <c r="J9" s="772"/>
      <c r="L9" s="773" t="s">
        <v>987</v>
      </c>
    </row>
    <row r="10" spans="1:15" s="44" customFormat="1" ht="105" customHeight="1" thickBot="1" x14ac:dyDescent="0.3">
      <c r="A10" s="317">
        <v>575</v>
      </c>
      <c r="B10" s="768" t="s">
        <v>72</v>
      </c>
      <c r="C10" s="769" t="s">
        <v>131</v>
      </c>
      <c r="D10" s="775" t="s">
        <v>1104</v>
      </c>
      <c r="E10" s="588" t="e">
        <f>HLOOKUP($D$2,'2019 Data(H)'!$C$1:$CF$293,225,FALSE)</f>
        <v>#N/A</v>
      </c>
      <c r="F10" s="504"/>
      <c r="G10" s="500">
        <f>IF(F10&lt;0,"Note: Number is normally positive.",)</f>
        <v>0</v>
      </c>
      <c r="H10" s="776"/>
      <c r="I10" s="221"/>
      <c r="L10" s="773" t="s">
        <v>988</v>
      </c>
      <c r="N10" s="756"/>
    </row>
    <row r="11" spans="1:15" s="44" customFormat="1" ht="120" customHeight="1" thickBot="1" x14ac:dyDescent="0.3">
      <c r="A11" s="317">
        <v>576</v>
      </c>
      <c r="B11" s="768" t="s">
        <v>72</v>
      </c>
      <c r="C11" s="769" t="s">
        <v>131</v>
      </c>
      <c r="D11" s="775" t="s">
        <v>1105</v>
      </c>
      <c r="E11" s="588" t="e">
        <f>HLOOKUP($D$2,'2019 Data(H)'!$C$1:$CF$293,226,FALSE)</f>
        <v>#N/A</v>
      </c>
      <c r="F11" s="504"/>
      <c r="G11" s="500">
        <f>IF(F11&lt;0,"Error: Enter as positive.",)</f>
        <v>0</v>
      </c>
      <c r="H11" s="776"/>
      <c r="I11" s="221"/>
      <c r="J11" s="772"/>
      <c r="L11" s="773" t="s">
        <v>989</v>
      </c>
      <c r="N11" s="756"/>
    </row>
    <row r="12" spans="1:15" ht="94.5" customHeight="1" thickBot="1" x14ac:dyDescent="0.3">
      <c r="A12" s="356">
        <v>626</v>
      </c>
      <c r="B12" s="777" t="s">
        <v>1089</v>
      </c>
      <c r="C12" s="778" t="s">
        <v>131</v>
      </c>
      <c r="D12" s="779" t="s">
        <v>1226</v>
      </c>
      <c r="E12" s="357" t="s">
        <v>735</v>
      </c>
      <c r="F12" s="504"/>
      <c r="G12" s="360">
        <f>IF(F12&lt;0,"Error: Enter as positive.",)</f>
        <v>0</v>
      </c>
      <c r="H12" s="780"/>
      <c r="I12" s="348"/>
      <c r="J12" s="772"/>
      <c r="L12" s="773" t="s">
        <v>990</v>
      </c>
    </row>
    <row r="13" spans="1:15" ht="102" customHeight="1" thickBot="1" x14ac:dyDescent="0.3">
      <c r="A13" s="358">
        <v>627</v>
      </c>
      <c r="B13" s="781" t="s">
        <v>733</v>
      </c>
      <c r="C13" s="778" t="s">
        <v>131</v>
      </c>
      <c r="D13" s="779" t="s">
        <v>1106</v>
      </c>
      <c r="E13" s="357" t="s">
        <v>735</v>
      </c>
      <c r="F13" s="504"/>
      <c r="G13" s="360">
        <f>IF(F13&gt;F12,"Please review account numbers 627 &gt;626",)</f>
        <v>0</v>
      </c>
      <c r="H13" s="780"/>
      <c r="I13" s="348"/>
      <c r="J13" s="772"/>
      <c r="L13" s="773" t="s">
        <v>991</v>
      </c>
    </row>
    <row r="14" spans="1:15" ht="101.25" customHeight="1" thickBot="1" x14ac:dyDescent="0.3">
      <c r="A14" s="358">
        <v>628</v>
      </c>
      <c r="B14" s="781" t="s">
        <v>733</v>
      </c>
      <c r="C14" s="778" t="s">
        <v>131</v>
      </c>
      <c r="D14" s="779" t="s">
        <v>1107</v>
      </c>
      <c r="E14" s="359" t="s">
        <v>735</v>
      </c>
      <c r="F14" s="504"/>
      <c r="G14" s="360">
        <f>IF(F14&gt;F12,"Please review account numbers 628 &gt; 626",)</f>
        <v>0</v>
      </c>
      <c r="H14" s="780"/>
      <c r="I14" s="348"/>
      <c r="J14" s="772"/>
      <c r="L14" s="773" t="s">
        <v>992</v>
      </c>
    </row>
    <row r="15" spans="1:15" ht="84.75" customHeight="1" thickBot="1" x14ac:dyDescent="0.3">
      <c r="A15" s="358">
        <v>629</v>
      </c>
      <c r="B15" s="781" t="s">
        <v>733</v>
      </c>
      <c r="C15" s="778" t="s">
        <v>131</v>
      </c>
      <c r="D15" s="779" t="s">
        <v>1108</v>
      </c>
      <c r="E15" s="359" t="s">
        <v>735</v>
      </c>
      <c r="F15" s="504"/>
      <c r="G15" s="360">
        <f>IF(F15&gt;F12,"Please review account numbers 629 &gt; 626",)</f>
        <v>0</v>
      </c>
      <c r="H15" s="780"/>
      <c r="I15" s="348"/>
      <c r="J15" s="772"/>
      <c r="L15" s="773" t="s">
        <v>993</v>
      </c>
    </row>
    <row r="16" spans="1:15" ht="96" customHeight="1" thickBot="1" x14ac:dyDescent="0.3">
      <c r="A16" s="358">
        <v>630</v>
      </c>
      <c r="B16" s="781" t="s">
        <v>733</v>
      </c>
      <c r="C16" s="778" t="s">
        <v>131</v>
      </c>
      <c r="D16" s="779" t="s">
        <v>971</v>
      </c>
      <c r="E16" s="359" t="s">
        <v>735</v>
      </c>
      <c r="F16" s="504"/>
      <c r="G16" s="360">
        <f>IF(F16&gt;F12,"Please review account numbers 630 &gt; 626",)</f>
        <v>0</v>
      </c>
      <c r="H16" s="780"/>
      <c r="I16" s="348"/>
      <c r="J16" s="772"/>
      <c r="L16" s="773" t="s">
        <v>994</v>
      </c>
    </row>
    <row r="17" spans="1:12" ht="87.75" customHeight="1" thickBot="1" x14ac:dyDescent="0.3">
      <c r="A17" s="358">
        <v>631</v>
      </c>
      <c r="B17" s="781" t="s">
        <v>733</v>
      </c>
      <c r="C17" s="778" t="s">
        <v>131</v>
      </c>
      <c r="D17" s="779" t="s">
        <v>1109</v>
      </c>
      <c r="E17" s="359" t="s">
        <v>735</v>
      </c>
      <c r="F17" s="504"/>
      <c r="G17" s="360">
        <f>IF(F17&gt;F12,"Please review account numbers 631 &gt; 626",)</f>
        <v>0</v>
      </c>
      <c r="H17" s="780"/>
      <c r="I17" s="348"/>
      <c r="J17" s="772"/>
      <c r="L17" s="773" t="s">
        <v>995</v>
      </c>
    </row>
    <row r="18" spans="1:12" ht="93" customHeight="1" thickBot="1" x14ac:dyDescent="0.4">
      <c r="A18" s="358">
        <v>632</v>
      </c>
      <c r="B18" s="781" t="s">
        <v>733</v>
      </c>
      <c r="C18" s="778" t="s">
        <v>131</v>
      </c>
      <c r="D18" s="779" t="s">
        <v>1110</v>
      </c>
      <c r="E18" s="359" t="s">
        <v>735</v>
      </c>
      <c r="F18" s="504"/>
      <c r="G18" s="360">
        <f>IF(F18&gt;F12,"Please review account numbers 632 &gt; 626",)</f>
        <v>0</v>
      </c>
      <c r="H18" s="780"/>
      <c r="I18" s="349"/>
      <c r="J18" s="772"/>
      <c r="K18" s="350"/>
      <c r="L18" s="773" t="s">
        <v>996</v>
      </c>
    </row>
    <row r="19" spans="1:12" ht="36.75" thickBot="1" x14ac:dyDescent="0.3">
      <c r="A19" s="317">
        <v>338</v>
      </c>
      <c r="B19" s="774" t="s">
        <v>58</v>
      </c>
      <c r="C19" s="769" t="s">
        <v>131</v>
      </c>
      <c r="D19" s="316" t="s">
        <v>133</v>
      </c>
      <c r="E19" s="588" t="e">
        <f>HLOOKUP($D$2,'2019 Data(H)'!$C$1:$CF$293,104,FALSE)</f>
        <v>#N/A</v>
      </c>
      <c r="F19" s="504"/>
      <c r="G19" s="500" t="str">
        <f>IF(F12&gt;F19,"Error: Please review accts 626&gt;338","")</f>
        <v/>
      </c>
      <c r="H19" s="43"/>
      <c r="I19" s="220"/>
      <c r="J19" s="772"/>
      <c r="L19" s="773" t="s">
        <v>997</v>
      </c>
    </row>
    <row r="20" spans="1:12" ht="102.75" customHeight="1" thickBot="1" x14ac:dyDescent="0.3">
      <c r="A20" s="317">
        <v>335</v>
      </c>
      <c r="B20" s="774" t="s">
        <v>58</v>
      </c>
      <c r="C20" s="769" t="s">
        <v>131</v>
      </c>
      <c r="D20" s="105" t="s">
        <v>1111</v>
      </c>
      <c r="E20" s="588" t="e">
        <f>HLOOKUP($D$2,'2019 Data(H)'!$C$1:$CF$293,101,FALSE)</f>
        <v>#N/A</v>
      </c>
      <c r="F20" s="504"/>
      <c r="G20" s="500">
        <f>IF(F20&lt;0,"Error: Enter as positive.",)</f>
        <v>0</v>
      </c>
      <c r="H20" s="43"/>
      <c r="I20" s="222"/>
      <c r="J20" s="772"/>
      <c r="L20" s="773" t="s">
        <v>998</v>
      </c>
    </row>
    <row r="21" spans="1:12" ht="36.75" thickBot="1" x14ac:dyDescent="0.3">
      <c r="A21" s="317">
        <v>252</v>
      </c>
      <c r="B21" s="774" t="s">
        <v>58</v>
      </c>
      <c r="C21" s="769" t="s">
        <v>131</v>
      </c>
      <c r="D21" s="316" t="s">
        <v>134</v>
      </c>
      <c r="E21" s="588" t="e">
        <f>HLOOKUP($D$2,'2019 Data(H)'!$C$1:$CF$293,78,FALSE)</f>
        <v>#N/A</v>
      </c>
      <c r="F21" s="504"/>
      <c r="G21" s="452"/>
      <c r="H21" s="43"/>
      <c r="I21" s="223"/>
      <c r="J21" s="772"/>
      <c r="L21" s="773" t="s">
        <v>999</v>
      </c>
    </row>
    <row r="22" spans="1:12" ht="36.75" thickBot="1" x14ac:dyDescent="0.3">
      <c r="A22" s="317">
        <v>253</v>
      </c>
      <c r="B22" s="774" t="s">
        <v>58</v>
      </c>
      <c r="C22" s="769" t="s">
        <v>131</v>
      </c>
      <c r="D22" s="117" t="s">
        <v>135</v>
      </c>
      <c r="E22" s="588" t="e">
        <f>HLOOKUP($D$2,'2019 Data(H)'!$C$1:$CF$293,79,FALSE)</f>
        <v>#N/A</v>
      </c>
      <c r="F22" s="504"/>
      <c r="G22" s="500"/>
      <c r="H22" s="43"/>
      <c r="I22" s="223"/>
      <c r="J22" s="772"/>
      <c r="L22" s="773" t="s">
        <v>1000</v>
      </c>
    </row>
    <row r="23" spans="1:12" ht="131.25" customHeight="1" thickBot="1" x14ac:dyDescent="0.3">
      <c r="A23" s="317">
        <v>254</v>
      </c>
      <c r="B23" s="774" t="s">
        <v>58</v>
      </c>
      <c r="C23" s="769" t="s">
        <v>131</v>
      </c>
      <c r="D23" s="117" t="s">
        <v>1112</v>
      </c>
      <c r="E23" s="588" t="e">
        <f>HLOOKUP($D$2,'2019 Data(H)'!$C$1:$CF$293,80,FALSE)</f>
        <v>#N/A</v>
      </c>
      <c r="F23" s="504"/>
      <c r="G23" s="500">
        <f>IF(H23=0,,"Error: Total assets and deferred outflows less total liabilities and deferred inflows do not equal total net position. Account numbers  385-338-252-253-254 = 0.  The amount the formula is off is located in the cell to the right")</f>
        <v>0</v>
      </c>
      <c r="H23" s="776">
        <f>F9-F19-F21-F22-F23</f>
        <v>0</v>
      </c>
      <c r="I23" s="223"/>
      <c r="J23" s="772"/>
      <c r="L23" s="773" t="s">
        <v>1001</v>
      </c>
    </row>
    <row r="24" spans="1:12" ht="21.75" customHeight="1" thickBot="1" x14ac:dyDescent="0.3">
      <c r="A24" s="317"/>
      <c r="B24" s="782" t="s">
        <v>136</v>
      </c>
      <c r="C24" s="783"/>
      <c r="D24" s="268"/>
      <c r="E24" s="784"/>
      <c r="F24" s="596"/>
      <c r="G24" s="471"/>
      <c r="H24" s="43"/>
      <c r="I24" s="223"/>
      <c r="L24" s="773" t="s">
        <v>1002</v>
      </c>
    </row>
    <row r="25" spans="1:12" ht="52.5" customHeight="1" thickBot="1" x14ac:dyDescent="0.3">
      <c r="A25" s="317">
        <v>502</v>
      </c>
      <c r="B25" s="774" t="s">
        <v>57</v>
      </c>
      <c r="C25" s="769" t="s">
        <v>138</v>
      </c>
      <c r="D25" s="103" t="s">
        <v>1113</v>
      </c>
      <c r="E25" s="588" t="e">
        <f>HLOOKUP($D$2,'2019 Data(H)'!$C$1:$CF$293,152,FALSE)</f>
        <v>#N/A</v>
      </c>
      <c r="F25" s="504"/>
      <c r="G25" s="500">
        <f>IF(F25&lt;0,"Note: Number is normally positive.",)</f>
        <v>0</v>
      </c>
      <c r="H25" s="43"/>
      <c r="I25" s="223"/>
      <c r="L25" s="773" t="s">
        <v>1003</v>
      </c>
    </row>
    <row r="26" spans="1:12" ht="75" customHeight="1" thickBot="1" x14ac:dyDescent="0.3">
      <c r="A26" s="317">
        <v>503</v>
      </c>
      <c r="B26" s="774" t="s">
        <v>57</v>
      </c>
      <c r="C26" s="769" t="s">
        <v>138</v>
      </c>
      <c r="D26" s="117" t="s">
        <v>137</v>
      </c>
      <c r="E26" s="588" t="e">
        <f>HLOOKUP($D$2,'2019 Data(H)'!$C$1:$CF$293,153,FALSE)</f>
        <v>#N/A</v>
      </c>
      <c r="F26" s="504"/>
      <c r="G26" s="500">
        <f>IF(F26&lt;0,"Note: Number is normally positive.",)</f>
        <v>0</v>
      </c>
      <c r="H26" s="43"/>
      <c r="I26" s="223"/>
      <c r="L26" s="773" t="s">
        <v>1004</v>
      </c>
    </row>
    <row r="27" spans="1:12" ht="27" customHeight="1" thickBot="1" x14ac:dyDescent="0.3">
      <c r="A27" s="317"/>
      <c r="B27" s="782" t="s">
        <v>139</v>
      </c>
      <c r="C27" s="783"/>
      <c r="D27" s="99"/>
      <c r="E27" s="784"/>
      <c r="F27" s="785"/>
      <c r="G27" s="451"/>
      <c r="H27" s="43"/>
      <c r="I27" s="223"/>
      <c r="L27" s="773" t="s">
        <v>1005</v>
      </c>
    </row>
    <row r="28" spans="1:12" ht="49.5" customHeight="1" thickBot="1" x14ac:dyDescent="0.3">
      <c r="A28" s="317">
        <v>344</v>
      </c>
      <c r="B28" s="774" t="s">
        <v>58</v>
      </c>
      <c r="C28" s="786" t="s">
        <v>147</v>
      </c>
      <c r="D28" s="117" t="s">
        <v>140</v>
      </c>
      <c r="E28" s="588" t="e">
        <f>HLOOKUP($D$2,'2019 Data(H)'!$C$1:$CF$293,110,FALSE)</f>
        <v>#N/A</v>
      </c>
      <c r="F28" s="504"/>
      <c r="G28" s="500">
        <f t="shared" ref="G28:G35" si="0">IF(F28&lt;0,"Error: Enter as positive.",)</f>
        <v>0</v>
      </c>
      <c r="H28" s="43"/>
      <c r="I28" s="223"/>
      <c r="L28" s="773" t="s">
        <v>1006</v>
      </c>
    </row>
    <row r="29" spans="1:12" ht="49.5" customHeight="1" thickBot="1" x14ac:dyDescent="0.3">
      <c r="A29" s="317">
        <v>388</v>
      </c>
      <c r="B29" s="774" t="s">
        <v>62</v>
      </c>
      <c r="C29" s="786" t="s">
        <v>147</v>
      </c>
      <c r="D29" s="117" t="s">
        <v>141</v>
      </c>
      <c r="E29" s="588" t="e">
        <f>HLOOKUP($D$2,'2019 Data(H)'!$C$1:$CF$293,147,FALSE)</f>
        <v>#N/A</v>
      </c>
      <c r="F29" s="504"/>
      <c r="G29" s="500">
        <f t="shared" si="0"/>
        <v>0</v>
      </c>
      <c r="H29" s="43"/>
      <c r="I29" s="223"/>
      <c r="J29" s="772"/>
      <c r="L29" s="773" t="s">
        <v>1007</v>
      </c>
    </row>
    <row r="30" spans="1:12" ht="51.75" customHeight="1" thickBot="1" x14ac:dyDescent="0.3">
      <c r="A30" s="317">
        <v>339</v>
      </c>
      <c r="B30" s="774" t="s">
        <v>58</v>
      </c>
      <c r="C30" s="786" t="s">
        <v>147</v>
      </c>
      <c r="D30" s="117" t="s">
        <v>142</v>
      </c>
      <c r="E30" s="588" t="e">
        <f>HLOOKUP($D$2,'2019 Data(H)'!$C$1:$CF$293,105,FALSE)</f>
        <v>#N/A</v>
      </c>
      <c r="F30" s="504"/>
      <c r="G30" s="500">
        <f t="shared" si="0"/>
        <v>0</v>
      </c>
      <c r="H30" s="43"/>
      <c r="I30" s="223"/>
      <c r="J30" s="772"/>
      <c r="L30" s="773" t="s">
        <v>1008</v>
      </c>
    </row>
    <row r="31" spans="1:12" ht="50.25" customHeight="1" thickBot="1" x14ac:dyDescent="0.3">
      <c r="A31" s="317">
        <v>504</v>
      </c>
      <c r="B31" s="774" t="s">
        <v>58</v>
      </c>
      <c r="C31" s="786" t="s">
        <v>147</v>
      </c>
      <c r="D31" s="117" t="s">
        <v>143</v>
      </c>
      <c r="E31" s="588" t="e">
        <f>HLOOKUP($D$2,'2019 Data(H)'!$C$1:$CF$293,154,FALSE)</f>
        <v>#N/A</v>
      </c>
      <c r="F31" s="504"/>
      <c r="G31" s="500">
        <f t="shared" si="0"/>
        <v>0</v>
      </c>
      <c r="H31" s="43"/>
      <c r="I31" s="223"/>
      <c r="J31" s="772"/>
      <c r="L31" s="773" t="s">
        <v>1009</v>
      </c>
    </row>
    <row r="32" spans="1:12" ht="60" customHeight="1" thickBot="1" x14ac:dyDescent="0.3">
      <c r="A32" s="317">
        <v>505</v>
      </c>
      <c r="B32" s="774" t="s">
        <v>58</v>
      </c>
      <c r="C32" s="786" t="s">
        <v>147</v>
      </c>
      <c r="D32" s="315" t="s">
        <v>144</v>
      </c>
      <c r="E32" s="588" t="e">
        <f>HLOOKUP($D$2,'2019 Data(H)'!$C$1:$CF$293,155,FALSE)</f>
        <v>#N/A</v>
      </c>
      <c r="F32" s="504"/>
      <c r="G32" s="500">
        <f t="shared" si="0"/>
        <v>0</v>
      </c>
      <c r="H32" s="43"/>
      <c r="I32" s="223"/>
      <c r="J32" s="772"/>
      <c r="L32" s="773" t="s">
        <v>1010</v>
      </c>
    </row>
    <row r="33" spans="1:14" ht="83.25" customHeight="1" thickBot="1" x14ac:dyDescent="0.3">
      <c r="A33" s="317">
        <v>341</v>
      </c>
      <c r="B33" s="774" t="s">
        <v>58</v>
      </c>
      <c r="C33" s="786" t="s">
        <v>147</v>
      </c>
      <c r="D33" s="103" t="s">
        <v>1114</v>
      </c>
      <c r="E33" s="588" t="e">
        <f>HLOOKUP($D$2,'2019 Data(H)'!$C$1:$CF$293,107,FALSE)</f>
        <v>#N/A</v>
      </c>
      <c r="F33" s="504"/>
      <c r="G33" s="500">
        <f t="shared" si="0"/>
        <v>0</v>
      </c>
      <c r="H33" s="43"/>
      <c r="I33" s="223"/>
      <c r="J33" s="772"/>
      <c r="L33" s="773" t="s">
        <v>1011</v>
      </c>
    </row>
    <row r="34" spans="1:14" ht="67.5" customHeight="1" thickBot="1" x14ac:dyDescent="0.3">
      <c r="A34" s="317">
        <v>386</v>
      </c>
      <c r="B34" s="774" t="s">
        <v>58</v>
      </c>
      <c r="C34" s="786" t="s">
        <v>147</v>
      </c>
      <c r="D34" s="117" t="s">
        <v>1115</v>
      </c>
      <c r="E34" s="588" t="e">
        <f>HLOOKUP($D$2,'2019 Data(H)'!$C$1:$CF$293,145,FALSE)</f>
        <v>#N/A</v>
      </c>
      <c r="F34" s="504"/>
      <c r="G34" s="500">
        <f t="shared" si="0"/>
        <v>0</v>
      </c>
      <c r="H34" s="43"/>
      <c r="I34" s="223"/>
      <c r="L34" s="773" t="s">
        <v>1012</v>
      </c>
    </row>
    <row r="35" spans="1:14" ht="48.75" customHeight="1" thickBot="1" x14ac:dyDescent="0.3">
      <c r="A35" s="317">
        <v>387</v>
      </c>
      <c r="B35" s="774" t="s">
        <v>62</v>
      </c>
      <c r="C35" s="786" t="s">
        <v>147</v>
      </c>
      <c r="D35" s="117" t="s">
        <v>1116</v>
      </c>
      <c r="E35" s="588" t="e">
        <f>HLOOKUP($D$2,'2019 Data(H)'!$C$1:$CF$293,146,FALSE)</f>
        <v>#N/A</v>
      </c>
      <c r="F35" s="504"/>
      <c r="G35" s="500">
        <f t="shared" si="0"/>
        <v>0</v>
      </c>
      <c r="H35" s="43"/>
      <c r="I35" s="223"/>
      <c r="L35" s="773" t="s">
        <v>1013</v>
      </c>
    </row>
    <row r="36" spans="1:14" ht="75" customHeight="1" thickBot="1" x14ac:dyDescent="0.3">
      <c r="A36" s="317">
        <v>389</v>
      </c>
      <c r="B36" s="774" t="s">
        <v>62</v>
      </c>
      <c r="C36" s="786" t="s">
        <v>147</v>
      </c>
      <c r="D36" s="103" t="s">
        <v>1117</v>
      </c>
      <c r="E36" s="588" t="e">
        <f>HLOOKUP($D$2,'2019 Data(H)'!$C$1:$CF$293,148,FALSE)</f>
        <v>#N/A</v>
      </c>
      <c r="F36" s="504"/>
      <c r="G36" s="500"/>
      <c r="H36" s="43"/>
      <c r="I36" s="223"/>
      <c r="J36" s="772"/>
      <c r="L36" s="773" t="s">
        <v>1014</v>
      </c>
    </row>
    <row r="37" spans="1:14" ht="95.25" customHeight="1" thickBot="1" x14ac:dyDescent="0.3">
      <c r="A37" s="317">
        <v>255</v>
      </c>
      <c r="B37" s="774" t="s">
        <v>58</v>
      </c>
      <c r="C37" s="786" t="s">
        <v>147</v>
      </c>
      <c r="D37" s="103" t="s">
        <v>1118</v>
      </c>
      <c r="E37" s="588" t="e">
        <f>HLOOKUP($D$2,'2019 Data(H)'!$C$1:$CF$293,81,FALSE)</f>
        <v>#N/A</v>
      </c>
      <c r="F37" s="504"/>
      <c r="G37" s="500">
        <f>IF(H37=0,,"Error: Total revenues less total expenses do not equal total change in net position. Account numbers 339+504+505+341+386-387+389-388-255 = 0  The amount the formula is off is located in the cell to the right")</f>
        <v>0</v>
      </c>
      <c r="H37" s="776">
        <f>F30+F31+F32+F33+F34-F35+F36-F29-F37</f>
        <v>0</v>
      </c>
      <c r="I37" s="223"/>
      <c r="J37" s="772"/>
      <c r="L37" s="773" t="s">
        <v>1015</v>
      </c>
    </row>
    <row r="38" spans="1:14" ht="86.25" customHeight="1" thickBot="1" x14ac:dyDescent="0.3">
      <c r="A38" s="317">
        <v>376</v>
      </c>
      <c r="B38" s="774" t="s">
        <v>58</v>
      </c>
      <c r="C38" s="786" t="s">
        <v>147</v>
      </c>
      <c r="D38" s="105" t="s">
        <v>1119</v>
      </c>
      <c r="E38" s="588" t="e">
        <f>HLOOKUP($D$2,'2019 Data(H)'!$C$1:$CF$293,135,FALSE)</f>
        <v>#N/A</v>
      </c>
      <c r="F38" s="595"/>
      <c r="G38" s="500" t="e">
        <f>IF(H38=0,,"Error: Beginning Balance does not agree with our records.  Account numbers  252+253+254-255-376-(E21+ E22+ E23)=0  The amount the formula is off is located in the cell to the right")</f>
        <v>#N/A</v>
      </c>
      <c r="H38" s="787" t="e">
        <f>F21+F22+F23-F37-F38-(E21+E22+E23)</f>
        <v>#N/A</v>
      </c>
      <c r="I38" s="223"/>
      <c r="J38" s="772"/>
      <c r="L38" s="773" t="s">
        <v>1016</v>
      </c>
    </row>
    <row r="39" spans="1:14" s="44" customFormat="1" ht="108.75" customHeight="1" thickBot="1" x14ac:dyDescent="0.3">
      <c r="A39" s="317">
        <v>597</v>
      </c>
      <c r="B39" s="768" t="s">
        <v>611</v>
      </c>
      <c r="C39" s="768" t="s">
        <v>677</v>
      </c>
      <c r="D39" s="788" t="s">
        <v>1120</v>
      </c>
      <c r="E39" s="588" t="e">
        <f>HLOOKUP($D$2,'2019 Data(H)'!$C$1:$CF$293,256,FALSE)</f>
        <v>#N/A</v>
      </c>
      <c r="F39" s="595"/>
      <c r="G39" s="500">
        <f>IF(F39&lt;0,"Note: Number is normally positive.",)</f>
        <v>0</v>
      </c>
      <c r="H39" s="770"/>
      <c r="I39" s="771"/>
      <c r="J39" s="772"/>
      <c r="L39" s="773" t="s">
        <v>1017</v>
      </c>
      <c r="N39" s="756"/>
    </row>
    <row r="40" spans="1:14" ht="25.5" customHeight="1" thickBot="1" x14ac:dyDescent="0.3">
      <c r="A40" s="317"/>
      <c r="B40" s="782" t="s">
        <v>610</v>
      </c>
      <c r="C40" s="783"/>
      <c r="D40" s="99"/>
      <c r="E40" s="784"/>
      <c r="F40" s="785"/>
      <c r="G40" s="451"/>
      <c r="H40" s="43"/>
      <c r="I40" s="223"/>
      <c r="L40" s="773" t="s">
        <v>1018</v>
      </c>
    </row>
    <row r="41" spans="1:14" s="44" customFormat="1" ht="73.5" customHeight="1" thickBot="1" x14ac:dyDescent="0.3">
      <c r="A41" s="317">
        <v>592</v>
      </c>
      <c r="B41" s="789" t="s">
        <v>611</v>
      </c>
      <c r="C41" s="790" t="s">
        <v>612</v>
      </c>
      <c r="D41" s="103" t="s">
        <v>1121</v>
      </c>
      <c r="E41" s="588" t="e">
        <f>HLOOKUP($D$2,'2019 Data(H)'!$C$1:$CF$293,253,FALSE)</f>
        <v>#N/A</v>
      </c>
      <c r="F41" s="791"/>
      <c r="G41" s="500"/>
      <c r="H41" s="770"/>
      <c r="J41" s="772"/>
      <c r="L41" s="773" t="s">
        <v>1019</v>
      </c>
      <c r="N41" s="756"/>
    </row>
    <row r="42" spans="1:14" s="44" customFormat="1" ht="71.25" customHeight="1" thickBot="1" x14ac:dyDescent="0.3">
      <c r="A42" s="317">
        <v>591</v>
      </c>
      <c r="B42" s="789" t="s">
        <v>611</v>
      </c>
      <c r="C42" s="790" t="s">
        <v>612</v>
      </c>
      <c r="D42" s="117" t="s">
        <v>613</v>
      </c>
      <c r="E42" s="588" t="e">
        <f>HLOOKUP($D$2,'2019 Data(H)'!$C$1:$CF$293,252,FALSE)</f>
        <v>#N/A</v>
      </c>
      <c r="F42" s="791"/>
      <c r="G42" s="500">
        <f>IF(F42&lt;0,"Error: Enter as positive.",)</f>
        <v>0</v>
      </c>
      <c r="H42" s="770"/>
      <c r="J42" s="772"/>
      <c r="L42" s="773" t="s">
        <v>1020</v>
      </c>
      <c r="N42" s="756"/>
    </row>
    <row r="43" spans="1:14" ht="27" customHeight="1" thickBot="1" x14ac:dyDescent="0.3">
      <c r="A43" s="123"/>
      <c r="B43" s="782" t="s">
        <v>148</v>
      </c>
      <c r="C43" s="783"/>
      <c r="D43" s="100"/>
      <c r="E43" s="784"/>
      <c r="F43" s="792"/>
      <c r="G43" s="453"/>
      <c r="H43" s="43"/>
      <c r="I43" s="223"/>
      <c r="L43" s="773" t="s">
        <v>1021</v>
      </c>
    </row>
    <row r="44" spans="1:14" s="44" customFormat="1" ht="55.5" customHeight="1" thickBot="1" x14ac:dyDescent="0.3">
      <c r="A44" s="317">
        <v>506</v>
      </c>
      <c r="B44" s="793" t="s">
        <v>57</v>
      </c>
      <c r="C44" s="794" t="s">
        <v>152</v>
      </c>
      <c r="D44" s="117" t="s">
        <v>1122</v>
      </c>
      <c r="E44" s="393" t="e">
        <f>HLOOKUP($D$2,'2019 Data(H)'!$C$1:$CF$293,156,FALSE)</f>
        <v>#N/A</v>
      </c>
      <c r="F44" s="504"/>
      <c r="G44" s="500">
        <f>IF(F44&lt;0,"Note: Number is normally positive.",)</f>
        <v>0</v>
      </c>
      <c r="H44" s="770"/>
      <c r="I44" s="223"/>
      <c r="J44" s="772"/>
      <c r="L44" s="773" t="s">
        <v>1022</v>
      </c>
      <c r="N44" s="756"/>
    </row>
    <row r="45" spans="1:14" s="44" customFormat="1" ht="45.75" customHeight="1" thickBot="1" x14ac:dyDescent="0.3">
      <c r="A45" s="317">
        <v>536</v>
      </c>
      <c r="B45" s="793" t="s">
        <v>57</v>
      </c>
      <c r="C45" s="794" t="s">
        <v>152</v>
      </c>
      <c r="D45" s="117" t="s">
        <v>149</v>
      </c>
      <c r="E45" s="588" t="e">
        <f>HLOOKUP($D$2,'2019 Data(H)'!$C$1:$CF$293,186,FALSE)</f>
        <v>#N/A</v>
      </c>
      <c r="F45" s="504"/>
      <c r="G45" s="500">
        <f>IF(F45&lt;0,"Note: Number is normally positive.",)</f>
        <v>0</v>
      </c>
      <c r="H45" s="770"/>
      <c r="I45" s="771"/>
      <c r="J45" s="772"/>
      <c r="L45" s="773" t="s">
        <v>1023</v>
      </c>
      <c r="N45" s="756"/>
    </row>
    <row r="46" spans="1:14" s="44" customFormat="1" ht="51.75" customHeight="1" thickBot="1" x14ac:dyDescent="0.3">
      <c r="A46" s="317">
        <v>586</v>
      </c>
      <c r="B46" s="793" t="s">
        <v>61</v>
      </c>
      <c r="C46" s="794" t="s">
        <v>152</v>
      </c>
      <c r="D46" s="229" t="s">
        <v>564</v>
      </c>
      <c r="E46" s="588" t="e">
        <f>HLOOKUP($D$2,'2019 Data(H)'!$C$1:$CF$293,236,FALSE)</f>
        <v>#N/A</v>
      </c>
      <c r="F46" s="504"/>
      <c r="G46" s="500">
        <f>IF(F46&lt;0,"Note: Number is normally positive.",)</f>
        <v>0</v>
      </c>
      <c r="H46" s="770"/>
      <c r="I46" s="771"/>
      <c r="L46" s="773" t="s">
        <v>1024</v>
      </c>
      <c r="N46" s="756"/>
    </row>
    <row r="47" spans="1:14" ht="37.5" customHeight="1" thickBot="1" x14ac:dyDescent="0.3">
      <c r="A47" s="317">
        <v>379</v>
      </c>
      <c r="B47" s="793" t="s">
        <v>62</v>
      </c>
      <c r="C47" s="794" t="s">
        <v>152</v>
      </c>
      <c r="D47" s="316" t="s">
        <v>132</v>
      </c>
      <c r="E47" s="588" t="e">
        <f>HLOOKUP($D$2,'2019 Data(H)'!$C$1:$CF$293,138,FALSE)</f>
        <v>#N/A</v>
      </c>
      <c r="F47" s="504"/>
      <c r="G47" s="500">
        <f>IF((F44+F45)&gt;F47,"Error: Please review account numbers (506+536)&gt;379",)</f>
        <v>0</v>
      </c>
      <c r="H47" s="43"/>
      <c r="I47" s="223"/>
      <c r="J47" s="772"/>
      <c r="L47" s="773" t="s">
        <v>1025</v>
      </c>
    </row>
    <row r="48" spans="1:14" ht="93" customHeight="1" thickBot="1" x14ac:dyDescent="0.3">
      <c r="A48" s="317">
        <v>368</v>
      </c>
      <c r="B48" s="793" t="s">
        <v>71</v>
      </c>
      <c r="C48" s="794" t="s">
        <v>152</v>
      </c>
      <c r="D48" s="103" t="s">
        <v>1123</v>
      </c>
      <c r="E48" s="588" t="e">
        <f>HLOOKUP($D$2,'2019 Data(H)'!$C$1:$CF$293,129,FALSE)</f>
        <v>#N/A</v>
      </c>
      <c r="F48" s="504"/>
      <c r="G48" s="500">
        <f t="shared" ref="G48:G54" si="1">IF(F48&lt;0,"Error: Enter as positive.",)</f>
        <v>0</v>
      </c>
      <c r="H48" s="43"/>
      <c r="I48" s="770"/>
      <c r="J48" s="772"/>
      <c r="L48" s="773" t="s">
        <v>1026</v>
      </c>
    </row>
    <row r="49" spans="1:20" ht="99.75" customHeight="1" thickBot="1" x14ac:dyDescent="0.3">
      <c r="A49" s="317">
        <v>4</v>
      </c>
      <c r="B49" s="793" t="s">
        <v>57</v>
      </c>
      <c r="C49" s="794" t="s">
        <v>152</v>
      </c>
      <c r="D49" s="361" t="s">
        <v>1124</v>
      </c>
      <c r="E49" s="588" t="e">
        <f>HLOOKUP($D$2,'2019 Data(H)'!$C$1:$CF$293,3,FALSE)</f>
        <v>#N/A</v>
      </c>
      <c r="F49" s="504"/>
      <c r="G49" s="500">
        <f t="shared" si="1"/>
        <v>0</v>
      </c>
      <c r="H49" s="43"/>
      <c r="I49" s="223"/>
      <c r="J49" s="772"/>
      <c r="L49" s="773" t="s">
        <v>1027</v>
      </c>
    </row>
    <row r="50" spans="1:20" ht="117.75" customHeight="1" thickBot="1" x14ac:dyDescent="0.3">
      <c r="A50" s="317">
        <v>5</v>
      </c>
      <c r="B50" s="793" t="s">
        <v>57</v>
      </c>
      <c r="C50" s="794" t="s">
        <v>152</v>
      </c>
      <c r="D50" s="795" t="s">
        <v>1125</v>
      </c>
      <c r="E50" s="588" t="e">
        <f>HLOOKUP($D$2,'2019 Data(H)'!$C$1:$CF$293,4,FALSE)</f>
        <v>#N/A</v>
      </c>
      <c r="F50" s="504"/>
      <c r="G50" s="500">
        <f t="shared" si="1"/>
        <v>0</v>
      </c>
      <c r="H50" s="43"/>
      <c r="I50" s="223"/>
      <c r="J50" s="772"/>
      <c r="L50" s="773" t="s">
        <v>1028</v>
      </c>
    </row>
    <row r="51" spans="1:20" ht="93.75" customHeight="1" thickBot="1" x14ac:dyDescent="0.3">
      <c r="A51" s="317">
        <v>380</v>
      </c>
      <c r="B51" s="793" t="s">
        <v>62</v>
      </c>
      <c r="C51" s="794" t="s">
        <v>152</v>
      </c>
      <c r="D51" s="795" t="s">
        <v>1126</v>
      </c>
      <c r="E51" s="588" t="e">
        <f>HLOOKUP($D$2,'2019 Data(H)'!$C$1:$CF$293,139,FALSE)</f>
        <v>#N/A</v>
      </c>
      <c r="F51" s="504"/>
      <c r="G51" s="500">
        <f t="shared" si="1"/>
        <v>0</v>
      </c>
      <c r="H51" s="43"/>
      <c r="I51" s="223"/>
      <c r="J51" s="772"/>
      <c r="L51" s="773" t="s">
        <v>1029</v>
      </c>
    </row>
    <row r="52" spans="1:20" ht="48.75" customHeight="1" thickBot="1" x14ac:dyDescent="0.3">
      <c r="A52" s="317">
        <v>391</v>
      </c>
      <c r="B52" s="793" t="s">
        <v>71</v>
      </c>
      <c r="C52" s="794" t="s">
        <v>152</v>
      </c>
      <c r="D52" s="117" t="s">
        <v>150</v>
      </c>
      <c r="E52" s="588" t="e">
        <f>HLOOKUP($D$2,'2019 Data(H)'!$C$1:$CF$293,149,FALSE)</f>
        <v>#N/A</v>
      </c>
      <c r="F52" s="504"/>
      <c r="G52" s="500">
        <f t="shared" si="1"/>
        <v>0</v>
      </c>
      <c r="H52" s="43"/>
      <c r="I52" s="223"/>
      <c r="J52" s="772"/>
      <c r="L52" s="773" t="s">
        <v>1030</v>
      </c>
    </row>
    <row r="53" spans="1:20" ht="51.75" customHeight="1" thickBot="1" x14ac:dyDescent="0.3">
      <c r="A53" s="317">
        <v>7</v>
      </c>
      <c r="B53" s="793" t="s">
        <v>71</v>
      </c>
      <c r="C53" s="794" t="s">
        <v>152</v>
      </c>
      <c r="D53" s="117" t="s">
        <v>151</v>
      </c>
      <c r="E53" s="588" t="e">
        <f>HLOOKUP($D$2,'2019 Data(H)'!$C$1:$CF$293,6,FALSE)</f>
        <v>#N/A</v>
      </c>
      <c r="F53" s="504"/>
      <c r="G53" s="500">
        <f t="shared" si="1"/>
        <v>0</v>
      </c>
      <c r="H53" s="43"/>
      <c r="I53" s="223"/>
      <c r="J53" s="772"/>
      <c r="L53" s="773" t="s">
        <v>1031</v>
      </c>
    </row>
    <row r="54" spans="1:20" ht="78.75" customHeight="1" thickBot="1" x14ac:dyDescent="0.3">
      <c r="A54" s="317">
        <v>11</v>
      </c>
      <c r="B54" s="793" t="s">
        <v>71</v>
      </c>
      <c r="C54" s="794" t="s">
        <v>152</v>
      </c>
      <c r="D54" s="103" t="s">
        <v>1127</v>
      </c>
      <c r="E54" s="588" t="e">
        <f>HLOOKUP($D$2,'2019 Data(H)'!$C$1:$CF$293,8,FALSE)</f>
        <v>#N/A</v>
      </c>
      <c r="F54" s="504"/>
      <c r="G54" s="500">
        <f t="shared" si="1"/>
        <v>0</v>
      </c>
      <c r="H54" s="43"/>
      <c r="I54" s="223"/>
      <c r="J54" s="772"/>
      <c r="L54" s="773" t="s">
        <v>1032</v>
      </c>
    </row>
    <row r="55" spans="1:20" ht="78.75" customHeight="1" thickBot="1" x14ac:dyDescent="0.3">
      <c r="A55" s="534">
        <v>645</v>
      </c>
      <c r="B55" s="796" t="s">
        <v>733</v>
      </c>
      <c r="C55" s="797" t="s">
        <v>152</v>
      </c>
      <c r="D55" s="362" t="s">
        <v>791</v>
      </c>
      <c r="E55" s="548" t="s">
        <v>735</v>
      </c>
      <c r="F55" s="504"/>
      <c r="G55" s="360">
        <f>IF(F55&lt;0,"Note: Number is normally positive.",)</f>
        <v>0</v>
      </c>
      <c r="H55" s="770"/>
      <c r="I55" s="771"/>
      <c r="J55" s="772"/>
      <c r="L55" s="773" t="s">
        <v>1033</v>
      </c>
    </row>
    <row r="56" spans="1:20" ht="78.75" customHeight="1" thickBot="1" x14ac:dyDescent="0.3">
      <c r="A56" s="534">
        <v>646</v>
      </c>
      <c r="B56" s="796" t="s">
        <v>733</v>
      </c>
      <c r="C56" s="797" t="s">
        <v>152</v>
      </c>
      <c r="D56" s="798" t="s">
        <v>734</v>
      </c>
      <c r="E56" s="548" t="s">
        <v>735</v>
      </c>
      <c r="F56" s="504"/>
      <c r="G56" s="360">
        <f>IF(F56&lt;0,"Note: Number is normally positive.",)</f>
        <v>0</v>
      </c>
      <c r="H56" s="770"/>
      <c r="I56" s="771"/>
      <c r="J56" s="772"/>
      <c r="L56" s="773" t="s">
        <v>1034</v>
      </c>
    </row>
    <row r="57" spans="1:20" ht="69" customHeight="1" thickBot="1" x14ac:dyDescent="0.3">
      <c r="A57" s="317">
        <v>9</v>
      </c>
      <c r="B57" s="793" t="s">
        <v>62</v>
      </c>
      <c r="C57" s="794" t="s">
        <v>152</v>
      </c>
      <c r="D57" s="103" t="s">
        <v>1128</v>
      </c>
      <c r="E57" s="588" t="e">
        <f>HLOOKUP($D$2,'2019 Data(H)'!$C$1:$CF$293,7,FALSE)</f>
        <v>#N/A</v>
      </c>
      <c r="F57" s="504"/>
      <c r="G57" s="500">
        <f>IF(F47-F49-F50-F51-F57=0,,"Error: Total assets less total liabilities do not equal total fund balance. Account numbers 379-4-5-380-9= 0  The amount of the formula is in the cell to the right")</f>
        <v>0</v>
      </c>
      <c r="H57" s="776">
        <f>F47-F49-F50-F51-F57</f>
        <v>0</v>
      </c>
      <c r="I57" s="223"/>
      <c r="J57" s="772"/>
      <c r="L57" s="773" t="s">
        <v>1035</v>
      </c>
    </row>
    <row r="58" spans="1:20" s="44" customFormat="1" ht="57" customHeight="1" thickBot="1" x14ac:dyDescent="0.35">
      <c r="A58" s="317">
        <v>540</v>
      </c>
      <c r="B58" s="768" t="s">
        <v>61</v>
      </c>
      <c r="C58" s="769" t="s">
        <v>1129</v>
      </c>
      <c r="D58" s="117" t="s">
        <v>793</v>
      </c>
      <c r="E58" s="588" t="e">
        <f>HLOOKUP($D$2,'2019 Data(H)'!$C$1:$CF$293,190,FALSE)</f>
        <v>#N/A</v>
      </c>
      <c r="F58" s="504"/>
      <c r="G58" s="500"/>
      <c r="H58" s="770"/>
      <c r="I58" s="771"/>
      <c r="J58" s="772"/>
      <c r="K58" s="351"/>
      <c r="L58" s="773" t="s">
        <v>1036</v>
      </c>
      <c r="M58" s="351"/>
      <c r="N58" s="756"/>
      <c r="O58" s="351"/>
      <c r="P58" s="351"/>
      <c r="Q58" s="351"/>
      <c r="R58" s="351"/>
      <c r="S58" s="351"/>
      <c r="T58" s="351"/>
    </row>
    <row r="59" spans="1:20" ht="30" customHeight="1" thickBot="1" x14ac:dyDescent="0.3">
      <c r="A59" s="123"/>
      <c r="B59" s="799" t="s">
        <v>154</v>
      </c>
      <c r="C59" s="106"/>
      <c r="D59" s="268"/>
      <c r="E59" s="784"/>
      <c r="F59" s="785"/>
      <c r="G59" s="451"/>
      <c r="H59" s="43"/>
      <c r="I59" s="223"/>
      <c r="L59" s="773" t="s">
        <v>1037</v>
      </c>
    </row>
    <row r="60" spans="1:20" ht="52.5" customHeight="1" thickBot="1" x14ac:dyDescent="0.3">
      <c r="A60" s="317">
        <v>369</v>
      </c>
      <c r="B60" s="774" t="s">
        <v>58</v>
      </c>
      <c r="C60" s="786" t="s">
        <v>155</v>
      </c>
      <c r="D60" s="103" t="s">
        <v>1130</v>
      </c>
      <c r="E60" s="588" t="e">
        <f>HLOOKUP($D$2,'2019 Data(H)'!$C$1:$CF$293,130,FALSE)</f>
        <v>#N/A</v>
      </c>
      <c r="F60" s="504"/>
      <c r="G60" s="500"/>
      <c r="H60" s="43"/>
      <c r="I60" s="223"/>
      <c r="J60" s="772"/>
      <c r="L60" s="773" t="s">
        <v>1038</v>
      </c>
    </row>
    <row r="61" spans="1:20" ht="57.75" customHeight="1" thickBot="1" x14ac:dyDescent="0.3">
      <c r="A61" s="317">
        <v>16</v>
      </c>
      <c r="B61" s="774" t="s">
        <v>68</v>
      </c>
      <c r="C61" s="786" t="s">
        <v>155</v>
      </c>
      <c r="D61" s="117" t="s">
        <v>153</v>
      </c>
      <c r="E61" s="588" t="e">
        <f>HLOOKUP($D$2,'2019 Data(H)'!$C$1:$CF$293,12,FALSE)</f>
        <v>#N/A</v>
      </c>
      <c r="F61" s="504"/>
      <c r="G61" s="500"/>
      <c r="H61" s="43"/>
      <c r="I61" s="223"/>
      <c r="J61" s="772"/>
      <c r="L61" s="773" t="s">
        <v>1039</v>
      </c>
    </row>
    <row r="62" spans="1:20" ht="65.25" customHeight="1" thickBot="1" x14ac:dyDescent="0.3">
      <c r="A62" s="317">
        <v>370</v>
      </c>
      <c r="B62" s="774" t="s">
        <v>58</v>
      </c>
      <c r="C62" s="786" t="s">
        <v>155</v>
      </c>
      <c r="D62" s="103" t="s">
        <v>1131</v>
      </c>
      <c r="E62" s="588" t="e">
        <f>HLOOKUP($D$2,'2019 Data(H)'!$C$1:$CF$293,131,FALSE)</f>
        <v>#N/A</v>
      </c>
      <c r="F62" s="504"/>
      <c r="G62" s="500">
        <f>IF(F62&lt;0,"Error: Enter as positive.",)</f>
        <v>0</v>
      </c>
      <c r="H62" s="43"/>
      <c r="I62" s="223"/>
      <c r="J62" s="772"/>
      <c r="L62" s="773" t="s">
        <v>1040</v>
      </c>
    </row>
    <row r="63" spans="1:20" ht="69.75" customHeight="1" thickBot="1" x14ac:dyDescent="0.3">
      <c r="A63" s="317">
        <v>532</v>
      </c>
      <c r="B63" s="774" t="s">
        <v>57</v>
      </c>
      <c r="C63" s="786" t="s">
        <v>155</v>
      </c>
      <c r="D63" s="101" t="s">
        <v>1132</v>
      </c>
      <c r="E63" s="588" t="e">
        <f>HLOOKUP($D$2,'2019 Data(H)'!$C$1:$CF$293,182,FALSE)</f>
        <v>#N/A</v>
      </c>
      <c r="F63" s="504"/>
      <c r="G63" s="500">
        <f>IF(F63&lt;0,"Error: Enter as positive.",)</f>
        <v>0</v>
      </c>
      <c r="H63" s="43"/>
      <c r="I63" s="223"/>
      <c r="J63" s="772"/>
      <c r="L63" s="773" t="s">
        <v>1041</v>
      </c>
    </row>
    <row r="64" spans="1:20" ht="54" customHeight="1" thickBot="1" x14ac:dyDescent="0.3">
      <c r="A64" s="317">
        <v>17</v>
      </c>
      <c r="B64" s="774" t="s">
        <v>62</v>
      </c>
      <c r="C64" s="786" t="s">
        <v>155</v>
      </c>
      <c r="D64" s="117" t="s">
        <v>1133</v>
      </c>
      <c r="E64" s="588" t="e">
        <f>HLOOKUP($D$2,'2019 Data(H)'!$C$1:$CF$293,13,FALSE)</f>
        <v>#N/A</v>
      </c>
      <c r="F64" s="504"/>
      <c r="G64" s="500"/>
      <c r="H64" s="43"/>
      <c r="I64" s="223"/>
      <c r="L64" s="773" t="s">
        <v>1042</v>
      </c>
    </row>
    <row r="65" spans="1:14" ht="58.5" customHeight="1" thickBot="1" x14ac:dyDescent="0.3">
      <c r="A65" s="317">
        <v>20</v>
      </c>
      <c r="B65" s="774" t="s">
        <v>57</v>
      </c>
      <c r="C65" s="786" t="s">
        <v>155</v>
      </c>
      <c r="D65" s="117" t="s">
        <v>1134</v>
      </c>
      <c r="E65" s="588" t="e">
        <f>HLOOKUP($D$2,'2019 Data(H)'!$C$1:$CF$293,15,FALSE)</f>
        <v>#N/A</v>
      </c>
      <c r="F65" s="504"/>
      <c r="G65" s="500">
        <f>IF(F65&lt;0,"Error: Enter as positive.",)</f>
        <v>0</v>
      </c>
      <c r="H65" s="43"/>
      <c r="I65" s="223"/>
      <c r="L65" s="773" t="s">
        <v>1043</v>
      </c>
    </row>
    <row r="66" spans="1:14" ht="54" customHeight="1" thickBot="1" x14ac:dyDescent="0.3">
      <c r="A66" s="317">
        <v>533</v>
      </c>
      <c r="B66" s="774" t="s">
        <v>57</v>
      </c>
      <c r="C66" s="786" t="s">
        <v>155</v>
      </c>
      <c r="D66" s="101" t="s">
        <v>1135</v>
      </c>
      <c r="E66" s="588" t="e">
        <f>HLOOKUP($D$2,'2019 Data(H)'!$C$1:$CF$293,183,FALSE)</f>
        <v>#N/A</v>
      </c>
      <c r="F66" s="504"/>
      <c r="G66" s="472"/>
      <c r="H66" s="43"/>
      <c r="I66" s="223"/>
      <c r="L66" s="773" t="s">
        <v>1044</v>
      </c>
    </row>
    <row r="67" spans="1:14" s="44" customFormat="1" ht="62.25" customHeight="1" thickBot="1" x14ac:dyDescent="0.3">
      <c r="A67" s="317">
        <v>508</v>
      </c>
      <c r="B67" s="774" t="s">
        <v>57</v>
      </c>
      <c r="C67" s="786" t="s">
        <v>155</v>
      </c>
      <c r="D67" s="117" t="s">
        <v>538</v>
      </c>
      <c r="E67" s="588" t="e">
        <f>HLOOKUP($D$2,'2019 Data(H)'!$C$1:$CF$293,158,FALSE)</f>
        <v>#N/A</v>
      </c>
      <c r="F67" s="504"/>
      <c r="G67" s="500"/>
      <c r="H67" s="770"/>
      <c r="I67" s="771"/>
      <c r="L67" s="773" t="s">
        <v>1045</v>
      </c>
      <c r="N67" s="756"/>
    </row>
    <row r="68" spans="1:14" s="44" customFormat="1" ht="68.25" customHeight="1" thickBot="1" x14ac:dyDescent="0.3">
      <c r="A68" s="317">
        <v>509</v>
      </c>
      <c r="B68" s="774" t="s">
        <v>57</v>
      </c>
      <c r="C68" s="786" t="s">
        <v>155</v>
      </c>
      <c r="D68" s="117" t="s">
        <v>536</v>
      </c>
      <c r="E68" s="588" t="e">
        <f>HLOOKUP($D$2,'2019 Data(H)'!$C$1:$CF$293,159,FALSE)</f>
        <v>#N/A</v>
      </c>
      <c r="F68" s="504"/>
      <c r="G68" s="500">
        <f>IF(F68&lt;0,"Error: Enter as positive.",)</f>
        <v>0</v>
      </c>
      <c r="H68" s="770"/>
      <c r="I68" s="771"/>
      <c r="L68" s="773" t="s">
        <v>1046</v>
      </c>
      <c r="N68" s="756"/>
    </row>
    <row r="69" spans="1:14" ht="72.75" customHeight="1" thickBot="1" x14ac:dyDescent="0.3">
      <c r="A69" s="317">
        <v>22</v>
      </c>
      <c r="B69" s="774" t="s">
        <v>62</v>
      </c>
      <c r="C69" s="786" t="s">
        <v>155</v>
      </c>
      <c r="D69" s="117" t="s">
        <v>537</v>
      </c>
      <c r="E69" s="588" t="e">
        <f>HLOOKUP($D$2,'2019 Data(H)'!$C$1:$CF$293,17,FALSE)</f>
        <v>#N/A</v>
      </c>
      <c r="F69" s="504"/>
      <c r="G69" s="472"/>
      <c r="H69" s="43"/>
      <c r="I69" s="223"/>
      <c r="J69" s="772"/>
      <c r="L69" s="773" t="s">
        <v>1047</v>
      </c>
    </row>
    <row r="70" spans="1:14" ht="73.5" customHeight="1" thickBot="1" x14ac:dyDescent="0.3">
      <c r="A70" s="317">
        <v>23</v>
      </c>
      <c r="B70" s="774" t="s">
        <v>62</v>
      </c>
      <c r="C70" s="786" t="s">
        <v>155</v>
      </c>
      <c r="D70" s="103" t="s">
        <v>1136</v>
      </c>
      <c r="E70" s="588" t="e">
        <f>HLOOKUP($D$2,'2019 Data(H)'!$C$1:$CF$293,18,FALSE)</f>
        <v>#N/A</v>
      </c>
      <c r="F70" s="504"/>
      <c r="G70" s="500">
        <f>IF(H70=0,,"Error: Total revenues less total expenditures do not equal total change in fund balance.  Account numbers 16-532+17-20+533+22+508-509-23=0  The amount of the formula is located in the cell to the right")</f>
        <v>0</v>
      </c>
      <c r="H70" s="776">
        <f>+F61-F63+F64-F65+F66+F69+F67-F68-F70</f>
        <v>0</v>
      </c>
      <c r="I70" s="223"/>
      <c r="J70" s="772"/>
      <c r="L70" s="773" t="s">
        <v>1048</v>
      </c>
    </row>
    <row r="71" spans="1:14" ht="140.25" customHeight="1" thickBot="1" x14ac:dyDescent="0.55000000000000004">
      <c r="A71" s="317">
        <v>590</v>
      </c>
      <c r="B71" s="774" t="s">
        <v>608</v>
      </c>
      <c r="C71" s="786"/>
      <c r="D71" s="103" t="s">
        <v>1088</v>
      </c>
      <c r="E71" s="232"/>
      <c r="F71" s="504"/>
      <c r="G71" s="233"/>
      <c r="H71" s="776"/>
      <c r="I71" s="223"/>
      <c r="K71" s="345"/>
      <c r="L71" s="773" t="s">
        <v>1049</v>
      </c>
    </row>
    <row r="72" spans="1:14" ht="95.25" customHeight="1" thickBot="1" x14ac:dyDescent="0.3">
      <c r="A72" s="317">
        <v>507</v>
      </c>
      <c r="B72" s="774" t="s">
        <v>62</v>
      </c>
      <c r="C72" s="786" t="s">
        <v>155</v>
      </c>
      <c r="D72" s="103" t="s">
        <v>1137</v>
      </c>
      <c r="E72" s="588" t="e">
        <f>HLOOKUP($D$2,'2019 Data(H)'!$C$1:$CF$293,157,FALSE)</f>
        <v>#N/A</v>
      </c>
      <c r="F72" s="504"/>
      <c r="G72" s="500" t="e">
        <f>IF(F57-F70-F72=E57,,"Error: Beginning Balance does not agree with our records.  Cell F57-F70-F72=E57  The amount of the formula is in the cell to the right")</f>
        <v>#N/A</v>
      </c>
      <c r="H72" s="776" t="e">
        <f>+F57-F70-F72-E57</f>
        <v>#N/A</v>
      </c>
      <c r="I72" s="223"/>
      <c r="L72" s="773" t="s">
        <v>1050</v>
      </c>
    </row>
    <row r="73" spans="1:14" ht="115.5" customHeight="1" thickBot="1" x14ac:dyDescent="0.3">
      <c r="A73" s="358">
        <v>647</v>
      </c>
      <c r="B73" s="781" t="s">
        <v>733</v>
      </c>
      <c r="C73" s="778" t="s">
        <v>736</v>
      </c>
      <c r="D73" s="800" t="s">
        <v>737</v>
      </c>
      <c r="E73" s="357" t="s">
        <v>735</v>
      </c>
      <c r="F73" s="504"/>
      <c r="G73" s="360">
        <f>IF(F73&lt;0,"Error: Enter as positive.",)</f>
        <v>0</v>
      </c>
      <c r="H73" s="801"/>
      <c r="I73" s="223"/>
      <c r="L73" s="773" t="s">
        <v>1051</v>
      </c>
    </row>
    <row r="74" spans="1:14" ht="25.5" customHeight="1" thickBot="1" x14ac:dyDescent="0.35">
      <c r="A74" s="123"/>
      <c r="B74" s="799" t="s">
        <v>12</v>
      </c>
      <c r="C74" s="106"/>
      <c r="D74" s="102"/>
      <c r="E74" s="102"/>
      <c r="F74" s="597"/>
      <c r="G74" s="454"/>
      <c r="H74" s="43"/>
      <c r="I74" s="223"/>
      <c r="L74" s="773" t="s">
        <v>1052</v>
      </c>
    </row>
    <row r="75" spans="1:14" ht="78" customHeight="1" thickBot="1" x14ac:dyDescent="0.3">
      <c r="A75" s="317">
        <v>171</v>
      </c>
      <c r="B75" s="774" t="s">
        <v>541</v>
      </c>
      <c r="C75" s="774" t="s">
        <v>540</v>
      </c>
      <c r="D75" s="103" t="s">
        <v>1138</v>
      </c>
      <c r="E75" s="588" t="e">
        <f>HLOOKUP($D$2,'2019 Data(H)'!$C$1:$CF$293,71,FALSE)</f>
        <v>#N/A</v>
      </c>
      <c r="F75" s="605"/>
      <c r="G75" s="500">
        <f>IF(F75&lt;0,"Error: Enter as positive.",)</f>
        <v>0</v>
      </c>
      <c r="H75" s="43"/>
      <c r="I75" s="223"/>
      <c r="J75" s="772"/>
      <c r="L75" s="773" t="s">
        <v>1053</v>
      </c>
    </row>
    <row r="76" spans="1:14" ht="19.5" thickBot="1" x14ac:dyDescent="0.35">
      <c r="A76" s="123"/>
      <c r="B76" s="106" t="s">
        <v>1139</v>
      </c>
      <c r="C76" s="106"/>
      <c r="D76" s="111"/>
      <c r="E76" s="111"/>
      <c r="F76" s="598"/>
      <c r="G76" s="455"/>
      <c r="H76" s="43"/>
      <c r="I76" s="223"/>
      <c r="L76" s="773" t="s">
        <v>1054</v>
      </c>
    </row>
    <row r="77" spans="1:14" ht="19.5" thickBot="1" x14ac:dyDescent="0.35">
      <c r="A77" s="123"/>
      <c r="B77" s="106" t="s">
        <v>25</v>
      </c>
      <c r="C77" s="106"/>
      <c r="D77" s="106"/>
      <c r="E77" s="107"/>
      <c r="F77" s="599"/>
      <c r="G77" s="456"/>
      <c r="H77" s="43"/>
      <c r="I77" s="223"/>
      <c r="L77" s="773" t="s">
        <v>1055</v>
      </c>
    </row>
    <row r="78" spans="1:14" ht="19.5" thickBot="1" x14ac:dyDescent="0.35">
      <c r="A78" s="123"/>
      <c r="B78" s="106" t="s">
        <v>23</v>
      </c>
      <c r="C78" s="106"/>
      <c r="D78" s="106"/>
      <c r="E78" s="107"/>
      <c r="F78" s="599"/>
      <c r="G78" s="456"/>
      <c r="H78" s="241"/>
      <c r="I78" s="223"/>
      <c r="L78" s="773" t="s">
        <v>1056</v>
      </c>
    </row>
    <row r="79" spans="1:14" ht="78" customHeight="1" thickBot="1" x14ac:dyDescent="0.35">
      <c r="A79" s="317">
        <v>596</v>
      </c>
      <c r="B79" s="768" t="s">
        <v>59</v>
      </c>
      <c r="C79" s="802"/>
      <c r="D79" s="244" t="s">
        <v>617</v>
      </c>
      <c r="E79" s="588" t="e">
        <f>HLOOKUP($D$2,'2019 Data(H)'!$C$1:$CF$293,255,FALSE)</f>
        <v>#N/A</v>
      </c>
      <c r="F79" s="504"/>
      <c r="G79" s="457"/>
      <c r="H79" s="241"/>
      <c r="I79" s="223"/>
      <c r="L79" s="773" t="s">
        <v>1057</v>
      </c>
    </row>
    <row r="80" spans="1:14" ht="79.5" customHeight="1" thickBot="1" x14ac:dyDescent="0.3">
      <c r="A80" s="317">
        <v>80</v>
      </c>
      <c r="B80" s="774" t="s">
        <v>63</v>
      </c>
      <c r="C80" s="786" t="s">
        <v>1140</v>
      </c>
      <c r="D80" s="103" t="s">
        <v>1141</v>
      </c>
      <c r="E80" s="588" t="e">
        <f>HLOOKUP($D$2,'2019 Data(H)'!$C$1:$CF$293,44,FALSE)</f>
        <v>#N/A</v>
      </c>
      <c r="F80" s="504"/>
      <c r="G80" s="588" t="e">
        <f>HLOOKUP($D$2,'2019 Data(H)'!C1:BS295,249,FALSE)</f>
        <v>#N/A</v>
      </c>
      <c r="H80" s="42"/>
      <c r="I80" s="223"/>
      <c r="L80" s="773" t="s">
        <v>1058</v>
      </c>
    </row>
    <row r="81" spans="1:12" ht="53.25" customHeight="1" thickBot="1" x14ac:dyDescent="0.3">
      <c r="A81" s="317">
        <v>81</v>
      </c>
      <c r="B81" s="774" t="s">
        <v>64</v>
      </c>
      <c r="C81" s="786" t="s">
        <v>1140</v>
      </c>
      <c r="D81" s="103" t="s">
        <v>1142</v>
      </c>
      <c r="E81" s="588" t="e">
        <f>HLOOKUP($D$2,'2019 Data(H)'!$C$1:$CF$293,45,FALSE)</f>
        <v>#N/A</v>
      </c>
      <c r="F81" s="504"/>
      <c r="G81" s="472"/>
      <c r="H81" s="43"/>
      <c r="I81" s="223"/>
      <c r="L81" s="773" t="s">
        <v>1059</v>
      </c>
    </row>
    <row r="82" spans="1:12" ht="84" customHeight="1" thickBot="1" x14ac:dyDescent="0.3">
      <c r="A82" s="317">
        <v>579</v>
      </c>
      <c r="B82" s="793" t="s">
        <v>562</v>
      </c>
      <c r="C82" s="769" t="s">
        <v>1140</v>
      </c>
      <c r="D82" s="229" t="s">
        <v>1143</v>
      </c>
      <c r="E82" s="588" t="e">
        <f>HLOOKUP($D$2,'2019 Data(H)'!$C$1:$CF$293,229,FALSE)</f>
        <v>#N/A</v>
      </c>
      <c r="F82" s="504"/>
      <c r="G82" s="500"/>
      <c r="H82" s="43"/>
      <c r="I82" s="770"/>
      <c r="L82" s="773" t="s">
        <v>1060</v>
      </c>
    </row>
    <row r="83" spans="1:12" ht="48.75" customHeight="1" thickBot="1" x14ac:dyDescent="0.3">
      <c r="A83" s="317">
        <v>510</v>
      </c>
      <c r="B83" s="774" t="s">
        <v>38</v>
      </c>
      <c r="C83" s="786" t="s">
        <v>1140</v>
      </c>
      <c r="D83" s="117" t="s">
        <v>534</v>
      </c>
      <c r="E83" s="588" t="e">
        <f>HLOOKUP($D$2,'2019 Data(H)'!$C$1:$CF$293,160,FALSE)</f>
        <v>#N/A</v>
      </c>
      <c r="F83" s="504"/>
      <c r="G83" s="472"/>
      <c r="H83" s="43"/>
      <c r="I83" s="223"/>
      <c r="L83" s="773" t="s">
        <v>1061</v>
      </c>
    </row>
    <row r="84" spans="1:12" ht="80.25" customHeight="1" thickBot="1" x14ac:dyDescent="0.3">
      <c r="A84" s="358">
        <v>654</v>
      </c>
      <c r="B84" s="777" t="s">
        <v>38</v>
      </c>
      <c r="C84" s="778" t="s">
        <v>1140</v>
      </c>
      <c r="D84" s="779" t="s">
        <v>1144</v>
      </c>
      <c r="E84" s="357" t="s">
        <v>862</v>
      </c>
      <c r="F84" s="504"/>
      <c r="G84" s="360">
        <f>IF((F80+F81+F83)&gt;F84,"Error: Please review components of current assets above.  Account numbers (80+81+510)&gt;654",)</f>
        <v>0</v>
      </c>
      <c r="H84" s="43"/>
      <c r="I84" s="223"/>
      <c r="L84" s="773" t="s">
        <v>1062</v>
      </c>
    </row>
    <row r="85" spans="1:12" ht="80.25" customHeight="1" thickBot="1" x14ac:dyDescent="0.3">
      <c r="A85" s="358">
        <v>655</v>
      </c>
      <c r="B85" s="777" t="s">
        <v>38</v>
      </c>
      <c r="C85" s="778" t="s">
        <v>1140</v>
      </c>
      <c r="D85" s="370" t="s">
        <v>1090</v>
      </c>
      <c r="E85" s="357" t="s">
        <v>862</v>
      </c>
      <c r="F85" s="504"/>
      <c r="G85" s="360"/>
      <c r="H85" s="43"/>
      <c r="I85" s="223"/>
      <c r="L85" s="773" t="s">
        <v>1063</v>
      </c>
    </row>
    <row r="86" spans="1:12" ht="48" customHeight="1" x14ac:dyDescent="0.25">
      <c r="A86" s="317">
        <v>381</v>
      </c>
      <c r="B86" s="774" t="s">
        <v>38</v>
      </c>
      <c r="C86" s="786" t="s">
        <v>1140</v>
      </c>
      <c r="D86" s="315" t="s">
        <v>132</v>
      </c>
      <c r="E86" s="588" t="e">
        <f>HLOOKUP($D$2,'2019 Data(H)'!$C$1:$CF$293,140,FALSE)</f>
        <v>#N/A</v>
      </c>
      <c r="F86" s="504"/>
      <c r="G86" s="500">
        <f>IF(F84&gt;F86,"Error: Please review components of current assets above. Account numbers 654&gt;381",)</f>
        <v>0</v>
      </c>
      <c r="H86" s="43"/>
      <c r="I86" s="223"/>
    </row>
    <row r="87" spans="1:12" ht="63" customHeight="1" x14ac:dyDescent="0.25">
      <c r="A87" s="317">
        <v>578</v>
      </c>
      <c r="B87" s="768" t="s">
        <v>61</v>
      </c>
      <c r="C87" s="769" t="s">
        <v>1140</v>
      </c>
      <c r="D87" s="229" t="s">
        <v>1145</v>
      </c>
      <c r="E87" s="588" t="e">
        <f>HLOOKUP($D$2,'2019 Data(H)'!$C$1:$CF$293,228,FALSE)</f>
        <v>#N/A</v>
      </c>
      <c r="F87" s="504"/>
      <c r="G87" s="500"/>
      <c r="H87" s="770"/>
      <c r="I87" s="771"/>
    </row>
    <row r="88" spans="1:12" ht="104.25" customHeight="1" x14ac:dyDescent="0.25">
      <c r="A88" s="356">
        <v>633</v>
      </c>
      <c r="B88" s="777" t="s">
        <v>1089</v>
      </c>
      <c r="C88" s="778" t="s">
        <v>738</v>
      </c>
      <c r="D88" s="779" t="s">
        <v>1146</v>
      </c>
      <c r="E88" s="357" t="s">
        <v>735</v>
      </c>
      <c r="F88" s="504"/>
      <c r="G88" s="872">
        <f>IF(F88&lt;0,"Error: Enter as positive.",)</f>
        <v>0</v>
      </c>
      <c r="H88" s="780"/>
      <c r="I88" s="348"/>
    </row>
    <row r="89" spans="1:12" ht="88.5" customHeight="1" x14ac:dyDescent="0.25">
      <c r="A89" s="358">
        <v>634</v>
      </c>
      <c r="B89" s="781" t="s">
        <v>733</v>
      </c>
      <c r="C89" s="778" t="s">
        <v>738</v>
      </c>
      <c r="D89" s="779" t="s">
        <v>1147</v>
      </c>
      <c r="E89" s="357" t="s">
        <v>735</v>
      </c>
      <c r="F89" s="504"/>
      <c r="G89" s="873">
        <f>IF(F89&gt;F88,"Please review account numbers 634&gt;633",)</f>
        <v>0</v>
      </c>
      <c r="H89" s="780"/>
      <c r="I89" s="348"/>
    </row>
    <row r="90" spans="1:12" ht="96.75" customHeight="1" x14ac:dyDescent="0.25">
      <c r="A90" s="358">
        <v>635</v>
      </c>
      <c r="B90" s="781" t="s">
        <v>733</v>
      </c>
      <c r="C90" s="778" t="s">
        <v>738</v>
      </c>
      <c r="D90" s="779" t="s">
        <v>1148</v>
      </c>
      <c r="E90" s="357" t="s">
        <v>735</v>
      </c>
      <c r="F90" s="504"/>
      <c r="G90" s="873">
        <f>IF(F90&gt;F88,"Please review account numbers 635&gt;633",)</f>
        <v>0</v>
      </c>
      <c r="H90" s="780"/>
      <c r="I90" s="348"/>
    </row>
    <row r="91" spans="1:12" ht="84" customHeight="1" x14ac:dyDescent="0.25">
      <c r="A91" s="358">
        <v>636</v>
      </c>
      <c r="B91" s="781" t="s">
        <v>733</v>
      </c>
      <c r="C91" s="778" t="s">
        <v>738</v>
      </c>
      <c r="D91" s="779" t="s">
        <v>1149</v>
      </c>
      <c r="E91" s="357" t="s">
        <v>735</v>
      </c>
      <c r="F91" s="504"/>
      <c r="G91" s="873">
        <f>IF(F91&gt;F88,"Please review account numbers 636&gt;633",)</f>
        <v>0</v>
      </c>
      <c r="H91" s="780"/>
      <c r="I91" s="348"/>
    </row>
    <row r="92" spans="1:12" ht="80.25" customHeight="1" x14ac:dyDescent="0.25">
      <c r="A92" s="358">
        <v>637</v>
      </c>
      <c r="B92" s="781" t="s">
        <v>733</v>
      </c>
      <c r="C92" s="778" t="s">
        <v>738</v>
      </c>
      <c r="D92" s="779" t="s">
        <v>964</v>
      </c>
      <c r="E92" s="357" t="s">
        <v>735</v>
      </c>
      <c r="F92" s="504"/>
      <c r="G92" s="873">
        <f>IF(F92&gt;F88,"Please review account numbers 637&gt;633",)</f>
        <v>0</v>
      </c>
      <c r="H92" s="780"/>
      <c r="I92" s="348"/>
    </row>
    <row r="93" spans="1:12" ht="92.25" customHeight="1" x14ac:dyDescent="0.25">
      <c r="A93" s="358">
        <v>638</v>
      </c>
      <c r="B93" s="781" t="s">
        <v>733</v>
      </c>
      <c r="C93" s="778" t="s">
        <v>738</v>
      </c>
      <c r="D93" s="779" t="s">
        <v>1150</v>
      </c>
      <c r="E93" s="357" t="s">
        <v>735</v>
      </c>
      <c r="F93" s="504"/>
      <c r="G93" s="873">
        <f>IF(F93&gt;F88,"Please review account numbers 638&gt;633",)</f>
        <v>0</v>
      </c>
      <c r="H93" s="780"/>
      <c r="I93" s="348"/>
    </row>
    <row r="94" spans="1:12" ht="71.25" customHeight="1" x14ac:dyDescent="0.25">
      <c r="A94" s="317">
        <v>383</v>
      </c>
      <c r="B94" s="774" t="s">
        <v>64</v>
      </c>
      <c r="C94" s="786" t="s">
        <v>1140</v>
      </c>
      <c r="D94" s="117" t="s">
        <v>965</v>
      </c>
      <c r="E94" s="588" t="e">
        <f>HLOOKUP($D$2,'2019 Data(H)'!$C$1:$CF$293,142,FALSE)</f>
        <v>#N/A</v>
      </c>
      <c r="F94" s="504"/>
      <c r="G94" s="709">
        <f>IF(F94&gt;F88,"Error: Please review components of current liabilities above. Account number 383&gt;633",)</f>
        <v>0</v>
      </c>
      <c r="H94" s="803"/>
      <c r="I94" s="223"/>
    </row>
    <row r="95" spans="1:12" ht="48" customHeight="1" x14ac:dyDescent="0.25">
      <c r="A95" s="317">
        <v>349</v>
      </c>
      <c r="B95" s="774" t="s">
        <v>64</v>
      </c>
      <c r="C95" s="786" t="s">
        <v>1140</v>
      </c>
      <c r="D95" s="316" t="s">
        <v>156</v>
      </c>
      <c r="E95" s="588" t="e">
        <f>HLOOKUP($D$2,'2019 Data(H)'!$C$1:$CF$293,113,FALSE)</f>
        <v>#N/A</v>
      </c>
      <c r="F95" s="504"/>
      <c r="G95" s="500" t="str">
        <f>IF(F88&gt;F95,"Error: Please review accts 633&gt;349","")</f>
        <v/>
      </c>
      <c r="H95" s="43"/>
      <c r="I95" s="223"/>
    </row>
    <row r="96" spans="1:12" ht="105" customHeight="1" x14ac:dyDescent="0.25">
      <c r="A96" s="317">
        <v>375</v>
      </c>
      <c r="B96" s="774" t="s">
        <v>64</v>
      </c>
      <c r="C96" s="786" t="s">
        <v>1140</v>
      </c>
      <c r="D96" s="105" t="s">
        <v>1151</v>
      </c>
      <c r="E96" s="588" t="e">
        <f>HLOOKUP($D$2,'2019 Data(H)'!$C$1:$CF$293,134,FALSE)</f>
        <v>#N/A</v>
      </c>
      <c r="F96" s="504"/>
      <c r="G96" s="472"/>
      <c r="H96" s="43"/>
      <c r="I96" s="223"/>
    </row>
    <row r="97" spans="1:9" ht="72" customHeight="1" x14ac:dyDescent="0.25">
      <c r="A97" s="317">
        <v>83</v>
      </c>
      <c r="B97" s="774" t="s">
        <v>63</v>
      </c>
      <c r="C97" s="786" t="s">
        <v>1140</v>
      </c>
      <c r="D97" s="316" t="s">
        <v>157</v>
      </c>
      <c r="E97" s="588" t="e">
        <f>HLOOKUP($D$2,'2019 Data(H)'!$C$1:$CF$293,47,FALSE)</f>
        <v>#N/A</v>
      </c>
      <c r="F97" s="504"/>
      <c r="G97" s="500">
        <f>IF(F86-F95-F97=0,,"Error: Total assets less total liabilities do not equal total net assets.  Account numbers 381-349-83=0  The amount of the formula is in the cell to the right")</f>
        <v>0</v>
      </c>
      <c r="H97" s="776">
        <f>F86-F95-F97</f>
        <v>0</v>
      </c>
      <c r="I97" s="223"/>
    </row>
    <row r="98" spans="1:9" ht="40.5" customHeight="1" x14ac:dyDescent="0.3">
      <c r="A98" s="123"/>
      <c r="B98" s="782" t="s">
        <v>158</v>
      </c>
      <c r="C98" s="783"/>
      <c r="D98" s="111"/>
      <c r="E98" s="111"/>
      <c r="F98" s="598"/>
      <c r="G98" s="455"/>
      <c r="H98" s="241"/>
      <c r="I98" s="223"/>
    </row>
    <row r="99" spans="1:9" ht="59.25" customHeight="1" x14ac:dyDescent="0.25">
      <c r="A99" s="317">
        <v>90</v>
      </c>
      <c r="B99" s="774" t="s">
        <v>65</v>
      </c>
      <c r="C99" s="786" t="s">
        <v>1152</v>
      </c>
      <c r="D99" s="103" t="s">
        <v>1153</v>
      </c>
      <c r="E99" s="588" t="e">
        <f>HLOOKUP($D$2,'2019 Data(H)'!$C$1:$CF$293,52,FALSE)</f>
        <v>#N/A</v>
      </c>
      <c r="F99" s="504"/>
      <c r="G99" s="500">
        <f>IF(F99&lt;0,"Note: Number is normally positive.",)</f>
        <v>0</v>
      </c>
      <c r="H99" s="804"/>
      <c r="I99" s="223"/>
    </row>
    <row r="100" spans="1:9" ht="57" customHeight="1" x14ac:dyDescent="0.25">
      <c r="A100" s="317">
        <v>91</v>
      </c>
      <c r="B100" s="774" t="s">
        <v>60</v>
      </c>
      <c r="C100" s="786" t="s">
        <v>1152</v>
      </c>
      <c r="D100" s="103" t="s">
        <v>1154</v>
      </c>
      <c r="E100" s="588" t="e">
        <f>HLOOKUP($D$2,'2019 Data(H)'!$C$1:$CF$293,53,FALSE)</f>
        <v>#N/A</v>
      </c>
      <c r="F100" s="504"/>
      <c r="G100" s="500">
        <f>IF(F100&lt;0,"Note: Number is normally positive.",)</f>
        <v>0</v>
      </c>
      <c r="H100" s="43"/>
      <c r="I100" s="223"/>
    </row>
    <row r="101" spans="1:9" ht="66.75" customHeight="1" x14ac:dyDescent="0.25">
      <c r="A101" s="317">
        <v>581</v>
      </c>
      <c r="B101" s="768" t="s">
        <v>563</v>
      </c>
      <c r="C101" s="769" t="s">
        <v>1152</v>
      </c>
      <c r="D101" s="229" t="s">
        <v>1155</v>
      </c>
      <c r="E101" s="588" t="e">
        <f>HLOOKUP($D$2,'2019 Data(H)'!$C$1:$CF$293,231,FALSE)</f>
        <v>#N/A</v>
      </c>
      <c r="F101" s="504"/>
      <c r="G101" s="500"/>
      <c r="H101" s="43"/>
      <c r="I101" s="223"/>
    </row>
    <row r="102" spans="1:9" ht="41.25" customHeight="1" x14ac:dyDescent="0.25">
      <c r="A102" s="317">
        <v>511</v>
      </c>
      <c r="B102" s="774" t="s">
        <v>60</v>
      </c>
      <c r="C102" s="786" t="s">
        <v>1152</v>
      </c>
      <c r="D102" s="104" t="s">
        <v>159</v>
      </c>
      <c r="E102" s="588" t="e">
        <f>HLOOKUP($D$2,'2019 Data(H)'!$C$1:$CF$293,161,FALSE)</f>
        <v>#N/A</v>
      </c>
      <c r="F102" s="504"/>
      <c r="G102" s="500">
        <f>IF(F102&lt;0,"Note: Number is normally positive.",)</f>
        <v>0</v>
      </c>
      <c r="H102" s="43"/>
      <c r="I102" s="223"/>
    </row>
    <row r="103" spans="1:9" ht="58.5" customHeight="1" x14ac:dyDescent="0.25">
      <c r="A103" s="358">
        <v>657</v>
      </c>
      <c r="B103" s="777" t="s">
        <v>60</v>
      </c>
      <c r="C103" s="778" t="s">
        <v>1152</v>
      </c>
      <c r="D103" s="779" t="s">
        <v>1156</v>
      </c>
      <c r="E103" s="357" t="s">
        <v>735</v>
      </c>
      <c r="F103" s="504"/>
      <c r="G103" s="874">
        <f>IF((F99+F100+F102)&gt;F103,"Error: Please review components of current assets above.  Account numbers (90+91+511)&gt;657",)</f>
        <v>0</v>
      </c>
      <c r="H103" s="43"/>
      <c r="I103" s="223"/>
    </row>
    <row r="104" spans="1:9" ht="60" customHeight="1" x14ac:dyDescent="0.25">
      <c r="A104" s="358">
        <v>658</v>
      </c>
      <c r="B104" s="777" t="s">
        <v>60</v>
      </c>
      <c r="C104" s="778" t="s">
        <v>1152</v>
      </c>
      <c r="D104" s="370" t="s">
        <v>1091</v>
      </c>
      <c r="E104" s="357" t="s">
        <v>735</v>
      </c>
      <c r="F104" s="504"/>
      <c r="G104" s="360"/>
      <c r="H104" s="43"/>
      <c r="I104" s="223"/>
    </row>
    <row r="105" spans="1:9" ht="52.5" customHeight="1" x14ac:dyDescent="0.25">
      <c r="A105" s="317">
        <v>382</v>
      </c>
      <c r="B105" s="774" t="s">
        <v>62</v>
      </c>
      <c r="C105" s="786" t="s">
        <v>1152</v>
      </c>
      <c r="D105" s="315" t="s">
        <v>132</v>
      </c>
      <c r="E105" s="588" t="e">
        <f>HLOOKUP($D$2,'2019 Data(H)'!$C$1:$CF$293,141,FALSE)</f>
        <v>#N/A</v>
      </c>
      <c r="F105" s="504"/>
      <c r="G105" s="746">
        <f>IF(F103&gt;F105,"Error: Please review components of current assets above. Account numbers 657&gt;382",)</f>
        <v>0</v>
      </c>
      <c r="H105" s="43"/>
      <c r="I105" s="223"/>
    </row>
    <row r="106" spans="1:9" ht="46.5" customHeight="1" x14ac:dyDescent="0.25">
      <c r="A106" s="317">
        <v>360</v>
      </c>
      <c r="B106" s="774" t="s">
        <v>58</v>
      </c>
      <c r="C106" s="786" t="s">
        <v>1152</v>
      </c>
      <c r="D106" s="316" t="s">
        <v>160</v>
      </c>
      <c r="E106" s="588" t="e">
        <f>HLOOKUP($D$2,'2019 Data(H)'!$C$1:$CF$293,121,FALSE)</f>
        <v>#N/A</v>
      </c>
      <c r="F106" s="504"/>
      <c r="G106" s="500"/>
      <c r="H106" s="43"/>
      <c r="I106" s="223"/>
    </row>
    <row r="107" spans="1:9" ht="70.5" customHeight="1" x14ac:dyDescent="0.25">
      <c r="A107" s="317">
        <v>580</v>
      </c>
      <c r="B107" s="768" t="s">
        <v>563</v>
      </c>
      <c r="C107" s="769" t="s">
        <v>1152</v>
      </c>
      <c r="D107" s="229" t="s">
        <v>1157</v>
      </c>
      <c r="E107" s="588" t="e">
        <f>HLOOKUP($D$2,'2019 Data(H)'!$C$1:$CF$293,230,FALSE)</f>
        <v>#N/A</v>
      </c>
      <c r="F107" s="504"/>
      <c r="G107" s="500"/>
      <c r="H107" s="43"/>
      <c r="I107" s="223"/>
    </row>
    <row r="108" spans="1:9" ht="101.25" customHeight="1" x14ac:dyDescent="0.25">
      <c r="A108" s="356">
        <v>639</v>
      </c>
      <c r="B108" s="777" t="s">
        <v>1089</v>
      </c>
      <c r="C108" s="778" t="s">
        <v>1152</v>
      </c>
      <c r="D108" s="779" t="s">
        <v>1158</v>
      </c>
      <c r="E108" s="357" t="s">
        <v>735</v>
      </c>
      <c r="F108" s="504"/>
      <c r="G108" s="347">
        <f>IF(F108&lt;0,"Error: Enter as positive.",)</f>
        <v>0</v>
      </c>
      <c r="H108" s="780"/>
      <c r="I108" s="348"/>
    </row>
    <row r="109" spans="1:9" ht="84" customHeight="1" x14ac:dyDescent="0.25">
      <c r="A109" s="358">
        <v>640</v>
      </c>
      <c r="B109" s="781" t="s">
        <v>733</v>
      </c>
      <c r="C109" s="778" t="s">
        <v>1152</v>
      </c>
      <c r="D109" s="779" t="s">
        <v>1159</v>
      </c>
      <c r="E109" s="357" t="s">
        <v>735</v>
      </c>
      <c r="F109" s="504"/>
      <c r="G109" s="874">
        <f>IF(F109&gt;F108,"Error: Please review components of current liabilities above. Account numbers 640&gt;639",)</f>
        <v>0</v>
      </c>
      <c r="H109" s="780"/>
      <c r="I109" s="399"/>
    </row>
    <row r="110" spans="1:9" ht="91.5" customHeight="1" x14ac:dyDescent="0.25">
      <c r="A110" s="358">
        <v>641</v>
      </c>
      <c r="B110" s="781" t="s">
        <v>733</v>
      </c>
      <c r="C110" s="778" t="s">
        <v>1152</v>
      </c>
      <c r="D110" s="779" t="s">
        <v>1160</v>
      </c>
      <c r="E110" s="357" t="s">
        <v>735</v>
      </c>
      <c r="F110" s="504"/>
      <c r="G110" s="874">
        <f>IF(F110&gt;F108,"Error: Please review components of current liabilities above. Account numbers 641&gt;639",)</f>
        <v>0</v>
      </c>
      <c r="H110" s="780"/>
      <c r="I110" s="348"/>
    </row>
    <row r="111" spans="1:9" ht="84" customHeight="1" x14ac:dyDescent="0.25">
      <c r="A111" s="358">
        <v>642</v>
      </c>
      <c r="B111" s="781" t="s">
        <v>733</v>
      </c>
      <c r="C111" s="778" t="s">
        <v>1152</v>
      </c>
      <c r="D111" s="779" t="s">
        <v>1161</v>
      </c>
      <c r="E111" s="357" t="s">
        <v>735</v>
      </c>
      <c r="F111" s="504"/>
      <c r="G111" s="874">
        <f>IF(F111&gt;F108,"Error: Please review components of current liabilities above. Account numbers  642&gt;639",)</f>
        <v>0</v>
      </c>
      <c r="H111" s="780"/>
      <c r="I111" s="348"/>
    </row>
    <row r="112" spans="1:9" ht="81.75" customHeight="1" x14ac:dyDescent="0.25">
      <c r="A112" s="358">
        <v>643</v>
      </c>
      <c r="B112" s="781" t="s">
        <v>733</v>
      </c>
      <c r="C112" s="778" t="s">
        <v>1152</v>
      </c>
      <c r="D112" s="779" t="s">
        <v>966</v>
      </c>
      <c r="E112" s="357" t="s">
        <v>735</v>
      </c>
      <c r="F112" s="504"/>
      <c r="G112" s="874">
        <f>IF(F112&gt;F108,"Error: Please review components of current liabilities above. Account numbers 643&gt;639",)</f>
        <v>0</v>
      </c>
      <c r="H112" s="780"/>
      <c r="I112" s="348"/>
    </row>
    <row r="113" spans="1:14" ht="77.25" customHeight="1" x14ac:dyDescent="0.25">
      <c r="A113" s="358">
        <v>644</v>
      </c>
      <c r="B113" s="781" t="s">
        <v>733</v>
      </c>
      <c r="C113" s="778" t="s">
        <v>1152</v>
      </c>
      <c r="D113" s="779" t="s">
        <v>1162</v>
      </c>
      <c r="E113" s="357" t="s">
        <v>735</v>
      </c>
      <c r="F113" s="504"/>
      <c r="G113" s="874">
        <f>IF(F113&gt;F108,"Error: Please review components of current liabilities above. Account number 644&gt;639",)</f>
        <v>0</v>
      </c>
      <c r="H113" s="780"/>
      <c r="I113" s="348"/>
    </row>
    <row r="114" spans="1:14" ht="73.5" customHeight="1" x14ac:dyDescent="0.25">
      <c r="A114" s="317">
        <v>384</v>
      </c>
      <c r="B114" s="774" t="s">
        <v>65</v>
      </c>
      <c r="C114" s="786" t="s">
        <v>1152</v>
      </c>
      <c r="D114" s="117" t="s">
        <v>967</v>
      </c>
      <c r="E114" s="588" t="e">
        <f>HLOOKUP($D$2,'2019 Data(H)'!$C$1:$CF$293,143,FALSE)</f>
        <v>#N/A</v>
      </c>
      <c r="F114" s="791"/>
      <c r="G114" s="709">
        <f>IF(F114&gt;F108,"Error: Please review components of current liabilities above. Account number 384&gt;639",)</f>
        <v>0</v>
      </c>
      <c r="I114" s="223"/>
    </row>
    <row r="115" spans="1:14" ht="87.75" customHeight="1" x14ac:dyDescent="0.25">
      <c r="A115" s="317">
        <v>361</v>
      </c>
      <c r="B115" s="774" t="s">
        <v>58</v>
      </c>
      <c r="C115" s="786" t="s">
        <v>1152</v>
      </c>
      <c r="D115" s="105" t="s">
        <v>1163</v>
      </c>
      <c r="E115" s="588" t="e">
        <f>HLOOKUP($D$2,'2019 Data(H)'!$C$1:$CF$293,122,FALSE)</f>
        <v>#N/A</v>
      </c>
      <c r="F115" s="504"/>
      <c r="G115" s="472"/>
      <c r="H115" s="43"/>
      <c r="I115" s="223"/>
    </row>
    <row r="116" spans="1:14" ht="61.5" customHeight="1" x14ac:dyDescent="0.25">
      <c r="A116" s="317">
        <v>362</v>
      </c>
      <c r="B116" s="774" t="s">
        <v>58</v>
      </c>
      <c r="C116" s="786" t="s">
        <v>1152</v>
      </c>
      <c r="D116" s="316" t="s">
        <v>161</v>
      </c>
      <c r="E116" s="588" t="e">
        <f>HLOOKUP($D$2,'2019 Data(H)'!$C$1:$CF$293,123,FALSE)</f>
        <v>#N/A</v>
      </c>
      <c r="F116" s="504"/>
      <c r="G116" s="500">
        <f>IF(H116=0,,"Error: Total assets less total liabilities do not equal total net position. Account numbers 382-360-362=0  The amount of the formula is in the cell to the right")</f>
        <v>0</v>
      </c>
      <c r="H116" s="776">
        <f>F105-F106-F116</f>
        <v>0</v>
      </c>
      <c r="I116" s="223"/>
    </row>
    <row r="117" spans="1:14" ht="24" customHeight="1" x14ac:dyDescent="0.25">
      <c r="A117" s="123"/>
      <c r="B117" s="765" t="s">
        <v>185</v>
      </c>
      <c r="C117" s="765"/>
      <c r="D117" s="100"/>
      <c r="E117" s="784"/>
      <c r="F117" s="792"/>
      <c r="G117" s="453"/>
      <c r="H117" s="43"/>
      <c r="I117" s="223"/>
    </row>
    <row r="118" spans="1:14" s="44" customFormat="1" ht="63.75" customHeight="1" x14ac:dyDescent="0.3">
      <c r="A118" s="123"/>
      <c r="B118" s="931" t="s">
        <v>767</v>
      </c>
      <c r="C118" s="931"/>
      <c r="D118" s="931"/>
      <c r="E118" s="111"/>
      <c r="F118" s="598"/>
      <c r="G118" s="455"/>
      <c r="H118" s="43"/>
      <c r="I118" s="223"/>
      <c r="N118" s="756"/>
    </row>
    <row r="119" spans="1:14" ht="77.25" customHeight="1" x14ac:dyDescent="0.25">
      <c r="A119" s="317">
        <v>88</v>
      </c>
      <c r="B119" s="774" t="s">
        <v>63</v>
      </c>
      <c r="C119" s="786" t="s">
        <v>1164</v>
      </c>
      <c r="D119" s="103" t="s">
        <v>1165</v>
      </c>
      <c r="E119" s="588" t="e">
        <f>HLOOKUP($D$2,'2019 Data(H)'!$C$1:$CF$293,50,FALSE)</f>
        <v>#N/A</v>
      </c>
      <c r="F119" s="504"/>
      <c r="G119" s="472"/>
      <c r="H119" s="43"/>
      <c r="I119" s="223"/>
    </row>
    <row r="120" spans="1:14" ht="78" customHeight="1" x14ac:dyDescent="0.25">
      <c r="A120" s="317">
        <v>84</v>
      </c>
      <c r="B120" s="774" t="s">
        <v>63</v>
      </c>
      <c r="C120" s="786" t="s">
        <v>1164</v>
      </c>
      <c r="D120" s="117" t="s">
        <v>162</v>
      </c>
      <c r="E120" s="588" t="e">
        <f>HLOOKUP($D$2,'2019 Data(H)'!$C$1:$CF$293,48,FALSE)</f>
        <v>#N/A</v>
      </c>
      <c r="F120" s="504"/>
      <c r="G120" s="500">
        <f>IF(120&gt;=119,,"Error: Charges for services exceed total operating revenues. Account numbers 84&gt;=88")</f>
        <v>0</v>
      </c>
      <c r="H120" s="43"/>
      <c r="I120" s="223"/>
    </row>
    <row r="121" spans="1:14" ht="65.25" customHeight="1" x14ac:dyDescent="0.25">
      <c r="A121" s="317">
        <v>49</v>
      </c>
      <c r="B121" s="774" t="s">
        <v>59</v>
      </c>
      <c r="C121" s="786" t="s">
        <v>1164</v>
      </c>
      <c r="D121" s="117" t="s">
        <v>163</v>
      </c>
      <c r="E121" s="588" t="e">
        <f>HLOOKUP($D$2,'2019 Data(H)'!$C$1:$CF$293,36,FALSE)</f>
        <v>#N/A</v>
      </c>
      <c r="F121" s="504"/>
      <c r="G121" s="500">
        <f>IF(F121&lt;0,"Error: Enter as positive.",)</f>
        <v>0</v>
      </c>
      <c r="H121" s="43"/>
      <c r="I121" s="223"/>
    </row>
    <row r="122" spans="1:14" ht="72" customHeight="1" x14ac:dyDescent="0.25">
      <c r="A122" s="317">
        <v>85</v>
      </c>
      <c r="B122" s="774" t="s">
        <v>70</v>
      </c>
      <c r="C122" s="786" t="s">
        <v>1164</v>
      </c>
      <c r="D122" s="117" t="s">
        <v>164</v>
      </c>
      <c r="E122" s="588" t="e">
        <f>HLOOKUP($D$2,'2019 Data(H)'!$C$1:$CF$293,49,FALSE)</f>
        <v>#N/A</v>
      </c>
      <c r="F122" s="504"/>
      <c r="G122" s="500">
        <f>IF(F122&lt;0,"Error: Enter as positive.",)</f>
        <v>0</v>
      </c>
      <c r="H122" s="43"/>
      <c r="I122" s="223"/>
    </row>
    <row r="123" spans="1:14" ht="69.75" customHeight="1" x14ac:dyDescent="0.25">
      <c r="A123" s="317">
        <v>89</v>
      </c>
      <c r="B123" s="774" t="s">
        <v>58</v>
      </c>
      <c r="C123" s="786" t="s">
        <v>1164</v>
      </c>
      <c r="D123" s="117" t="s">
        <v>165</v>
      </c>
      <c r="E123" s="588" t="e">
        <f>HLOOKUP($D$2,'2019 Data(H)'!$C$1:$CF$293,51,FALSE)</f>
        <v>#N/A</v>
      </c>
      <c r="F123" s="504"/>
      <c r="G123" s="500">
        <f>IF(F123&lt;0,"Error: Enter as positive.",)</f>
        <v>0</v>
      </c>
      <c r="H123" s="43"/>
      <c r="I123" s="223"/>
    </row>
    <row r="124" spans="1:14" ht="68.25" customHeight="1" x14ac:dyDescent="0.25">
      <c r="A124" s="317">
        <v>350</v>
      </c>
      <c r="B124" s="774" t="s">
        <v>58</v>
      </c>
      <c r="C124" s="786" t="s">
        <v>1164</v>
      </c>
      <c r="D124" s="103" t="s">
        <v>1166</v>
      </c>
      <c r="E124" s="588" t="e">
        <f>HLOOKUP($D$2,'2019 Data(H)'!$C$1:$CF$293,114,FALSE)</f>
        <v>#N/A</v>
      </c>
      <c r="F124" s="504"/>
      <c r="G124" s="472"/>
      <c r="H124" s="43"/>
      <c r="I124" s="223"/>
    </row>
    <row r="125" spans="1:14" ht="66" customHeight="1" x14ac:dyDescent="0.25">
      <c r="A125" s="317">
        <v>351</v>
      </c>
      <c r="B125" s="774" t="s">
        <v>58</v>
      </c>
      <c r="C125" s="786" t="s">
        <v>1164</v>
      </c>
      <c r="D125" s="103" t="s">
        <v>1167</v>
      </c>
      <c r="E125" s="588" t="e">
        <f>HLOOKUP($D$2,'2019 Data(H)'!$C$1:$CF$293,115,FALSE)</f>
        <v>#N/A</v>
      </c>
      <c r="F125" s="504"/>
      <c r="G125" s="500">
        <f>IF(F125&lt;0,"Error: Enter as positive.",)</f>
        <v>0</v>
      </c>
      <c r="H125" s="43"/>
      <c r="I125" s="223"/>
    </row>
    <row r="126" spans="1:14" ht="64.5" customHeight="1" x14ac:dyDescent="0.25">
      <c r="A126" s="317">
        <v>191</v>
      </c>
      <c r="B126" s="774" t="s">
        <v>59</v>
      </c>
      <c r="C126" s="786" t="s">
        <v>1164</v>
      </c>
      <c r="D126" s="103" t="s">
        <v>1168</v>
      </c>
      <c r="E126" s="588" t="e">
        <f>HLOOKUP($D$2,'2019 Data(H)'!$C$1:$CF$293,72,FALSE)</f>
        <v>#N/A</v>
      </c>
      <c r="F126" s="504"/>
      <c r="G126" s="500">
        <f>IF(F126&lt;0,"Error: Enter as positive.",)</f>
        <v>0</v>
      </c>
      <c r="H126" s="43"/>
      <c r="I126" s="223"/>
    </row>
    <row r="127" spans="1:14" ht="75" customHeight="1" x14ac:dyDescent="0.25">
      <c r="A127" s="317">
        <v>352</v>
      </c>
      <c r="B127" s="774" t="s">
        <v>70</v>
      </c>
      <c r="C127" s="786" t="s">
        <v>1164</v>
      </c>
      <c r="D127" s="117" t="s">
        <v>145</v>
      </c>
      <c r="E127" s="588" t="e">
        <f>HLOOKUP($D$2,'2019 Data(H)'!$C$1:$CF$293,116,FALSE)</f>
        <v>#N/A</v>
      </c>
      <c r="F127" s="504"/>
      <c r="G127" s="500">
        <f>IF(F127&lt;0,"Error: Enter as positive.",)</f>
        <v>0</v>
      </c>
      <c r="H127" s="43"/>
      <c r="I127" s="223"/>
    </row>
    <row r="128" spans="1:14" ht="69" customHeight="1" x14ac:dyDescent="0.25">
      <c r="A128" s="317">
        <v>353</v>
      </c>
      <c r="B128" s="774" t="s">
        <v>70</v>
      </c>
      <c r="C128" s="786" t="s">
        <v>1164</v>
      </c>
      <c r="D128" s="117" t="s">
        <v>146</v>
      </c>
      <c r="E128" s="588" t="e">
        <f>HLOOKUP($D$2,'2019 Data(H)'!$C$1:$CF$293,117,FALSE)</f>
        <v>#N/A</v>
      </c>
      <c r="F128" s="504"/>
      <c r="G128" s="500">
        <f>IF(F128&lt;0,"Error: Enter as positive.",)</f>
        <v>0</v>
      </c>
      <c r="H128" s="43"/>
      <c r="I128" s="223"/>
    </row>
    <row r="129" spans="1:9" ht="69" customHeight="1" x14ac:dyDescent="0.25">
      <c r="A129" s="317">
        <v>50</v>
      </c>
      <c r="B129" s="774" t="s">
        <v>66</v>
      </c>
      <c r="C129" s="786" t="s">
        <v>1164</v>
      </c>
      <c r="D129" s="105" t="s">
        <v>1169</v>
      </c>
      <c r="E129" s="588" t="e">
        <f>HLOOKUP($D$2,'2019 Data(H)'!$C$1:$CF$293,37,FALSE)</f>
        <v>#N/A</v>
      </c>
      <c r="F129" s="595"/>
      <c r="G129" s="500">
        <f>IF(H129=0,,"Error: Total revenues less total expenses do not equal total change in net position. Account number 84-85+350-351+191+352-353-50=0  The amount of the formula is in the cell to the right")</f>
        <v>0</v>
      </c>
      <c r="H129" s="776">
        <f>F120-F122+F124-F125+F126+F127-F128-F129</f>
        <v>0</v>
      </c>
      <c r="I129" s="223"/>
    </row>
    <row r="130" spans="1:9" ht="105" customHeight="1" x14ac:dyDescent="0.25">
      <c r="A130" s="317">
        <v>377</v>
      </c>
      <c r="B130" s="774" t="s">
        <v>70</v>
      </c>
      <c r="C130" s="786" t="s">
        <v>1164</v>
      </c>
      <c r="D130" s="105" t="s">
        <v>1170</v>
      </c>
      <c r="E130" s="588" t="e">
        <f>HLOOKUP($D$2,'2019 Data(H)'!$C$1:$CF$293,136,FALSE)</f>
        <v>#N/A</v>
      </c>
      <c r="F130" s="595"/>
      <c r="G130" s="500" t="e">
        <f>IF(F97-F129-F130=E97,,"Error: Beginning Balance does not agree with our records.  Cell F97-F129-F130=E97  The amount of the formula is in the cell to the right")</f>
        <v>#N/A</v>
      </c>
      <c r="H130" s="776" t="e">
        <f>+F97-F129-F130-E97</f>
        <v>#N/A</v>
      </c>
      <c r="I130" s="223"/>
    </row>
    <row r="131" spans="1:9" ht="69" customHeight="1" x14ac:dyDescent="0.25">
      <c r="A131" s="317">
        <v>537</v>
      </c>
      <c r="B131" s="768" t="s">
        <v>61</v>
      </c>
      <c r="C131" s="769" t="s">
        <v>1164</v>
      </c>
      <c r="D131" s="244" t="s">
        <v>1171</v>
      </c>
      <c r="E131" s="176" t="e">
        <f>HLOOKUP($D$2,'2019 Data(H)'!$C$1:$CF$293,250,FALSE)</f>
        <v>#N/A</v>
      </c>
      <c r="F131" s="504"/>
      <c r="G131" s="500"/>
      <c r="H131" s="770"/>
      <c r="I131" s="771"/>
    </row>
    <row r="132" spans="1:9" ht="68.25" customHeight="1" x14ac:dyDescent="0.25">
      <c r="A132" s="317">
        <v>538</v>
      </c>
      <c r="B132" s="768" t="s">
        <v>61</v>
      </c>
      <c r="C132" s="769" t="s">
        <v>1164</v>
      </c>
      <c r="D132" s="244" t="s">
        <v>1172</v>
      </c>
      <c r="E132" s="588" t="e">
        <f>HLOOKUP($D$2,'2019 Data(H)'!$C$1:$CF$293,251,FALSE)</f>
        <v>#N/A</v>
      </c>
      <c r="F132" s="504"/>
      <c r="G132" s="500"/>
      <c r="H132" s="770"/>
      <c r="I132" s="771"/>
    </row>
    <row r="133" spans="1:9" ht="26.25" customHeight="1" x14ac:dyDescent="0.3">
      <c r="A133" s="123"/>
      <c r="B133" s="782" t="s">
        <v>6</v>
      </c>
      <c r="C133" s="783"/>
      <c r="D133" s="111"/>
      <c r="E133" s="111"/>
      <c r="F133" s="598"/>
      <c r="G133" s="455"/>
      <c r="H133" s="43"/>
      <c r="I133" s="223"/>
    </row>
    <row r="134" spans="1:9" ht="66.75" customHeight="1" x14ac:dyDescent="0.25">
      <c r="A134" s="317">
        <v>97</v>
      </c>
      <c r="B134" s="774" t="s">
        <v>70</v>
      </c>
      <c r="C134" s="786" t="s">
        <v>1173</v>
      </c>
      <c r="D134" s="117" t="s">
        <v>166</v>
      </c>
      <c r="E134" s="588" t="e">
        <f>HLOOKUP($D$2,'2019 Data(H)'!$C$1:$CF$293,57,FALSE)</f>
        <v>#N/A</v>
      </c>
      <c r="F134" s="476"/>
      <c r="G134" s="472"/>
      <c r="H134" s="43"/>
      <c r="I134" s="223"/>
    </row>
    <row r="135" spans="1:9" ht="66.75" customHeight="1" x14ac:dyDescent="0.25">
      <c r="A135" s="317">
        <v>93</v>
      </c>
      <c r="B135" s="774" t="s">
        <v>68</v>
      </c>
      <c r="C135" s="786" t="s">
        <v>1173</v>
      </c>
      <c r="D135" s="117" t="s">
        <v>162</v>
      </c>
      <c r="E135" s="588" t="e">
        <f>HLOOKUP($D$2,'2019 Data(H)'!$C$1:$CF$293,55,FALSE)</f>
        <v>#N/A</v>
      </c>
      <c r="F135" s="476"/>
      <c r="G135" s="500">
        <f>IF(F134&gt;F135,"Error: Charges for services exceed total operating revenues. Account number 97&gt;93",)</f>
        <v>0</v>
      </c>
      <c r="H135" s="43"/>
      <c r="I135" s="223"/>
    </row>
    <row r="136" spans="1:9" ht="66.75" customHeight="1" x14ac:dyDescent="0.25">
      <c r="A136" s="317">
        <v>99</v>
      </c>
      <c r="B136" s="774" t="s">
        <v>60</v>
      </c>
      <c r="C136" s="786" t="s">
        <v>1173</v>
      </c>
      <c r="D136" s="117" t="s">
        <v>167</v>
      </c>
      <c r="E136" s="588" t="e">
        <f>HLOOKUP($D$2,'2019 Data(H)'!$C$1:$CF$293,59,FALSE)</f>
        <v>#N/A</v>
      </c>
      <c r="F136" s="476"/>
      <c r="G136" s="500">
        <f t="shared" ref="G136:G144" si="2">IF(F136&lt;0,"Error: Enter as positive.",)</f>
        <v>0</v>
      </c>
      <c r="H136" s="43"/>
      <c r="I136" s="223"/>
    </row>
    <row r="137" spans="1:9" ht="66.75" customHeight="1" x14ac:dyDescent="0.25">
      <c r="A137" s="317">
        <v>52</v>
      </c>
      <c r="B137" s="774" t="s">
        <v>60</v>
      </c>
      <c r="C137" s="786" t="s">
        <v>1173</v>
      </c>
      <c r="D137" s="117" t="s">
        <v>163</v>
      </c>
      <c r="E137" s="588" t="e">
        <f>HLOOKUP($D$2,'2019 Data(H)'!$C$1:$CF$293,39,FALSE)</f>
        <v>#N/A</v>
      </c>
      <c r="F137" s="476"/>
      <c r="G137" s="500">
        <f t="shared" si="2"/>
        <v>0</v>
      </c>
      <c r="H137" s="43"/>
      <c r="I137" s="223"/>
    </row>
    <row r="138" spans="1:9" ht="66.75" customHeight="1" x14ac:dyDescent="0.25">
      <c r="A138" s="317">
        <v>94</v>
      </c>
      <c r="B138" s="774" t="s">
        <v>68</v>
      </c>
      <c r="C138" s="786" t="s">
        <v>1173</v>
      </c>
      <c r="D138" s="117" t="s">
        <v>164</v>
      </c>
      <c r="E138" s="588" t="e">
        <f>HLOOKUP($D$2,'2019 Data(H)'!$C$1:$CF$293,56,FALSE)</f>
        <v>#N/A</v>
      </c>
      <c r="F138" s="476"/>
      <c r="G138" s="500">
        <f t="shared" si="2"/>
        <v>0</v>
      </c>
      <c r="H138" s="43"/>
      <c r="I138" s="223"/>
    </row>
    <row r="139" spans="1:9" ht="66.75" customHeight="1" x14ac:dyDescent="0.25">
      <c r="A139" s="317">
        <v>98</v>
      </c>
      <c r="B139" s="774" t="s">
        <v>68</v>
      </c>
      <c r="C139" s="786" t="s">
        <v>1173</v>
      </c>
      <c r="D139" s="117" t="s">
        <v>165</v>
      </c>
      <c r="E139" s="588" t="e">
        <f>HLOOKUP($D$2,'2019 Data(H)'!$C$1:$CF$293,58,FALSE)</f>
        <v>#N/A</v>
      </c>
      <c r="F139" s="476"/>
      <c r="G139" s="500">
        <f t="shared" si="2"/>
        <v>0</v>
      </c>
      <c r="H139" s="43"/>
      <c r="I139" s="223"/>
    </row>
    <row r="140" spans="1:9" ht="69.75" customHeight="1" x14ac:dyDescent="0.25">
      <c r="A140" s="317">
        <v>363</v>
      </c>
      <c r="B140" s="774" t="s">
        <v>58</v>
      </c>
      <c r="C140" s="786" t="s">
        <v>1173</v>
      </c>
      <c r="D140" s="103" t="s">
        <v>1174</v>
      </c>
      <c r="E140" s="588" t="e">
        <f>HLOOKUP($D$2,'2019 Data(H)'!$C$1:$CF$293,124,FALSE)</f>
        <v>#N/A</v>
      </c>
      <c r="F140" s="476"/>
      <c r="G140" s="500">
        <f t="shared" si="2"/>
        <v>0</v>
      </c>
      <c r="H140" s="43"/>
      <c r="I140" s="223"/>
    </row>
    <row r="141" spans="1:9" ht="69.75" customHeight="1" x14ac:dyDescent="0.25">
      <c r="A141" s="317">
        <v>364</v>
      </c>
      <c r="B141" s="774" t="s">
        <v>58</v>
      </c>
      <c r="C141" s="786" t="s">
        <v>1173</v>
      </c>
      <c r="D141" s="103" t="s">
        <v>1175</v>
      </c>
      <c r="E141" s="588" t="e">
        <f>HLOOKUP($D$2,'2019 Data(H)'!$C$1:$CF$293,125,FALSE)</f>
        <v>#N/A</v>
      </c>
      <c r="F141" s="476"/>
      <c r="G141" s="500">
        <f t="shared" si="2"/>
        <v>0</v>
      </c>
      <c r="H141" s="43"/>
      <c r="I141" s="223"/>
    </row>
    <row r="142" spans="1:9" ht="69.75" customHeight="1" x14ac:dyDescent="0.25">
      <c r="A142" s="317">
        <v>192</v>
      </c>
      <c r="B142" s="774" t="s">
        <v>60</v>
      </c>
      <c r="C142" s="786" t="s">
        <v>1173</v>
      </c>
      <c r="D142" s="103" t="s">
        <v>1176</v>
      </c>
      <c r="E142" s="588" t="e">
        <f>HLOOKUP($D$2,'2019 Data(H)'!$C$1:$CF$293,73,FALSE)</f>
        <v>#N/A</v>
      </c>
      <c r="F142" s="476"/>
      <c r="G142" s="500">
        <f t="shared" si="2"/>
        <v>0</v>
      </c>
      <c r="H142" s="43"/>
      <c r="I142" s="223"/>
    </row>
    <row r="143" spans="1:9" ht="69.75" customHeight="1" x14ac:dyDescent="0.25">
      <c r="A143" s="317">
        <v>365</v>
      </c>
      <c r="B143" s="774" t="s">
        <v>68</v>
      </c>
      <c r="C143" s="786" t="s">
        <v>1173</v>
      </c>
      <c r="D143" s="103" t="s">
        <v>1177</v>
      </c>
      <c r="E143" s="588" t="e">
        <f>HLOOKUP($D$2,'2019 Data(H)'!$C$1:$CF$293,126,FALSE)</f>
        <v>#N/A</v>
      </c>
      <c r="F143" s="476"/>
      <c r="G143" s="500">
        <f t="shared" si="2"/>
        <v>0</v>
      </c>
      <c r="H143" s="43"/>
      <c r="I143" s="223"/>
    </row>
    <row r="144" spans="1:9" ht="69.75" customHeight="1" x14ac:dyDescent="0.25">
      <c r="A144" s="317">
        <v>366</v>
      </c>
      <c r="B144" s="774" t="s">
        <v>68</v>
      </c>
      <c r="C144" s="786" t="s">
        <v>1173</v>
      </c>
      <c r="D144" s="103" t="s">
        <v>1178</v>
      </c>
      <c r="E144" s="588" t="e">
        <f>HLOOKUP($D$2,'2019 Data(H)'!$C$1:$CF$293,127,FALSE)</f>
        <v>#N/A</v>
      </c>
      <c r="F144" s="476"/>
      <c r="G144" s="500">
        <f t="shared" si="2"/>
        <v>0</v>
      </c>
      <c r="H144" s="43"/>
      <c r="I144" s="223"/>
    </row>
    <row r="145" spans="1:14" s="44" customFormat="1" ht="72" customHeight="1" x14ac:dyDescent="0.25">
      <c r="A145" s="317">
        <v>53</v>
      </c>
      <c r="B145" s="768" t="s">
        <v>68</v>
      </c>
      <c r="C145" s="769" t="s">
        <v>1173</v>
      </c>
      <c r="D145" s="105" t="s">
        <v>1179</v>
      </c>
      <c r="E145" s="588" t="e">
        <f>HLOOKUP($D$2,'2019 Data(H)'!$C$1:$CF$293,40,FALSE)</f>
        <v>#N/A</v>
      </c>
      <c r="F145" s="476"/>
      <c r="G145" s="500">
        <f>IF(H145=0,,"Error: Total revenues less total expenses do not equal total change in net position. Account number 93-94+363-364+192+365-366-53=0  The amount of the formula is in the cell to the right")</f>
        <v>0</v>
      </c>
      <c r="H145" s="776">
        <f>+F135-F138+F140-F141+F142+F143-F144-F145</f>
        <v>0</v>
      </c>
      <c r="I145" s="223"/>
      <c r="N145" s="756"/>
    </row>
    <row r="146" spans="1:14" s="44" customFormat="1" ht="96" customHeight="1" x14ac:dyDescent="0.25">
      <c r="A146" s="317">
        <v>378</v>
      </c>
      <c r="B146" s="806" t="s">
        <v>58</v>
      </c>
      <c r="C146" s="786" t="s">
        <v>1173</v>
      </c>
      <c r="D146" s="105" t="s">
        <v>1180</v>
      </c>
      <c r="E146" s="588" t="e">
        <f>HLOOKUP($D$2,'2019 Data(H)'!$C$1:$CF$293,137,FALSE)</f>
        <v>#N/A</v>
      </c>
      <c r="F146" s="595"/>
      <c r="G146" s="500" t="e">
        <f>IF(F116-F145-F146=E116,,"Error: Beginning Balance does not agree with our records.  Cell F116-F145-F146= E116  The amount of the formula is in the cell to the right")</f>
        <v>#N/A</v>
      </c>
      <c r="H146" s="776" t="e">
        <f>+F116-F145-F146-E116</f>
        <v>#N/A</v>
      </c>
      <c r="I146" s="223"/>
      <c r="N146" s="756"/>
    </row>
    <row r="147" spans="1:14" ht="30.75" customHeight="1" x14ac:dyDescent="0.25">
      <c r="A147" s="123"/>
      <c r="B147" s="782" t="s">
        <v>973</v>
      </c>
      <c r="C147" s="782"/>
      <c r="D147" s="268"/>
      <c r="E147" s="784"/>
      <c r="F147" s="807"/>
      <c r="G147" s="451"/>
      <c r="H147" s="43"/>
      <c r="I147" s="223"/>
    </row>
    <row r="148" spans="1:14" ht="18.75" x14ac:dyDescent="0.3">
      <c r="A148" s="123"/>
      <c r="B148" s="808" t="s">
        <v>1181</v>
      </c>
      <c r="C148" s="783"/>
      <c r="D148" s="111"/>
      <c r="E148" s="111"/>
      <c r="F148" s="600"/>
      <c r="G148" s="455"/>
      <c r="H148" s="43"/>
      <c r="I148" s="223"/>
    </row>
    <row r="149" spans="1:14" ht="18.75" x14ac:dyDescent="0.3">
      <c r="A149" s="123"/>
      <c r="B149" s="783" t="s">
        <v>1182</v>
      </c>
      <c r="C149" s="783"/>
      <c r="D149" s="106"/>
      <c r="E149" s="107"/>
      <c r="F149" s="601"/>
      <c r="G149" s="456"/>
      <c r="H149" s="43"/>
      <c r="I149" s="223"/>
    </row>
    <row r="150" spans="1:14" ht="18.75" x14ac:dyDescent="0.3">
      <c r="A150" s="123"/>
      <c r="B150" s="783" t="s">
        <v>24</v>
      </c>
      <c r="C150" s="783"/>
      <c r="D150" s="106"/>
      <c r="E150" s="107"/>
      <c r="F150" s="601"/>
      <c r="G150" s="456"/>
      <c r="H150" s="43"/>
      <c r="I150" s="223"/>
    </row>
    <row r="151" spans="1:14" ht="59.25" customHeight="1" x14ac:dyDescent="0.25">
      <c r="A151" s="317">
        <v>51</v>
      </c>
      <c r="B151" s="774" t="s">
        <v>530</v>
      </c>
      <c r="C151" s="809" t="s">
        <v>1183</v>
      </c>
      <c r="D151" s="103" t="s">
        <v>1184</v>
      </c>
      <c r="E151" s="588" t="e">
        <f>HLOOKUP($D$2,'2019 Data(H)'!$C$1:$CF$293,38,FALSE)</f>
        <v>#N/A</v>
      </c>
      <c r="F151" s="476"/>
      <c r="G151" s="472"/>
      <c r="H151" s="43"/>
      <c r="I151" s="223"/>
    </row>
    <row r="152" spans="1:14" ht="59.25" customHeight="1" x14ac:dyDescent="0.25">
      <c r="A152" s="317">
        <v>332</v>
      </c>
      <c r="B152" s="774" t="s">
        <v>38</v>
      </c>
      <c r="C152" s="809" t="s">
        <v>1183</v>
      </c>
      <c r="D152" s="103" t="s">
        <v>1185</v>
      </c>
      <c r="E152" s="588" t="e">
        <f>HLOOKUP($D$2,'2019 Data(H)'!$C$1:$CF$293,98,FALSE)</f>
        <v>#N/A</v>
      </c>
      <c r="F152" s="476"/>
      <c r="G152" s="500">
        <f>IF(F152&lt;0,"Error: Enter as positive.",)</f>
        <v>0</v>
      </c>
      <c r="H152" s="43"/>
      <c r="I152" s="223"/>
    </row>
    <row r="153" spans="1:14" ht="59.25" customHeight="1" x14ac:dyDescent="0.25">
      <c r="A153" s="317">
        <v>331</v>
      </c>
      <c r="B153" s="774" t="s">
        <v>530</v>
      </c>
      <c r="C153" s="809" t="s">
        <v>1183</v>
      </c>
      <c r="D153" s="103" t="s">
        <v>1186</v>
      </c>
      <c r="E153" s="588" t="e">
        <f>HLOOKUP($D$2,'2019 Data(H)'!$C$1:$CF$293,97,FALSE)</f>
        <v>#N/A</v>
      </c>
      <c r="F153" s="476"/>
      <c r="G153" s="500">
        <f>IF(F153&lt;0,"Error: Enter as positive.",)</f>
        <v>0</v>
      </c>
      <c r="H153" s="43"/>
      <c r="I153" s="223"/>
    </row>
    <row r="154" spans="1:14" ht="18.75" x14ac:dyDescent="0.25">
      <c r="A154" s="123"/>
      <c r="B154" s="782" t="s">
        <v>6</v>
      </c>
      <c r="C154" s="783"/>
      <c r="D154" s="783"/>
      <c r="E154" s="111"/>
      <c r="F154" s="600"/>
      <c r="G154" s="458"/>
      <c r="H154" s="43"/>
      <c r="I154" s="223"/>
    </row>
    <row r="155" spans="1:14" ht="53.25" customHeight="1" x14ac:dyDescent="0.25">
      <c r="A155" s="317">
        <v>55</v>
      </c>
      <c r="B155" s="786" t="s">
        <v>61</v>
      </c>
      <c r="C155" s="809" t="s">
        <v>1187</v>
      </c>
      <c r="D155" s="103" t="s">
        <v>1188</v>
      </c>
      <c r="E155" s="588" t="e">
        <f>HLOOKUP($D$2,'2019 Data(H)'!$C$1:$CF$293,42,FALSE)</f>
        <v>#N/A</v>
      </c>
      <c r="F155" s="476"/>
      <c r="G155" s="472"/>
      <c r="H155" s="43"/>
      <c r="I155" s="223"/>
    </row>
    <row r="156" spans="1:14" ht="53.25" customHeight="1" x14ac:dyDescent="0.25">
      <c r="A156" s="317">
        <v>101</v>
      </c>
      <c r="B156" s="786" t="s">
        <v>67</v>
      </c>
      <c r="C156" s="809" t="s">
        <v>1187</v>
      </c>
      <c r="D156" s="103" t="s">
        <v>1189</v>
      </c>
      <c r="E156" s="588" t="e">
        <f>HLOOKUP($D$2,'2019 Data(H)'!$C$1:$CF$293,61,FALSE)</f>
        <v>#N/A</v>
      </c>
      <c r="F156" s="476"/>
      <c r="G156" s="500">
        <f>IF(F156&lt;0,"Error: Enter as positive.",)</f>
        <v>0</v>
      </c>
      <c r="H156" s="43"/>
      <c r="I156" s="223"/>
    </row>
    <row r="157" spans="1:14" ht="53.25" customHeight="1" x14ac:dyDescent="0.25">
      <c r="A157" s="317">
        <v>100</v>
      </c>
      <c r="B157" s="786" t="s">
        <v>68</v>
      </c>
      <c r="C157" s="809" t="s">
        <v>1187</v>
      </c>
      <c r="D157" s="103" t="s">
        <v>1186</v>
      </c>
      <c r="E157" s="588" t="e">
        <f>HLOOKUP($D$2,'2019 Data(H)'!$C$1:$CF$293,60,FALSE)</f>
        <v>#N/A</v>
      </c>
      <c r="F157" s="476"/>
      <c r="G157" s="500">
        <f>IF(F157&lt;0,"Error: Enter as positive.",)</f>
        <v>0</v>
      </c>
      <c r="H157" s="43"/>
      <c r="I157" s="223"/>
    </row>
    <row r="158" spans="1:14" ht="18.75" x14ac:dyDescent="0.25">
      <c r="A158" s="123"/>
      <c r="B158" s="799" t="s">
        <v>73</v>
      </c>
      <c r="C158" s="106"/>
      <c r="D158" s="111"/>
      <c r="E158" s="111"/>
      <c r="F158" s="602"/>
      <c r="G158" s="471"/>
      <c r="H158" s="43"/>
      <c r="I158" s="223"/>
      <c r="J158" s="772"/>
    </row>
    <row r="159" spans="1:14" ht="60" x14ac:dyDescent="0.25">
      <c r="A159" s="317">
        <v>512</v>
      </c>
      <c r="B159" s="810"/>
      <c r="C159" s="809" t="s">
        <v>168</v>
      </c>
      <c r="D159" s="103" t="s">
        <v>1190</v>
      </c>
      <c r="E159" s="588" t="e">
        <f>HLOOKUP($D$2,'2019 Data(H)'!$C$1:$CF$293,162,FALSE)</f>
        <v>#N/A</v>
      </c>
      <c r="F159" s="476"/>
      <c r="G159" s="500">
        <f>IF(F159&lt;0,"Error: Enter as positive.",)</f>
        <v>0</v>
      </c>
      <c r="H159" s="43"/>
      <c r="I159" s="223"/>
      <c r="J159" s="772"/>
    </row>
    <row r="160" spans="1:14" x14ac:dyDescent="0.25">
      <c r="A160" s="317"/>
      <c r="B160" s="782" t="s">
        <v>885</v>
      </c>
      <c r="C160" s="783"/>
      <c r="D160" s="268"/>
      <c r="E160" s="108"/>
      <c r="F160" s="602"/>
      <c r="G160" s="471"/>
      <c r="H160" s="770"/>
      <c r="I160" s="771"/>
    </row>
    <row r="161" spans="1:10" ht="64.5" customHeight="1" x14ac:dyDescent="0.25">
      <c r="A161" s="358">
        <v>656</v>
      </c>
      <c r="B161" s="358"/>
      <c r="C161" s="358"/>
      <c r="D161" s="800" t="s">
        <v>886</v>
      </c>
      <c r="E161" s="357" t="s">
        <v>735</v>
      </c>
      <c r="F161" s="476"/>
      <c r="G161" s="360"/>
      <c r="H161" s="43"/>
      <c r="I161" s="223"/>
      <c r="J161" s="772"/>
    </row>
    <row r="162" spans="1:10" ht="28.5" customHeight="1" x14ac:dyDescent="0.25">
      <c r="A162" s="317"/>
      <c r="B162" s="782" t="s">
        <v>533</v>
      </c>
      <c r="C162" s="783"/>
      <c r="D162" s="268"/>
      <c r="E162" s="108"/>
      <c r="F162" s="602"/>
      <c r="G162" s="471"/>
      <c r="H162" s="770"/>
      <c r="I162" s="771"/>
    </row>
    <row r="163" spans="1:10" ht="87" customHeight="1" x14ac:dyDescent="0.25">
      <c r="A163" s="317">
        <v>535</v>
      </c>
      <c r="B163" s="769" t="s">
        <v>57</v>
      </c>
      <c r="C163" s="769" t="s">
        <v>169</v>
      </c>
      <c r="D163" s="103" t="s">
        <v>1191</v>
      </c>
      <c r="E163" s="588" t="e">
        <f>HLOOKUP($D$2,'2019 Data(H)'!$C$1:$CF$293,185,FALSE)</f>
        <v>#N/A</v>
      </c>
      <c r="F163" s="476"/>
      <c r="G163" s="500" t="str">
        <f>IF(F163&lt;1,"Reminder: Please make sure you have entered all cash and investments from bond/Debt proceeds, if applicable.",)</f>
        <v>Reminder: Please make sure you have entered all cash and investments from bond/Debt proceeds, if applicable.</v>
      </c>
      <c r="H163" s="770"/>
      <c r="I163" s="771"/>
    </row>
    <row r="164" spans="1:10" ht="18.75" x14ac:dyDescent="0.3">
      <c r="A164" s="123"/>
      <c r="B164" s="782" t="s">
        <v>30</v>
      </c>
      <c r="C164" s="783"/>
      <c r="D164" s="112"/>
      <c r="E164" s="112"/>
      <c r="F164" s="600"/>
      <c r="G164" s="455"/>
      <c r="H164" s="43"/>
      <c r="I164" s="223"/>
    </row>
    <row r="165" spans="1:10" ht="37.5" x14ac:dyDescent="0.3">
      <c r="A165" s="123"/>
      <c r="B165" s="810"/>
      <c r="C165" s="810"/>
      <c r="D165" s="113" t="s">
        <v>2</v>
      </c>
      <c r="E165" s="5"/>
      <c r="F165" s="603"/>
      <c r="G165" s="472"/>
      <c r="H165" s="43"/>
      <c r="I165" s="223"/>
    </row>
    <row r="166" spans="1:10" ht="36" customHeight="1" x14ac:dyDescent="0.25">
      <c r="A166" s="123"/>
      <c r="B166" s="810"/>
      <c r="C166" s="810"/>
      <c r="D166" s="811" t="s">
        <v>1192</v>
      </c>
      <c r="E166" s="5"/>
      <c r="F166" s="603"/>
      <c r="G166" s="472"/>
      <c r="H166" s="43"/>
      <c r="I166" s="223"/>
    </row>
    <row r="167" spans="1:10" ht="35.25" customHeight="1" x14ac:dyDescent="0.25">
      <c r="A167" s="317">
        <v>334</v>
      </c>
      <c r="B167" s="774" t="s">
        <v>58</v>
      </c>
      <c r="C167" s="812" t="s">
        <v>176</v>
      </c>
      <c r="D167" s="103" t="s">
        <v>1193</v>
      </c>
      <c r="E167" s="588" t="e">
        <f>HLOOKUP($D$2,'2019 Data(H)'!$C$1:$CF$293,100,FALSE)</f>
        <v>#N/A</v>
      </c>
      <c r="F167" s="476"/>
      <c r="G167" s="472"/>
      <c r="H167" s="43"/>
      <c r="I167" s="223"/>
    </row>
    <row r="168" spans="1:10" ht="35.25" customHeight="1" x14ac:dyDescent="0.25">
      <c r="A168" s="317">
        <v>373</v>
      </c>
      <c r="B168" s="774" t="s">
        <v>58</v>
      </c>
      <c r="C168" s="812" t="s">
        <v>176</v>
      </c>
      <c r="D168" s="117" t="s">
        <v>175</v>
      </c>
      <c r="E168" s="588" t="e">
        <f>HLOOKUP($D$2,'2019 Data(H)'!$C$1:$CF$293,133,FALSE)</f>
        <v>#N/A</v>
      </c>
      <c r="F168" s="476"/>
      <c r="G168" s="500">
        <f>IF(F168&lt;0,"Error: Enter as positive.",)</f>
        <v>0</v>
      </c>
      <c r="H168" s="43"/>
      <c r="I168" s="223"/>
    </row>
    <row r="169" spans="1:10" ht="18.75" x14ac:dyDescent="0.3">
      <c r="A169" s="123"/>
      <c r="B169" s="813"/>
      <c r="C169" s="813"/>
      <c r="D169" s="114"/>
      <c r="E169" s="8"/>
      <c r="F169" s="604"/>
      <c r="G169" s="472"/>
      <c r="H169" s="43"/>
      <c r="I169" s="223"/>
    </row>
    <row r="170" spans="1:10" ht="85.5" customHeight="1" x14ac:dyDescent="0.25">
      <c r="A170" s="123"/>
      <c r="B170" s="810"/>
      <c r="C170" s="814"/>
      <c r="D170" s="116" t="s">
        <v>1194</v>
      </c>
      <c r="E170" s="5"/>
      <c r="F170" s="603"/>
      <c r="G170" s="472"/>
      <c r="H170" s="43"/>
      <c r="I170" s="223"/>
    </row>
    <row r="171" spans="1:10" ht="30" x14ac:dyDescent="0.25">
      <c r="A171" s="123"/>
      <c r="B171" s="810"/>
      <c r="C171" s="814"/>
      <c r="D171" s="103" t="s">
        <v>1195</v>
      </c>
      <c r="E171" s="5"/>
      <c r="F171" s="603"/>
      <c r="G171" s="472"/>
      <c r="H171" s="43"/>
      <c r="I171" s="223"/>
    </row>
    <row r="172" spans="1:10" ht="48.75" customHeight="1" x14ac:dyDescent="0.25">
      <c r="A172" s="317">
        <v>327</v>
      </c>
      <c r="B172" s="768" t="s">
        <v>38</v>
      </c>
      <c r="C172" s="790" t="s">
        <v>177</v>
      </c>
      <c r="D172" s="815" t="s">
        <v>1196</v>
      </c>
      <c r="E172" s="588" t="e">
        <f>HLOOKUP($D$2,'2019 Data(H)'!$C$1:$CF$293,94,FALSE)</f>
        <v>#N/A</v>
      </c>
      <c r="F172" s="605"/>
      <c r="G172" s="472"/>
      <c r="H172" s="43"/>
      <c r="I172" s="771"/>
    </row>
    <row r="173" spans="1:10" ht="48.75" customHeight="1" x14ac:dyDescent="0.25">
      <c r="A173" s="317">
        <v>328</v>
      </c>
      <c r="B173" s="768" t="s">
        <v>38</v>
      </c>
      <c r="C173" s="790" t="s">
        <v>177</v>
      </c>
      <c r="D173" s="118" t="s">
        <v>7</v>
      </c>
      <c r="E173" s="588" t="e">
        <f>HLOOKUP($D$2,'2019 Data(H)'!$C$1:$CF$293,95,FALSE)</f>
        <v>#N/A</v>
      </c>
      <c r="F173" s="605"/>
      <c r="G173" s="472"/>
      <c r="H173" s="43"/>
      <c r="I173" s="771"/>
    </row>
    <row r="174" spans="1:10" ht="30" x14ac:dyDescent="0.25">
      <c r="A174" s="123"/>
      <c r="B174" s="810"/>
      <c r="C174" s="814"/>
      <c r="D174" s="119" t="s">
        <v>1197</v>
      </c>
      <c r="E174" s="286" t="e">
        <f>SUM(E172:E173)</f>
        <v>#N/A</v>
      </c>
      <c r="F174" s="286">
        <f>SUM(F172:F173)</f>
        <v>0</v>
      </c>
      <c r="G174" s="472"/>
      <c r="H174" s="43"/>
      <c r="I174" s="223"/>
    </row>
    <row r="175" spans="1:10" ht="30" x14ac:dyDescent="0.25">
      <c r="A175" s="123"/>
      <c r="B175" s="810"/>
      <c r="C175" s="814"/>
      <c r="D175" s="103" t="s">
        <v>1198</v>
      </c>
      <c r="E175" s="5"/>
      <c r="F175" s="603"/>
      <c r="G175" s="472"/>
      <c r="H175" s="43"/>
      <c r="I175" s="223"/>
    </row>
    <row r="176" spans="1:10" x14ac:dyDescent="0.25">
      <c r="A176" s="123"/>
      <c r="B176" s="810"/>
      <c r="C176" s="814"/>
      <c r="D176" s="115" t="s">
        <v>9</v>
      </c>
      <c r="F176" s="816"/>
      <c r="G176" s="472"/>
      <c r="H176" s="43"/>
      <c r="I176" s="223"/>
    </row>
    <row r="177" spans="1:9" ht="45.75" customHeight="1" x14ac:dyDescent="0.25">
      <c r="A177" s="317">
        <v>515</v>
      </c>
      <c r="B177" s="768" t="s">
        <v>529</v>
      </c>
      <c r="C177" s="790" t="s">
        <v>178</v>
      </c>
      <c r="D177" s="120" t="s">
        <v>3</v>
      </c>
      <c r="E177" s="588" t="e">
        <f>HLOOKUP($D$2,'2019 Data(H)'!$C$1:$CF$293,165,FALSE)</f>
        <v>#N/A</v>
      </c>
      <c r="F177" s="476"/>
      <c r="G177" s="500"/>
      <c r="H177" s="43"/>
      <c r="I177" s="223"/>
    </row>
    <row r="178" spans="1:9" ht="45.75" customHeight="1" x14ac:dyDescent="0.25">
      <c r="A178" s="317">
        <v>516</v>
      </c>
      <c r="B178" s="768" t="s">
        <v>529</v>
      </c>
      <c r="C178" s="790" t="s">
        <v>178</v>
      </c>
      <c r="D178" s="120" t="s">
        <v>4</v>
      </c>
      <c r="E178" s="588" t="e">
        <f>HLOOKUP($D$2,'2019 Data(H)'!$C$1:$CF$293,166,FALSE)</f>
        <v>#N/A</v>
      </c>
      <c r="F178" s="476"/>
      <c r="G178" s="500"/>
      <c r="H178" s="43"/>
      <c r="I178" s="223"/>
    </row>
    <row r="179" spans="1:9" ht="45.75" customHeight="1" x14ac:dyDescent="0.25">
      <c r="A179" s="317">
        <v>517</v>
      </c>
      <c r="B179" s="768" t="s">
        <v>529</v>
      </c>
      <c r="C179" s="790" t="s">
        <v>178</v>
      </c>
      <c r="D179" s="120" t="s">
        <v>5</v>
      </c>
      <c r="E179" s="588" t="e">
        <f>HLOOKUP($D$2,'2019 Data(H)'!$C$1:$CF$293,167,FALSE)</f>
        <v>#N/A</v>
      </c>
      <c r="F179" s="476"/>
      <c r="G179" s="500"/>
      <c r="H179" s="43"/>
      <c r="I179" s="223"/>
    </row>
    <row r="180" spans="1:9" ht="45.75" customHeight="1" x14ac:dyDescent="0.25">
      <c r="A180" s="317">
        <v>518</v>
      </c>
      <c r="B180" s="768" t="s">
        <v>529</v>
      </c>
      <c r="C180" s="790" t="s">
        <v>178</v>
      </c>
      <c r="D180" s="120" t="s">
        <v>40</v>
      </c>
      <c r="E180" s="588" t="e">
        <f>HLOOKUP($D$2,'2019 Data(H)'!$C$1:$CF$293,168,FALSE)</f>
        <v>#N/A</v>
      </c>
      <c r="F180" s="476"/>
      <c r="G180" s="500"/>
      <c r="H180" s="43"/>
      <c r="I180" s="223"/>
    </row>
    <row r="181" spans="1:9" ht="30" x14ac:dyDescent="0.25">
      <c r="A181" s="756"/>
      <c r="B181" s="810"/>
      <c r="C181" s="817"/>
      <c r="D181" s="818" t="s">
        <v>1199</v>
      </c>
      <c r="E181" s="286" t="e">
        <f>SUM(E177:E180)</f>
        <v>#N/A</v>
      </c>
      <c r="F181" s="286">
        <f>SUM(F177:F180)</f>
        <v>0</v>
      </c>
      <c r="G181" s="472"/>
      <c r="H181" s="43"/>
      <c r="I181" s="223"/>
    </row>
    <row r="182" spans="1:9" ht="39.75" customHeight="1" x14ac:dyDescent="0.25">
      <c r="A182" s="123"/>
      <c r="B182" s="810"/>
      <c r="C182" s="817"/>
      <c r="D182" s="115" t="s">
        <v>50</v>
      </c>
      <c r="E182" s="5"/>
      <c r="F182" s="603"/>
      <c r="G182" s="472"/>
      <c r="H182" s="43"/>
      <c r="I182" s="223"/>
    </row>
    <row r="183" spans="1:9" ht="45" customHeight="1" x14ac:dyDescent="0.25">
      <c r="A183" s="317">
        <v>519</v>
      </c>
      <c r="B183" s="768" t="s">
        <v>38</v>
      </c>
      <c r="C183" s="790" t="s">
        <v>179</v>
      </c>
      <c r="D183" s="120" t="s">
        <v>15</v>
      </c>
      <c r="E183" s="588" t="e">
        <f>HLOOKUP($D$2,'2019 Data(H)'!$C$1:$CF$293,169,FALSE)</f>
        <v>#N/A</v>
      </c>
      <c r="F183" s="476"/>
      <c r="G183" s="500">
        <f>IF(F183&lt;0,"Error: Enter as positive.",)</f>
        <v>0</v>
      </c>
      <c r="H183" s="43"/>
      <c r="I183" s="223"/>
    </row>
    <row r="184" spans="1:9" ht="45" customHeight="1" x14ac:dyDescent="0.25">
      <c r="A184" s="317">
        <v>520</v>
      </c>
      <c r="B184" s="768" t="s">
        <v>38</v>
      </c>
      <c r="C184" s="790" t="s">
        <v>179</v>
      </c>
      <c r="D184" s="120" t="s">
        <v>17</v>
      </c>
      <c r="E184" s="588" t="e">
        <f>HLOOKUP($D$2,'2019 Data(H)'!$C$1:$CF$293,170,FALSE)</f>
        <v>#N/A</v>
      </c>
      <c r="F184" s="476"/>
      <c r="G184" s="500">
        <f>IF(F184&lt;0,"Error: Enter as positive.",)</f>
        <v>0</v>
      </c>
      <c r="H184" s="43"/>
      <c r="I184" s="223"/>
    </row>
    <row r="185" spans="1:9" ht="45" customHeight="1" x14ac:dyDescent="0.25">
      <c r="A185" s="317">
        <v>521</v>
      </c>
      <c r="B185" s="768" t="s">
        <v>38</v>
      </c>
      <c r="C185" s="790" t="s">
        <v>179</v>
      </c>
      <c r="D185" s="120" t="s">
        <v>19</v>
      </c>
      <c r="E185" s="588" t="e">
        <f>HLOOKUP($D$2,'2019 Data(H)'!$C$1:$CF$293,171,FALSE)</f>
        <v>#N/A</v>
      </c>
      <c r="F185" s="476"/>
      <c r="G185" s="500">
        <f>IF(F185&lt;0,"Error: Enter as positive.",)</f>
        <v>0</v>
      </c>
      <c r="H185" s="43"/>
      <c r="I185" s="223"/>
    </row>
    <row r="186" spans="1:9" ht="45" customHeight="1" x14ac:dyDescent="0.25">
      <c r="A186" s="317">
        <v>522</v>
      </c>
      <c r="B186" s="768" t="s">
        <v>38</v>
      </c>
      <c r="C186" s="790" t="s">
        <v>179</v>
      </c>
      <c r="D186" s="120" t="s">
        <v>41</v>
      </c>
      <c r="E186" s="588" t="e">
        <f>HLOOKUP($D$2,'2019 Data(H)'!$C$1:$CF$293,172,FALSE)</f>
        <v>#N/A</v>
      </c>
      <c r="F186" s="476"/>
      <c r="G186" s="500">
        <f>IF(F186&lt;0,"Error: Enter as positive.",)</f>
        <v>0</v>
      </c>
      <c r="H186" s="43"/>
      <c r="I186" s="223"/>
    </row>
    <row r="187" spans="1:9" x14ac:dyDescent="0.25">
      <c r="A187" s="18"/>
      <c r="B187" s="810"/>
      <c r="C187" s="817"/>
      <c r="D187" s="819" t="s">
        <v>35</v>
      </c>
      <c r="E187" s="286" t="e">
        <f>SUM(E183:E186)</f>
        <v>#N/A</v>
      </c>
      <c r="F187" s="286">
        <f>SUM(F183:F186)</f>
        <v>0</v>
      </c>
      <c r="G187" s="459"/>
      <c r="H187" s="43"/>
      <c r="I187" s="223"/>
    </row>
    <row r="188" spans="1:9" x14ac:dyDescent="0.25">
      <c r="A188" s="18"/>
      <c r="B188" s="810"/>
      <c r="C188" s="817"/>
      <c r="D188" s="115" t="s">
        <v>33</v>
      </c>
      <c r="E188" s="18"/>
      <c r="F188" s="820"/>
      <c r="G188" s="459"/>
      <c r="H188" s="43"/>
      <c r="I188" s="223"/>
    </row>
    <row r="189" spans="1:9" ht="54.75" customHeight="1" x14ac:dyDescent="0.25">
      <c r="A189" s="317">
        <v>523</v>
      </c>
      <c r="B189" s="768" t="s">
        <v>529</v>
      </c>
      <c r="C189" s="790" t="s">
        <v>180</v>
      </c>
      <c r="D189" s="120" t="s">
        <v>16</v>
      </c>
      <c r="E189" s="588" t="e">
        <f>HLOOKUP($D$2,'2019 Data(H)'!$C$1:$CF$293,173,FALSE)</f>
        <v>#N/A</v>
      </c>
      <c r="F189" s="476"/>
      <c r="G189" s="500">
        <f>IF(F189&lt;0,"Error: Enter as positive.",)</f>
        <v>0</v>
      </c>
      <c r="H189" s="43"/>
      <c r="I189" s="223"/>
    </row>
    <row r="190" spans="1:9" ht="54.75" customHeight="1" x14ac:dyDescent="0.25">
      <c r="A190" s="317">
        <v>524</v>
      </c>
      <c r="B190" s="768" t="s">
        <v>529</v>
      </c>
      <c r="C190" s="790" t="s">
        <v>180</v>
      </c>
      <c r="D190" s="120" t="s">
        <v>18</v>
      </c>
      <c r="E190" s="588" t="e">
        <f>HLOOKUP($D$2,'2019 Data(H)'!$C$1:$CF$293,174,FALSE)</f>
        <v>#N/A</v>
      </c>
      <c r="F190" s="476"/>
      <c r="G190" s="500">
        <f>IF(F190&lt;0,"Error: Enter as positive.",)</f>
        <v>0</v>
      </c>
      <c r="H190" s="43"/>
      <c r="I190" s="223"/>
    </row>
    <row r="191" spans="1:9" ht="54.75" customHeight="1" x14ac:dyDescent="0.25">
      <c r="A191" s="317">
        <v>525</v>
      </c>
      <c r="B191" s="768" t="s">
        <v>529</v>
      </c>
      <c r="C191" s="790" t="s">
        <v>180</v>
      </c>
      <c r="D191" s="120" t="s">
        <v>20</v>
      </c>
      <c r="E191" s="588" t="e">
        <f>HLOOKUP($D$2,'2019 Data(H)'!$C$1:$CF$293,175,FALSE)</f>
        <v>#N/A</v>
      </c>
      <c r="F191" s="476"/>
      <c r="G191" s="500">
        <f>IF(F191&lt;0,"Error: Enter as positive.",)</f>
        <v>0</v>
      </c>
      <c r="H191" s="43"/>
      <c r="I191" s="223"/>
    </row>
    <row r="192" spans="1:9" ht="54.75" customHeight="1" x14ac:dyDescent="0.25">
      <c r="A192" s="317">
        <v>526</v>
      </c>
      <c r="B192" s="768" t="s">
        <v>529</v>
      </c>
      <c r="C192" s="790" t="s">
        <v>180</v>
      </c>
      <c r="D192" s="120" t="s">
        <v>42</v>
      </c>
      <c r="E192" s="588" t="e">
        <f>HLOOKUP($D$2,'2019 Data(H)'!$C$1:$CF$293,176,FALSE)</f>
        <v>#N/A</v>
      </c>
      <c r="F192" s="476"/>
      <c r="G192" s="500">
        <f>IF(F192&lt;0,"Error: Enter as positive.",)</f>
        <v>0</v>
      </c>
      <c r="H192" s="43"/>
      <c r="I192" s="223"/>
    </row>
    <row r="193" spans="1:1881" ht="25.5" customHeight="1" x14ac:dyDescent="0.25">
      <c r="A193" s="317"/>
      <c r="B193" s="821"/>
      <c r="C193" s="821"/>
      <c r="D193" s="819" t="s">
        <v>34</v>
      </c>
      <c r="E193" s="286" t="e">
        <f>SUM(E189:E192)</f>
        <v>#N/A</v>
      </c>
      <c r="F193" s="286">
        <f>SUM(F189:F192)</f>
        <v>0</v>
      </c>
      <c r="G193" s="472"/>
      <c r="H193" s="43"/>
      <c r="I193" s="223"/>
    </row>
    <row r="194" spans="1:1881" ht="28.5" customHeight="1" x14ac:dyDescent="0.25">
      <c r="A194" s="123"/>
      <c r="B194" s="821"/>
      <c r="C194" s="821"/>
      <c r="D194" s="822" t="s">
        <v>36</v>
      </c>
      <c r="E194" s="286" t="e">
        <f>E174+E181-E193</f>
        <v>#N/A</v>
      </c>
      <c r="F194" s="286">
        <f>F174+F181-F193</f>
        <v>0</v>
      </c>
      <c r="G194" s="472"/>
      <c r="H194" s="43"/>
      <c r="I194" s="223"/>
      <c r="J194" s="772"/>
    </row>
    <row r="195" spans="1:1881" ht="70.5" customHeight="1" x14ac:dyDescent="0.3">
      <c r="A195" s="123"/>
      <c r="B195" s="813"/>
      <c r="C195" s="813"/>
      <c r="D195" s="114"/>
      <c r="E195" s="8"/>
      <c r="F195" s="604"/>
      <c r="G195" s="472"/>
      <c r="H195" s="43"/>
      <c r="I195" s="223"/>
      <c r="J195" s="772"/>
    </row>
    <row r="196" spans="1:1881" ht="48.75" customHeight="1" x14ac:dyDescent="0.25">
      <c r="A196" s="123"/>
      <c r="B196" s="810"/>
      <c r="C196" s="810"/>
      <c r="D196" s="116" t="s">
        <v>8</v>
      </c>
      <c r="E196" s="5"/>
      <c r="F196" s="603"/>
      <c r="G196" s="472"/>
      <c r="H196" s="43"/>
      <c r="I196" s="223"/>
    </row>
    <row r="197" spans="1:1881" ht="63.75" customHeight="1" x14ac:dyDescent="0.25">
      <c r="A197" s="317">
        <v>527</v>
      </c>
      <c r="B197" s="768" t="s">
        <v>60</v>
      </c>
      <c r="C197" s="769" t="s">
        <v>181</v>
      </c>
      <c r="D197" s="117" t="s">
        <v>1200</v>
      </c>
      <c r="E197" s="588" t="e">
        <f>HLOOKUP($D$2,'2019 Data(H)'!$C$1:$CF$293,177,FALSE)</f>
        <v>#N/A</v>
      </c>
      <c r="F197" s="476"/>
      <c r="G197" s="472"/>
      <c r="H197" s="43"/>
      <c r="I197" s="771"/>
    </row>
    <row r="198" spans="1:1881" ht="49.5" customHeight="1" x14ac:dyDescent="0.25">
      <c r="A198" s="317">
        <v>356</v>
      </c>
      <c r="B198" s="768" t="s">
        <v>68</v>
      </c>
      <c r="C198" s="769" t="s">
        <v>181</v>
      </c>
      <c r="D198" s="316" t="s">
        <v>21</v>
      </c>
      <c r="E198" s="588" t="e">
        <f>HLOOKUP($D$2,'2019 Data(H)'!$C$1:$CF$293,118,FALSE)</f>
        <v>#N/A</v>
      </c>
      <c r="F198" s="476"/>
      <c r="G198" s="472"/>
      <c r="H198" s="43"/>
      <c r="I198" s="771"/>
    </row>
    <row r="199" spans="1:1881" ht="57" customHeight="1" x14ac:dyDescent="0.25">
      <c r="A199" s="317">
        <v>357</v>
      </c>
      <c r="B199" s="768" t="s">
        <v>58</v>
      </c>
      <c r="C199" s="769" t="s">
        <v>182</v>
      </c>
      <c r="D199" s="316" t="s">
        <v>22</v>
      </c>
      <c r="E199" s="588" t="e">
        <f>HLOOKUP($D$2,'2019 Data(H)'!$C$1:$CF$293,119,FALSE)</f>
        <v>#N/A</v>
      </c>
      <c r="F199" s="476"/>
      <c r="G199" s="500">
        <f>IF(F199&lt;0,"Error: Enter as positive.",)</f>
        <v>0</v>
      </c>
      <c r="H199" s="43"/>
      <c r="I199" s="771"/>
    </row>
    <row r="200" spans="1:1881" s="44" customFormat="1" ht="35.25" customHeight="1" x14ac:dyDescent="0.3">
      <c r="A200" s="123"/>
      <c r="B200" s="782" t="s">
        <v>10</v>
      </c>
      <c r="C200" s="783"/>
      <c r="D200" s="111"/>
      <c r="E200" s="112"/>
      <c r="F200" s="600"/>
      <c r="G200" s="455"/>
      <c r="H200" s="43"/>
      <c r="I200" s="223"/>
      <c r="N200" s="756"/>
    </row>
    <row r="201" spans="1:1881" s="44" customFormat="1" ht="253.5" customHeight="1" x14ac:dyDescent="0.25">
      <c r="A201" s="317">
        <v>337</v>
      </c>
      <c r="B201" s="774" t="s">
        <v>58</v>
      </c>
      <c r="C201" s="786" t="s">
        <v>1201</v>
      </c>
      <c r="D201" s="103" t="s">
        <v>1202</v>
      </c>
      <c r="E201" s="588" t="e">
        <f>HLOOKUP($D$2,'2019 Data(H)'!$C$1:$CF$293,103,FALSE)</f>
        <v>#N/A</v>
      </c>
      <c r="F201" s="476"/>
      <c r="G201" s="500">
        <f>IF(F201&lt;0,"Error: Enter as positive.",)</f>
        <v>0</v>
      </c>
      <c r="H201" s="43"/>
      <c r="I201" s="223"/>
      <c r="N201" s="756"/>
    </row>
    <row r="202" spans="1:1881" s="44" customFormat="1" ht="53.25" customHeight="1" x14ac:dyDescent="0.25">
      <c r="A202" s="317">
        <v>343</v>
      </c>
      <c r="B202" s="774" t="s">
        <v>58</v>
      </c>
      <c r="C202" s="786" t="s">
        <v>682</v>
      </c>
      <c r="D202" s="117" t="s">
        <v>1203</v>
      </c>
      <c r="E202" s="588" t="e">
        <f>HLOOKUP($D$2,'2019 Data(H)'!$C$1:$CF$293,109,FALSE)</f>
        <v>#N/A</v>
      </c>
      <c r="F202" s="476"/>
      <c r="G202" s="500">
        <f>IF(F202&lt;0,"Error: Enter as positive.",)</f>
        <v>0</v>
      </c>
      <c r="H202" s="43"/>
      <c r="I202" s="223"/>
      <c r="M202" s="273"/>
      <c r="N202" s="756"/>
    </row>
    <row r="203" spans="1:1881" ht="249" customHeight="1" x14ac:dyDescent="0.25">
      <c r="A203" s="317">
        <v>82</v>
      </c>
      <c r="B203" s="774" t="s">
        <v>63</v>
      </c>
      <c r="C203" s="786" t="s">
        <v>1204</v>
      </c>
      <c r="D203" s="103" t="s">
        <v>1202</v>
      </c>
      <c r="E203" s="588" t="e">
        <f>HLOOKUP($D$2,'2019 Data(H)'!$C$1:$CF$293,46,FALSE)</f>
        <v>#N/A</v>
      </c>
      <c r="F203" s="476"/>
      <c r="G203" s="500">
        <f>IF(F203&lt;0,"Error: Enter as positive.",)</f>
        <v>0</v>
      </c>
      <c r="H203" s="43"/>
      <c r="I203" s="823"/>
    </row>
    <row r="204" spans="1:1881" ht="258.75" customHeight="1" x14ac:dyDescent="0.25">
      <c r="A204" s="317">
        <v>359</v>
      </c>
      <c r="B204" s="774" t="s">
        <v>58</v>
      </c>
      <c r="C204" s="786" t="s">
        <v>1205</v>
      </c>
      <c r="D204" s="103" t="s">
        <v>1202</v>
      </c>
      <c r="E204" s="588" t="e">
        <f>HLOOKUP($D$2,'2019 Data(H)'!$C$1:$CF$293,120,FALSE)</f>
        <v>#N/A</v>
      </c>
      <c r="F204" s="476"/>
      <c r="G204" s="500">
        <f>IF(F204&lt;0,"Error: Enter as positive.",)</f>
        <v>0</v>
      </c>
      <c r="H204" s="43"/>
      <c r="I204" s="823"/>
      <c r="J204" s="772"/>
      <c r="L204" s="272" t="str">
        <f>IF(ISBLANK(K202),"",IF(ISBLANK(K203),"",IF(K204=M204,"","Please review percentage")))</f>
        <v/>
      </c>
    </row>
    <row r="205" spans="1:1881" s="825" customFormat="1" ht="33" customHeight="1" x14ac:dyDescent="0.25">
      <c r="A205" s="317"/>
      <c r="B205" s="782" t="s">
        <v>722</v>
      </c>
      <c r="C205" s="783"/>
      <c r="D205" s="268"/>
      <c r="E205" s="824"/>
      <c r="F205" s="807"/>
      <c r="G205" s="451"/>
      <c r="H205" s="43"/>
      <c r="I205" s="823"/>
      <c r="J205" s="44"/>
      <c r="K205" s="44"/>
      <c r="L205" s="44"/>
      <c r="M205" s="44"/>
      <c r="N205" s="756"/>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O205" s="44"/>
      <c r="GP205" s="44"/>
      <c r="GQ205" s="44"/>
      <c r="GR205" s="44"/>
      <c r="GS205" s="44"/>
      <c r="GT205" s="44"/>
      <c r="GU205" s="44"/>
      <c r="GV205" s="44"/>
      <c r="GW205" s="44"/>
      <c r="GX205" s="44"/>
      <c r="GY205" s="44"/>
      <c r="GZ205" s="44"/>
      <c r="HA205" s="44"/>
      <c r="HB205" s="44"/>
      <c r="HC205" s="44"/>
      <c r="HD205" s="44"/>
      <c r="HE205" s="44"/>
      <c r="HF205" s="44"/>
      <c r="HG205" s="44"/>
      <c r="HH205" s="44"/>
      <c r="HI205" s="44"/>
      <c r="HJ205" s="44"/>
      <c r="HK205" s="44"/>
      <c r="HL205" s="44"/>
      <c r="HM205" s="44"/>
      <c r="HN205" s="44"/>
      <c r="HO205" s="44"/>
      <c r="HP205" s="44"/>
      <c r="HQ205" s="44"/>
      <c r="HR205" s="44"/>
      <c r="HS205" s="44"/>
      <c r="HT205" s="44"/>
      <c r="HU205" s="44"/>
      <c r="HV205" s="44"/>
      <c r="HW205" s="44"/>
      <c r="HX205" s="44"/>
      <c r="HY205" s="44"/>
      <c r="HZ205" s="44"/>
      <c r="IA205" s="44"/>
      <c r="IB205" s="44"/>
      <c r="IC205" s="44"/>
      <c r="ID205" s="44"/>
      <c r="IE205" s="44"/>
      <c r="IF205" s="44"/>
      <c r="IG205" s="44"/>
      <c r="IH205" s="44"/>
      <c r="II205" s="44"/>
      <c r="IJ205" s="44"/>
      <c r="IK205" s="44"/>
      <c r="IL205" s="44"/>
      <c r="IM205" s="44"/>
      <c r="IN205" s="44"/>
      <c r="IO205" s="44"/>
      <c r="IP205" s="44"/>
      <c r="IQ205" s="44"/>
      <c r="IR205" s="44"/>
      <c r="IS205" s="44"/>
      <c r="IT205" s="44"/>
      <c r="IU205" s="44"/>
      <c r="IV205" s="44"/>
      <c r="IW205" s="44"/>
      <c r="IX205" s="44"/>
      <c r="IY205" s="44"/>
      <c r="IZ205" s="44"/>
      <c r="JA205" s="44"/>
      <c r="JB205" s="44"/>
      <c r="JC205" s="44"/>
      <c r="JD205" s="44"/>
      <c r="JE205" s="44"/>
      <c r="JF205" s="44"/>
      <c r="JG205" s="44"/>
      <c r="JH205" s="44"/>
      <c r="JI205" s="44"/>
      <c r="JJ205" s="44"/>
      <c r="JK205" s="44"/>
      <c r="JL205" s="44"/>
      <c r="JM205" s="44"/>
      <c r="JN205" s="44"/>
      <c r="JO205" s="44"/>
      <c r="JP205" s="44"/>
      <c r="JQ205" s="44"/>
      <c r="JR205" s="44"/>
      <c r="JS205" s="44"/>
      <c r="JT205" s="44"/>
      <c r="JU205" s="44"/>
      <c r="JV205" s="44"/>
      <c r="JW205" s="44"/>
      <c r="JX205" s="44"/>
      <c r="JY205" s="44"/>
      <c r="JZ205" s="44"/>
      <c r="KA205" s="44"/>
      <c r="KB205" s="44"/>
      <c r="KC205" s="44"/>
      <c r="KD205" s="44"/>
      <c r="KE205" s="44"/>
      <c r="KF205" s="44"/>
      <c r="KG205" s="44"/>
      <c r="KH205" s="44"/>
      <c r="KI205" s="44"/>
      <c r="KJ205" s="44"/>
      <c r="KK205" s="44"/>
      <c r="KL205" s="44"/>
      <c r="KM205" s="44"/>
      <c r="KN205" s="44"/>
      <c r="KO205" s="44"/>
      <c r="KP205" s="44"/>
      <c r="KQ205" s="44"/>
      <c r="KR205" s="44"/>
      <c r="KS205" s="44"/>
      <c r="KT205" s="44"/>
      <c r="KU205" s="44"/>
      <c r="KV205" s="44"/>
      <c r="KW205" s="44"/>
      <c r="KX205" s="44"/>
      <c r="KY205" s="44"/>
      <c r="KZ205" s="44"/>
      <c r="LA205" s="44"/>
      <c r="LB205" s="44"/>
      <c r="LC205" s="44"/>
      <c r="LD205" s="44"/>
      <c r="LE205" s="44"/>
      <c r="LF205" s="44"/>
      <c r="LG205" s="44"/>
      <c r="LH205" s="44"/>
      <c r="LI205" s="44"/>
      <c r="LJ205" s="44"/>
      <c r="LK205" s="44"/>
      <c r="LL205" s="44"/>
      <c r="LM205" s="44"/>
      <c r="LN205" s="44"/>
      <c r="LO205" s="44"/>
      <c r="LP205" s="44"/>
      <c r="LQ205" s="44"/>
      <c r="LR205" s="44"/>
      <c r="LS205" s="44"/>
      <c r="LT205" s="44"/>
      <c r="LU205" s="44"/>
      <c r="LV205" s="44"/>
      <c r="LW205" s="44"/>
      <c r="LX205" s="44"/>
      <c r="LY205" s="44"/>
      <c r="LZ205" s="44"/>
      <c r="MA205" s="44"/>
      <c r="MB205" s="44"/>
      <c r="MC205" s="44"/>
      <c r="MD205" s="44"/>
      <c r="ME205" s="44"/>
      <c r="MF205" s="44"/>
      <c r="MG205" s="44"/>
      <c r="MH205" s="44"/>
      <c r="MI205" s="44"/>
      <c r="MJ205" s="44"/>
      <c r="MK205" s="44"/>
      <c r="ML205" s="44"/>
      <c r="MM205" s="44"/>
      <c r="MN205" s="44"/>
      <c r="MO205" s="44"/>
      <c r="MP205" s="44"/>
      <c r="MQ205" s="44"/>
      <c r="MR205" s="44"/>
      <c r="MS205" s="44"/>
      <c r="MT205" s="44"/>
      <c r="MU205" s="44"/>
      <c r="MV205" s="44"/>
      <c r="MW205" s="44"/>
      <c r="MX205" s="44"/>
      <c r="MY205" s="44"/>
      <c r="MZ205" s="44"/>
      <c r="NA205" s="44"/>
      <c r="NB205" s="44"/>
      <c r="NC205" s="44"/>
      <c r="ND205" s="44"/>
      <c r="NE205" s="44"/>
      <c r="NF205" s="44"/>
      <c r="NG205" s="44"/>
      <c r="NH205" s="44"/>
      <c r="NI205" s="44"/>
      <c r="NJ205" s="44"/>
      <c r="NK205" s="44"/>
      <c r="NL205" s="44"/>
      <c r="NM205" s="44"/>
      <c r="NN205" s="44"/>
      <c r="NO205" s="44"/>
      <c r="NP205" s="44"/>
      <c r="NQ205" s="44"/>
      <c r="NR205" s="44"/>
      <c r="NS205" s="44"/>
      <c r="NT205" s="44"/>
      <c r="NU205" s="44"/>
      <c r="NV205" s="44"/>
      <c r="NW205" s="44"/>
      <c r="NX205" s="44"/>
      <c r="NY205" s="44"/>
      <c r="NZ205" s="44"/>
      <c r="OA205" s="44"/>
      <c r="OB205" s="44"/>
      <c r="OC205" s="44"/>
      <c r="OD205" s="44"/>
      <c r="OE205" s="44"/>
      <c r="OF205" s="44"/>
      <c r="OG205" s="44"/>
      <c r="OH205" s="44"/>
      <c r="OI205" s="44"/>
      <c r="OJ205" s="44"/>
      <c r="OK205" s="44"/>
      <c r="OL205" s="44"/>
      <c r="OM205" s="44"/>
      <c r="ON205" s="44"/>
      <c r="OO205" s="44"/>
      <c r="OP205" s="44"/>
      <c r="OQ205" s="44"/>
      <c r="OR205" s="44"/>
      <c r="OS205" s="44"/>
      <c r="OT205" s="44"/>
      <c r="OU205" s="44"/>
      <c r="OV205" s="44"/>
      <c r="OW205" s="44"/>
      <c r="OX205" s="44"/>
      <c r="OY205" s="44"/>
      <c r="OZ205" s="44"/>
      <c r="PA205" s="44"/>
      <c r="PB205" s="44"/>
      <c r="PC205" s="44"/>
      <c r="PD205" s="44"/>
      <c r="PE205" s="44"/>
      <c r="PF205" s="44"/>
      <c r="PG205" s="44"/>
      <c r="PH205" s="44"/>
      <c r="PI205" s="44"/>
      <c r="PJ205" s="44"/>
      <c r="PK205" s="44"/>
      <c r="PL205" s="44"/>
      <c r="PM205" s="44"/>
      <c r="PN205" s="44"/>
      <c r="PO205" s="44"/>
      <c r="PP205" s="44"/>
      <c r="PQ205" s="44"/>
      <c r="PR205" s="44"/>
      <c r="PS205" s="44"/>
      <c r="PT205" s="44"/>
      <c r="PU205" s="44"/>
      <c r="PV205" s="44"/>
      <c r="PW205" s="44"/>
      <c r="PX205" s="44"/>
      <c r="PY205" s="44"/>
      <c r="PZ205" s="44"/>
      <c r="QA205" s="44"/>
      <c r="QB205" s="44"/>
      <c r="QC205" s="44"/>
      <c r="QD205" s="44"/>
      <c r="QE205" s="44"/>
      <c r="QF205" s="44"/>
      <c r="QG205" s="44"/>
      <c r="QH205" s="44"/>
      <c r="QI205" s="44"/>
      <c r="QJ205" s="44"/>
      <c r="QK205" s="44"/>
      <c r="QL205" s="44"/>
      <c r="QM205" s="44"/>
      <c r="QN205" s="44"/>
      <c r="QO205" s="44"/>
      <c r="QP205" s="44"/>
      <c r="QQ205" s="44"/>
      <c r="QR205" s="44"/>
      <c r="QS205" s="44"/>
      <c r="QT205" s="44"/>
      <c r="QU205" s="44"/>
      <c r="QV205" s="44"/>
      <c r="QW205" s="44"/>
      <c r="QX205" s="44"/>
      <c r="QY205" s="44"/>
      <c r="QZ205" s="44"/>
      <c r="RA205" s="44"/>
      <c r="RB205" s="44"/>
      <c r="RC205" s="44"/>
      <c r="RD205" s="44"/>
      <c r="RE205" s="44"/>
      <c r="RF205" s="44"/>
      <c r="RG205" s="44"/>
      <c r="RH205" s="44"/>
      <c r="RI205" s="44"/>
      <c r="RJ205" s="44"/>
      <c r="RK205" s="44"/>
      <c r="RL205" s="44"/>
      <c r="RM205" s="44"/>
      <c r="RN205" s="44"/>
      <c r="RO205" s="44"/>
      <c r="RP205" s="44"/>
      <c r="RQ205" s="44"/>
      <c r="RR205" s="44"/>
      <c r="RS205" s="44"/>
      <c r="RT205" s="44"/>
      <c r="RU205" s="44"/>
      <c r="RV205" s="44"/>
      <c r="RW205" s="44"/>
      <c r="RX205" s="44"/>
      <c r="RY205" s="44"/>
      <c r="RZ205" s="44"/>
      <c r="SA205" s="44"/>
      <c r="SB205" s="44"/>
      <c r="SC205" s="44"/>
      <c r="SD205" s="44"/>
      <c r="SE205" s="44"/>
      <c r="SF205" s="44"/>
      <c r="SG205" s="44"/>
      <c r="SH205" s="44"/>
      <c r="SI205" s="44"/>
      <c r="SJ205" s="44"/>
      <c r="SK205" s="44"/>
      <c r="SL205" s="44"/>
      <c r="SM205" s="44"/>
      <c r="SN205" s="44"/>
      <c r="SO205" s="44"/>
      <c r="SP205" s="44"/>
      <c r="SQ205" s="44"/>
      <c r="SR205" s="44"/>
      <c r="SS205" s="44"/>
      <c r="ST205" s="44"/>
      <c r="SU205" s="44"/>
      <c r="SV205" s="44"/>
      <c r="SW205" s="44"/>
      <c r="SX205" s="44"/>
      <c r="SY205" s="44"/>
      <c r="SZ205" s="44"/>
      <c r="TA205" s="44"/>
      <c r="TB205" s="44"/>
      <c r="TC205" s="44"/>
      <c r="TD205" s="44"/>
      <c r="TE205" s="44"/>
      <c r="TF205" s="44"/>
      <c r="TG205" s="44"/>
      <c r="TH205" s="44"/>
      <c r="TI205" s="44"/>
      <c r="TJ205" s="44"/>
      <c r="TK205" s="44"/>
      <c r="TL205" s="44"/>
      <c r="TM205" s="44"/>
      <c r="TN205" s="44"/>
      <c r="TO205" s="44"/>
      <c r="TP205" s="44"/>
      <c r="TQ205" s="44"/>
      <c r="TR205" s="44"/>
      <c r="TS205" s="44"/>
      <c r="TT205" s="44"/>
      <c r="TU205" s="44"/>
      <c r="TV205" s="44"/>
      <c r="TW205" s="44"/>
      <c r="TX205" s="44"/>
      <c r="TY205" s="44"/>
      <c r="TZ205" s="44"/>
      <c r="UA205" s="44"/>
      <c r="UB205" s="44"/>
      <c r="UC205" s="44"/>
      <c r="UD205" s="44"/>
      <c r="UE205" s="44"/>
      <c r="UF205" s="44"/>
      <c r="UG205" s="44"/>
      <c r="UH205" s="44"/>
      <c r="UI205" s="44"/>
      <c r="UJ205" s="44"/>
      <c r="UK205" s="44"/>
      <c r="UL205" s="44"/>
      <c r="UM205" s="44"/>
      <c r="UN205" s="44"/>
      <c r="UO205" s="44"/>
      <c r="UP205" s="44"/>
      <c r="UQ205" s="44"/>
      <c r="UR205" s="44"/>
      <c r="US205" s="44"/>
      <c r="UT205" s="44"/>
      <c r="UU205" s="44"/>
      <c r="UV205" s="44"/>
      <c r="UW205" s="44"/>
      <c r="UX205" s="44"/>
      <c r="UY205" s="44"/>
      <c r="UZ205" s="44"/>
      <c r="VA205" s="44"/>
      <c r="VB205" s="44"/>
      <c r="VC205" s="44"/>
      <c r="VD205" s="44"/>
      <c r="VE205" s="44"/>
      <c r="VF205" s="44"/>
      <c r="VG205" s="44"/>
      <c r="VH205" s="44"/>
      <c r="VI205" s="44"/>
      <c r="VJ205" s="44"/>
      <c r="VK205" s="44"/>
      <c r="VL205" s="44"/>
      <c r="VM205" s="44"/>
      <c r="VN205" s="44"/>
      <c r="VO205" s="44"/>
      <c r="VP205" s="44"/>
      <c r="VQ205" s="44"/>
      <c r="VR205" s="44"/>
      <c r="VS205" s="44"/>
      <c r="VT205" s="44"/>
      <c r="VU205" s="44"/>
      <c r="VV205" s="44"/>
      <c r="VW205" s="44"/>
      <c r="VX205" s="44"/>
      <c r="VY205" s="44"/>
      <c r="VZ205" s="44"/>
      <c r="WA205" s="44"/>
      <c r="WB205" s="44"/>
      <c r="WC205" s="44"/>
      <c r="WD205" s="44"/>
      <c r="WE205" s="44"/>
      <c r="WF205" s="44"/>
      <c r="WG205" s="44"/>
      <c r="WH205" s="44"/>
      <c r="WI205" s="44"/>
      <c r="WJ205" s="44"/>
      <c r="WK205" s="44"/>
      <c r="WL205" s="44"/>
      <c r="WM205" s="44"/>
      <c r="WN205" s="44"/>
      <c r="WO205" s="44"/>
      <c r="WP205" s="44"/>
      <c r="WQ205" s="44"/>
      <c r="WR205" s="44"/>
      <c r="WS205" s="44"/>
      <c r="WT205" s="44"/>
      <c r="WU205" s="44"/>
      <c r="WV205" s="44"/>
      <c r="WW205" s="44"/>
      <c r="WX205" s="44"/>
      <c r="WY205" s="44"/>
      <c r="WZ205" s="44"/>
      <c r="XA205" s="44"/>
      <c r="XB205" s="44"/>
      <c r="XC205" s="44"/>
      <c r="XD205" s="44"/>
      <c r="XE205" s="44"/>
      <c r="XF205" s="44"/>
      <c r="XG205" s="44"/>
      <c r="XH205" s="44"/>
      <c r="XI205" s="44"/>
      <c r="XJ205" s="44"/>
      <c r="XK205" s="44"/>
      <c r="XL205" s="44"/>
      <c r="XM205" s="44"/>
      <c r="XN205" s="44"/>
      <c r="XO205" s="44"/>
      <c r="XP205" s="44"/>
      <c r="XQ205" s="44"/>
      <c r="XR205" s="44"/>
      <c r="XS205" s="44"/>
      <c r="XT205" s="44"/>
      <c r="XU205" s="44"/>
      <c r="XV205" s="44"/>
      <c r="XW205" s="44"/>
      <c r="XX205" s="44"/>
      <c r="XY205" s="44"/>
      <c r="XZ205" s="44"/>
      <c r="YA205" s="44"/>
      <c r="YB205" s="44"/>
      <c r="YC205" s="44"/>
      <c r="YD205" s="44"/>
      <c r="YE205" s="44"/>
      <c r="YF205" s="44"/>
      <c r="YG205" s="44"/>
      <c r="YH205" s="44"/>
      <c r="YI205" s="44"/>
      <c r="YJ205" s="44"/>
      <c r="YK205" s="44"/>
      <c r="YL205" s="44"/>
      <c r="YM205" s="44"/>
      <c r="YN205" s="44"/>
      <c r="YO205" s="44"/>
      <c r="YP205" s="44"/>
      <c r="YQ205" s="44"/>
      <c r="YR205" s="44"/>
      <c r="YS205" s="44"/>
      <c r="YT205" s="44"/>
      <c r="YU205" s="44"/>
      <c r="YV205" s="44"/>
      <c r="YW205" s="44"/>
      <c r="YX205" s="44"/>
      <c r="YY205" s="44"/>
      <c r="YZ205" s="44"/>
      <c r="ZA205" s="44"/>
      <c r="ZB205" s="44"/>
      <c r="ZC205" s="44"/>
      <c r="ZD205" s="44"/>
      <c r="ZE205" s="44"/>
      <c r="ZF205" s="44"/>
      <c r="ZG205" s="44"/>
      <c r="ZH205" s="44"/>
      <c r="ZI205" s="44"/>
      <c r="ZJ205" s="44"/>
      <c r="ZK205" s="44"/>
      <c r="ZL205" s="44"/>
      <c r="ZM205" s="44"/>
      <c r="ZN205" s="44"/>
      <c r="ZO205" s="44"/>
      <c r="ZP205" s="44"/>
      <c r="ZQ205" s="44"/>
      <c r="ZR205" s="44"/>
      <c r="ZS205" s="44"/>
      <c r="ZT205" s="44"/>
      <c r="ZU205" s="44"/>
      <c r="ZV205" s="44"/>
      <c r="ZW205" s="44"/>
      <c r="ZX205" s="44"/>
      <c r="ZY205" s="44"/>
      <c r="ZZ205" s="44"/>
      <c r="AAA205" s="44"/>
      <c r="AAB205" s="44"/>
      <c r="AAC205" s="44"/>
      <c r="AAD205" s="44"/>
      <c r="AAE205" s="44"/>
      <c r="AAF205" s="44"/>
      <c r="AAG205" s="44"/>
      <c r="AAH205" s="44"/>
      <c r="AAI205" s="44"/>
      <c r="AAJ205" s="44"/>
      <c r="AAK205" s="44"/>
      <c r="AAL205" s="44"/>
      <c r="AAM205" s="44"/>
      <c r="AAN205" s="44"/>
      <c r="AAO205" s="44"/>
      <c r="AAP205" s="44"/>
      <c r="AAQ205" s="44"/>
      <c r="AAR205" s="44"/>
      <c r="AAS205" s="44"/>
      <c r="AAT205" s="44"/>
      <c r="AAU205" s="44"/>
      <c r="AAV205" s="44"/>
      <c r="AAW205" s="44"/>
      <c r="AAX205" s="44"/>
      <c r="AAY205" s="44"/>
      <c r="AAZ205" s="44"/>
      <c r="ABA205" s="44"/>
      <c r="ABB205" s="44"/>
      <c r="ABC205" s="44"/>
      <c r="ABD205" s="44"/>
      <c r="ABE205" s="44"/>
      <c r="ABF205" s="44"/>
      <c r="ABG205" s="44"/>
      <c r="ABH205" s="44"/>
      <c r="ABI205" s="44"/>
      <c r="ABJ205" s="44"/>
      <c r="ABK205" s="44"/>
      <c r="ABL205" s="44"/>
      <c r="ABM205" s="44"/>
      <c r="ABN205" s="44"/>
      <c r="ABO205" s="44"/>
      <c r="ABP205" s="44"/>
      <c r="ABQ205" s="44"/>
      <c r="ABR205" s="44"/>
      <c r="ABS205" s="44"/>
      <c r="ABT205" s="44"/>
      <c r="ABU205" s="44"/>
      <c r="ABV205" s="44"/>
      <c r="ABW205" s="44"/>
      <c r="ABX205" s="44"/>
      <c r="ABY205" s="44"/>
      <c r="ABZ205" s="44"/>
      <c r="ACA205" s="44"/>
      <c r="ACB205" s="44"/>
      <c r="ACC205" s="44"/>
      <c r="ACD205" s="44"/>
      <c r="ACE205" s="44"/>
      <c r="ACF205" s="44"/>
      <c r="ACG205" s="44"/>
      <c r="ACH205" s="44"/>
      <c r="ACI205" s="44"/>
      <c r="ACJ205" s="44"/>
      <c r="ACK205" s="44"/>
      <c r="ACL205" s="44"/>
      <c r="ACM205" s="44"/>
      <c r="ACN205" s="44"/>
      <c r="ACO205" s="44"/>
      <c r="ACP205" s="44"/>
      <c r="ACQ205" s="44"/>
      <c r="ACR205" s="44"/>
      <c r="ACS205" s="44"/>
      <c r="ACT205" s="44"/>
      <c r="ACU205" s="44"/>
      <c r="ACV205" s="44"/>
      <c r="ACW205" s="44"/>
      <c r="ACX205" s="44"/>
      <c r="ACY205" s="44"/>
      <c r="ACZ205" s="44"/>
      <c r="ADA205" s="44"/>
      <c r="ADB205" s="44"/>
      <c r="ADC205" s="44"/>
      <c r="ADD205" s="44"/>
      <c r="ADE205" s="44"/>
      <c r="ADF205" s="44"/>
      <c r="ADG205" s="44"/>
      <c r="ADH205" s="44"/>
      <c r="ADI205" s="44"/>
      <c r="ADJ205" s="44"/>
      <c r="ADK205" s="44"/>
      <c r="ADL205" s="44"/>
      <c r="ADM205" s="44"/>
      <c r="ADN205" s="44"/>
      <c r="ADO205" s="44"/>
      <c r="ADP205" s="44"/>
      <c r="ADQ205" s="44"/>
      <c r="ADR205" s="44"/>
      <c r="ADS205" s="44"/>
      <c r="ADT205" s="44"/>
      <c r="ADU205" s="44"/>
      <c r="ADV205" s="44"/>
      <c r="ADW205" s="44"/>
      <c r="ADX205" s="44"/>
      <c r="ADY205" s="44"/>
      <c r="ADZ205" s="44"/>
      <c r="AEA205" s="44"/>
      <c r="AEB205" s="44"/>
      <c r="AEC205" s="44"/>
      <c r="AED205" s="44"/>
      <c r="AEE205" s="44"/>
      <c r="AEF205" s="44"/>
      <c r="AEG205" s="44"/>
      <c r="AEH205" s="44"/>
      <c r="AEI205" s="44"/>
      <c r="AEJ205" s="44"/>
      <c r="AEK205" s="44"/>
      <c r="AEL205" s="44"/>
      <c r="AEM205" s="44"/>
      <c r="AEN205" s="44"/>
      <c r="AEO205" s="44"/>
      <c r="AEP205" s="44"/>
      <c r="AEQ205" s="44"/>
      <c r="AER205" s="44"/>
      <c r="AES205" s="44"/>
      <c r="AET205" s="44"/>
      <c r="AEU205" s="44"/>
      <c r="AEV205" s="44"/>
      <c r="AEW205" s="44"/>
      <c r="AEX205" s="44"/>
      <c r="AEY205" s="44"/>
      <c r="AEZ205" s="44"/>
      <c r="AFA205" s="44"/>
      <c r="AFB205" s="44"/>
      <c r="AFC205" s="44"/>
      <c r="AFD205" s="44"/>
      <c r="AFE205" s="44"/>
      <c r="AFF205" s="44"/>
      <c r="AFG205" s="44"/>
      <c r="AFH205" s="44"/>
      <c r="AFI205" s="44"/>
      <c r="AFJ205" s="44"/>
      <c r="AFK205" s="44"/>
      <c r="AFL205" s="44"/>
      <c r="AFM205" s="44"/>
      <c r="AFN205" s="44"/>
      <c r="AFO205" s="44"/>
      <c r="AFP205" s="44"/>
      <c r="AFQ205" s="44"/>
      <c r="AFR205" s="44"/>
      <c r="AFS205" s="44"/>
      <c r="AFT205" s="44"/>
      <c r="AFU205" s="44"/>
      <c r="AFV205" s="44"/>
      <c r="AFW205" s="44"/>
      <c r="AFX205" s="44"/>
      <c r="AFY205" s="44"/>
      <c r="AFZ205" s="44"/>
      <c r="AGA205" s="44"/>
      <c r="AGB205" s="44"/>
      <c r="AGC205" s="44"/>
      <c r="AGD205" s="44"/>
      <c r="AGE205" s="44"/>
      <c r="AGF205" s="44"/>
      <c r="AGG205" s="44"/>
      <c r="AGH205" s="44"/>
      <c r="AGI205" s="44"/>
      <c r="AGJ205" s="44"/>
      <c r="AGK205" s="44"/>
      <c r="AGL205" s="44"/>
      <c r="AGM205" s="44"/>
      <c r="AGN205" s="44"/>
      <c r="AGO205" s="44"/>
      <c r="AGP205" s="44"/>
      <c r="AGQ205" s="44"/>
      <c r="AGR205" s="44"/>
      <c r="AGS205" s="44"/>
      <c r="AGT205" s="44"/>
      <c r="AGU205" s="44"/>
      <c r="AGV205" s="44"/>
      <c r="AGW205" s="44"/>
      <c r="AGX205" s="44"/>
      <c r="AGY205" s="44"/>
      <c r="AGZ205" s="44"/>
      <c r="AHA205" s="44"/>
      <c r="AHB205" s="44"/>
      <c r="AHC205" s="44"/>
      <c r="AHD205" s="44"/>
      <c r="AHE205" s="44"/>
      <c r="AHF205" s="44"/>
      <c r="AHG205" s="44"/>
      <c r="AHH205" s="44"/>
      <c r="AHI205" s="44"/>
      <c r="AHJ205" s="44"/>
      <c r="AHK205" s="44"/>
      <c r="AHL205" s="44"/>
      <c r="AHM205" s="44"/>
      <c r="AHN205" s="44"/>
      <c r="AHO205" s="44"/>
      <c r="AHP205" s="44"/>
      <c r="AHQ205" s="44"/>
      <c r="AHR205" s="44"/>
      <c r="AHS205" s="44"/>
      <c r="AHT205" s="44"/>
      <c r="AHU205" s="44"/>
      <c r="AHV205" s="44"/>
      <c r="AHW205" s="44"/>
      <c r="AHX205" s="44"/>
      <c r="AHY205" s="44"/>
      <c r="AHZ205" s="44"/>
      <c r="AIA205" s="44"/>
      <c r="AIB205" s="44"/>
      <c r="AIC205" s="44"/>
      <c r="AID205" s="44"/>
      <c r="AIE205" s="44"/>
      <c r="AIF205" s="44"/>
      <c r="AIG205" s="44"/>
      <c r="AIH205" s="44"/>
      <c r="AII205" s="44"/>
      <c r="AIJ205" s="44"/>
      <c r="AIK205" s="44"/>
      <c r="AIL205" s="44"/>
      <c r="AIM205" s="44"/>
      <c r="AIN205" s="44"/>
      <c r="AIO205" s="44"/>
      <c r="AIP205" s="44"/>
      <c r="AIQ205" s="44"/>
      <c r="AIR205" s="44"/>
      <c r="AIS205" s="44"/>
      <c r="AIT205" s="44"/>
      <c r="AIU205" s="44"/>
      <c r="AIV205" s="44"/>
      <c r="AIW205" s="44"/>
      <c r="AIX205" s="44"/>
      <c r="AIY205" s="44"/>
      <c r="AIZ205" s="44"/>
      <c r="AJA205" s="44"/>
      <c r="AJB205" s="44"/>
      <c r="AJC205" s="44"/>
      <c r="AJD205" s="44"/>
      <c r="AJE205" s="44"/>
      <c r="AJF205" s="44"/>
      <c r="AJG205" s="44"/>
      <c r="AJH205" s="44"/>
      <c r="AJI205" s="44"/>
      <c r="AJJ205" s="44"/>
      <c r="AJK205" s="44"/>
      <c r="AJL205" s="44"/>
      <c r="AJM205" s="44"/>
      <c r="AJN205" s="44"/>
      <c r="AJO205" s="44"/>
      <c r="AJP205" s="44"/>
      <c r="AJQ205" s="44"/>
      <c r="AJR205" s="44"/>
      <c r="AJS205" s="44"/>
      <c r="AJT205" s="44"/>
      <c r="AJU205" s="44"/>
      <c r="AJV205" s="44"/>
      <c r="AJW205" s="44"/>
      <c r="AJX205" s="44"/>
      <c r="AJY205" s="44"/>
      <c r="AJZ205" s="44"/>
      <c r="AKA205" s="44"/>
      <c r="AKB205" s="44"/>
      <c r="AKC205" s="44"/>
      <c r="AKD205" s="44"/>
      <c r="AKE205" s="44"/>
      <c r="AKF205" s="44"/>
      <c r="AKG205" s="44"/>
      <c r="AKH205" s="44"/>
      <c r="AKI205" s="44"/>
      <c r="AKJ205" s="44"/>
      <c r="AKK205" s="44"/>
      <c r="AKL205" s="44"/>
      <c r="AKM205" s="44"/>
      <c r="AKN205" s="44"/>
      <c r="AKO205" s="44"/>
      <c r="AKP205" s="44"/>
      <c r="AKQ205" s="44"/>
      <c r="AKR205" s="44"/>
      <c r="AKS205" s="44"/>
      <c r="AKT205" s="44"/>
      <c r="AKU205" s="44"/>
      <c r="AKV205" s="44"/>
      <c r="AKW205" s="44"/>
      <c r="AKX205" s="44"/>
      <c r="AKY205" s="44"/>
      <c r="AKZ205" s="44"/>
      <c r="ALA205" s="44"/>
      <c r="ALB205" s="44"/>
      <c r="ALC205" s="44"/>
      <c r="ALD205" s="44"/>
      <c r="ALE205" s="44"/>
      <c r="ALF205" s="44"/>
      <c r="ALG205" s="44"/>
      <c r="ALH205" s="44"/>
      <c r="ALI205" s="44"/>
      <c r="ALJ205" s="44"/>
      <c r="ALK205" s="44"/>
      <c r="ALL205" s="44"/>
      <c r="ALM205" s="44"/>
      <c r="ALN205" s="44"/>
      <c r="ALO205" s="44"/>
      <c r="ALP205" s="44"/>
      <c r="ALQ205" s="44"/>
      <c r="ALR205" s="44"/>
      <c r="ALS205" s="44"/>
      <c r="ALT205" s="44"/>
      <c r="ALU205" s="44"/>
      <c r="ALV205" s="44"/>
      <c r="ALW205" s="44"/>
      <c r="ALX205" s="44"/>
      <c r="ALY205" s="44"/>
      <c r="ALZ205" s="44"/>
      <c r="AMA205" s="44"/>
      <c r="AMB205" s="44"/>
      <c r="AMC205" s="44"/>
      <c r="AMD205" s="44"/>
      <c r="AME205" s="44"/>
      <c r="AMF205" s="44"/>
      <c r="AMG205" s="44"/>
      <c r="AMH205" s="44"/>
      <c r="AMI205" s="44"/>
      <c r="AMJ205" s="44"/>
      <c r="AMK205" s="44"/>
      <c r="AML205" s="44"/>
      <c r="AMM205" s="44"/>
      <c r="AMN205" s="44"/>
      <c r="AMO205" s="44"/>
      <c r="AMP205" s="44"/>
      <c r="AMQ205" s="44"/>
      <c r="AMR205" s="44"/>
      <c r="AMS205" s="44"/>
      <c r="AMT205" s="44"/>
      <c r="AMU205" s="44"/>
      <c r="AMV205" s="44"/>
      <c r="AMW205" s="44"/>
      <c r="AMX205" s="44"/>
      <c r="AMY205" s="44"/>
      <c r="AMZ205" s="44"/>
      <c r="ANA205" s="44"/>
      <c r="ANB205" s="44"/>
      <c r="ANC205" s="44"/>
      <c r="AND205" s="44"/>
      <c r="ANE205" s="44"/>
      <c r="ANF205" s="44"/>
      <c r="ANG205" s="44"/>
      <c r="ANH205" s="44"/>
      <c r="ANI205" s="44"/>
      <c r="ANJ205" s="44"/>
      <c r="ANK205" s="44"/>
      <c r="ANL205" s="44"/>
      <c r="ANM205" s="44"/>
      <c r="ANN205" s="44"/>
      <c r="ANO205" s="44"/>
      <c r="ANP205" s="44"/>
      <c r="ANQ205" s="44"/>
      <c r="ANR205" s="44"/>
      <c r="ANS205" s="44"/>
      <c r="ANT205" s="44"/>
      <c r="ANU205" s="44"/>
      <c r="ANV205" s="44"/>
      <c r="ANW205" s="44"/>
      <c r="ANX205" s="44"/>
      <c r="ANY205" s="44"/>
      <c r="ANZ205" s="44"/>
      <c r="AOA205" s="44"/>
      <c r="AOB205" s="44"/>
      <c r="AOC205" s="44"/>
      <c r="AOD205" s="44"/>
      <c r="AOE205" s="44"/>
      <c r="AOF205" s="44"/>
      <c r="AOG205" s="44"/>
      <c r="AOH205" s="44"/>
      <c r="AOI205" s="44"/>
      <c r="AOJ205" s="44"/>
      <c r="AOK205" s="44"/>
      <c r="AOL205" s="44"/>
      <c r="AOM205" s="44"/>
      <c r="AON205" s="44"/>
      <c r="AOO205" s="44"/>
      <c r="AOP205" s="44"/>
      <c r="AOQ205" s="44"/>
      <c r="AOR205" s="44"/>
      <c r="AOS205" s="44"/>
      <c r="AOT205" s="44"/>
      <c r="AOU205" s="44"/>
      <c r="AOV205" s="44"/>
      <c r="AOW205" s="44"/>
      <c r="AOX205" s="44"/>
      <c r="AOY205" s="44"/>
      <c r="AOZ205" s="44"/>
      <c r="APA205" s="44"/>
      <c r="APB205" s="44"/>
      <c r="APC205" s="44"/>
      <c r="APD205" s="44"/>
      <c r="APE205" s="44"/>
      <c r="APF205" s="44"/>
      <c r="APG205" s="44"/>
      <c r="APH205" s="44"/>
      <c r="API205" s="44"/>
      <c r="APJ205" s="44"/>
      <c r="APK205" s="44"/>
      <c r="APL205" s="44"/>
      <c r="APM205" s="44"/>
      <c r="APN205" s="44"/>
      <c r="APO205" s="44"/>
      <c r="APP205" s="44"/>
      <c r="APQ205" s="44"/>
      <c r="APR205" s="44"/>
      <c r="APS205" s="44"/>
      <c r="APT205" s="44"/>
      <c r="APU205" s="44"/>
      <c r="APV205" s="44"/>
      <c r="APW205" s="44"/>
      <c r="APX205" s="44"/>
      <c r="APY205" s="44"/>
      <c r="APZ205" s="44"/>
      <c r="AQA205" s="44"/>
      <c r="AQB205" s="44"/>
      <c r="AQC205" s="44"/>
      <c r="AQD205" s="44"/>
      <c r="AQE205" s="44"/>
      <c r="AQF205" s="44"/>
      <c r="AQG205" s="44"/>
      <c r="AQH205" s="44"/>
      <c r="AQI205" s="44"/>
      <c r="AQJ205" s="44"/>
      <c r="AQK205" s="44"/>
      <c r="AQL205" s="44"/>
      <c r="AQM205" s="44"/>
      <c r="AQN205" s="44"/>
      <c r="AQO205" s="44"/>
      <c r="AQP205" s="44"/>
      <c r="AQQ205" s="44"/>
      <c r="AQR205" s="44"/>
      <c r="AQS205" s="44"/>
      <c r="AQT205" s="44"/>
      <c r="AQU205" s="44"/>
      <c r="AQV205" s="44"/>
      <c r="AQW205" s="44"/>
      <c r="AQX205" s="44"/>
      <c r="AQY205" s="44"/>
      <c r="AQZ205" s="44"/>
      <c r="ARA205" s="44"/>
      <c r="ARB205" s="44"/>
      <c r="ARC205" s="44"/>
      <c r="ARD205" s="44"/>
      <c r="ARE205" s="44"/>
      <c r="ARF205" s="44"/>
      <c r="ARG205" s="44"/>
      <c r="ARH205" s="44"/>
      <c r="ARI205" s="44"/>
      <c r="ARJ205" s="44"/>
      <c r="ARK205" s="44"/>
      <c r="ARL205" s="44"/>
      <c r="ARM205" s="44"/>
      <c r="ARN205" s="44"/>
      <c r="ARO205" s="44"/>
      <c r="ARP205" s="44"/>
      <c r="ARQ205" s="44"/>
      <c r="ARR205" s="44"/>
      <c r="ARS205" s="44"/>
      <c r="ART205" s="44"/>
      <c r="ARU205" s="44"/>
      <c r="ARV205" s="44"/>
      <c r="ARW205" s="44"/>
      <c r="ARX205" s="44"/>
      <c r="ARY205" s="44"/>
      <c r="ARZ205" s="44"/>
      <c r="ASA205" s="44"/>
      <c r="ASB205" s="44"/>
      <c r="ASC205" s="44"/>
      <c r="ASD205" s="44"/>
      <c r="ASE205" s="44"/>
      <c r="ASF205" s="44"/>
      <c r="ASG205" s="44"/>
      <c r="ASH205" s="44"/>
      <c r="ASI205" s="44"/>
      <c r="ASJ205" s="44"/>
      <c r="ASK205" s="44"/>
      <c r="ASL205" s="44"/>
      <c r="ASM205" s="44"/>
      <c r="ASN205" s="44"/>
      <c r="ASO205" s="44"/>
      <c r="ASP205" s="44"/>
      <c r="ASQ205" s="44"/>
      <c r="ASR205" s="44"/>
      <c r="ASS205" s="44"/>
      <c r="AST205" s="44"/>
      <c r="ASU205" s="44"/>
      <c r="ASV205" s="44"/>
      <c r="ASW205" s="44"/>
      <c r="ASX205" s="44"/>
      <c r="ASY205" s="44"/>
      <c r="ASZ205" s="44"/>
      <c r="ATA205" s="44"/>
      <c r="ATB205" s="44"/>
      <c r="ATC205" s="44"/>
      <c r="ATD205" s="44"/>
      <c r="ATE205" s="44"/>
      <c r="ATF205" s="44"/>
      <c r="ATG205" s="44"/>
      <c r="ATH205" s="44"/>
      <c r="ATI205" s="44"/>
      <c r="ATJ205" s="44"/>
      <c r="ATK205" s="44"/>
      <c r="ATL205" s="44"/>
      <c r="ATM205" s="44"/>
      <c r="ATN205" s="44"/>
      <c r="ATO205" s="44"/>
      <c r="ATP205" s="44"/>
      <c r="ATQ205" s="44"/>
      <c r="ATR205" s="44"/>
      <c r="ATS205" s="44"/>
      <c r="ATT205" s="44"/>
      <c r="ATU205" s="44"/>
      <c r="ATV205" s="44"/>
      <c r="ATW205" s="44"/>
      <c r="ATX205" s="44"/>
      <c r="ATY205" s="44"/>
      <c r="ATZ205" s="44"/>
      <c r="AUA205" s="44"/>
      <c r="AUB205" s="44"/>
      <c r="AUC205" s="44"/>
      <c r="AUD205" s="44"/>
      <c r="AUE205" s="44"/>
      <c r="AUF205" s="44"/>
      <c r="AUG205" s="44"/>
      <c r="AUH205" s="44"/>
      <c r="AUI205" s="44"/>
      <c r="AUJ205" s="44"/>
      <c r="AUK205" s="44"/>
      <c r="AUL205" s="44"/>
      <c r="AUM205" s="44"/>
      <c r="AUN205" s="44"/>
      <c r="AUO205" s="44"/>
      <c r="AUP205" s="44"/>
      <c r="AUQ205" s="44"/>
      <c r="AUR205" s="44"/>
      <c r="AUS205" s="44"/>
      <c r="AUT205" s="44"/>
      <c r="AUU205" s="44"/>
      <c r="AUV205" s="44"/>
      <c r="AUW205" s="44"/>
      <c r="AUX205" s="44"/>
      <c r="AUY205" s="44"/>
      <c r="AUZ205" s="44"/>
      <c r="AVA205" s="44"/>
      <c r="AVB205" s="44"/>
      <c r="AVC205" s="44"/>
      <c r="AVD205" s="44"/>
      <c r="AVE205" s="44"/>
      <c r="AVF205" s="44"/>
      <c r="AVG205" s="44"/>
      <c r="AVH205" s="44"/>
      <c r="AVI205" s="44"/>
      <c r="AVJ205" s="44"/>
      <c r="AVK205" s="44"/>
      <c r="AVL205" s="44"/>
      <c r="AVM205" s="44"/>
      <c r="AVN205" s="44"/>
      <c r="AVO205" s="44"/>
      <c r="AVP205" s="44"/>
      <c r="AVQ205" s="44"/>
      <c r="AVR205" s="44"/>
      <c r="AVS205" s="44"/>
      <c r="AVT205" s="44"/>
      <c r="AVU205" s="44"/>
      <c r="AVV205" s="44"/>
      <c r="AVW205" s="44"/>
      <c r="AVX205" s="44"/>
      <c r="AVY205" s="44"/>
      <c r="AVZ205" s="44"/>
      <c r="AWA205" s="44"/>
      <c r="AWB205" s="44"/>
      <c r="AWC205" s="44"/>
      <c r="AWD205" s="44"/>
      <c r="AWE205" s="44"/>
      <c r="AWF205" s="44"/>
      <c r="AWG205" s="44"/>
      <c r="AWH205" s="44"/>
      <c r="AWI205" s="44"/>
      <c r="AWJ205" s="44"/>
      <c r="AWK205" s="44"/>
      <c r="AWL205" s="44"/>
      <c r="AWM205" s="44"/>
      <c r="AWN205" s="44"/>
      <c r="AWO205" s="44"/>
      <c r="AWP205" s="44"/>
      <c r="AWQ205" s="44"/>
      <c r="AWR205" s="44"/>
      <c r="AWS205" s="44"/>
      <c r="AWT205" s="44"/>
      <c r="AWU205" s="44"/>
      <c r="AWV205" s="44"/>
      <c r="AWW205" s="44"/>
      <c r="AWX205" s="44"/>
      <c r="AWY205" s="44"/>
      <c r="AWZ205" s="44"/>
      <c r="AXA205" s="44"/>
      <c r="AXB205" s="44"/>
      <c r="AXC205" s="44"/>
      <c r="AXD205" s="44"/>
      <c r="AXE205" s="44"/>
      <c r="AXF205" s="44"/>
      <c r="AXG205" s="44"/>
      <c r="AXH205" s="44"/>
      <c r="AXI205" s="44"/>
      <c r="AXJ205" s="44"/>
      <c r="AXK205" s="44"/>
      <c r="AXL205" s="44"/>
      <c r="AXM205" s="44"/>
      <c r="AXN205" s="44"/>
      <c r="AXO205" s="44"/>
      <c r="AXP205" s="44"/>
      <c r="AXQ205" s="44"/>
      <c r="AXR205" s="44"/>
      <c r="AXS205" s="44"/>
      <c r="AXT205" s="44"/>
      <c r="AXU205" s="44"/>
      <c r="AXV205" s="44"/>
      <c r="AXW205" s="44"/>
      <c r="AXX205" s="44"/>
      <c r="AXY205" s="44"/>
      <c r="AXZ205" s="44"/>
      <c r="AYA205" s="44"/>
      <c r="AYB205" s="44"/>
      <c r="AYC205" s="44"/>
      <c r="AYD205" s="44"/>
      <c r="AYE205" s="44"/>
      <c r="AYF205" s="44"/>
      <c r="AYG205" s="44"/>
      <c r="AYH205" s="44"/>
      <c r="AYI205" s="44"/>
      <c r="AYJ205" s="44"/>
      <c r="AYK205" s="44"/>
      <c r="AYL205" s="44"/>
      <c r="AYM205" s="44"/>
      <c r="AYN205" s="44"/>
      <c r="AYO205" s="44"/>
      <c r="AYP205" s="44"/>
      <c r="AYQ205" s="44"/>
      <c r="AYR205" s="44"/>
      <c r="AYS205" s="44"/>
      <c r="AYT205" s="44"/>
      <c r="AYU205" s="44"/>
      <c r="AYV205" s="44"/>
      <c r="AYW205" s="44"/>
      <c r="AYX205" s="44"/>
      <c r="AYY205" s="44"/>
      <c r="AYZ205" s="44"/>
      <c r="AZA205" s="44"/>
      <c r="AZB205" s="44"/>
      <c r="AZC205" s="44"/>
      <c r="AZD205" s="44"/>
      <c r="AZE205" s="44"/>
      <c r="AZF205" s="44"/>
      <c r="AZG205" s="44"/>
      <c r="AZH205" s="44"/>
      <c r="AZI205" s="44"/>
      <c r="AZJ205" s="44"/>
      <c r="AZK205" s="44"/>
      <c r="AZL205" s="44"/>
      <c r="AZM205" s="44"/>
      <c r="AZN205" s="44"/>
      <c r="AZO205" s="44"/>
      <c r="AZP205" s="44"/>
      <c r="AZQ205" s="44"/>
      <c r="AZR205" s="44"/>
      <c r="AZS205" s="44"/>
      <c r="AZT205" s="44"/>
      <c r="AZU205" s="44"/>
      <c r="AZV205" s="44"/>
      <c r="AZW205" s="44"/>
      <c r="AZX205" s="44"/>
      <c r="AZY205" s="44"/>
      <c r="AZZ205" s="44"/>
      <c r="BAA205" s="44"/>
      <c r="BAB205" s="44"/>
      <c r="BAC205" s="44"/>
      <c r="BAD205" s="44"/>
      <c r="BAE205" s="44"/>
      <c r="BAF205" s="44"/>
      <c r="BAG205" s="44"/>
      <c r="BAH205" s="44"/>
      <c r="BAI205" s="44"/>
      <c r="BAJ205" s="44"/>
      <c r="BAK205" s="44"/>
      <c r="BAL205" s="44"/>
      <c r="BAM205" s="44"/>
      <c r="BAN205" s="44"/>
      <c r="BAO205" s="44"/>
      <c r="BAP205" s="44"/>
      <c r="BAQ205" s="44"/>
      <c r="BAR205" s="44"/>
      <c r="BAS205" s="44"/>
      <c r="BAT205" s="44"/>
      <c r="BAU205" s="44"/>
      <c r="BAV205" s="44"/>
      <c r="BAW205" s="44"/>
      <c r="BAX205" s="44"/>
      <c r="BAY205" s="44"/>
      <c r="BAZ205" s="44"/>
      <c r="BBA205" s="44"/>
      <c r="BBB205" s="44"/>
      <c r="BBC205" s="44"/>
      <c r="BBD205" s="44"/>
      <c r="BBE205" s="44"/>
      <c r="BBF205" s="44"/>
      <c r="BBG205" s="44"/>
      <c r="BBH205" s="44"/>
      <c r="BBI205" s="44"/>
      <c r="BBJ205" s="44"/>
      <c r="BBK205" s="44"/>
      <c r="BBL205" s="44"/>
      <c r="BBM205" s="44"/>
      <c r="BBN205" s="44"/>
      <c r="BBO205" s="44"/>
      <c r="BBP205" s="44"/>
      <c r="BBQ205" s="44"/>
      <c r="BBR205" s="44"/>
      <c r="BBS205" s="44"/>
      <c r="BBT205" s="44"/>
      <c r="BBU205" s="44"/>
      <c r="BBV205" s="44"/>
      <c r="BBW205" s="44"/>
      <c r="BBX205" s="44"/>
      <c r="BBY205" s="44"/>
      <c r="BBZ205" s="44"/>
      <c r="BCA205" s="44"/>
      <c r="BCB205" s="44"/>
      <c r="BCC205" s="44"/>
      <c r="BCD205" s="44"/>
      <c r="BCE205" s="44"/>
      <c r="BCF205" s="44"/>
      <c r="BCG205" s="44"/>
      <c r="BCH205" s="44"/>
      <c r="BCI205" s="44"/>
      <c r="BCJ205" s="44"/>
      <c r="BCK205" s="44"/>
      <c r="BCL205" s="44"/>
      <c r="BCM205" s="44"/>
      <c r="BCN205" s="44"/>
      <c r="BCO205" s="44"/>
      <c r="BCP205" s="44"/>
      <c r="BCQ205" s="44"/>
      <c r="BCR205" s="44"/>
      <c r="BCS205" s="44"/>
      <c r="BCT205" s="44"/>
      <c r="BCU205" s="44"/>
      <c r="BCV205" s="44"/>
      <c r="BCW205" s="44"/>
      <c r="BCX205" s="44"/>
      <c r="BCY205" s="44"/>
      <c r="BCZ205" s="44"/>
      <c r="BDA205" s="44"/>
      <c r="BDB205" s="44"/>
      <c r="BDC205" s="44"/>
      <c r="BDD205" s="44"/>
      <c r="BDE205" s="44"/>
      <c r="BDF205" s="44"/>
      <c r="BDG205" s="44"/>
      <c r="BDH205" s="44"/>
      <c r="BDI205" s="44"/>
      <c r="BDJ205" s="44"/>
      <c r="BDK205" s="44"/>
      <c r="BDL205" s="44"/>
      <c r="BDM205" s="44"/>
      <c r="BDN205" s="44"/>
      <c r="BDO205" s="44"/>
      <c r="BDP205" s="44"/>
      <c r="BDQ205" s="44"/>
      <c r="BDR205" s="44"/>
      <c r="BDS205" s="44"/>
      <c r="BDT205" s="44"/>
      <c r="BDU205" s="44"/>
      <c r="BDV205" s="44"/>
      <c r="BDW205" s="44"/>
      <c r="BDX205" s="44"/>
      <c r="BDY205" s="44"/>
      <c r="BDZ205" s="44"/>
      <c r="BEA205" s="44"/>
      <c r="BEB205" s="44"/>
      <c r="BEC205" s="44"/>
      <c r="BED205" s="44"/>
      <c r="BEE205" s="44"/>
      <c r="BEF205" s="44"/>
      <c r="BEG205" s="44"/>
      <c r="BEH205" s="44"/>
      <c r="BEI205" s="44"/>
      <c r="BEJ205" s="44"/>
      <c r="BEK205" s="44"/>
      <c r="BEL205" s="44"/>
      <c r="BEM205" s="44"/>
      <c r="BEN205" s="44"/>
      <c r="BEO205" s="44"/>
      <c r="BEP205" s="44"/>
      <c r="BEQ205" s="44"/>
      <c r="BER205" s="44"/>
      <c r="BES205" s="44"/>
      <c r="BET205" s="44"/>
      <c r="BEU205" s="44"/>
      <c r="BEV205" s="44"/>
      <c r="BEW205" s="44"/>
      <c r="BEX205" s="44"/>
      <c r="BEY205" s="44"/>
      <c r="BEZ205" s="44"/>
      <c r="BFA205" s="44"/>
      <c r="BFB205" s="44"/>
      <c r="BFC205" s="44"/>
      <c r="BFD205" s="44"/>
      <c r="BFE205" s="44"/>
      <c r="BFF205" s="44"/>
      <c r="BFG205" s="44"/>
      <c r="BFH205" s="44"/>
      <c r="BFI205" s="44"/>
      <c r="BFJ205" s="44"/>
      <c r="BFK205" s="44"/>
      <c r="BFL205" s="44"/>
      <c r="BFM205" s="44"/>
      <c r="BFN205" s="44"/>
      <c r="BFO205" s="44"/>
      <c r="BFP205" s="44"/>
      <c r="BFQ205" s="44"/>
      <c r="BFR205" s="44"/>
      <c r="BFS205" s="44"/>
      <c r="BFT205" s="44"/>
      <c r="BFU205" s="44"/>
      <c r="BFV205" s="44"/>
      <c r="BFW205" s="44"/>
      <c r="BFX205" s="44"/>
      <c r="BFY205" s="44"/>
      <c r="BFZ205" s="44"/>
      <c r="BGA205" s="44"/>
      <c r="BGB205" s="44"/>
      <c r="BGC205" s="44"/>
      <c r="BGD205" s="44"/>
      <c r="BGE205" s="44"/>
      <c r="BGF205" s="44"/>
      <c r="BGG205" s="44"/>
      <c r="BGH205" s="44"/>
      <c r="BGI205" s="44"/>
      <c r="BGJ205" s="44"/>
      <c r="BGK205" s="44"/>
      <c r="BGL205" s="44"/>
      <c r="BGM205" s="44"/>
      <c r="BGN205" s="44"/>
      <c r="BGO205" s="44"/>
      <c r="BGP205" s="44"/>
      <c r="BGQ205" s="44"/>
      <c r="BGR205" s="44"/>
      <c r="BGS205" s="44"/>
      <c r="BGT205" s="44"/>
      <c r="BGU205" s="44"/>
      <c r="BGV205" s="44"/>
      <c r="BGW205" s="44"/>
      <c r="BGX205" s="44"/>
      <c r="BGY205" s="44"/>
      <c r="BGZ205" s="44"/>
      <c r="BHA205" s="44"/>
      <c r="BHB205" s="44"/>
      <c r="BHC205" s="44"/>
      <c r="BHD205" s="44"/>
      <c r="BHE205" s="44"/>
      <c r="BHF205" s="44"/>
      <c r="BHG205" s="44"/>
      <c r="BHH205" s="44"/>
      <c r="BHI205" s="44"/>
      <c r="BHJ205" s="44"/>
      <c r="BHK205" s="44"/>
      <c r="BHL205" s="44"/>
      <c r="BHM205" s="44"/>
      <c r="BHN205" s="44"/>
      <c r="BHO205" s="44"/>
      <c r="BHP205" s="44"/>
      <c r="BHQ205" s="44"/>
      <c r="BHR205" s="44"/>
      <c r="BHS205" s="44"/>
      <c r="BHT205" s="44"/>
      <c r="BHU205" s="44"/>
      <c r="BHV205" s="44"/>
      <c r="BHW205" s="44"/>
      <c r="BHX205" s="44"/>
      <c r="BHY205" s="44"/>
      <c r="BHZ205" s="44"/>
      <c r="BIA205" s="44"/>
      <c r="BIB205" s="44"/>
      <c r="BIC205" s="44"/>
      <c r="BID205" s="44"/>
      <c r="BIE205" s="44"/>
      <c r="BIF205" s="44"/>
      <c r="BIG205" s="44"/>
      <c r="BIH205" s="44"/>
      <c r="BII205" s="44"/>
      <c r="BIJ205" s="44"/>
      <c r="BIK205" s="44"/>
      <c r="BIL205" s="44"/>
      <c r="BIM205" s="44"/>
      <c r="BIN205" s="44"/>
      <c r="BIO205" s="44"/>
      <c r="BIP205" s="44"/>
      <c r="BIQ205" s="44"/>
      <c r="BIR205" s="44"/>
      <c r="BIS205" s="44"/>
      <c r="BIT205" s="44"/>
      <c r="BIU205" s="44"/>
      <c r="BIV205" s="44"/>
      <c r="BIW205" s="44"/>
      <c r="BIX205" s="44"/>
      <c r="BIY205" s="44"/>
      <c r="BIZ205" s="44"/>
      <c r="BJA205" s="44"/>
      <c r="BJB205" s="44"/>
      <c r="BJC205" s="44"/>
      <c r="BJD205" s="44"/>
      <c r="BJE205" s="44"/>
      <c r="BJF205" s="44"/>
      <c r="BJG205" s="44"/>
      <c r="BJH205" s="44"/>
      <c r="BJI205" s="44"/>
      <c r="BJJ205" s="44"/>
      <c r="BJK205" s="44"/>
      <c r="BJL205" s="44"/>
      <c r="BJM205" s="44"/>
      <c r="BJN205" s="44"/>
      <c r="BJO205" s="44"/>
      <c r="BJP205" s="44"/>
      <c r="BJQ205" s="44"/>
      <c r="BJR205" s="44"/>
      <c r="BJS205" s="44"/>
      <c r="BJT205" s="44"/>
      <c r="BJU205" s="44"/>
      <c r="BJV205" s="44"/>
      <c r="BJW205" s="44"/>
      <c r="BJX205" s="44"/>
      <c r="BJY205" s="44"/>
      <c r="BJZ205" s="44"/>
      <c r="BKA205" s="44"/>
      <c r="BKB205" s="44"/>
      <c r="BKC205" s="44"/>
      <c r="BKD205" s="44"/>
      <c r="BKE205" s="44"/>
      <c r="BKF205" s="44"/>
      <c r="BKG205" s="44"/>
      <c r="BKH205" s="44"/>
      <c r="BKI205" s="44"/>
      <c r="BKJ205" s="44"/>
      <c r="BKK205" s="44"/>
      <c r="BKL205" s="44"/>
      <c r="BKM205" s="44"/>
      <c r="BKN205" s="44"/>
      <c r="BKO205" s="44"/>
      <c r="BKP205" s="44"/>
      <c r="BKQ205" s="44"/>
      <c r="BKR205" s="44"/>
      <c r="BKS205" s="44"/>
      <c r="BKT205" s="44"/>
      <c r="BKU205" s="44"/>
      <c r="BKV205" s="44"/>
      <c r="BKW205" s="44"/>
      <c r="BKX205" s="44"/>
      <c r="BKY205" s="44"/>
      <c r="BKZ205" s="44"/>
      <c r="BLA205" s="44"/>
      <c r="BLB205" s="44"/>
      <c r="BLC205" s="44"/>
      <c r="BLD205" s="44"/>
      <c r="BLE205" s="44"/>
      <c r="BLF205" s="44"/>
      <c r="BLG205" s="44"/>
      <c r="BLH205" s="44"/>
      <c r="BLI205" s="44"/>
      <c r="BLJ205" s="44"/>
      <c r="BLK205" s="44"/>
      <c r="BLL205" s="44"/>
      <c r="BLM205" s="44"/>
      <c r="BLN205" s="44"/>
      <c r="BLO205" s="44"/>
      <c r="BLP205" s="44"/>
      <c r="BLQ205" s="44"/>
      <c r="BLR205" s="44"/>
      <c r="BLS205" s="44"/>
      <c r="BLT205" s="44"/>
      <c r="BLU205" s="44"/>
      <c r="BLV205" s="44"/>
      <c r="BLW205" s="44"/>
      <c r="BLX205" s="44"/>
      <c r="BLY205" s="44"/>
      <c r="BLZ205" s="44"/>
      <c r="BMA205" s="44"/>
      <c r="BMB205" s="44"/>
      <c r="BMC205" s="44"/>
      <c r="BMD205" s="44"/>
      <c r="BME205" s="44"/>
      <c r="BMF205" s="44"/>
      <c r="BMG205" s="44"/>
      <c r="BMH205" s="44"/>
      <c r="BMI205" s="44"/>
      <c r="BMJ205" s="44"/>
      <c r="BMK205" s="44"/>
      <c r="BML205" s="44"/>
      <c r="BMM205" s="44"/>
      <c r="BMN205" s="44"/>
      <c r="BMO205" s="44"/>
      <c r="BMP205" s="44"/>
      <c r="BMQ205" s="44"/>
      <c r="BMR205" s="44"/>
      <c r="BMS205" s="44"/>
      <c r="BMT205" s="44"/>
      <c r="BMU205" s="44"/>
      <c r="BMV205" s="44"/>
      <c r="BMW205" s="44"/>
      <c r="BMX205" s="44"/>
      <c r="BMY205" s="44"/>
      <c r="BMZ205" s="44"/>
      <c r="BNA205" s="44"/>
      <c r="BNB205" s="44"/>
      <c r="BNC205" s="44"/>
      <c r="BND205" s="44"/>
      <c r="BNE205" s="44"/>
      <c r="BNF205" s="44"/>
      <c r="BNG205" s="44"/>
      <c r="BNH205" s="44"/>
      <c r="BNI205" s="44"/>
      <c r="BNJ205" s="44"/>
      <c r="BNK205" s="44"/>
      <c r="BNL205" s="44"/>
      <c r="BNM205" s="44"/>
      <c r="BNN205" s="44"/>
      <c r="BNO205" s="44"/>
      <c r="BNP205" s="44"/>
      <c r="BNQ205" s="44"/>
      <c r="BNR205" s="44"/>
      <c r="BNS205" s="44"/>
      <c r="BNT205" s="44"/>
      <c r="BNU205" s="44"/>
      <c r="BNV205" s="44"/>
      <c r="BNW205" s="44"/>
      <c r="BNX205" s="44"/>
      <c r="BNY205" s="44"/>
      <c r="BNZ205" s="44"/>
      <c r="BOA205" s="44"/>
      <c r="BOB205" s="44"/>
      <c r="BOC205" s="44"/>
      <c r="BOD205" s="44"/>
      <c r="BOE205" s="44"/>
      <c r="BOF205" s="44"/>
      <c r="BOG205" s="44"/>
      <c r="BOH205" s="44"/>
      <c r="BOI205" s="44"/>
      <c r="BOJ205" s="44"/>
      <c r="BOK205" s="44"/>
      <c r="BOL205" s="44"/>
      <c r="BOM205" s="44"/>
      <c r="BON205" s="44"/>
      <c r="BOO205" s="44"/>
      <c r="BOP205" s="44"/>
      <c r="BOQ205" s="44"/>
      <c r="BOR205" s="44"/>
      <c r="BOS205" s="44"/>
      <c r="BOT205" s="44"/>
      <c r="BOU205" s="44"/>
      <c r="BOV205" s="44"/>
      <c r="BOW205" s="44"/>
      <c r="BOX205" s="44"/>
      <c r="BOY205" s="44"/>
      <c r="BOZ205" s="44"/>
      <c r="BPA205" s="44"/>
      <c r="BPB205" s="44"/>
      <c r="BPC205" s="44"/>
      <c r="BPD205" s="44"/>
      <c r="BPE205" s="44"/>
      <c r="BPF205" s="44"/>
      <c r="BPG205" s="44"/>
      <c r="BPH205" s="44"/>
      <c r="BPI205" s="44"/>
      <c r="BPJ205" s="44"/>
      <c r="BPK205" s="44"/>
      <c r="BPL205" s="44"/>
      <c r="BPM205" s="44"/>
      <c r="BPN205" s="44"/>
      <c r="BPO205" s="44"/>
      <c r="BPP205" s="44"/>
      <c r="BPQ205" s="44"/>
      <c r="BPR205" s="44"/>
      <c r="BPS205" s="44"/>
      <c r="BPT205" s="44"/>
      <c r="BPU205" s="44"/>
      <c r="BPV205" s="44"/>
      <c r="BPW205" s="44"/>
      <c r="BPX205" s="44"/>
      <c r="BPY205" s="44"/>
      <c r="BPZ205" s="44"/>
      <c r="BQA205" s="44"/>
      <c r="BQB205" s="44"/>
      <c r="BQC205" s="44"/>
      <c r="BQD205" s="44"/>
      <c r="BQE205" s="44"/>
      <c r="BQF205" s="44"/>
      <c r="BQG205" s="44"/>
      <c r="BQH205" s="44"/>
      <c r="BQI205" s="44"/>
      <c r="BQJ205" s="44"/>
      <c r="BQK205" s="44"/>
      <c r="BQL205" s="44"/>
      <c r="BQM205" s="44"/>
      <c r="BQN205" s="44"/>
      <c r="BQO205" s="44"/>
      <c r="BQP205" s="44"/>
      <c r="BQQ205" s="44"/>
      <c r="BQR205" s="44"/>
      <c r="BQS205" s="44"/>
      <c r="BQT205" s="44"/>
      <c r="BQU205" s="44"/>
      <c r="BQV205" s="44"/>
      <c r="BQW205" s="44"/>
      <c r="BQX205" s="44"/>
      <c r="BQY205" s="44"/>
      <c r="BQZ205" s="44"/>
      <c r="BRA205" s="44"/>
      <c r="BRB205" s="44"/>
      <c r="BRC205" s="44"/>
      <c r="BRD205" s="44"/>
      <c r="BRE205" s="44"/>
      <c r="BRF205" s="44"/>
      <c r="BRG205" s="44"/>
      <c r="BRH205" s="44"/>
      <c r="BRI205" s="44"/>
      <c r="BRJ205" s="44"/>
      <c r="BRK205" s="44"/>
      <c r="BRL205" s="44"/>
      <c r="BRM205" s="44"/>
      <c r="BRN205" s="44"/>
      <c r="BRO205" s="44"/>
      <c r="BRP205" s="44"/>
      <c r="BRQ205" s="44"/>
      <c r="BRR205" s="44"/>
      <c r="BRS205" s="44"/>
      <c r="BRT205" s="44"/>
      <c r="BRU205" s="44"/>
      <c r="BRV205" s="44"/>
      <c r="BRW205" s="44"/>
      <c r="BRX205" s="44"/>
      <c r="BRY205" s="44"/>
      <c r="BRZ205" s="44"/>
      <c r="BSA205" s="44"/>
      <c r="BSB205" s="44"/>
      <c r="BSC205" s="44"/>
      <c r="BSD205" s="44"/>
      <c r="BSE205" s="44"/>
      <c r="BSF205" s="44"/>
      <c r="BSG205" s="44"/>
      <c r="BSH205" s="44"/>
      <c r="BSI205" s="44"/>
      <c r="BSJ205" s="44"/>
      <c r="BSK205" s="44"/>
      <c r="BSL205" s="44"/>
      <c r="BSM205" s="44"/>
      <c r="BSN205" s="44"/>
      <c r="BSO205" s="44"/>
      <c r="BSP205" s="44"/>
      <c r="BSQ205" s="44"/>
      <c r="BSR205" s="44"/>
      <c r="BSS205" s="44"/>
      <c r="BST205" s="44"/>
      <c r="BSU205" s="44"/>
      <c r="BSV205" s="44"/>
      <c r="BSW205" s="44"/>
      <c r="BSX205" s="44"/>
      <c r="BSY205" s="44"/>
      <c r="BSZ205" s="44"/>
      <c r="BTA205" s="44"/>
      <c r="BTB205" s="44"/>
      <c r="BTC205" s="44"/>
      <c r="BTD205" s="44"/>
      <c r="BTE205" s="44"/>
      <c r="BTF205" s="44"/>
      <c r="BTG205" s="44"/>
      <c r="BTH205" s="44"/>
      <c r="BTI205" s="44"/>
    </row>
    <row r="206" spans="1:1881" s="825" customFormat="1" ht="110.25" customHeight="1" x14ac:dyDescent="0.25">
      <c r="A206" s="363">
        <v>622</v>
      </c>
      <c r="B206" s="174" t="s">
        <v>611</v>
      </c>
      <c r="C206" s="363" t="s">
        <v>721</v>
      </c>
      <c r="D206" s="363" t="s">
        <v>1206</v>
      </c>
      <c r="E206" s="588" t="e">
        <f>HLOOKUP($D$2,'2019 Data(H)'!$C$1:$CF$293,282,FALSE)</f>
        <v>#N/A</v>
      </c>
      <c r="F206" s="476"/>
      <c r="G206" s="500"/>
      <c r="H206" s="43"/>
      <c r="I206" s="823"/>
      <c r="J206" s="44"/>
      <c r="K206" s="44"/>
      <c r="L206" s="44"/>
      <c r="M206" s="44"/>
      <c r="N206" s="756"/>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O206" s="44"/>
      <c r="GP206" s="44"/>
      <c r="GQ206" s="44"/>
      <c r="GR206" s="44"/>
      <c r="GS206" s="44"/>
      <c r="GT206" s="44"/>
      <c r="GU206" s="44"/>
      <c r="GV206" s="44"/>
      <c r="GW206" s="44"/>
      <c r="GX206" s="44"/>
      <c r="GY206" s="44"/>
      <c r="GZ206" s="44"/>
      <c r="HA206" s="44"/>
      <c r="HB206" s="44"/>
      <c r="HC206" s="44"/>
      <c r="HD206" s="44"/>
      <c r="HE206" s="44"/>
      <c r="HF206" s="44"/>
      <c r="HG206" s="44"/>
      <c r="HH206" s="44"/>
      <c r="HI206" s="44"/>
      <c r="HJ206" s="44"/>
      <c r="HK206" s="44"/>
      <c r="HL206" s="44"/>
      <c r="HM206" s="44"/>
      <c r="HN206" s="44"/>
      <c r="HO206" s="44"/>
      <c r="HP206" s="44"/>
      <c r="HQ206" s="44"/>
      <c r="HR206" s="44"/>
      <c r="HS206" s="44"/>
      <c r="HT206" s="44"/>
      <c r="HU206" s="44"/>
      <c r="HV206" s="44"/>
      <c r="HW206" s="44"/>
      <c r="HX206" s="44"/>
      <c r="HY206" s="44"/>
      <c r="HZ206" s="44"/>
      <c r="IA206" s="44"/>
      <c r="IB206" s="44"/>
      <c r="IC206" s="44"/>
      <c r="ID206" s="44"/>
      <c r="IE206" s="44"/>
      <c r="IF206" s="44"/>
      <c r="IG206" s="44"/>
      <c r="IH206" s="44"/>
      <c r="II206" s="44"/>
      <c r="IJ206" s="44"/>
      <c r="IK206" s="44"/>
      <c r="IL206" s="44"/>
      <c r="IM206" s="44"/>
      <c r="IN206" s="44"/>
      <c r="IO206" s="44"/>
      <c r="IP206" s="44"/>
      <c r="IQ206" s="44"/>
      <c r="IR206" s="44"/>
      <c r="IS206" s="44"/>
      <c r="IT206" s="44"/>
      <c r="IU206" s="44"/>
      <c r="IV206" s="44"/>
      <c r="IW206" s="44"/>
      <c r="IX206" s="44"/>
      <c r="IY206" s="44"/>
      <c r="IZ206" s="44"/>
      <c r="JA206" s="44"/>
      <c r="JB206" s="44"/>
      <c r="JC206" s="44"/>
      <c r="JD206" s="44"/>
      <c r="JE206" s="44"/>
      <c r="JF206" s="44"/>
      <c r="JG206" s="44"/>
      <c r="JH206" s="44"/>
      <c r="JI206" s="44"/>
      <c r="JJ206" s="44"/>
      <c r="JK206" s="44"/>
      <c r="JL206" s="44"/>
      <c r="JM206" s="44"/>
      <c r="JN206" s="44"/>
      <c r="JO206" s="44"/>
      <c r="JP206" s="44"/>
      <c r="JQ206" s="44"/>
      <c r="JR206" s="44"/>
      <c r="JS206" s="44"/>
      <c r="JT206" s="44"/>
      <c r="JU206" s="44"/>
      <c r="JV206" s="44"/>
      <c r="JW206" s="44"/>
      <c r="JX206" s="44"/>
      <c r="JY206" s="44"/>
      <c r="JZ206" s="44"/>
      <c r="KA206" s="44"/>
      <c r="KB206" s="44"/>
      <c r="KC206" s="44"/>
      <c r="KD206" s="44"/>
      <c r="KE206" s="44"/>
      <c r="KF206" s="44"/>
      <c r="KG206" s="44"/>
      <c r="KH206" s="44"/>
      <c r="KI206" s="44"/>
      <c r="KJ206" s="44"/>
      <c r="KK206" s="44"/>
      <c r="KL206" s="44"/>
      <c r="KM206" s="44"/>
      <c r="KN206" s="44"/>
      <c r="KO206" s="44"/>
      <c r="KP206" s="44"/>
      <c r="KQ206" s="44"/>
      <c r="KR206" s="44"/>
      <c r="KS206" s="44"/>
      <c r="KT206" s="44"/>
      <c r="KU206" s="44"/>
      <c r="KV206" s="44"/>
      <c r="KW206" s="44"/>
      <c r="KX206" s="44"/>
      <c r="KY206" s="44"/>
      <c r="KZ206" s="44"/>
      <c r="LA206" s="44"/>
      <c r="LB206" s="44"/>
      <c r="LC206" s="44"/>
      <c r="LD206" s="44"/>
      <c r="LE206" s="44"/>
      <c r="LF206" s="44"/>
      <c r="LG206" s="44"/>
      <c r="LH206" s="44"/>
      <c r="LI206" s="44"/>
      <c r="LJ206" s="44"/>
      <c r="LK206" s="44"/>
      <c r="LL206" s="44"/>
      <c r="LM206" s="44"/>
      <c r="LN206" s="44"/>
      <c r="LO206" s="44"/>
      <c r="LP206" s="44"/>
      <c r="LQ206" s="44"/>
      <c r="LR206" s="44"/>
      <c r="LS206" s="44"/>
      <c r="LT206" s="44"/>
      <c r="LU206" s="44"/>
      <c r="LV206" s="44"/>
      <c r="LW206" s="44"/>
      <c r="LX206" s="44"/>
      <c r="LY206" s="44"/>
      <c r="LZ206" s="44"/>
      <c r="MA206" s="44"/>
      <c r="MB206" s="44"/>
      <c r="MC206" s="44"/>
      <c r="MD206" s="44"/>
      <c r="ME206" s="44"/>
      <c r="MF206" s="44"/>
      <c r="MG206" s="44"/>
      <c r="MH206" s="44"/>
      <c r="MI206" s="44"/>
      <c r="MJ206" s="44"/>
      <c r="MK206" s="44"/>
      <c r="ML206" s="44"/>
      <c r="MM206" s="44"/>
      <c r="MN206" s="44"/>
      <c r="MO206" s="44"/>
      <c r="MP206" s="44"/>
      <c r="MQ206" s="44"/>
      <c r="MR206" s="44"/>
      <c r="MS206" s="44"/>
      <c r="MT206" s="44"/>
      <c r="MU206" s="44"/>
      <c r="MV206" s="44"/>
      <c r="MW206" s="44"/>
      <c r="MX206" s="44"/>
      <c r="MY206" s="44"/>
      <c r="MZ206" s="44"/>
      <c r="NA206" s="44"/>
      <c r="NB206" s="44"/>
      <c r="NC206" s="44"/>
      <c r="ND206" s="44"/>
      <c r="NE206" s="44"/>
      <c r="NF206" s="44"/>
      <c r="NG206" s="44"/>
      <c r="NH206" s="44"/>
      <c r="NI206" s="44"/>
      <c r="NJ206" s="44"/>
      <c r="NK206" s="44"/>
      <c r="NL206" s="44"/>
      <c r="NM206" s="44"/>
      <c r="NN206" s="44"/>
      <c r="NO206" s="44"/>
      <c r="NP206" s="44"/>
      <c r="NQ206" s="44"/>
      <c r="NR206" s="44"/>
      <c r="NS206" s="44"/>
      <c r="NT206" s="44"/>
      <c r="NU206" s="44"/>
      <c r="NV206" s="44"/>
      <c r="NW206" s="44"/>
      <c r="NX206" s="44"/>
      <c r="NY206" s="44"/>
      <c r="NZ206" s="44"/>
      <c r="OA206" s="44"/>
      <c r="OB206" s="44"/>
      <c r="OC206" s="44"/>
      <c r="OD206" s="44"/>
      <c r="OE206" s="44"/>
      <c r="OF206" s="44"/>
      <c r="OG206" s="44"/>
      <c r="OH206" s="44"/>
      <c r="OI206" s="44"/>
      <c r="OJ206" s="44"/>
      <c r="OK206" s="44"/>
      <c r="OL206" s="44"/>
      <c r="OM206" s="44"/>
      <c r="ON206" s="44"/>
      <c r="OO206" s="44"/>
      <c r="OP206" s="44"/>
      <c r="OQ206" s="44"/>
      <c r="OR206" s="44"/>
      <c r="OS206" s="44"/>
      <c r="OT206" s="44"/>
      <c r="OU206" s="44"/>
      <c r="OV206" s="44"/>
      <c r="OW206" s="44"/>
      <c r="OX206" s="44"/>
      <c r="OY206" s="44"/>
      <c r="OZ206" s="44"/>
      <c r="PA206" s="44"/>
      <c r="PB206" s="44"/>
      <c r="PC206" s="44"/>
      <c r="PD206" s="44"/>
      <c r="PE206" s="44"/>
      <c r="PF206" s="44"/>
      <c r="PG206" s="44"/>
      <c r="PH206" s="44"/>
      <c r="PI206" s="44"/>
      <c r="PJ206" s="44"/>
      <c r="PK206" s="44"/>
      <c r="PL206" s="44"/>
      <c r="PM206" s="44"/>
      <c r="PN206" s="44"/>
      <c r="PO206" s="44"/>
      <c r="PP206" s="44"/>
      <c r="PQ206" s="44"/>
      <c r="PR206" s="44"/>
      <c r="PS206" s="44"/>
      <c r="PT206" s="44"/>
      <c r="PU206" s="44"/>
      <c r="PV206" s="44"/>
      <c r="PW206" s="44"/>
      <c r="PX206" s="44"/>
      <c r="PY206" s="44"/>
      <c r="PZ206" s="44"/>
      <c r="QA206" s="44"/>
      <c r="QB206" s="44"/>
      <c r="QC206" s="44"/>
      <c r="QD206" s="44"/>
      <c r="QE206" s="44"/>
      <c r="QF206" s="44"/>
      <c r="QG206" s="44"/>
      <c r="QH206" s="44"/>
      <c r="QI206" s="44"/>
      <c r="QJ206" s="44"/>
      <c r="QK206" s="44"/>
      <c r="QL206" s="44"/>
      <c r="QM206" s="44"/>
      <c r="QN206" s="44"/>
      <c r="QO206" s="44"/>
      <c r="QP206" s="44"/>
      <c r="QQ206" s="44"/>
      <c r="QR206" s="44"/>
      <c r="QS206" s="44"/>
      <c r="QT206" s="44"/>
      <c r="QU206" s="44"/>
      <c r="QV206" s="44"/>
      <c r="QW206" s="44"/>
      <c r="QX206" s="44"/>
      <c r="QY206" s="44"/>
      <c r="QZ206" s="44"/>
      <c r="RA206" s="44"/>
      <c r="RB206" s="44"/>
      <c r="RC206" s="44"/>
      <c r="RD206" s="44"/>
      <c r="RE206" s="44"/>
      <c r="RF206" s="44"/>
      <c r="RG206" s="44"/>
      <c r="RH206" s="44"/>
      <c r="RI206" s="44"/>
      <c r="RJ206" s="44"/>
      <c r="RK206" s="44"/>
      <c r="RL206" s="44"/>
      <c r="RM206" s="44"/>
      <c r="RN206" s="44"/>
      <c r="RO206" s="44"/>
      <c r="RP206" s="44"/>
      <c r="RQ206" s="44"/>
      <c r="RR206" s="44"/>
      <c r="RS206" s="44"/>
      <c r="RT206" s="44"/>
      <c r="RU206" s="44"/>
      <c r="RV206" s="44"/>
      <c r="RW206" s="44"/>
      <c r="RX206" s="44"/>
      <c r="RY206" s="44"/>
      <c r="RZ206" s="44"/>
      <c r="SA206" s="44"/>
      <c r="SB206" s="44"/>
      <c r="SC206" s="44"/>
      <c r="SD206" s="44"/>
      <c r="SE206" s="44"/>
      <c r="SF206" s="44"/>
      <c r="SG206" s="44"/>
      <c r="SH206" s="44"/>
      <c r="SI206" s="44"/>
      <c r="SJ206" s="44"/>
      <c r="SK206" s="44"/>
      <c r="SL206" s="44"/>
      <c r="SM206" s="44"/>
      <c r="SN206" s="44"/>
      <c r="SO206" s="44"/>
      <c r="SP206" s="44"/>
      <c r="SQ206" s="44"/>
      <c r="SR206" s="44"/>
      <c r="SS206" s="44"/>
      <c r="ST206" s="44"/>
      <c r="SU206" s="44"/>
      <c r="SV206" s="44"/>
      <c r="SW206" s="44"/>
      <c r="SX206" s="44"/>
      <c r="SY206" s="44"/>
      <c r="SZ206" s="44"/>
      <c r="TA206" s="44"/>
      <c r="TB206" s="44"/>
      <c r="TC206" s="44"/>
      <c r="TD206" s="44"/>
      <c r="TE206" s="44"/>
      <c r="TF206" s="44"/>
      <c r="TG206" s="44"/>
      <c r="TH206" s="44"/>
      <c r="TI206" s="44"/>
      <c r="TJ206" s="44"/>
      <c r="TK206" s="44"/>
      <c r="TL206" s="44"/>
      <c r="TM206" s="44"/>
      <c r="TN206" s="44"/>
      <c r="TO206" s="44"/>
      <c r="TP206" s="44"/>
      <c r="TQ206" s="44"/>
      <c r="TR206" s="44"/>
      <c r="TS206" s="44"/>
      <c r="TT206" s="44"/>
      <c r="TU206" s="44"/>
      <c r="TV206" s="44"/>
      <c r="TW206" s="44"/>
      <c r="TX206" s="44"/>
      <c r="TY206" s="44"/>
      <c r="TZ206" s="44"/>
      <c r="UA206" s="44"/>
      <c r="UB206" s="44"/>
      <c r="UC206" s="44"/>
      <c r="UD206" s="44"/>
      <c r="UE206" s="44"/>
      <c r="UF206" s="44"/>
      <c r="UG206" s="44"/>
      <c r="UH206" s="44"/>
      <c r="UI206" s="44"/>
      <c r="UJ206" s="44"/>
      <c r="UK206" s="44"/>
      <c r="UL206" s="44"/>
      <c r="UM206" s="44"/>
      <c r="UN206" s="44"/>
      <c r="UO206" s="44"/>
      <c r="UP206" s="44"/>
      <c r="UQ206" s="44"/>
      <c r="UR206" s="44"/>
      <c r="US206" s="44"/>
      <c r="UT206" s="44"/>
      <c r="UU206" s="44"/>
      <c r="UV206" s="44"/>
      <c r="UW206" s="44"/>
      <c r="UX206" s="44"/>
      <c r="UY206" s="44"/>
      <c r="UZ206" s="44"/>
      <c r="VA206" s="44"/>
      <c r="VB206" s="44"/>
      <c r="VC206" s="44"/>
      <c r="VD206" s="44"/>
      <c r="VE206" s="44"/>
      <c r="VF206" s="44"/>
      <c r="VG206" s="44"/>
      <c r="VH206" s="44"/>
      <c r="VI206" s="44"/>
      <c r="VJ206" s="44"/>
      <c r="VK206" s="44"/>
      <c r="VL206" s="44"/>
      <c r="VM206" s="44"/>
      <c r="VN206" s="44"/>
      <c r="VO206" s="44"/>
      <c r="VP206" s="44"/>
      <c r="VQ206" s="44"/>
      <c r="VR206" s="44"/>
      <c r="VS206" s="44"/>
      <c r="VT206" s="44"/>
      <c r="VU206" s="44"/>
      <c r="VV206" s="44"/>
      <c r="VW206" s="44"/>
      <c r="VX206" s="44"/>
      <c r="VY206" s="44"/>
      <c r="VZ206" s="44"/>
      <c r="WA206" s="44"/>
      <c r="WB206" s="44"/>
      <c r="WC206" s="44"/>
      <c r="WD206" s="44"/>
      <c r="WE206" s="44"/>
      <c r="WF206" s="44"/>
      <c r="WG206" s="44"/>
      <c r="WH206" s="44"/>
      <c r="WI206" s="44"/>
      <c r="WJ206" s="44"/>
      <c r="WK206" s="44"/>
      <c r="WL206" s="44"/>
      <c r="WM206" s="44"/>
      <c r="WN206" s="44"/>
      <c r="WO206" s="44"/>
      <c r="WP206" s="44"/>
      <c r="WQ206" s="44"/>
      <c r="WR206" s="44"/>
      <c r="WS206" s="44"/>
      <c r="WT206" s="44"/>
      <c r="WU206" s="44"/>
      <c r="WV206" s="44"/>
      <c r="WW206" s="44"/>
      <c r="WX206" s="44"/>
      <c r="WY206" s="44"/>
      <c r="WZ206" s="44"/>
      <c r="XA206" s="44"/>
      <c r="XB206" s="44"/>
      <c r="XC206" s="44"/>
      <c r="XD206" s="44"/>
      <c r="XE206" s="44"/>
      <c r="XF206" s="44"/>
      <c r="XG206" s="44"/>
      <c r="XH206" s="44"/>
      <c r="XI206" s="44"/>
      <c r="XJ206" s="44"/>
      <c r="XK206" s="44"/>
      <c r="XL206" s="44"/>
      <c r="XM206" s="44"/>
      <c r="XN206" s="44"/>
      <c r="XO206" s="44"/>
      <c r="XP206" s="44"/>
      <c r="XQ206" s="44"/>
      <c r="XR206" s="44"/>
      <c r="XS206" s="44"/>
      <c r="XT206" s="44"/>
      <c r="XU206" s="44"/>
      <c r="XV206" s="44"/>
      <c r="XW206" s="44"/>
      <c r="XX206" s="44"/>
      <c r="XY206" s="44"/>
      <c r="XZ206" s="44"/>
      <c r="YA206" s="44"/>
      <c r="YB206" s="44"/>
      <c r="YC206" s="44"/>
      <c r="YD206" s="44"/>
      <c r="YE206" s="44"/>
      <c r="YF206" s="44"/>
      <c r="YG206" s="44"/>
      <c r="YH206" s="44"/>
      <c r="YI206" s="44"/>
      <c r="YJ206" s="44"/>
      <c r="YK206" s="44"/>
      <c r="YL206" s="44"/>
      <c r="YM206" s="44"/>
      <c r="YN206" s="44"/>
      <c r="YO206" s="44"/>
      <c r="YP206" s="44"/>
      <c r="YQ206" s="44"/>
      <c r="YR206" s="44"/>
      <c r="YS206" s="44"/>
      <c r="YT206" s="44"/>
      <c r="YU206" s="44"/>
      <c r="YV206" s="44"/>
      <c r="YW206" s="44"/>
      <c r="YX206" s="44"/>
      <c r="YY206" s="44"/>
      <c r="YZ206" s="44"/>
      <c r="ZA206" s="44"/>
      <c r="ZB206" s="44"/>
      <c r="ZC206" s="44"/>
      <c r="ZD206" s="44"/>
      <c r="ZE206" s="44"/>
      <c r="ZF206" s="44"/>
      <c r="ZG206" s="44"/>
      <c r="ZH206" s="44"/>
      <c r="ZI206" s="44"/>
      <c r="ZJ206" s="44"/>
      <c r="ZK206" s="44"/>
      <c r="ZL206" s="44"/>
      <c r="ZM206" s="44"/>
      <c r="ZN206" s="44"/>
      <c r="ZO206" s="44"/>
      <c r="ZP206" s="44"/>
      <c r="ZQ206" s="44"/>
      <c r="ZR206" s="44"/>
      <c r="ZS206" s="44"/>
      <c r="ZT206" s="44"/>
      <c r="ZU206" s="44"/>
      <c r="ZV206" s="44"/>
      <c r="ZW206" s="44"/>
      <c r="ZX206" s="44"/>
      <c r="ZY206" s="44"/>
      <c r="ZZ206" s="44"/>
      <c r="AAA206" s="44"/>
      <c r="AAB206" s="44"/>
      <c r="AAC206" s="44"/>
      <c r="AAD206" s="44"/>
      <c r="AAE206" s="44"/>
      <c r="AAF206" s="44"/>
      <c r="AAG206" s="44"/>
      <c r="AAH206" s="44"/>
      <c r="AAI206" s="44"/>
      <c r="AAJ206" s="44"/>
      <c r="AAK206" s="44"/>
      <c r="AAL206" s="44"/>
      <c r="AAM206" s="44"/>
      <c r="AAN206" s="44"/>
      <c r="AAO206" s="44"/>
      <c r="AAP206" s="44"/>
      <c r="AAQ206" s="44"/>
      <c r="AAR206" s="44"/>
      <c r="AAS206" s="44"/>
      <c r="AAT206" s="44"/>
      <c r="AAU206" s="44"/>
      <c r="AAV206" s="44"/>
      <c r="AAW206" s="44"/>
      <c r="AAX206" s="44"/>
      <c r="AAY206" s="44"/>
      <c r="AAZ206" s="44"/>
      <c r="ABA206" s="44"/>
      <c r="ABB206" s="44"/>
      <c r="ABC206" s="44"/>
      <c r="ABD206" s="44"/>
      <c r="ABE206" s="44"/>
      <c r="ABF206" s="44"/>
      <c r="ABG206" s="44"/>
      <c r="ABH206" s="44"/>
      <c r="ABI206" s="44"/>
      <c r="ABJ206" s="44"/>
      <c r="ABK206" s="44"/>
      <c r="ABL206" s="44"/>
      <c r="ABM206" s="44"/>
      <c r="ABN206" s="44"/>
      <c r="ABO206" s="44"/>
      <c r="ABP206" s="44"/>
      <c r="ABQ206" s="44"/>
      <c r="ABR206" s="44"/>
      <c r="ABS206" s="44"/>
      <c r="ABT206" s="44"/>
      <c r="ABU206" s="44"/>
      <c r="ABV206" s="44"/>
      <c r="ABW206" s="44"/>
      <c r="ABX206" s="44"/>
      <c r="ABY206" s="44"/>
      <c r="ABZ206" s="44"/>
      <c r="ACA206" s="44"/>
      <c r="ACB206" s="44"/>
      <c r="ACC206" s="44"/>
      <c r="ACD206" s="44"/>
      <c r="ACE206" s="44"/>
      <c r="ACF206" s="44"/>
      <c r="ACG206" s="44"/>
      <c r="ACH206" s="44"/>
      <c r="ACI206" s="44"/>
      <c r="ACJ206" s="44"/>
      <c r="ACK206" s="44"/>
      <c r="ACL206" s="44"/>
      <c r="ACM206" s="44"/>
      <c r="ACN206" s="44"/>
      <c r="ACO206" s="44"/>
      <c r="ACP206" s="44"/>
      <c r="ACQ206" s="44"/>
      <c r="ACR206" s="44"/>
      <c r="ACS206" s="44"/>
      <c r="ACT206" s="44"/>
      <c r="ACU206" s="44"/>
      <c r="ACV206" s="44"/>
      <c r="ACW206" s="44"/>
      <c r="ACX206" s="44"/>
      <c r="ACY206" s="44"/>
      <c r="ACZ206" s="44"/>
      <c r="ADA206" s="44"/>
      <c r="ADB206" s="44"/>
      <c r="ADC206" s="44"/>
      <c r="ADD206" s="44"/>
      <c r="ADE206" s="44"/>
      <c r="ADF206" s="44"/>
      <c r="ADG206" s="44"/>
      <c r="ADH206" s="44"/>
      <c r="ADI206" s="44"/>
      <c r="ADJ206" s="44"/>
      <c r="ADK206" s="44"/>
      <c r="ADL206" s="44"/>
      <c r="ADM206" s="44"/>
      <c r="ADN206" s="44"/>
      <c r="ADO206" s="44"/>
      <c r="ADP206" s="44"/>
      <c r="ADQ206" s="44"/>
      <c r="ADR206" s="44"/>
      <c r="ADS206" s="44"/>
      <c r="ADT206" s="44"/>
      <c r="ADU206" s="44"/>
      <c r="ADV206" s="44"/>
      <c r="ADW206" s="44"/>
      <c r="ADX206" s="44"/>
      <c r="ADY206" s="44"/>
      <c r="ADZ206" s="44"/>
      <c r="AEA206" s="44"/>
      <c r="AEB206" s="44"/>
      <c r="AEC206" s="44"/>
      <c r="AED206" s="44"/>
      <c r="AEE206" s="44"/>
      <c r="AEF206" s="44"/>
      <c r="AEG206" s="44"/>
      <c r="AEH206" s="44"/>
      <c r="AEI206" s="44"/>
      <c r="AEJ206" s="44"/>
      <c r="AEK206" s="44"/>
      <c r="AEL206" s="44"/>
      <c r="AEM206" s="44"/>
      <c r="AEN206" s="44"/>
      <c r="AEO206" s="44"/>
      <c r="AEP206" s="44"/>
      <c r="AEQ206" s="44"/>
      <c r="AER206" s="44"/>
      <c r="AES206" s="44"/>
      <c r="AET206" s="44"/>
      <c r="AEU206" s="44"/>
      <c r="AEV206" s="44"/>
      <c r="AEW206" s="44"/>
      <c r="AEX206" s="44"/>
      <c r="AEY206" s="44"/>
      <c r="AEZ206" s="44"/>
      <c r="AFA206" s="44"/>
      <c r="AFB206" s="44"/>
      <c r="AFC206" s="44"/>
      <c r="AFD206" s="44"/>
      <c r="AFE206" s="44"/>
      <c r="AFF206" s="44"/>
      <c r="AFG206" s="44"/>
      <c r="AFH206" s="44"/>
      <c r="AFI206" s="44"/>
      <c r="AFJ206" s="44"/>
      <c r="AFK206" s="44"/>
      <c r="AFL206" s="44"/>
      <c r="AFM206" s="44"/>
      <c r="AFN206" s="44"/>
      <c r="AFO206" s="44"/>
      <c r="AFP206" s="44"/>
      <c r="AFQ206" s="44"/>
      <c r="AFR206" s="44"/>
      <c r="AFS206" s="44"/>
      <c r="AFT206" s="44"/>
      <c r="AFU206" s="44"/>
      <c r="AFV206" s="44"/>
      <c r="AFW206" s="44"/>
      <c r="AFX206" s="44"/>
      <c r="AFY206" s="44"/>
      <c r="AFZ206" s="44"/>
      <c r="AGA206" s="44"/>
      <c r="AGB206" s="44"/>
      <c r="AGC206" s="44"/>
      <c r="AGD206" s="44"/>
      <c r="AGE206" s="44"/>
      <c r="AGF206" s="44"/>
      <c r="AGG206" s="44"/>
      <c r="AGH206" s="44"/>
      <c r="AGI206" s="44"/>
      <c r="AGJ206" s="44"/>
      <c r="AGK206" s="44"/>
      <c r="AGL206" s="44"/>
      <c r="AGM206" s="44"/>
      <c r="AGN206" s="44"/>
      <c r="AGO206" s="44"/>
      <c r="AGP206" s="44"/>
      <c r="AGQ206" s="44"/>
      <c r="AGR206" s="44"/>
      <c r="AGS206" s="44"/>
      <c r="AGT206" s="44"/>
      <c r="AGU206" s="44"/>
      <c r="AGV206" s="44"/>
      <c r="AGW206" s="44"/>
      <c r="AGX206" s="44"/>
      <c r="AGY206" s="44"/>
      <c r="AGZ206" s="44"/>
      <c r="AHA206" s="44"/>
      <c r="AHB206" s="44"/>
      <c r="AHC206" s="44"/>
      <c r="AHD206" s="44"/>
      <c r="AHE206" s="44"/>
      <c r="AHF206" s="44"/>
      <c r="AHG206" s="44"/>
      <c r="AHH206" s="44"/>
      <c r="AHI206" s="44"/>
      <c r="AHJ206" s="44"/>
      <c r="AHK206" s="44"/>
      <c r="AHL206" s="44"/>
      <c r="AHM206" s="44"/>
      <c r="AHN206" s="44"/>
      <c r="AHO206" s="44"/>
      <c r="AHP206" s="44"/>
      <c r="AHQ206" s="44"/>
      <c r="AHR206" s="44"/>
      <c r="AHS206" s="44"/>
      <c r="AHT206" s="44"/>
      <c r="AHU206" s="44"/>
      <c r="AHV206" s="44"/>
      <c r="AHW206" s="44"/>
      <c r="AHX206" s="44"/>
      <c r="AHY206" s="44"/>
      <c r="AHZ206" s="44"/>
      <c r="AIA206" s="44"/>
      <c r="AIB206" s="44"/>
      <c r="AIC206" s="44"/>
      <c r="AID206" s="44"/>
      <c r="AIE206" s="44"/>
      <c r="AIF206" s="44"/>
      <c r="AIG206" s="44"/>
      <c r="AIH206" s="44"/>
      <c r="AII206" s="44"/>
      <c r="AIJ206" s="44"/>
      <c r="AIK206" s="44"/>
      <c r="AIL206" s="44"/>
      <c r="AIM206" s="44"/>
      <c r="AIN206" s="44"/>
      <c r="AIO206" s="44"/>
      <c r="AIP206" s="44"/>
      <c r="AIQ206" s="44"/>
      <c r="AIR206" s="44"/>
      <c r="AIS206" s="44"/>
      <c r="AIT206" s="44"/>
      <c r="AIU206" s="44"/>
      <c r="AIV206" s="44"/>
      <c r="AIW206" s="44"/>
      <c r="AIX206" s="44"/>
      <c r="AIY206" s="44"/>
      <c r="AIZ206" s="44"/>
      <c r="AJA206" s="44"/>
      <c r="AJB206" s="44"/>
      <c r="AJC206" s="44"/>
      <c r="AJD206" s="44"/>
      <c r="AJE206" s="44"/>
      <c r="AJF206" s="44"/>
      <c r="AJG206" s="44"/>
      <c r="AJH206" s="44"/>
      <c r="AJI206" s="44"/>
      <c r="AJJ206" s="44"/>
      <c r="AJK206" s="44"/>
      <c r="AJL206" s="44"/>
      <c r="AJM206" s="44"/>
      <c r="AJN206" s="44"/>
      <c r="AJO206" s="44"/>
      <c r="AJP206" s="44"/>
      <c r="AJQ206" s="44"/>
      <c r="AJR206" s="44"/>
      <c r="AJS206" s="44"/>
      <c r="AJT206" s="44"/>
      <c r="AJU206" s="44"/>
      <c r="AJV206" s="44"/>
      <c r="AJW206" s="44"/>
      <c r="AJX206" s="44"/>
      <c r="AJY206" s="44"/>
      <c r="AJZ206" s="44"/>
      <c r="AKA206" s="44"/>
      <c r="AKB206" s="44"/>
      <c r="AKC206" s="44"/>
      <c r="AKD206" s="44"/>
      <c r="AKE206" s="44"/>
      <c r="AKF206" s="44"/>
      <c r="AKG206" s="44"/>
      <c r="AKH206" s="44"/>
      <c r="AKI206" s="44"/>
      <c r="AKJ206" s="44"/>
      <c r="AKK206" s="44"/>
      <c r="AKL206" s="44"/>
      <c r="AKM206" s="44"/>
      <c r="AKN206" s="44"/>
      <c r="AKO206" s="44"/>
      <c r="AKP206" s="44"/>
      <c r="AKQ206" s="44"/>
      <c r="AKR206" s="44"/>
      <c r="AKS206" s="44"/>
      <c r="AKT206" s="44"/>
      <c r="AKU206" s="44"/>
      <c r="AKV206" s="44"/>
      <c r="AKW206" s="44"/>
      <c r="AKX206" s="44"/>
      <c r="AKY206" s="44"/>
      <c r="AKZ206" s="44"/>
      <c r="ALA206" s="44"/>
      <c r="ALB206" s="44"/>
      <c r="ALC206" s="44"/>
      <c r="ALD206" s="44"/>
      <c r="ALE206" s="44"/>
      <c r="ALF206" s="44"/>
      <c r="ALG206" s="44"/>
      <c r="ALH206" s="44"/>
      <c r="ALI206" s="44"/>
      <c r="ALJ206" s="44"/>
      <c r="ALK206" s="44"/>
      <c r="ALL206" s="44"/>
      <c r="ALM206" s="44"/>
      <c r="ALN206" s="44"/>
      <c r="ALO206" s="44"/>
      <c r="ALP206" s="44"/>
      <c r="ALQ206" s="44"/>
      <c r="ALR206" s="44"/>
      <c r="ALS206" s="44"/>
      <c r="ALT206" s="44"/>
      <c r="ALU206" s="44"/>
      <c r="ALV206" s="44"/>
      <c r="ALW206" s="44"/>
      <c r="ALX206" s="44"/>
      <c r="ALY206" s="44"/>
      <c r="ALZ206" s="44"/>
      <c r="AMA206" s="44"/>
      <c r="AMB206" s="44"/>
      <c r="AMC206" s="44"/>
      <c r="AMD206" s="44"/>
      <c r="AME206" s="44"/>
      <c r="AMF206" s="44"/>
      <c r="AMG206" s="44"/>
      <c r="AMH206" s="44"/>
      <c r="AMI206" s="44"/>
      <c r="AMJ206" s="44"/>
      <c r="AMK206" s="44"/>
      <c r="AML206" s="44"/>
      <c r="AMM206" s="44"/>
      <c r="AMN206" s="44"/>
      <c r="AMO206" s="44"/>
      <c r="AMP206" s="44"/>
      <c r="AMQ206" s="44"/>
      <c r="AMR206" s="44"/>
      <c r="AMS206" s="44"/>
      <c r="AMT206" s="44"/>
      <c r="AMU206" s="44"/>
      <c r="AMV206" s="44"/>
      <c r="AMW206" s="44"/>
      <c r="AMX206" s="44"/>
      <c r="AMY206" s="44"/>
      <c r="AMZ206" s="44"/>
      <c r="ANA206" s="44"/>
      <c r="ANB206" s="44"/>
      <c r="ANC206" s="44"/>
      <c r="AND206" s="44"/>
      <c r="ANE206" s="44"/>
      <c r="ANF206" s="44"/>
      <c r="ANG206" s="44"/>
      <c r="ANH206" s="44"/>
      <c r="ANI206" s="44"/>
      <c r="ANJ206" s="44"/>
      <c r="ANK206" s="44"/>
      <c r="ANL206" s="44"/>
      <c r="ANM206" s="44"/>
      <c r="ANN206" s="44"/>
      <c r="ANO206" s="44"/>
      <c r="ANP206" s="44"/>
      <c r="ANQ206" s="44"/>
      <c r="ANR206" s="44"/>
      <c r="ANS206" s="44"/>
      <c r="ANT206" s="44"/>
      <c r="ANU206" s="44"/>
      <c r="ANV206" s="44"/>
      <c r="ANW206" s="44"/>
      <c r="ANX206" s="44"/>
      <c r="ANY206" s="44"/>
      <c r="ANZ206" s="44"/>
      <c r="AOA206" s="44"/>
      <c r="AOB206" s="44"/>
      <c r="AOC206" s="44"/>
      <c r="AOD206" s="44"/>
      <c r="AOE206" s="44"/>
      <c r="AOF206" s="44"/>
      <c r="AOG206" s="44"/>
      <c r="AOH206" s="44"/>
      <c r="AOI206" s="44"/>
      <c r="AOJ206" s="44"/>
      <c r="AOK206" s="44"/>
      <c r="AOL206" s="44"/>
      <c r="AOM206" s="44"/>
      <c r="AON206" s="44"/>
      <c r="AOO206" s="44"/>
      <c r="AOP206" s="44"/>
      <c r="AOQ206" s="44"/>
      <c r="AOR206" s="44"/>
      <c r="AOS206" s="44"/>
      <c r="AOT206" s="44"/>
      <c r="AOU206" s="44"/>
      <c r="AOV206" s="44"/>
      <c r="AOW206" s="44"/>
      <c r="AOX206" s="44"/>
      <c r="AOY206" s="44"/>
      <c r="AOZ206" s="44"/>
      <c r="APA206" s="44"/>
      <c r="APB206" s="44"/>
      <c r="APC206" s="44"/>
      <c r="APD206" s="44"/>
      <c r="APE206" s="44"/>
      <c r="APF206" s="44"/>
      <c r="APG206" s="44"/>
      <c r="APH206" s="44"/>
      <c r="API206" s="44"/>
      <c r="APJ206" s="44"/>
      <c r="APK206" s="44"/>
      <c r="APL206" s="44"/>
      <c r="APM206" s="44"/>
      <c r="APN206" s="44"/>
      <c r="APO206" s="44"/>
      <c r="APP206" s="44"/>
      <c r="APQ206" s="44"/>
      <c r="APR206" s="44"/>
      <c r="APS206" s="44"/>
      <c r="APT206" s="44"/>
      <c r="APU206" s="44"/>
      <c r="APV206" s="44"/>
      <c r="APW206" s="44"/>
      <c r="APX206" s="44"/>
      <c r="APY206" s="44"/>
      <c r="APZ206" s="44"/>
      <c r="AQA206" s="44"/>
      <c r="AQB206" s="44"/>
      <c r="AQC206" s="44"/>
      <c r="AQD206" s="44"/>
      <c r="AQE206" s="44"/>
      <c r="AQF206" s="44"/>
      <c r="AQG206" s="44"/>
      <c r="AQH206" s="44"/>
      <c r="AQI206" s="44"/>
      <c r="AQJ206" s="44"/>
      <c r="AQK206" s="44"/>
      <c r="AQL206" s="44"/>
      <c r="AQM206" s="44"/>
      <c r="AQN206" s="44"/>
      <c r="AQO206" s="44"/>
      <c r="AQP206" s="44"/>
      <c r="AQQ206" s="44"/>
      <c r="AQR206" s="44"/>
      <c r="AQS206" s="44"/>
      <c r="AQT206" s="44"/>
      <c r="AQU206" s="44"/>
      <c r="AQV206" s="44"/>
      <c r="AQW206" s="44"/>
      <c r="AQX206" s="44"/>
      <c r="AQY206" s="44"/>
      <c r="AQZ206" s="44"/>
      <c r="ARA206" s="44"/>
      <c r="ARB206" s="44"/>
      <c r="ARC206" s="44"/>
      <c r="ARD206" s="44"/>
      <c r="ARE206" s="44"/>
      <c r="ARF206" s="44"/>
      <c r="ARG206" s="44"/>
      <c r="ARH206" s="44"/>
      <c r="ARI206" s="44"/>
      <c r="ARJ206" s="44"/>
      <c r="ARK206" s="44"/>
      <c r="ARL206" s="44"/>
      <c r="ARM206" s="44"/>
      <c r="ARN206" s="44"/>
      <c r="ARO206" s="44"/>
      <c r="ARP206" s="44"/>
      <c r="ARQ206" s="44"/>
      <c r="ARR206" s="44"/>
      <c r="ARS206" s="44"/>
      <c r="ART206" s="44"/>
      <c r="ARU206" s="44"/>
      <c r="ARV206" s="44"/>
      <c r="ARW206" s="44"/>
      <c r="ARX206" s="44"/>
      <c r="ARY206" s="44"/>
      <c r="ARZ206" s="44"/>
      <c r="ASA206" s="44"/>
      <c r="ASB206" s="44"/>
      <c r="ASC206" s="44"/>
      <c r="ASD206" s="44"/>
      <c r="ASE206" s="44"/>
      <c r="ASF206" s="44"/>
      <c r="ASG206" s="44"/>
      <c r="ASH206" s="44"/>
      <c r="ASI206" s="44"/>
      <c r="ASJ206" s="44"/>
      <c r="ASK206" s="44"/>
      <c r="ASL206" s="44"/>
      <c r="ASM206" s="44"/>
      <c r="ASN206" s="44"/>
      <c r="ASO206" s="44"/>
      <c r="ASP206" s="44"/>
      <c r="ASQ206" s="44"/>
      <c r="ASR206" s="44"/>
      <c r="ASS206" s="44"/>
      <c r="AST206" s="44"/>
      <c r="ASU206" s="44"/>
      <c r="ASV206" s="44"/>
      <c r="ASW206" s="44"/>
      <c r="ASX206" s="44"/>
      <c r="ASY206" s="44"/>
      <c r="ASZ206" s="44"/>
      <c r="ATA206" s="44"/>
      <c r="ATB206" s="44"/>
      <c r="ATC206" s="44"/>
      <c r="ATD206" s="44"/>
      <c r="ATE206" s="44"/>
      <c r="ATF206" s="44"/>
      <c r="ATG206" s="44"/>
      <c r="ATH206" s="44"/>
      <c r="ATI206" s="44"/>
      <c r="ATJ206" s="44"/>
      <c r="ATK206" s="44"/>
      <c r="ATL206" s="44"/>
      <c r="ATM206" s="44"/>
      <c r="ATN206" s="44"/>
      <c r="ATO206" s="44"/>
      <c r="ATP206" s="44"/>
      <c r="ATQ206" s="44"/>
      <c r="ATR206" s="44"/>
      <c r="ATS206" s="44"/>
      <c r="ATT206" s="44"/>
      <c r="ATU206" s="44"/>
      <c r="ATV206" s="44"/>
      <c r="ATW206" s="44"/>
      <c r="ATX206" s="44"/>
      <c r="ATY206" s="44"/>
      <c r="ATZ206" s="44"/>
      <c r="AUA206" s="44"/>
      <c r="AUB206" s="44"/>
      <c r="AUC206" s="44"/>
      <c r="AUD206" s="44"/>
      <c r="AUE206" s="44"/>
      <c r="AUF206" s="44"/>
      <c r="AUG206" s="44"/>
      <c r="AUH206" s="44"/>
      <c r="AUI206" s="44"/>
      <c r="AUJ206" s="44"/>
      <c r="AUK206" s="44"/>
      <c r="AUL206" s="44"/>
      <c r="AUM206" s="44"/>
      <c r="AUN206" s="44"/>
      <c r="AUO206" s="44"/>
      <c r="AUP206" s="44"/>
      <c r="AUQ206" s="44"/>
      <c r="AUR206" s="44"/>
      <c r="AUS206" s="44"/>
      <c r="AUT206" s="44"/>
      <c r="AUU206" s="44"/>
      <c r="AUV206" s="44"/>
      <c r="AUW206" s="44"/>
      <c r="AUX206" s="44"/>
      <c r="AUY206" s="44"/>
      <c r="AUZ206" s="44"/>
      <c r="AVA206" s="44"/>
      <c r="AVB206" s="44"/>
      <c r="AVC206" s="44"/>
      <c r="AVD206" s="44"/>
      <c r="AVE206" s="44"/>
      <c r="AVF206" s="44"/>
      <c r="AVG206" s="44"/>
      <c r="AVH206" s="44"/>
      <c r="AVI206" s="44"/>
      <c r="AVJ206" s="44"/>
      <c r="AVK206" s="44"/>
      <c r="AVL206" s="44"/>
      <c r="AVM206" s="44"/>
      <c r="AVN206" s="44"/>
      <c r="AVO206" s="44"/>
      <c r="AVP206" s="44"/>
      <c r="AVQ206" s="44"/>
      <c r="AVR206" s="44"/>
      <c r="AVS206" s="44"/>
      <c r="AVT206" s="44"/>
      <c r="AVU206" s="44"/>
      <c r="AVV206" s="44"/>
      <c r="AVW206" s="44"/>
      <c r="AVX206" s="44"/>
      <c r="AVY206" s="44"/>
      <c r="AVZ206" s="44"/>
      <c r="AWA206" s="44"/>
      <c r="AWB206" s="44"/>
      <c r="AWC206" s="44"/>
      <c r="AWD206" s="44"/>
      <c r="AWE206" s="44"/>
      <c r="AWF206" s="44"/>
      <c r="AWG206" s="44"/>
      <c r="AWH206" s="44"/>
      <c r="AWI206" s="44"/>
      <c r="AWJ206" s="44"/>
      <c r="AWK206" s="44"/>
      <c r="AWL206" s="44"/>
      <c r="AWM206" s="44"/>
      <c r="AWN206" s="44"/>
      <c r="AWO206" s="44"/>
      <c r="AWP206" s="44"/>
      <c r="AWQ206" s="44"/>
      <c r="AWR206" s="44"/>
      <c r="AWS206" s="44"/>
      <c r="AWT206" s="44"/>
      <c r="AWU206" s="44"/>
      <c r="AWV206" s="44"/>
      <c r="AWW206" s="44"/>
      <c r="AWX206" s="44"/>
      <c r="AWY206" s="44"/>
      <c r="AWZ206" s="44"/>
      <c r="AXA206" s="44"/>
      <c r="AXB206" s="44"/>
      <c r="AXC206" s="44"/>
      <c r="AXD206" s="44"/>
      <c r="AXE206" s="44"/>
      <c r="AXF206" s="44"/>
      <c r="AXG206" s="44"/>
      <c r="AXH206" s="44"/>
      <c r="AXI206" s="44"/>
      <c r="AXJ206" s="44"/>
      <c r="AXK206" s="44"/>
      <c r="AXL206" s="44"/>
      <c r="AXM206" s="44"/>
      <c r="AXN206" s="44"/>
      <c r="AXO206" s="44"/>
      <c r="AXP206" s="44"/>
      <c r="AXQ206" s="44"/>
      <c r="AXR206" s="44"/>
      <c r="AXS206" s="44"/>
      <c r="AXT206" s="44"/>
      <c r="AXU206" s="44"/>
      <c r="AXV206" s="44"/>
      <c r="AXW206" s="44"/>
      <c r="AXX206" s="44"/>
      <c r="AXY206" s="44"/>
      <c r="AXZ206" s="44"/>
      <c r="AYA206" s="44"/>
      <c r="AYB206" s="44"/>
      <c r="AYC206" s="44"/>
      <c r="AYD206" s="44"/>
      <c r="AYE206" s="44"/>
      <c r="AYF206" s="44"/>
      <c r="AYG206" s="44"/>
      <c r="AYH206" s="44"/>
      <c r="AYI206" s="44"/>
      <c r="AYJ206" s="44"/>
      <c r="AYK206" s="44"/>
      <c r="AYL206" s="44"/>
      <c r="AYM206" s="44"/>
      <c r="AYN206" s="44"/>
      <c r="AYO206" s="44"/>
      <c r="AYP206" s="44"/>
      <c r="AYQ206" s="44"/>
      <c r="AYR206" s="44"/>
      <c r="AYS206" s="44"/>
      <c r="AYT206" s="44"/>
      <c r="AYU206" s="44"/>
      <c r="AYV206" s="44"/>
      <c r="AYW206" s="44"/>
      <c r="AYX206" s="44"/>
      <c r="AYY206" s="44"/>
      <c r="AYZ206" s="44"/>
      <c r="AZA206" s="44"/>
      <c r="AZB206" s="44"/>
      <c r="AZC206" s="44"/>
      <c r="AZD206" s="44"/>
      <c r="AZE206" s="44"/>
      <c r="AZF206" s="44"/>
      <c r="AZG206" s="44"/>
      <c r="AZH206" s="44"/>
      <c r="AZI206" s="44"/>
      <c r="AZJ206" s="44"/>
      <c r="AZK206" s="44"/>
      <c r="AZL206" s="44"/>
      <c r="AZM206" s="44"/>
      <c r="AZN206" s="44"/>
      <c r="AZO206" s="44"/>
      <c r="AZP206" s="44"/>
      <c r="AZQ206" s="44"/>
      <c r="AZR206" s="44"/>
      <c r="AZS206" s="44"/>
      <c r="AZT206" s="44"/>
      <c r="AZU206" s="44"/>
      <c r="AZV206" s="44"/>
      <c r="AZW206" s="44"/>
      <c r="AZX206" s="44"/>
      <c r="AZY206" s="44"/>
      <c r="AZZ206" s="44"/>
      <c r="BAA206" s="44"/>
      <c r="BAB206" s="44"/>
      <c r="BAC206" s="44"/>
      <c r="BAD206" s="44"/>
      <c r="BAE206" s="44"/>
      <c r="BAF206" s="44"/>
      <c r="BAG206" s="44"/>
      <c r="BAH206" s="44"/>
      <c r="BAI206" s="44"/>
      <c r="BAJ206" s="44"/>
      <c r="BAK206" s="44"/>
      <c r="BAL206" s="44"/>
      <c r="BAM206" s="44"/>
      <c r="BAN206" s="44"/>
      <c r="BAO206" s="44"/>
      <c r="BAP206" s="44"/>
      <c r="BAQ206" s="44"/>
      <c r="BAR206" s="44"/>
      <c r="BAS206" s="44"/>
      <c r="BAT206" s="44"/>
      <c r="BAU206" s="44"/>
      <c r="BAV206" s="44"/>
      <c r="BAW206" s="44"/>
      <c r="BAX206" s="44"/>
      <c r="BAY206" s="44"/>
      <c r="BAZ206" s="44"/>
      <c r="BBA206" s="44"/>
      <c r="BBB206" s="44"/>
      <c r="BBC206" s="44"/>
      <c r="BBD206" s="44"/>
      <c r="BBE206" s="44"/>
      <c r="BBF206" s="44"/>
      <c r="BBG206" s="44"/>
      <c r="BBH206" s="44"/>
      <c r="BBI206" s="44"/>
      <c r="BBJ206" s="44"/>
      <c r="BBK206" s="44"/>
      <c r="BBL206" s="44"/>
      <c r="BBM206" s="44"/>
      <c r="BBN206" s="44"/>
      <c r="BBO206" s="44"/>
      <c r="BBP206" s="44"/>
      <c r="BBQ206" s="44"/>
      <c r="BBR206" s="44"/>
      <c r="BBS206" s="44"/>
      <c r="BBT206" s="44"/>
      <c r="BBU206" s="44"/>
      <c r="BBV206" s="44"/>
      <c r="BBW206" s="44"/>
      <c r="BBX206" s="44"/>
      <c r="BBY206" s="44"/>
      <c r="BBZ206" s="44"/>
      <c r="BCA206" s="44"/>
      <c r="BCB206" s="44"/>
      <c r="BCC206" s="44"/>
      <c r="BCD206" s="44"/>
      <c r="BCE206" s="44"/>
      <c r="BCF206" s="44"/>
      <c r="BCG206" s="44"/>
      <c r="BCH206" s="44"/>
      <c r="BCI206" s="44"/>
      <c r="BCJ206" s="44"/>
      <c r="BCK206" s="44"/>
      <c r="BCL206" s="44"/>
      <c r="BCM206" s="44"/>
      <c r="BCN206" s="44"/>
      <c r="BCO206" s="44"/>
      <c r="BCP206" s="44"/>
      <c r="BCQ206" s="44"/>
      <c r="BCR206" s="44"/>
      <c r="BCS206" s="44"/>
      <c r="BCT206" s="44"/>
      <c r="BCU206" s="44"/>
      <c r="BCV206" s="44"/>
      <c r="BCW206" s="44"/>
      <c r="BCX206" s="44"/>
      <c r="BCY206" s="44"/>
      <c r="BCZ206" s="44"/>
      <c r="BDA206" s="44"/>
      <c r="BDB206" s="44"/>
      <c r="BDC206" s="44"/>
      <c r="BDD206" s="44"/>
      <c r="BDE206" s="44"/>
      <c r="BDF206" s="44"/>
      <c r="BDG206" s="44"/>
      <c r="BDH206" s="44"/>
      <c r="BDI206" s="44"/>
      <c r="BDJ206" s="44"/>
      <c r="BDK206" s="44"/>
      <c r="BDL206" s="44"/>
      <c r="BDM206" s="44"/>
      <c r="BDN206" s="44"/>
      <c r="BDO206" s="44"/>
      <c r="BDP206" s="44"/>
      <c r="BDQ206" s="44"/>
      <c r="BDR206" s="44"/>
      <c r="BDS206" s="44"/>
      <c r="BDT206" s="44"/>
      <c r="BDU206" s="44"/>
      <c r="BDV206" s="44"/>
      <c r="BDW206" s="44"/>
      <c r="BDX206" s="44"/>
      <c r="BDY206" s="44"/>
      <c r="BDZ206" s="44"/>
      <c r="BEA206" s="44"/>
      <c r="BEB206" s="44"/>
      <c r="BEC206" s="44"/>
      <c r="BED206" s="44"/>
      <c r="BEE206" s="44"/>
      <c r="BEF206" s="44"/>
      <c r="BEG206" s="44"/>
      <c r="BEH206" s="44"/>
      <c r="BEI206" s="44"/>
      <c r="BEJ206" s="44"/>
      <c r="BEK206" s="44"/>
      <c r="BEL206" s="44"/>
      <c r="BEM206" s="44"/>
      <c r="BEN206" s="44"/>
      <c r="BEO206" s="44"/>
      <c r="BEP206" s="44"/>
      <c r="BEQ206" s="44"/>
      <c r="BER206" s="44"/>
      <c r="BES206" s="44"/>
      <c r="BET206" s="44"/>
      <c r="BEU206" s="44"/>
      <c r="BEV206" s="44"/>
      <c r="BEW206" s="44"/>
      <c r="BEX206" s="44"/>
      <c r="BEY206" s="44"/>
      <c r="BEZ206" s="44"/>
      <c r="BFA206" s="44"/>
      <c r="BFB206" s="44"/>
      <c r="BFC206" s="44"/>
      <c r="BFD206" s="44"/>
      <c r="BFE206" s="44"/>
      <c r="BFF206" s="44"/>
      <c r="BFG206" s="44"/>
      <c r="BFH206" s="44"/>
      <c r="BFI206" s="44"/>
      <c r="BFJ206" s="44"/>
      <c r="BFK206" s="44"/>
      <c r="BFL206" s="44"/>
      <c r="BFM206" s="44"/>
      <c r="BFN206" s="44"/>
      <c r="BFO206" s="44"/>
      <c r="BFP206" s="44"/>
      <c r="BFQ206" s="44"/>
      <c r="BFR206" s="44"/>
      <c r="BFS206" s="44"/>
      <c r="BFT206" s="44"/>
      <c r="BFU206" s="44"/>
      <c r="BFV206" s="44"/>
      <c r="BFW206" s="44"/>
      <c r="BFX206" s="44"/>
      <c r="BFY206" s="44"/>
      <c r="BFZ206" s="44"/>
      <c r="BGA206" s="44"/>
      <c r="BGB206" s="44"/>
      <c r="BGC206" s="44"/>
      <c r="BGD206" s="44"/>
      <c r="BGE206" s="44"/>
      <c r="BGF206" s="44"/>
      <c r="BGG206" s="44"/>
      <c r="BGH206" s="44"/>
      <c r="BGI206" s="44"/>
      <c r="BGJ206" s="44"/>
      <c r="BGK206" s="44"/>
      <c r="BGL206" s="44"/>
      <c r="BGM206" s="44"/>
      <c r="BGN206" s="44"/>
      <c r="BGO206" s="44"/>
      <c r="BGP206" s="44"/>
      <c r="BGQ206" s="44"/>
      <c r="BGR206" s="44"/>
      <c r="BGS206" s="44"/>
      <c r="BGT206" s="44"/>
      <c r="BGU206" s="44"/>
      <c r="BGV206" s="44"/>
      <c r="BGW206" s="44"/>
      <c r="BGX206" s="44"/>
      <c r="BGY206" s="44"/>
      <c r="BGZ206" s="44"/>
      <c r="BHA206" s="44"/>
      <c r="BHB206" s="44"/>
      <c r="BHC206" s="44"/>
      <c r="BHD206" s="44"/>
      <c r="BHE206" s="44"/>
      <c r="BHF206" s="44"/>
      <c r="BHG206" s="44"/>
      <c r="BHH206" s="44"/>
      <c r="BHI206" s="44"/>
      <c r="BHJ206" s="44"/>
      <c r="BHK206" s="44"/>
      <c r="BHL206" s="44"/>
      <c r="BHM206" s="44"/>
      <c r="BHN206" s="44"/>
      <c r="BHO206" s="44"/>
      <c r="BHP206" s="44"/>
      <c r="BHQ206" s="44"/>
      <c r="BHR206" s="44"/>
      <c r="BHS206" s="44"/>
      <c r="BHT206" s="44"/>
      <c r="BHU206" s="44"/>
      <c r="BHV206" s="44"/>
      <c r="BHW206" s="44"/>
      <c r="BHX206" s="44"/>
      <c r="BHY206" s="44"/>
      <c r="BHZ206" s="44"/>
      <c r="BIA206" s="44"/>
      <c r="BIB206" s="44"/>
      <c r="BIC206" s="44"/>
      <c r="BID206" s="44"/>
      <c r="BIE206" s="44"/>
      <c r="BIF206" s="44"/>
      <c r="BIG206" s="44"/>
      <c r="BIH206" s="44"/>
      <c r="BII206" s="44"/>
      <c r="BIJ206" s="44"/>
      <c r="BIK206" s="44"/>
      <c r="BIL206" s="44"/>
      <c r="BIM206" s="44"/>
      <c r="BIN206" s="44"/>
      <c r="BIO206" s="44"/>
      <c r="BIP206" s="44"/>
      <c r="BIQ206" s="44"/>
      <c r="BIR206" s="44"/>
      <c r="BIS206" s="44"/>
      <c r="BIT206" s="44"/>
      <c r="BIU206" s="44"/>
      <c r="BIV206" s="44"/>
      <c r="BIW206" s="44"/>
      <c r="BIX206" s="44"/>
      <c r="BIY206" s="44"/>
      <c r="BIZ206" s="44"/>
      <c r="BJA206" s="44"/>
      <c r="BJB206" s="44"/>
      <c r="BJC206" s="44"/>
      <c r="BJD206" s="44"/>
      <c r="BJE206" s="44"/>
      <c r="BJF206" s="44"/>
      <c r="BJG206" s="44"/>
      <c r="BJH206" s="44"/>
      <c r="BJI206" s="44"/>
      <c r="BJJ206" s="44"/>
      <c r="BJK206" s="44"/>
      <c r="BJL206" s="44"/>
      <c r="BJM206" s="44"/>
      <c r="BJN206" s="44"/>
      <c r="BJO206" s="44"/>
      <c r="BJP206" s="44"/>
      <c r="BJQ206" s="44"/>
      <c r="BJR206" s="44"/>
      <c r="BJS206" s="44"/>
      <c r="BJT206" s="44"/>
      <c r="BJU206" s="44"/>
      <c r="BJV206" s="44"/>
      <c r="BJW206" s="44"/>
      <c r="BJX206" s="44"/>
      <c r="BJY206" s="44"/>
      <c r="BJZ206" s="44"/>
      <c r="BKA206" s="44"/>
      <c r="BKB206" s="44"/>
      <c r="BKC206" s="44"/>
      <c r="BKD206" s="44"/>
      <c r="BKE206" s="44"/>
      <c r="BKF206" s="44"/>
      <c r="BKG206" s="44"/>
      <c r="BKH206" s="44"/>
      <c r="BKI206" s="44"/>
      <c r="BKJ206" s="44"/>
      <c r="BKK206" s="44"/>
      <c r="BKL206" s="44"/>
      <c r="BKM206" s="44"/>
      <c r="BKN206" s="44"/>
      <c r="BKO206" s="44"/>
      <c r="BKP206" s="44"/>
      <c r="BKQ206" s="44"/>
      <c r="BKR206" s="44"/>
      <c r="BKS206" s="44"/>
      <c r="BKT206" s="44"/>
      <c r="BKU206" s="44"/>
      <c r="BKV206" s="44"/>
      <c r="BKW206" s="44"/>
      <c r="BKX206" s="44"/>
      <c r="BKY206" s="44"/>
      <c r="BKZ206" s="44"/>
      <c r="BLA206" s="44"/>
      <c r="BLB206" s="44"/>
      <c r="BLC206" s="44"/>
      <c r="BLD206" s="44"/>
      <c r="BLE206" s="44"/>
      <c r="BLF206" s="44"/>
      <c r="BLG206" s="44"/>
      <c r="BLH206" s="44"/>
      <c r="BLI206" s="44"/>
      <c r="BLJ206" s="44"/>
      <c r="BLK206" s="44"/>
      <c r="BLL206" s="44"/>
      <c r="BLM206" s="44"/>
      <c r="BLN206" s="44"/>
      <c r="BLO206" s="44"/>
      <c r="BLP206" s="44"/>
      <c r="BLQ206" s="44"/>
      <c r="BLR206" s="44"/>
      <c r="BLS206" s="44"/>
      <c r="BLT206" s="44"/>
      <c r="BLU206" s="44"/>
      <c r="BLV206" s="44"/>
      <c r="BLW206" s="44"/>
      <c r="BLX206" s="44"/>
      <c r="BLY206" s="44"/>
      <c r="BLZ206" s="44"/>
      <c r="BMA206" s="44"/>
      <c r="BMB206" s="44"/>
      <c r="BMC206" s="44"/>
      <c r="BMD206" s="44"/>
      <c r="BME206" s="44"/>
      <c r="BMF206" s="44"/>
      <c r="BMG206" s="44"/>
      <c r="BMH206" s="44"/>
      <c r="BMI206" s="44"/>
      <c r="BMJ206" s="44"/>
      <c r="BMK206" s="44"/>
      <c r="BML206" s="44"/>
      <c r="BMM206" s="44"/>
      <c r="BMN206" s="44"/>
      <c r="BMO206" s="44"/>
      <c r="BMP206" s="44"/>
      <c r="BMQ206" s="44"/>
      <c r="BMR206" s="44"/>
      <c r="BMS206" s="44"/>
      <c r="BMT206" s="44"/>
      <c r="BMU206" s="44"/>
      <c r="BMV206" s="44"/>
      <c r="BMW206" s="44"/>
      <c r="BMX206" s="44"/>
      <c r="BMY206" s="44"/>
      <c r="BMZ206" s="44"/>
      <c r="BNA206" s="44"/>
      <c r="BNB206" s="44"/>
      <c r="BNC206" s="44"/>
      <c r="BND206" s="44"/>
      <c r="BNE206" s="44"/>
      <c r="BNF206" s="44"/>
      <c r="BNG206" s="44"/>
      <c r="BNH206" s="44"/>
      <c r="BNI206" s="44"/>
      <c r="BNJ206" s="44"/>
      <c r="BNK206" s="44"/>
      <c r="BNL206" s="44"/>
      <c r="BNM206" s="44"/>
      <c r="BNN206" s="44"/>
      <c r="BNO206" s="44"/>
      <c r="BNP206" s="44"/>
      <c r="BNQ206" s="44"/>
      <c r="BNR206" s="44"/>
      <c r="BNS206" s="44"/>
      <c r="BNT206" s="44"/>
      <c r="BNU206" s="44"/>
      <c r="BNV206" s="44"/>
      <c r="BNW206" s="44"/>
      <c r="BNX206" s="44"/>
      <c r="BNY206" s="44"/>
      <c r="BNZ206" s="44"/>
      <c r="BOA206" s="44"/>
      <c r="BOB206" s="44"/>
      <c r="BOC206" s="44"/>
      <c r="BOD206" s="44"/>
      <c r="BOE206" s="44"/>
      <c r="BOF206" s="44"/>
      <c r="BOG206" s="44"/>
      <c r="BOH206" s="44"/>
      <c r="BOI206" s="44"/>
      <c r="BOJ206" s="44"/>
      <c r="BOK206" s="44"/>
      <c r="BOL206" s="44"/>
      <c r="BOM206" s="44"/>
      <c r="BON206" s="44"/>
      <c r="BOO206" s="44"/>
      <c r="BOP206" s="44"/>
      <c r="BOQ206" s="44"/>
      <c r="BOR206" s="44"/>
      <c r="BOS206" s="44"/>
      <c r="BOT206" s="44"/>
      <c r="BOU206" s="44"/>
      <c r="BOV206" s="44"/>
      <c r="BOW206" s="44"/>
      <c r="BOX206" s="44"/>
      <c r="BOY206" s="44"/>
      <c r="BOZ206" s="44"/>
      <c r="BPA206" s="44"/>
      <c r="BPB206" s="44"/>
      <c r="BPC206" s="44"/>
      <c r="BPD206" s="44"/>
      <c r="BPE206" s="44"/>
      <c r="BPF206" s="44"/>
      <c r="BPG206" s="44"/>
      <c r="BPH206" s="44"/>
      <c r="BPI206" s="44"/>
      <c r="BPJ206" s="44"/>
      <c r="BPK206" s="44"/>
      <c r="BPL206" s="44"/>
      <c r="BPM206" s="44"/>
      <c r="BPN206" s="44"/>
      <c r="BPO206" s="44"/>
      <c r="BPP206" s="44"/>
      <c r="BPQ206" s="44"/>
      <c r="BPR206" s="44"/>
      <c r="BPS206" s="44"/>
      <c r="BPT206" s="44"/>
      <c r="BPU206" s="44"/>
      <c r="BPV206" s="44"/>
      <c r="BPW206" s="44"/>
      <c r="BPX206" s="44"/>
      <c r="BPY206" s="44"/>
      <c r="BPZ206" s="44"/>
      <c r="BQA206" s="44"/>
      <c r="BQB206" s="44"/>
      <c r="BQC206" s="44"/>
      <c r="BQD206" s="44"/>
      <c r="BQE206" s="44"/>
      <c r="BQF206" s="44"/>
      <c r="BQG206" s="44"/>
      <c r="BQH206" s="44"/>
      <c r="BQI206" s="44"/>
      <c r="BQJ206" s="44"/>
      <c r="BQK206" s="44"/>
      <c r="BQL206" s="44"/>
      <c r="BQM206" s="44"/>
      <c r="BQN206" s="44"/>
      <c r="BQO206" s="44"/>
      <c r="BQP206" s="44"/>
      <c r="BQQ206" s="44"/>
      <c r="BQR206" s="44"/>
      <c r="BQS206" s="44"/>
      <c r="BQT206" s="44"/>
      <c r="BQU206" s="44"/>
      <c r="BQV206" s="44"/>
      <c r="BQW206" s="44"/>
      <c r="BQX206" s="44"/>
      <c r="BQY206" s="44"/>
      <c r="BQZ206" s="44"/>
      <c r="BRA206" s="44"/>
      <c r="BRB206" s="44"/>
      <c r="BRC206" s="44"/>
      <c r="BRD206" s="44"/>
      <c r="BRE206" s="44"/>
      <c r="BRF206" s="44"/>
      <c r="BRG206" s="44"/>
      <c r="BRH206" s="44"/>
      <c r="BRI206" s="44"/>
      <c r="BRJ206" s="44"/>
      <c r="BRK206" s="44"/>
      <c r="BRL206" s="44"/>
      <c r="BRM206" s="44"/>
      <c r="BRN206" s="44"/>
      <c r="BRO206" s="44"/>
      <c r="BRP206" s="44"/>
      <c r="BRQ206" s="44"/>
      <c r="BRR206" s="44"/>
      <c r="BRS206" s="44"/>
      <c r="BRT206" s="44"/>
      <c r="BRU206" s="44"/>
      <c r="BRV206" s="44"/>
      <c r="BRW206" s="44"/>
      <c r="BRX206" s="44"/>
      <c r="BRY206" s="44"/>
      <c r="BRZ206" s="44"/>
      <c r="BSA206" s="44"/>
      <c r="BSB206" s="44"/>
      <c r="BSC206" s="44"/>
      <c r="BSD206" s="44"/>
      <c r="BSE206" s="44"/>
      <c r="BSF206" s="44"/>
      <c r="BSG206" s="44"/>
      <c r="BSH206" s="44"/>
      <c r="BSI206" s="44"/>
      <c r="BSJ206" s="44"/>
      <c r="BSK206" s="44"/>
      <c r="BSL206" s="44"/>
      <c r="BSM206" s="44"/>
      <c r="BSN206" s="44"/>
      <c r="BSO206" s="44"/>
      <c r="BSP206" s="44"/>
      <c r="BSQ206" s="44"/>
      <c r="BSR206" s="44"/>
      <c r="BSS206" s="44"/>
      <c r="BST206" s="44"/>
      <c r="BSU206" s="44"/>
      <c r="BSV206" s="44"/>
      <c r="BSW206" s="44"/>
      <c r="BSX206" s="44"/>
      <c r="BSY206" s="44"/>
      <c r="BSZ206" s="44"/>
      <c r="BTA206" s="44"/>
      <c r="BTB206" s="44"/>
      <c r="BTC206" s="44"/>
      <c r="BTD206" s="44"/>
      <c r="BTE206" s="44"/>
      <c r="BTF206" s="44"/>
      <c r="BTG206" s="44"/>
      <c r="BTH206" s="44"/>
      <c r="BTI206" s="44"/>
    </row>
    <row r="207" spans="1:1881" s="825" customFormat="1" ht="195" customHeight="1" x14ac:dyDescent="0.25">
      <c r="A207" s="317">
        <v>577</v>
      </c>
      <c r="B207" s="768"/>
      <c r="C207" s="768" t="s">
        <v>546</v>
      </c>
      <c r="D207" s="506" t="s">
        <v>678</v>
      </c>
      <c r="E207" s="230"/>
      <c r="F207" s="476"/>
      <c r="G207" s="460" t="str">
        <f>IF(F207="Yes","In this cell - Please include the name of the plan, a brief description of the benefit and the population group that received the benefits."," ")</f>
        <v xml:space="preserve"> </v>
      </c>
      <c r="H207" s="43"/>
      <c r="I207" s="823"/>
      <c r="J207" s="772"/>
      <c r="K207" s="44"/>
      <c r="L207" s="44"/>
      <c r="M207" s="44"/>
      <c r="N207" s="756"/>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c r="GX207" s="44"/>
      <c r="GY207" s="44"/>
      <c r="GZ207" s="44"/>
      <c r="HA207" s="44"/>
      <c r="HB207" s="44"/>
      <c r="HC207" s="44"/>
      <c r="HD207" s="44"/>
      <c r="HE207" s="44"/>
      <c r="HF207" s="44"/>
      <c r="HG207" s="44"/>
      <c r="HH207" s="44"/>
      <c r="HI207" s="44"/>
      <c r="HJ207" s="44"/>
      <c r="HK207" s="44"/>
      <c r="HL207" s="44"/>
      <c r="HM207" s="44"/>
      <c r="HN207" s="44"/>
      <c r="HO207" s="44"/>
      <c r="HP207" s="44"/>
      <c r="HQ207" s="44"/>
      <c r="HR207" s="44"/>
      <c r="HS207" s="44"/>
      <c r="HT207" s="44"/>
      <c r="HU207" s="44"/>
      <c r="HV207" s="44"/>
      <c r="HW207" s="44"/>
      <c r="HX207" s="44"/>
      <c r="HY207" s="44"/>
      <c r="HZ207" s="44"/>
      <c r="IA207" s="44"/>
      <c r="IB207" s="44"/>
      <c r="IC207" s="44"/>
      <c r="ID207" s="44"/>
      <c r="IE207" s="44"/>
      <c r="IF207" s="44"/>
      <c r="IG207" s="44"/>
      <c r="IH207" s="44"/>
      <c r="II207" s="44"/>
      <c r="IJ207" s="44"/>
      <c r="IK207" s="44"/>
      <c r="IL207" s="44"/>
      <c r="IM207" s="44"/>
      <c r="IN207" s="44"/>
      <c r="IO207" s="44"/>
      <c r="IP207" s="44"/>
      <c r="IQ207" s="44"/>
      <c r="IR207" s="44"/>
      <c r="IS207" s="44"/>
      <c r="IT207" s="44"/>
      <c r="IU207" s="44"/>
      <c r="IV207" s="44"/>
      <c r="IW207" s="44"/>
      <c r="IX207" s="44"/>
      <c r="IY207" s="44"/>
      <c r="IZ207" s="44"/>
      <c r="JA207" s="44"/>
      <c r="JB207" s="44"/>
      <c r="JC207" s="44"/>
      <c r="JD207" s="44"/>
      <c r="JE207" s="44"/>
      <c r="JF207" s="44"/>
      <c r="JG207" s="44"/>
      <c r="JH207" s="44"/>
      <c r="JI207" s="44"/>
      <c r="JJ207" s="44"/>
      <c r="JK207" s="44"/>
      <c r="JL207" s="44"/>
      <c r="JM207" s="44"/>
      <c r="JN207" s="44"/>
      <c r="JO207" s="44"/>
      <c r="JP207" s="44"/>
      <c r="JQ207" s="44"/>
      <c r="JR207" s="44"/>
      <c r="JS207" s="44"/>
      <c r="JT207" s="44"/>
      <c r="JU207" s="44"/>
      <c r="JV207" s="44"/>
      <c r="JW207" s="44"/>
      <c r="JX207" s="44"/>
      <c r="JY207" s="44"/>
      <c r="JZ207" s="44"/>
      <c r="KA207" s="44"/>
      <c r="KB207" s="44"/>
      <c r="KC207" s="44"/>
      <c r="KD207" s="44"/>
      <c r="KE207" s="44"/>
      <c r="KF207" s="44"/>
      <c r="KG207" s="44"/>
      <c r="KH207" s="44"/>
      <c r="KI207" s="44"/>
      <c r="KJ207" s="44"/>
      <c r="KK207" s="44"/>
      <c r="KL207" s="44"/>
      <c r="KM207" s="44"/>
      <c r="KN207" s="44"/>
      <c r="KO207" s="44"/>
      <c r="KP207" s="44"/>
      <c r="KQ207" s="44"/>
      <c r="KR207" s="44"/>
      <c r="KS207" s="44"/>
      <c r="KT207" s="44"/>
      <c r="KU207" s="44"/>
      <c r="KV207" s="44"/>
      <c r="KW207" s="44"/>
      <c r="KX207" s="44"/>
      <c r="KY207" s="44"/>
      <c r="KZ207" s="44"/>
      <c r="LA207" s="44"/>
      <c r="LB207" s="44"/>
      <c r="LC207" s="44"/>
      <c r="LD207" s="44"/>
      <c r="LE207" s="44"/>
      <c r="LF207" s="44"/>
      <c r="LG207" s="44"/>
      <c r="LH207" s="44"/>
      <c r="LI207" s="44"/>
      <c r="LJ207" s="44"/>
      <c r="LK207" s="44"/>
      <c r="LL207" s="44"/>
      <c r="LM207" s="44"/>
      <c r="LN207" s="44"/>
      <c r="LO207" s="44"/>
      <c r="LP207" s="44"/>
      <c r="LQ207" s="44"/>
      <c r="LR207" s="44"/>
      <c r="LS207" s="44"/>
      <c r="LT207" s="44"/>
      <c r="LU207" s="44"/>
      <c r="LV207" s="44"/>
      <c r="LW207" s="44"/>
      <c r="LX207" s="44"/>
      <c r="LY207" s="44"/>
      <c r="LZ207" s="44"/>
      <c r="MA207" s="44"/>
      <c r="MB207" s="44"/>
      <c r="MC207" s="44"/>
      <c r="MD207" s="44"/>
      <c r="ME207" s="44"/>
      <c r="MF207" s="44"/>
      <c r="MG207" s="44"/>
      <c r="MH207" s="44"/>
      <c r="MI207" s="44"/>
      <c r="MJ207" s="44"/>
      <c r="MK207" s="44"/>
      <c r="ML207" s="44"/>
      <c r="MM207" s="44"/>
      <c r="MN207" s="44"/>
      <c r="MO207" s="44"/>
      <c r="MP207" s="44"/>
      <c r="MQ207" s="44"/>
      <c r="MR207" s="44"/>
      <c r="MS207" s="44"/>
      <c r="MT207" s="44"/>
      <c r="MU207" s="44"/>
      <c r="MV207" s="44"/>
      <c r="MW207" s="44"/>
      <c r="MX207" s="44"/>
      <c r="MY207" s="44"/>
      <c r="MZ207" s="44"/>
      <c r="NA207" s="44"/>
      <c r="NB207" s="44"/>
      <c r="NC207" s="44"/>
      <c r="ND207" s="44"/>
      <c r="NE207" s="44"/>
      <c r="NF207" s="44"/>
      <c r="NG207" s="44"/>
      <c r="NH207" s="44"/>
      <c r="NI207" s="44"/>
      <c r="NJ207" s="44"/>
      <c r="NK207" s="44"/>
      <c r="NL207" s="44"/>
      <c r="NM207" s="44"/>
      <c r="NN207" s="44"/>
      <c r="NO207" s="44"/>
      <c r="NP207" s="44"/>
      <c r="NQ207" s="44"/>
      <c r="NR207" s="44"/>
      <c r="NS207" s="44"/>
      <c r="NT207" s="44"/>
      <c r="NU207" s="44"/>
      <c r="NV207" s="44"/>
      <c r="NW207" s="44"/>
      <c r="NX207" s="44"/>
      <c r="NY207" s="44"/>
      <c r="NZ207" s="44"/>
      <c r="OA207" s="44"/>
      <c r="OB207" s="44"/>
      <c r="OC207" s="44"/>
      <c r="OD207" s="44"/>
      <c r="OE207" s="44"/>
      <c r="OF207" s="44"/>
      <c r="OG207" s="44"/>
      <c r="OH207" s="44"/>
      <c r="OI207" s="44"/>
      <c r="OJ207" s="44"/>
      <c r="OK207" s="44"/>
      <c r="OL207" s="44"/>
      <c r="OM207" s="44"/>
      <c r="ON207" s="44"/>
      <c r="OO207" s="44"/>
      <c r="OP207" s="44"/>
      <c r="OQ207" s="44"/>
      <c r="OR207" s="44"/>
      <c r="OS207" s="44"/>
      <c r="OT207" s="44"/>
      <c r="OU207" s="44"/>
      <c r="OV207" s="44"/>
      <c r="OW207" s="44"/>
      <c r="OX207" s="44"/>
      <c r="OY207" s="44"/>
      <c r="OZ207" s="44"/>
      <c r="PA207" s="44"/>
      <c r="PB207" s="44"/>
      <c r="PC207" s="44"/>
      <c r="PD207" s="44"/>
      <c r="PE207" s="44"/>
      <c r="PF207" s="44"/>
      <c r="PG207" s="44"/>
      <c r="PH207" s="44"/>
      <c r="PI207" s="44"/>
      <c r="PJ207" s="44"/>
      <c r="PK207" s="44"/>
      <c r="PL207" s="44"/>
      <c r="PM207" s="44"/>
      <c r="PN207" s="44"/>
      <c r="PO207" s="44"/>
      <c r="PP207" s="44"/>
      <c r="PQ207" s="44"/>
      <c r="PR207" s="44"/>
      <c r="PS207" s="44"/>
      <c r="PT207" s="44"/>
      <c r="PU207" s="44"/>
      <c r="PV207" s="44"/>
      <c r="PW207" s="44"/>
      <c r="PX207" s="44"/>
      <c r="PY207" s="44"/>
      <c r="PZ207" s="44"/>
      <c r="QA207" s="44"/>
      <c r="QB207" s="44"/>
      <c r="QC207" s="44"/>
      <c r="QD207" s="44"/>
      <c r="QE207" s="44"/>
      <c r="QF207" s="44"/>
      <c r="QG207" s="44"/>
      <c r="QH207" s="44"/>
      <c r="QI207" s="44"/>
      <c r="QJ207" s="44"/>
      <c r="QK207" s="44"/>
      <c r="QL207" s="44"/>
      <c r="QM207" s="44"/>
      <c r="QN207" s="44"/>
      <c r="QO207" s="44"/>
      <c r="QP207" s="44"/>
      <c r="QQ207" s="44"/>
      <c r="QR207" s="44"/>
      <c r="QS207" s="44"/>
      <c r="QT207" s="44"/>
      <c r="QU207" s="44"/>
      <c r="QV207" s="44"/>
      <c r="QW207" s="44"/>
      <c r="QX207" s="44"/>
      <c r="QY207" s="44"/>
      <c r="QZ207" s="44"/>
      <c r="RA207" s="44"/>
      <c r="RB207" s="44"/>
      <c r="RC207" s="44"/>
      <c r="RD207" s="44"/>
      <c r="RE207" s="44"/>
      <c r="RF207" s="44"/>
      <c r="RG207" s="44"/>
      <c r="RH207" s="44"/>
      <c r="RI207" s="44"/>
      <c r="RJ207" s="44"/>
      <c r="RK207" s="44"/>
      <c r="RL207" s="44"/>
      <c r="RM207" s="44"/>
      <c r="RN207" s="44"/>
      <c r="RO207" s="44"/>
      <c r="RP207" s="44"/>
      <c r="RQ207" s="44"/>
      <c r="RR207" s="44"/>
      <c r="RS207" s="44"/>
      <c r="RT207" s="44"/>
      <c r="RU207" s="44"/>
      <c r="RV207" s="44"/>
      <c r="RW207" s="44"/>
      <c r="RX207" s="44"/>
      <c r="RY207" s="44"/>
      <c r="RZ207" s="44"/>
      <c r="SA207" s="44"/>
      <c r="SB207" s="44"/>
      <c r="SC207" s="44"/>
      <c r="SD207" s="44"/>
      <c r="SE207" s="44"/>
      <c r="SF207" s="44"/>
      <c r="SG207" s="44"/>
      <c r="SH207" s="44"/>
      <c r="SI207" s="44"/>
      <c r="SJ207" s="44"/>
      <c r="SK207" s="44"/>
      <c r="SL207" s="44"/>
      <c r="SM207" s="44"/>
      <c r="SN207" s="44"/>
      <c r="SO207" s="44"/>
      <c r="SP207" s="44"/>
      <c r="SQ207" s="44"/>
      <c r="SR207" s="44"/>
      <c r="SS207" s="44"/>
      <c r="ST207" s="44"/>
      <c r="SU207" s="44"/>
      <c r="SV207" s="44"/>
      <c r="SW207" s="44"/>
      <c r="SX207" s="44"/>
      <c r="SY207" s="44"/>
      <c r="SZ207" s="44"/>
      <c r="TA207" s="44"/>
      <c r="TB207" s="44"/>
      <c r="TC207" s="44"/>
      <c r="TD207" s="44"/>
      <c r="TE207" s="44"/>
      <c r="TF207" s="44"/>
      <c r="TG207" s="44"/>
      <c r="TH207" s="44"/>
      <c r="TI207" s="44"/>
      <c r="TJ207" s="44"/>
      <c r="TK207" s="44"/>
      <c r="TL207" s="44"/>
      <c r="TM207" s="44"/>
      <c r="TN207" s="44"/>
      <c r="TO207" s="44"/>
      <c r="TP207" s="44"/>
      <c r="TQ207" s="44"/>
      <c r="TR207" s="44"/>
      <c r="TS207" s="44"/>
      <c r="TT207" s="44"/>
      <c r="TU207" s="44"/>
      <c r="TV207" s="44"/>
      <c r="TW207" s="44"/>
      <c r="TX207" s="44"/>
      <c r="TY207" s="44"/>
      <c r="TZ207" s="44"/>
      <c r="UA207" s="44"/>
      <c r="UB207" s="44"/>
      <c r="UC207" s="44"/>
      <c r="UD207" s="44"/>
      <c r="UE207" s="44"/>
      <c r="UF207" s="44"/>
      <c r="UG207" s="44"/>
      <c r="UH207" s="44"/>
      <c r="UI207" s="44"/>
      <c r="UJ207" s="44"/>
      <c r="UK207" s="44"/>
      <c r="UL207" s="44"/>
      <c r="UM207" s="44"/>
      <c r="UN207" s="44"/>
      <c r="UO207" s="44"/>
      <c r="UP207" s="44"/>
      <c r="UQ207" s="44"/>
      <c r="UR207" s="44"/>
      <c r="US207" s="44"/>
      <c r="UT207" s="44"/>
      <c r="UU207" s="44"/>
      <c r="UV207" s="44"/>
      <c r="UW207" s="44"/>
      <c r="UX207" s="44"/>
      <c r="UY207" s="44"/>
      <c r="UZ207" s="44"/>
      <c r="VA207" s="44"/>
      <c r="VB207" s="44"/>
      <c r="VC207" s="44"/>
      <c r="VD207" s="44"/>
      <c r="VE207" s="44"/>
      <c r="VF207" s="44"/>
      <c r="VG207" s="44"/>
      <c r="VH207" s="44"/>
      <c r="VI207" s="44"/>
      <c r="VJ207" s="44"/>
      <c r="VK207" s="44"/>
      <c r="VL207" s="44"/>
      <c r="VM207" s="44"/>
      <c r="VN207" s="44"/>
      <c r="VO207" s="44"/>
      <c r="VP207" s="44"/>
      <c r="VQ207" s="44"/>
      <c r="VR207" s="44"/>
      <c r="VS207" s="44"/>
      <c r="VT207" s="44"/>
      <c r="VU207" s="44"/>
      <c r="VV207" s="44"/>
      <c r="VW207" s="44"/>
      <c r="VX207" s="44"/>
      <c r="VY207" s="44"/>
      <c r="VZ207" s="44"/>
      <c r="WA207" s="44"/>
      <c r="WB207" s="44"/>
      <c r="WC207" s="44"/>
      <c r="WD207" s="44"/>
      <c r="WE207" s="44"/>
      <c r="WF207" s="44"/>
      <c r="WG207" s="44"/>
      <c r="WH207" s="44"/>
      <c r="WI207" s="44"/>
      <c r="WJ207" s="44"/>
      <c r="WK207" s="44"/>
      <c r="WL207" s="44"/>
      <c r="WM207" s="44"/>
      <c r="WN207" s="44"/>
      <c r="WO207" s="44"/>
      <c r="WP207" s="44"/>
      <c r="WQ207" s="44"/>
      <c r="WR207" s="44"/>
      <c r="WS207" s="44"/>
      <c r="WT207" s="44"/>
      <c r="WU207" s="44"/>
      <c r="WV207" s="44"/>
      <c r="WW207" s="44"/>
      <c r="WX207" s="44"/>
      <c r="WY207" s="44"/>
      <c r="WZ207" s="44"/>
      <c r="XA207" s="44"/>
      <c r="XB207" s="44"/>
      <c r="XC207" s="44"/>
      <c r="XD207" s="44"/>
      <c r="XE207" s="44"/>
      <c r="XF207" s="44"/>
      <c r="XG207" s="44"/>
      <c r="XH207" s="44"/>
      <c r="XI207" s="44"/>
      <c r="XJ207" s="44"/>
      <c r="XK207" s="44"/>
      <c r="XL207" s="44"/>
      <c r="XM207" s="44"/>
      <c r="XN207" s="44"/>
      <c r="XO207" s="44"/>
      <c r="XP207" s="44"/>
      <c r="XQ207" s="44"/>
      <c r="XR207" s="44"/>
      <c r="XS207" s="44"/>
      <c r="XT207" s="44"/>
      <c r="XU207" s="44"/>
      <c r="XV207" s="44"/>
      <c r="XW207" s="44"/>
      <c r="XX207" s="44"/>
      <c r="XY207" s="44"/>
      <c r="XZ207" s="44"/>
      <c r="YA207" s="44"/>
      <c r="YB207" s="44"/>
      <c r="YC207" s="44"/>
      <c r="YD207" s="44"/>
      <c r="YE207" s="44"/>
      <c r="YF207" s="44"/>
      <c r="YG207" s="44"/>
      <c r="YH207" s="44"/>
      <c r="YI207" s="44"/>
      <c r="YJ207" s="44"/>
      <c r="YK207" s="44"/>
      <c r="YL207" s="44"/>
      <c r="YM207" s="44"/>
      <c r="YN207" s="44"/>
      <c r="YO207" s="44"/>
      <c r="YP207" s="44"/>
      <c r="YQ207" s="44"/>
      <c r="YR207" s="44"/>
      <c r="YS207" s="44"/>
      <c r="YT207" s="44"/>
      <c r="YU207" s="44"/>
      <c r="YV207" s="44"/>
      <c r="YW207" s="44"/>
      <c r="YX207" s="44"/>
      <c r="YY207" s="44"/>
      <c r="YZ207" s="44"/>
      <c r="ZA207" s="44"/>
      <c r="ZB207" s="44"/>
      <c r="ZC207" s="44"/>
      <c r="ZD207" s="44"/>
      <c r="ZE207" s="44"/>
      <c r="ZF207" s="44"/>
      <c r="ZG207" s="44"/>
      <c r="ZH207" s="44"/>
      <c r="ZI207" s="44"/>
      <c r="ZJ207" s="44"/>
      <c r="ZK207" s="44"/>
      <c r="ZL207" s="44"/>
      <c r="ZM207" s="44"/>
      <c r="ZN207" s="44"/>
      <c r="ZO207" s="44"/>
      <c r="ZP207" s="44"/>
      <c r="ZQ207" s="44"/>
      <c r="ZR207" s="44"/>
      <c r="ZS207" s="44"/>
      <c r="ZT207" s="44"/>
      <c r="ZU207" s="44"/>
      <c r="ZV207" s="44"/>
      <c r="ZW207" s="44"/>
      <c r="ZX207" s="44"/>
      <c r="ZY207" s="44"/>
      <c r="ZZ207" s="44"/>
      <c r="AAA207" s="44"/>
      <c r="AAB207" s="44"/>
      <c r="AAC207" s="44"/>
      <c r="AAD207" s="44"/>
      <c r="AAE207" s="44"/>
      <c r="AAF207" s="44"/>
      <c r="AAG207" s="44"/>
      <c r="AAH207" s="44"/>
      <c r="AAI207" s="44"/>
      <c r="AAJ207" s="44"/>
      <c r="AAK207" s="44"/>
      <c r="AAL207" s="44"/>
      <c r="AAM207" s="44"/>
      <c r="AAN207" s="44"/>
      <c r="AAO207" s="44"/>
      <c r="AAP207" s="44"/>
      <c r="AAQ207" s="44"/>
      <c r="AAR207" s="44"/>
      <c r="AAS207" s="44"/>
      <c r="AAT207" s="44"/>
      <c r="AAU207" s="44"/>
      <c r="AAV207" s="44"/>
      <c r="AAW207" s="44"/>
      <c r="AAX207" s="44"/>
      <c r="AAY207" s="44"/>
      <c r="AAZ207" s="44"/>
      <c r="ABA207" s="44"/>
      <c r="ABB207" s="44"/>
      <c r="ABC207" s="44"/>
      <c r="ABD207" s="44"/>
      <c r="ABE207" s="44"/>
      <c r="ABF207" s="44"/>
      <c r="ABG207" s="44"/>
      <c r="ABH207" s="44"/>
      <c r="ABI207" s="44"/>
      <c r="ABJ207" s="44"/>
      <c r="ABK207" s="44"/>
      <c r="ABL207" s="44"/>
      <c r="ABM207" s="44"/>
      <c r="ABN207" s="44"/>
      <c r="ABO207" s="44"/>
      <c r="ABP207" s="44"/>
      <c r="ABQ207" s="44"/>
      <c r="ABR207" s="44"/>
      <c r="ABS207" s="44"/>
      <c r="ABT207" s="44"/>
      <c r="ABU207" s="44"/>
      <c r="ABV207" s="44"/>
      <c r="ABW207" s="44"/>
      <c r="ABX207" s="44"/>
      <c r="ABY207" s="44"/>
      <c r="ABZ207" s="44"/>
      <c r="ACA207" s="44"/>
      <c r="ACB207" s="44"/>
      <c r="ACC207" s="44"/>
      <c r="ACD207" s="44"/>
      <c r="ACE207" s="44"/>
      <c r="ACF207" s="44"/>
      <c r="ACG207" s="44"/>
      <c r="ACH207" s="44"/>
      <c r="ACI207" s="44"/>
      <c r="ACJ207" s="44"/>
      <c r="ACK207" s="44"/>
      <c r="ACL207" s="44"/>
      <c r="ACM207" s="44"/>
      <c r="ACN207" s="44"/>
      <c r="ACO207" s="44"/>
      <c r="ACP207" s="44"/>
      <c r="ACQ207" s="44"/>
      <c r="ACR207" s="44"/>
      <c r="ACS207" s="44"/>
      <c r="ACT207" s="44"/>
      <c r="ACU207" s="44"/>
      <c r="ACV207" s="44"/>
      <c r="ACW207" s="44"/>
      <c r="ACX207" s="44"/>
      <c r="ACY207" s="44"/>
      <c r="ACZ207" s="44"/>
      <c r="ADA207" s="44"/>
      <c r="ADB207" s="44"/>
      <c r="ADC207" s="44"/>
      <c r="ADD207" s="44"/>
      <c r="ADE207" s="44"/>
      <c r="ADF207" s="44"/>
      <c r="ADG207" s="44"/>
      <c r="ADH207" s="44"/>
      <c r="ADI207" s="44"/>
      <c r="ADJ207" s="44"/>
      <c r="ADK207" s="44"/>
      <c r="ADL207" s="44"/>
      <c r="ADM207" s="44"/>
      <c r="ADN207" s="44"/>
      <c r="ADO207" s="44"/>
      <c r="ADP207" s="44"/>
      <c r="ADQ207" s="44"/>
      <c r="ADR207" s="44"/>
      <c r="ADS207" s="44"/>
      <c r="ADT207" s="44"/>
      <c r="ADU207" s="44"/>
      <c r="ADV207" s="44"/>
      <c r="ADW207" s="44"/>
      <c r="ADX207" s="44"/>
      <c r="ADY207" s="44"/>
      <c r="ADZ207" s="44"/>
      <c r="AEA207" s="44"/>
      <c r="AEB207" s="44"/>
      <c r="AEC207" s="44"/>
      <c r="AED207" s="44"/>
      <c r="AEE207" s="44"/>
      <c r="AEF207" s="44"/>
      <c r="AEG207" s="44"/>
      <c r="AEH207" s="44"/>
      <c r="AEI207" s="44"/>
      <c r="AEJ207" s="44"/>
      <c r="AEK207" s="44"/>
      <c r="AEL207" s="44"/>
      <c r="AEM207" s="44"/>
      <c r="AEN207" s="44"/>
      <c r="AEO207" s="44"/>
      <c r="AEP207" s="44"/>
      <c r="AEQ207" s="44"/>
      <c r="AER207" s="44"/>
      <c r="AES207" s="44"/>
      <c r="AET207" s="44"/>
      <c r="AEU207" s="44"/>
      <c r="AEV207" s="44"/>
      <c r="AEW207" s="44"/>
      <c r="AEX207" s="44"/>
      <c r="AEY207" s="44"/>
      <c r="AEZ207" s="44"/>
      <c r="AFA207" s="44"/>
      <c r="AFB207" s="44"/>
      <c r="AFC207" s="44"/>
      <c r="AFD207" s="44"/>
      <c r="AFE207" s="44"/>
      <c r="AFF207" s="44"/>
      <c r="AFG207" s="44"/>
      <c r="AFH207" s="44"/>
      <c r="AFI207" s="44"/>
      <c r="AFJ207" s="44"/>
      <c r="AFK207" s="44"/>
      <c r="AFL207" s="44"/>
      <c r="AFM207" s="44"/>
      <c r="AFN207" s="44"/>
      <c r="AFO207" s="44"/>
      <c r="AFP207" s="44"/>
      <c r="AFQ207" s="44"/>
      <c r="AFR207" s="44"/>
      <c r="AFS207" s="44"/>
      <c r="AFT207" s="44"/>
      <c r="AFU207" s="44"/>
      <c r="AFV207" s="44"/>
      <c r="AFW207" s="44"/>
      <c r="AFX207" s="44"/>
      <c r="AFY207" s="44"/>
      <c r="AFZ207" s="44"/>
      <c r="AGA207" s="44"/>
      <c r="AGB207" s="44"/>
      <c r="AGC207" s="44"/>
      <c r="AGD207" s="44"/>
      <c r="AGE207" s="44"/>
      <c r="AGF207" s="44"/>
      <c r="AGG207" s="44"/>
      <c r="AGH207" s="44"/>
      <c r="AGI207" s="44"/>
      <c r="AGJ207" s="44"/>
      <c r="AGK207" s="44"/>
      <c r="AGL207" s="44"/>
      <c r="AGM207" s="44"/>
      <c r="AGN207" s="44"/>
      <c r="AGO207" s="44"/>
      <c r="AGP207" s="44"/>
      <c r="AGQ207" s="44"/>
      <c r="AGR207" s="44"/>
      <c r="AGS207" s="44"/>
      <c r="AGT207" s="44"/>
      <c r="AGU207" s="44"/>
      <c r="AGV207" s="44"/>
      <c r="AGW207" s="44"/>
      <c r="AGX207" s="44"/>
      <c r="AGY207" s="44"/>
      <c r="AGZ207" s="44"/>
      <c r="AHA207" s="44"/>
      <c r="AHB207" s="44"/>
      <c r="AHC207" s="44"/>
      <c r="AHD207" s="44"/>
      <c r="AHE207" s="44"/>
      <c r="AHF207" s="44"/>
      <c r="AHG207" s="44"/>
      <c r="AHH207" s="44"/>
      <c r="AHI207" s="44"/>
      <c r="AHJ207" s="44"/>
      <c r="AHK207" s="44"/>
      <c r="AHL207" s="44"/>
      <c r="AHM207" s="44"/>
      <c r="AHN207" s="44"/>
      <c r="AHO207" s="44"/>
      <c r="AHP207" s="44"/>
      <c r="AHQ207" s="44"/>
      <c r="AHR207" s="44"/>
      <c r="AHS207" s="44"/>
      <c r="AHT207" s="44"/>
      <c r="AHU207" s="44"/>
      <c r="AHV207" s="44"/>
      <c r="AHW207" s="44"/>
      <c r="AHX207" s="44"/>
      <c r="AHY207" s="44"/>
      <c r="AHZ207" s="44"/>
      <c r="AIA207" s="44"/>
      <c r="AIB207" s="44"/>
      <c r="AIC207" s="44"/>
      <c r="AID207" s="44"/>
      <c r="AIE207" s="44"/>
      <c r="AIF207" s="44"/>
      <c r="AIG207" s="44"/>
      <c r="AIH207" s="44"/>
      <c r="AII207" s="44"/>
      <c r="AIJ207" s="44"/>
      <c r="AIK207" s="44"/>
      <c r="AIL207" s="44"/>
      <c r="AIM207" s="44"/>
      <c r="AIN207" s="44"/>
      <c r="AIO207" s="44"/>
      <c r="AIP207" s="44"/>
      <c r="AIQ207" s="44"/>
      <c r="AIR207" s="44"/>
      <c r="AIS207" s="44"/>
      <c r="AIT207" s="44"/>
      <c r="AIU207" s="44"/>
      <c r="AIV207" s="44"/>
      <c r="AIW207" s="44"/>
      <c r="AIX207" s="44"/>
      <c r="AIY207" s="44"/>
      <c r="AIZ207" s="44"/>
      <c r="AJA207" s="44"/>
      <c r="AJB207" s="44"/>
      <c r="AJC207" s="44"/>
      <c r="AJD207" s="44"/>
      <c r="AJE207" s="44"/>
      <c r="AJF207" s="44"/>
      <c r="AJG207" s="44"/>
      <c r="AJH207" s="44"/>
      <c r="AJI207" s="44"/>
      <c r="AJJ207" s="44"/>
      <c r="AJK207" s="44"/>
      <c r="AJL207" s="44"/>
      <c r="AJM207" s="44"/>
      <c r="AJN207" s="44"/>
      <c r="AJO207" s="44"/>
      <c r="AJP207" s="44"/>
      <c r="AJQ207" s="44"/>
      <c r="AJR207" s="44"/>
      <c r="AJS207" s="44"/>
      <c r="AJT207" s="44"/>
      <c r="AJU207" s="44"/>
      <c r="AJV207" s="44"/>
      <c r="AJW207" s="44"/>
      <c r="AJX207" s="44"/>
      <c r="AJY207" s="44"/>
      <c r="AJZ207" s="44"/>
      <c r="AKA207" s="44"/>
      <c r="AKB207" s="44"/>
      <c r="AKC207" s="44"/>
      <c r="AKD207" s="44"/>
      <c r="AKE207" s="44"/>
      <c r="AKF207" s="44"/>
      <c r="AKG207" s="44"/>
      <c r="AKH207" s="44"/>
      <c r="AKI207" s="44"/>
      <c r="AKJ207" s="44"/>
      <c r="AKK207" s="44"/>
      <c r="AKL207" s="44"/>
      <c r="AKM207" s="44"/>
      <c r="AKN207" s="44"/>
      <c r="AKO207" s="44"/>
      <c r="AKP207" s="44"/>
      <c r="AKQ207" s="44"/>
      <c r="AKR207" s="44"/>
      <c r="AKS207" s="44"/>
      <c r="AKT207" s="44"/>
      <c r="AKU207" s="44"/>
      <c r="AKV207" s="44"/>
      <c r="AKW207" s="44"/>
      <c r="AKX207" s="44"/>
      <c r="AKY207" s="44"/>
      <c r="AKZ207" s="44"/>
      <c r="ALA207" s="44"/>
      <c r="ALB207" s="44"/>
      <c r="ALC207" s="44"/>
      <c r="ALD207" s="44"/>
      <c r="ALE207" s="44"/>
      <c r="ALF207" s="44"/>
      <c r="ALG207" s="44"/>
      <c r="ALH207" s="44"/>
      <c r="ALI207" s="44"/>
      <c r="ALJ207" s="44"/>
      <c r="ALK207" s="44"/>
      <c r="ALL207" s="44"/>
      <c r="ALM207" s="44"/>
      <c r="ALN207" s="44"/>
      <c r="ALO207" s="44"/>
      <c r="ALP207" s="44"/>
      <c r="ALQ207" s="44"/>
      <c r="ALR207" s="44"/>
      <c r="ALS207" s="44"/>
      <c r="ALT207" s="44"/>
      <c r="ALU207" s="44"/>
      <c r="ALV207" s="44"/>
      <c r="ALW207" s="44"/>
      <c r="ALX207" s="44"/>
      <c r="ALY207" s="44"/>
      <c r="ALZ207" s="44"/>
      <c r="AMA207" s="44"/>
      <c r="AMB207" s="44"/>
      <c r="AMC207" s="44"/>
      <c r="AMD207" s="44"/>
      <c r="AME207" s="44"/>
      <c r="AMF207" s="44"/>
      <c r="AMG207" s="44"/>
      <c r="AMH207" s="44"/>
      <c r="AMI207" s="44"/>
      <c r="AMJ207" s="44"/>
      <c r="AMK207" s="44"/>
      <c r="AML207" s="44"/>
      <c r="AMM207" s="44"/>
      <c r="AMN207" s="44"/>
      <c r="AMO207" s="44"/>
      <c r="AMP207" s="44"/>
      <c r="AMQ207" s="44"/>
      <c r="AMR207" s="44"/>
      <c r="AMS207" s="44"/>
      <c r="AMT207" s="44"/>
      <c r="AMU207" s="44"/>
      <c r="AMV207" s="44"/>
      <c r="AMW207" s="44"/>
      <c r="AMX207" s="44"/>
      <c r="AMY207" s="44"/>
      <c r="AMZ207" s="44"/>
      <c r="ANA207" s="44"/>
      <c r="ANB207" s="44"/>
      <c r="ANC207" s="44"/>
      <c r="AND207" s="44"/>
      <c r="ANE207" s="44"/>
      <c r="ANF207" s="44"/>
      <c r="ANG207" s="44"/>
      <c r="ANH207" s="44"/>
      <c r="ANI207" s="44"/>
      <c r="ANJ207" s="44"/>
      <c r="ANK207" s="44"/>
      <c r="ANL207" s="44"/>
      <c r="ANM207" s="44"/>
      <c r="ANN207" s="44"/>
      <c r="ANO207" s="44"/>
      <c r="ANP207" s="44"/>
      <c r="ANQ207" s="44"/>
      <c r="ANR207" s="44"/>
      <c r="ANS207" s="44"/>
      <c r="ANT207" s="44"/>
      <c r="ANU207" s="44"/>
      <c r="ANV207" s="44"/>
      <c r="ANW207" s="44"/>
      <c r="ANX207" s="44"/>
      <c r="ANY207" s="44"/>
      <c r="ANZ207" s="44"/>
      <c r="AOA207" s="44"/>
      <c r="AOB207" s="44"/>
      <c r="AOC207" s="44"/>
      <c r="AOD207" s="44"/>
      <c r="AOE207" s="44"/>
      <c r="AOF207" s="44"/>
      <c r="AOG207" s="44"/>
      <c r="AOH207" s="44"/>
      <c r="AOI207" s="44"/>
      <c r="AOJ207" s="44"/>
      <c r="AOK207" s="44"/>
      <c r="AOL207" s="44"/>
      <c r="AOM207" s="44"/>
      <c r="AON207" s="44"/>
      <c r="AOO207" s="44"/>
      <c r="AOP207" s="44"/>
      <c r="AOQ207" s="44"/>
      <c r="AOR207" s="44"/>
      <c r="AOS207" s="44"/>
      <c r="AOT207" s="44"/>
      <c r="AOU207" s="44"/>
      <c r="AOV207" s="44"/>
      <c r="AOW207" s="44"/>
      <c r="AOX207" s="44"/>
      <c r="AOY207" s="44"/>
      <c r="AOZ207" s="44"/>
      <c r="APA207" s="44"/>
      <c r="APB207" s="44"/>
      <c r="APC207" s="44"/>
      <c r="APD207" s="44"/>
      <c r="APE207" s="44"/>
      <c r="APF207" s="44"/>
      <c r="APG207" s="44"/>
      <c r="APH207" s="44"/>
      <c r="API207" s="44"/>
      <c r="APJ207" s="44"/>
      <c r="APK207" s="44"/>
      <c r="APL207" s="44"/>
      <c r="APM207" s="44"/>
      <c r="APN207" s="44"/>
      <c r="APO207" s="44"/>
      <c r="APP207" s="44"/>
      <c r="APQ207" s="44"/>
      <c r="APR207" s="44"/>
      <c r="APS207" s="44"/>
      <c r="APT207" s="44"/>
      <c r="APU207" s="44"/>
      <c r="APV207" s="44"/>
      <c r="APW207" s="44"/>
      <c r="APX207" s="44"/>
      <c r="APY207" s="44"/>
      <c r="APZ207" s="44"/>
      <c r="AQA207" s="44"/>
      <c r="AQB207" s="44"/>
      <c r="AQC207" s="44"/>
      <c r="AQD207" s="44"/>
      <c r="AQE207" s="44"/>
      <c r="AQF207" s="44"/>
      <c r="AQG207" s="44"/>
      <c r="AQH207" s="44"/>
      <c r="AQI207" s="44"/>
      <c r="AQJ207" s="44"/>
      <c r="AQK207" s="44"/>
      <c r="AQL207" s="44"/>
      <c r="AQM207" s="44"/>
      <c r="AQN207" s="44"/>
      <c r="AQO207" s="44"/>
      <c r="AQP207" s="44"/>
      <c r="AQQ207" s="44"/>
      <c r="AQR207" s="44"/>
      <c r="AQS207" s="44"/>
      <c r="AQT207" s="44"/>
      <c r="AQU207" s="44"/>
      <c r="AQV207" s="44"/>
      <c r="AQW207" s="44"/>
      <c r="AQX207" s="44"/>
      <c r="AQY207" s="44"/>
      <c r="AQZ207" s="44"/>
      <c r="ARA207" s="44"/>
      <c r="ARB207" s="44"/>
      <c r="ARC207" s="44"/>
      <c r="ARD207" s="44"/>
      <c r="ARE207" s="44"/>
      <c r="ARF207" s="44"/>
      <c r="ARG207" s="44"/>
      <c r="ARH207" s="44"/>
      <c r="ARI207" s="44"/>
      <c r="ARJ207" s="44"/>
      <c r="ARK207" s="44"/>
      <c r="ARL207" s="44"/>
      <c r="ARM207" s="44"/>
      <c r="ARN207" s="44"/>
      <c r="ARO207" s="44"/>
      <c r="ARP207" s="44"/>
      <c r="ARQ207" s="44"/>
      <c r="ARR207" s="44"/>
      <c r="ARS207" s="44"/>
      <c r="ART207" s="44"/>
      <c r="ARU207" s="44"/>
      <c r="ARV207" s="44"/>
      <c r="ARW207" s="44"/>
      <c r="ARX207" s="44"/>
      <c r="ARY207" s="44"/>
      <c r="ARZ207" s="44"/>
      <c r="ASA207" s="44"/>
      <c r="ASB207" s="44"/>
      <c r="ASC207" s="44"/>
      <c r="ASD207" s="44"/>
      <c r="ASE207" s="44"/>
      <c r="ASF207" s="44"/>
      <c r="ASG207" s="44"/>
      <c r="ASH207" s="44"/>
      <c r="ASI207" s="44"/>
      <c r="ASJ207" s="44"/>
      <c r="ASK207" s="44"/>
      <c r="ASL207" s="44"/>
      <c r="ASM207" s="44"/>
      <c r="ASN207" s="44"/>
      <c r="ASO207" s="44"/>
      <c r="ASP207" s="44"/>
      <c r="ASQ207" s="44"/>
      <c r="ASR207" s="44"/>
      <c r="ASS207" s="44"/>
      <c r="AST207" s="44"/>
      <c r="ASU207" s="44"/>
      <c r="ASV207" s="44"/>
      <c r="ASW207" s="44"/>
      <c r="ASX207" s="44"/>
      <c r="ASY207" s="44"/>
      <c r="ASZ207" s="44"/>
      <c r="ATA207" s="44"/>
      <c r="ATB207" s="44"/>
      <c r="ATC207" s="44"/>
      <c r="ATD207" s="44"/>
      <c r="ATE207" s="44"/>
      <c r="ATF207" s="44"/>
      <c r="ATG207" s="44"/>
      <c r="ATH207" s="44"/>
      <c r="ATI207" s="44"/>
      <c r="ATJ207" s="44"/>
      <c r="ATK207" s="44"/>
      <c r="ATL207" s="44"/>
      <c r="ATM207" s="44"/>
      <c r="ATN207" s="44"/>
      <c r="ATO207" s="44"/>
      <c r="ATP207" s="44"/>
      <c r="ATQ207" s="44"/>
      <c r="ATR207" s="44"/>
      <c r="ATS207" s="44"/>
      <c r="ATT207" s="44"/>
      <c r="ATU207" s="44"/>
      <c r="ATV207" s="44"/>
      <c r="ATW207" s="44"/>
      <c r="ATX207" s="44"/>
      <c r="ATY207" s="44"/>
      <c r="ATZ207" s="44"/>
      <c r="AUA207" s="44"/>
      <c r="AUB207" s="44"/>
      <c r="AUC207" s="44"/>
      <c r="AUD207" s="44"/>
      <c r="AUE207" s="44"/>
      <c r="AUF207" s="44"/>
      <c r="AUG207" s="44"/>
      <c r="AUH207" s="44"/>
      <c r="AUI207" s="44"/>
      <c r="AUJ207" s="44"/>
      <c r="AUK207" s="44"/>
      <c r="AUL207" s="44"/>
      <c r="AUM207" s="44"/>
      <c r="AUN207" s="44"/>
      <c r="AUO207" s="44"/>
      <c r="AUP207" s="44"/>
      <c r="AUQ207" s="44"/>
      <c r="AUR207" s="44"/>
      <c r="AUS207" s="44"/>
      <c r="AUT207" s="44"/>
      <c r="AUU207" s="44"/>
      <c r="AUV207" s="44"/>
      <c r="AUW207" s="44"/>
      <c r="AUX207" s="44"/>
      <c r="AUY207" s="44"/>
      <c r="AUZ207" s="44"/>
      <c r="AVA207" s="44"/>
      <c r="AVB207" s="44"/>
      <c r="AVC207" s="44"/>
      <c r="AVD207" s="44"/>
      <c r="AVE207" s="44"/>
      <c r="AVF207" s="44"/>
      <c r="AVG207" s="44"/>
      <c r="AVH207" s="44"/>
      <c r="AVI207" s="44"/>
      <c r="AVJ207" s="44"/>
      <c r="AVK207" s="44"/>
      <c r="AVL207" s="44"/>
      <c r="AVM207" s="44"/>
      <c r="AVN207" s="44"/>
      <c r="AVO207" s="44"/>
      <c r="AVP207" s="44"/>
      <c r="AVQ207" s="44"/>
      <c r="AVR207" s="44"/>
      <c r="AVS207" s="44"/>
      <c r="AVT207" s="44"/>
      <c r="AVU207" s="44"/>
      <c r="AVV207" s="44"/>
      <c r="AVW207" s="44"/>
      <c r="AVX207" s="44"/>
      <c r="AVY207" s="44"/>
      <c r="AVZ207" s="44"/>
      <c r="AWA207" s="44"/>
      <c r="AWB207" s="44"/>
      <c r="AWC207" s="44"/>
      <c r="AWD207" s="44"/>
      <c r="AWE207" s="44"/>
      <c r="AWF207" s="44"/>
      <c r="AWG207" s="44"/>
      <c r="AWH207" s="44"/>
      <c r="AWI207" s="44"/>
      <c r="AWJ207" s="44"/>
      <c r="AWK207" s="44"/>
      <c r="AWL207" s="44"/>
      <c r="AWM207" s="44"/>
      <c r="AWN207" s="44"/>
      <c r="AWO207" s="44"/>
      <c r="AWP207" s="44"/>
      <c r="AWQ207" s="44"/>
      <c r="AWR207" s="44"/>
      <c r="AWS207" s="44"/>
      <c r="AWT207" s="44"/>
      <c r="AWU207" s="44"/>
      <c r="AWV207" s="44"/>
      <c r="AWW207" s="44"/>
      <c r="AWX207" s="44"/>
      <c r="AWY207" s="44"/>
      <c r="AWZ207" s="44"/>
      <c r="AXA207" s="44"/>
      <c r="AXB207" s="44"/>
      <c r="AXC207" s="44"/>
      <c r="AXD207" s="44"/>
      <c r="AXE207" s="44"/>
      <c r="AXF207" s="44"/>
      <c r="AXG207" s="44"/>
      <c r="AXH207" s="44"/>
      <c r="AXI207" s="44"/>
      <c r="AXJ207" s="44"/>
      <c r="AXK207" s="44"/>
      <c r="AXL207" s="44"/>
      <c r="AXM207" s="44"/>
      <c r="AXN207" s="44"/>
      <c r="AXO207" s="44"/>
      <c r="AXP207" s="44"/>
      <c r="AXQ207" s="44"/>
      <c r="AXR207" s="44"/>
      <c r="AXS207" s="44"/>
      <c r="AXT207" s="44"/>
      <c r="AXU207" s="44"/>
      <c r="AXV207" s="44"/>
      <c r="AXW207" s="44"/>
      <c r="AXX207" s="44"/>
      <c r="AXY207" s="44"/>
      <c r="AXZ207" s="44"/>
      <c r="AYA207" s="44"/>
      <c r="AYB207" s="44"/>
      <c r="AYC207" s="44"/>
      <c r="AYD207" s="44"/>
      <c r="AYE207" s="44"/>
      <c r="AYF207" s="44"/>
      <c r="AYG207" s="44"/>
      <c r="AYH207" s="44"/>
      <c r="AYI207" s="44"/>
      <c r="AYJ207" s="44"/>
      <c r="AYK207" s="44"/>
      <c r="AYL207" s="44"/>
      <c r="AYM207" s="44"/>
      <c r="AYN207" s="44"/>
      <c r="AYO207" s="44"/>
      <c r="AYP207" s="44"/>
      <c r="AYQ207" s="44"/>
      <c r="AYR207" s="44"/>
      <c r="AYS207" s="44"/>
      <c r="AYT207" s="44"/>
      <c r="AYU207" s="44"/>
      <c r="AYV207" s="44"/>
      <c r="AYW207" s="44"/>
      <c r="AYX207" s="44"/>
      <c r="AYY207" s="44"/>
      <c r="AYZ207" s="44"/>
      <c r="AZA207" s="44"/>
      <c r="AZB207" s="44"/>
      <c r="AZC207" s="44"/>
      <c r="AZD207" s="44"/>
      <c r="AZE207" s="44"/>
      <c r="AZF207" s="44"/>
      <c r="AZG207" s="44"/>
      <c r="AZH207" s="44"/>
      <c r="AZI207" s="44"/>
      <c r="AZJ207" s="44"/>
      <c r="AZK207" s="44"/>
      <c r="AZL207" s="44"/>
      <c r="AZM207" s="44"/>
      <c r="AZN207" s="44"/>
      <c r="AZO207" s="44"/>
      <c r="AZP207" s="44"/>
      <c r="AZQ207" s="44"/>
      <c r="AZR207" s="44"/>
      <c r="AZS207" s="44"/>
      <c r="AZT207" s="44"/>
      <c r="AZU207" s="44"/>
      <c r="AZV207" s="44"/>
      <c r="AZW207" s="44"/>
      <c r="AZX207" s="44"/>
      <c r="AZY207" s="44"/>
      <c r="AZZ207" s="44"/>
      <c r="BAA207" s="44"/>
      <c r="BAB207" s="44"/>
      <c r="BAC207" s="44"/>
      <c r="BAD207" s="44"/>
      <c r="BAE207" s="44"/>
      <c r="BAF207" s="44"/>
      <c r="BAG207" s="44"/>
      <c r="BAH207" s="44"/>
      <c r="BAI207" s="44"/>
      <c r="BAJ207" s="44"/>
      <c r="BAK207" s="44"/>
      <c r="BAL207" s="44"/>
      <c r="BAM207" s="44"/>
      <c r="BAN207" s="44"/>
      <c r="BAO207" s="44"/>
      <c r="BAP207" s="44"/>
      <c r="BAQ207" s="44"/>
      <c r="BAR207" s="44"/>
      <c r="BAS207" s="44"/>
      <c r="BAT207" s="44"/>
      <c r="BAU207" s="44"/>
      <c r="BAV207" s="44"/>
      <c r="BAW207" s="44"/>
      <c r="BAX207" s="44"/>
      <c r="BAY207" s="44"/>
      <c r="BAZ207" s="44"/>
      <c r="BBA207" s="44"/>
      <c r="BBB207" s="44"/>
      <c r="BBC207" s="44"/>
      <c r="BBD207" s="44"/>
      <c r="BBE207" s="44"/>
      <c r="BBF207" s="44"/>
      <c r="BBG207" s="44"/>
      <c r="BBH207" s="44"/>
      <c r="BBI207" s="44"/>
      <c r="BBJ207" s="44"/>
      <c r="BBK207" s="44"/>
      <c r="BBL207" s="44"/>
      <c r="BBM207" s="44"/>
      <c r="BBN207" s="44"/>
      <c r="BBO207" s="44"/>
      <c r="BBP207" s="44"/>
      <c r="BBQ207" s="44"/>
      <c r="BBR207" s="44"/>
      <c r="BBS207" s="44"/>
      <c r="BBT207" s="44"/>
      <c r="BBU207" s="44"/>
      <c r="BBV207" s="44"/>
      <c r="BBW207" s="44"/>
      <c r="BBX207" s="44"/>
      <c r="BBY207" s="44"/>
      <c r="BBZ207" s="44"/>
      <c r="BCA207" s="44"/>
      <c r="BCB207" s="44"/>
      <c r="BCC207" s="44"/>
      <c r="BCD207" s="44"/>
      <c r="BCE207" s="44"/>
      <c r="BCF207" s="44"/>
      <c r="BCG207" s="44"/>
      <c r="BCH207" s="44"/>
      <c r="BCI207" s="44"/>
      <c r="BCJ207" s="44"/>
      <c r="BCK207" s="44"/>
      <c r="BCL207" s="44"/>
      <c r="BCM207" s="44"/>
      <c r="BCN207" s="44"/>
      <c r="BCO207" s="44"/>
      <c r="BCP207" s="44"/>
      <c r="BCQ207" s="44"/>
      <c r="BCR207" s="44"/>
      <c r="BCS207" s="44"/>
      <c r="BCT207" s="44"/>
      <c r="BCU207" s="44"/>
      <c r="BCV207" s="44"/>
      <c r="BCW207" s="44"/>
      <c r="BCX207" s="44"/>
      <c r="BCY207" s="44"/>
      <c r="BCZ207" s="44"/>
      <c r="BDA207" s="44"/>
      <c r="BDB207" s="44"/>
      <c r="BDC207" s="44"/>
      <c r="BDD207" s="44"/>
      <c r="BDE207" s="44"/>
      <c r="BDF207" s="44"/>
      <c r="BDG207" s="44"/>
      <c r="BDH207" s="44"/>
      <c r="BDI207" s="44"/>
      <c r="BDJ207" s="44"/>
      <c r="BDK207" s="44"/>
      <c r="BDL207" s="44"/>
      <c r="BDM207" s="44"/>
      <c r="BDN207" s="44"/>
      <c r="BDO207" s="44"/>
      <c r="BDP207" s="44"/>
      <c r="BDQ207" s="44"/>
      <c r="BDR207" s="44"/>
      <c r="BDS207" s="44"/>
      <c r="BDT207" s="44"/>
      <c r="BDU207" s="44"/>
      <c r="BDV207" s="44"/>
      <c r="BDW207" s="44"/>
      <c r="BDX207" s="44"/>
      <c r="BDY207" s="44"/>
      <c r="BDZ207" s="44"/>
      <c r="BEA207" s="44"/>
      <c r="BEB207" s="44"/>
      <c r="BEC207" s="44"/>
      <c r="BED207" s="44"/>
      <c r="BEE207" s="44"/>
      <c r="BEF207" s="44"/>
      <c r="BEG207" s="44"/>
      <c r="BEH207" s="44"/>
      <c r="BEI207" s="44"/>
      <c r="BEJ207" s="44"/>
      <c r="BEK207" s="44"/>
      <c r="BEL207" s="44"/>
      <c r="BEM207" s="44"/>
      <c r="BEN207" s="44"/>
      <c r="BEO207" s="44"/>
      <c r="BEP207" s="44"/>
      <c r="BEQ207" s="44"/>
      <c r="BER207" s="44"/>
      <c r="BES207" s="44"/>
      <c r="BET207" s="44"/>
      <c r="BEU207" s="44"/>
      <c r="BEV207" s="44"/>
      <c r="BEW207" s="44"/>
      <c r="BEX207" s="44"/>
      <c r="BEY207" s="44"/>
      <c r="BEZ207" s="44"/>
      <c r="BFA207" s="44"/>
      <c r="BFB207" s="44"/>
      <c r="BFC207" s="44"/>
      <c r="BFD207" s="44"/>
      <c r="BFE207" s="44"/>
      <c r="BFF207" s="44"/>
      <c r="BFG207" s="44"/>
      <c r="BFH207" s="44"/>
      <c r="BFI207" s="44"/>
      <c r="BFJ207" s="44"/>
      <c r="BFK207" s="44"/>
      <c r="BFL207" s="44"/>
      <c r="BFM207" s="44"/>
      <c r="BFN207" s="44"/>
      <c r="BFO207" s="44"/>
      <c r="BFP207" s="44"/>
      <c r="BFQ207" s="44"/>
      <c r="BFR207" s="44"/>
      <c r="BFS207" s="44"/>
      <c r="BFT207" s="44"/>
      <c r="BFU207" s="44"/>
      <c r="BFV207" s="44"/>
      <c r="BFW207" s="44"/>
      <c r="BFX207" s="44"/>
      <c r="BFY207" s="44"/>
      <c r="BFZ207" s="44"/>
      <c r="BGA207" s="44"/>
      <c r="BGB207" s="44"/>
      <c r="BGC207" s="44"/>
      <c r="BGD207" s="44"/>
      <c r="BGE207" s="44"/>
      <c r="BGF207" s="44"/>
      <c r="BGG207" s="44"/>
      <c r="BGH207" s="44"/>
      <c r="BGI207" s="44"/>
      <c r="BGJ207" s="44"/>
      <c r="BGK207" s="44"/>
      <c r="BGL207" s="44"/>
      <c r="BGM207" s="44"/>
      <c r="BGN207" s="44"/>
      <c r="BGO207" s="44"/>
      <c r="BGP207" s="44"/>
      <c r="BGQ207" s="44"/>
      <c r="BGR207" s="44"/>
      <c r="BGS207" s="44"/>
      <c r="BGT207" s="44"/>
      <c r="BGU207" s="44"/>
      <c r="BGV207" s="44"/>
      <c r="BGW207" s="44"/>
      <c r="BGX207" s="44"/>
      <c r="BGY207" s="44"/>
      <c r="BGZ207" s="44"/>
      <c r="BHA207" s="44"/>
      <c r="BHB207" s="44"/>
      <c r="BHC207" s="44"/>
      <c r="BHD207" s="44"/>
      <c r="BHE207" s="44"/>
      <c r="BHF207" s="44"/>
      <c r="BHG207" s="44"/>
      <c r="BHH207" s="44"/>
      <c r="BHI207" s="44"/>
      <c r="BHJ207" s="44"/>
      <c r="BHK207" s="44"/>
      <c r="BHL207" s="44"/>
      <c r="BHM207" s="44"/>
      <c r="BHN207" s="44"/>
      <c r="BHO207" s="44"/>
      <c r="BHP207" s="44"/>
      <c r="BHQ207" s="44"/>
      <c r="BHR207" s="44"/>
      <c r="BHS207" s="44"/>
      <c r="BHT207" s="44"/>
      <c r="BHU207" s="44"/>
      <c r="BHV207" s="44"/>
      <c r="BHW207" s="44"/>
      <c r="BHX207" s="44"/>
      <c r="BHY207" s="44"/>
      <c r="BHZ207" s="44"/>
      <c r="BIA207" s="44"/>
      <c r="BIB207" s="44"/>
      <c r="BIC207" s="44"/>
      <c r="BID207" s="44"/>
      <c r="BIE207" s="44"/>
      <c r="BIF207" s="44"/>
      <c r="BIG207" s="44"/>
      <c r="BIH207" s="44"/>
      <c r="BII207" s="44"/>
      <c r="BIJ207" s="44"/>
      <c r="BIK207" s="44"/>
      <c r="BIL207" s="44"/>
      <c r="BIM207" s="44"/>
      <c r="BIN207" s="44"/>
      <c r="BIO207" s="44"/>
      <c r="BIP207" s="44"/>
      <c r="BIQ207" s="44"/>
      <c r="BIR207" s="44"/>
      <c r="BIS207" s="44"/>
      <c r="BIT207" s="44"/>
      <c r="BIU207" s="44"/>
      <c r="BIV207" s="44"/>
      <c r="BIW207" s="44"/>
      <c r="BIX207" s="44"/>
      <c r="BIY207" s="44"/>
      <c r="BIZ207" s="44"/>
      <c r="BJA207" s="44"/>
      <c r="BJB207" s="44"/>
      <c r="BJC207" s="44"/>
      <c r="BJD207" s="44"/>
      <c r="BJE207" s="44"/>
      <c r="BJF207" s="44"/>
      <c r="BJG207" s="44"/>
      <c r="BJH207" s="44"/>
      <c r="BJI207" s="44"/>
      <c r="BJJ207" s="44"/>
      <c r="BJK207" s="44"/>
      <c r="BJL207" s="44"/>
      <c r="BJM207" s="44"/>
      <c r="BJN207" s="44"/>
      <c r="BJO207" s="44"/>
      <c r="BJP207" s="44"/>
      <c r="BJQ207" s="44"/>
      <c r="BJR207" s="44"/>
      <c r="BJS207" s="44"/>
      <c r="BJT207" s="44"/>
      <c r="BJU207" s="44"/>
      <c r="BJV207" s="44"/>
      <c r="BJW207" s="44"/>
      <c r="BJX207" s="44"/>
      <c r="BJY207" s="44"/>
      <c r="BJZ207" s="44"/>
      <c r="BKA207" s="44"/>
      <c r="BKB207" s="44"/>
      <c r="BKC207" s="44"/>
      <c r="BKD207" s="44"/>
      <c r="BKE207" s="44"/>
      <c r="BKF207" s="44"/>
      <c r="BKG207" s="44"/>
      <c r="BKH207" s="44"/>
      <c r="BKI207" s="44"/>
      <c r="BKJ207" s="44"/>
      <c r="BKK207" s="44"/>
      <c r="BKL207" s="44"/>
      <c r="BKM207" s="44"/>
      <c r="BKN207" s="44"/>
      <c r="BKO207" s="44"/>
      <c r="BKP207" s="44"/>
      <c r="BKQ207" s="44"/>
      <c r="BKR207" s="44"/>
      <c r="BKS207" s="44"/>
      <c r="BKT207" s="44"/>
      <c r="BKU207" s="44"/>
      <c r="BKV207" s="44"/>
      <c r="BKW207" s="44"/>
      <c r="BKX207" s="44"/>
      <c r="BKY207" s="44"/>
      <c r="BKZ207" s="44"/>
      <c r="BLA207" s="44"/>
      <c r="BLB207" s="44"/>
      <c r="BLC207" s="44"/>
      <c r="BLD207" s="44"/>
      <c r="BLE207" s="44"/>
      <c r="BLF207" s="44"/>
      <c r="BLG207" s="44"/>
      <c r="BLH207" s="44"/>
      <c r="BLI207" s="44"/>
      <c r="BLJ207" s="44"/>
      <c r="BLK207" s="44"/>
      <c r="BLL207" s="44"/>
      <c r="BLM207" s="44"/>
      <c r="BLN207" s="44"/>
      <c r="BLO207" s="44"/>
      <c r="BLP207" s="44"/>
      <c r="BLQ207" s="44"/>
      <c r="BLR207" s="44"/>
      <c r="BLS207" s="44"/>
      <c r="BLT207" s="44"/>
      <c r="BLU207" s="44"/>
      <c r="BLV207" s="44"/>
      <c r="BLW207" s="44"/>
      <c r="BLX207" s="44"/>
      <c r="BLY207" s="44"/>
      <c r="BLZ207" s="44"/>
      <c r="BMA207" s="44"/>
      <c r="BMB207" s="44"/>
      <c r="BMC207" s="44"/>
      <c r="BMD207" s="44"/>
      <c r="BME207" s="44"/>
      <c r="BMF207" s="44"/>
      <c r="BMG207" s="44"/>
      <c r="BMH207" s="44"/>
      <c r="BMI207" s="44"/>
      <c r="BMJ207" s="44"/>
      <c r="BMK207" s="44"/>
      <c r="BML207" s="44"/>
      <c r="BMM207" s="44"/>
      <c r="BMN207" s="44"/>
      <c r="BMO207" s="44"/>
      <c r="BMP207" s="44"/>
      <c r="BMQ207" s="44"/>
      <c r="BMR207" s="44"/>
      <c r="BMS207" s="44"/>
      <c r="BMT207" s="44"/>
      <c r="BMU207" s="44"/>
      <c r="BMV207" s="44"/>
      <c r="BMW207" s="44"/>
      <c r="BMX207" s="44"/>
      <c r="BMY207" s="44"/>
      <c r="BMZ207" s="44"/>
      <c r="BNA207" s="44"/>
      <c r="BNB207" s="44"/>
      <c r="BNC207" s="44"/>
      <c r="BND207" s="44"/>
      <c r="BNE207" s="44"/>
      <c r="BNF207" s="44"/>
      <c r="BNG207" s="44"/>
      <c r="BNH207" s="44"/>
      <c r="BNI207" s="44"/>
      <c r="BNJ207" s="44"/>
      <c r="BNK207" s="44"/>
      <c r="BNL207" s="44"/>
      <c r="BNM207" s="44"/>
      <c r="BNN207" s="44"/>
      <c r="BNO207" s="44"/>
      <c r="BNP207" s="44"/>
      <c r="BNQ207" s="44"/>
      <c r="BNR207" s="44"/>
      <c r="BNS207" s="44"/>
      <c r="BNT207" s="44"/>
      <c r="BNU207" s="44"/>
      <c r="BNV207" s="44"/>
      <c r="BNW207" s="44"/>
      <c r="BNX207" s="44"/>
      <c r="BNY207" s="44"/>
      <c r="BNZ207" s="44"/>
      <c r="BOA207" s="44"/>
      <c r="BOB207" s="44"/>
      <c r="BOC207" s="44"/>
      <c r="BOD207" s="44"/>
      <c r="BOE207" s="44"/>
      <c r="BOF207" s="44"/>
      <c r="BOG207" s="44"/>
      <c r="BOH207" s="44"/>
      <c r="BOI207" s="44"/>
      <c r="BOJ207" s="44"/>
      <c r="BOK207" s="44"/>
      <c r="BOL207" s="44"/>
      <c r="BOM207" s="44"/>
      <c r="BON207" s="44"/>
      <c r="BOO207" s="44"/>
      <c r="BOP207" s="44"/>
      <c r="BOQ207" s="44"/>
      <c r="BOR207" s="44"/>
      <c r="BOS207" s="44"/>
      <c r="BOT207" s="44"/>
      <c r="BOU207" s="44"/>
      <c r="BOV207" s="44"/>
      <c r="BOW207" s="44"/>
      <c r="BOX207" s="44"/>
      <c r="BOY207" s="44"/>
      <c r="BOZ207" s="44"/>
      <c r="BPA207" s="44"/>
      <c r="BPB207" s="44"/>
      <c r="BPC207" s="44"/>
      <c r="BPD207" s="44"/>
      <c r="BPE207" s="44"/>
      <c r="BPF207" s="44"/>
      <c r="BPG207" s="44"/>
      <c r="BPH207" s="44"/>
      <c r="BPI207" s="44"/>
      <c r="BPJ207" s="44"/>
      <c r="BPK207" s="44"/>
      <c r="BPL207" s="44"/>
      <c r="BPM207" s="44"/>
      <c r="BPN207" s="44"/>
      <c r="BPO207" s="44"/>
      <c r="BPP207" s="44"/>
      <c r="BPQ207" s="44"/>
      <c r="BPR207" s="44"/>
      <c r="BPS207" s="44"/>
      <c r="BPT207" s="44"/>
      <c r="BPU207" s="44"/>
      <c r="BPV207" s="44"/>
      <c r="BPW207" s="44"/>
      <c r="BPX207" s="44"/>
      <c r="BPY207" s="44"/>
      <c r="BPZ207" s="44"/>
      <c r="BQA207" s="44"/>
      <c r="BQB207" s="44"/>
      <c r="BQC207" s="44"/>
      <c r="BQD207" s="44"/>
      <c r="BQE207" s="44"/>
      <c r="BQF207" s="44"/>
      <c r="BQG207" s="44"/>
      <c r="BQH207" s="44"/>
      <c r="BQI207" s="44"/>
      <c r="BQJ207" s="44"/>
      <c r="BQK207" s="44"/>
      <c r="BQL207" s="44"/>
      <c r="BQM207" s="44"/>
      <c r="BQN207" s="44"/>
      <c r="BQO207" s="44"/>
      <c r="BQP207" s="44"/>
      <c r="BQQ207" s="44"/>
      <c r="BQR207" s="44"/>
      <c r="BQS207" s="44"/>
      <c r="BQT207" s="44"/>
      <c r="BQU207" s="44"/>
      <c r="BQV207" s="44"/>
      <c r="BQW207" s="44"/>
      <c r="BQX207" s="44"/>
      <c r="BQY207" s="44"/>
      <c r="BQZ207" s="44"/>
      <c r="BRA207" s="44"/>
      <c r="BRB207" s="44"/>
      <c r="BRC207" s="44"/>
      <c r="BRD207" s="44"/>
      <c r="BRE207" s="44"/>
      <c r="BRF207" s="44"/>
      <c r="BRG207" s="44"/>
      <c r="BRH207" s="44"/>
      <c r="BRI207" s="44"/>
      <c r="BRJ207" s="44"/>
      <c r="BRK207" s="44"/>
      <c r="BRL207" s="44"/>
      <c r="BRM207" s="44"/>
      <c r="BRN207" s="44"/>
      <c r="BRO207" s="44"/>
      <c r="BRP207" s="44"/>
      <c r="BRQ207" s="44"/>
      <c r="BRR207" s="44"/>
      <c r="BRS207" s="44"/>
      <c r="BRT207" s="44"/>
      <c r="BRU207" s="44"/>
      <c r="BRV207" s="44"/>
      <c r="BRW207" s="44"/>
      <c r="BRX207" s="44"/>
      <c r="BRY207" s="44"/>
      <c r="BRZ207" s="44"/>
      <c r="BSA207" s="44"/>
      <c r="BSB207" s="44"/>
      <c r="BSC207" s="44"/>
      <c r="BSD207" s="44"/>
      <c r="BSE207" s="44"/>
      <c r="BSF207" s="44"/>
      <c r="BSG207" s="44"/>
      <c r="BSH207" s="44"/>
      <c r="BSI207" s="44"/>
      <c r="BSJ207" s="44"/>
      <c r="BSK207" s="44"/>
      <c r="BSL207" s="44"/>
      <c r="BSM207" s="44"/>
      <c r="BSN207" s="44"/>
      <c r="BSO207" s="44"/>
      <c r="BSP207" s="44"/>
      <c r="BSQ207" s="44"/>
      <c r="BSR207" s="44"/>
      <c r="BSS207" s="44"/>
      <c r="BST207" s="44"/>
      <c r="BSU207" s="44"/>
      <c r="BSV207" s="44"/>
      <c r="BSW207" s="44"/>
      <c r="BSX207" s="44"/>
      <c r="BSY207" s="44"/>
      <c r="BSZ207" s="44"/>
      <c r="BTA207" s="44"/>
      <c r="BTB207" s="44"/>
      <c r="BTC207" s="44"/>
      <c r="BTD207" s="44"/>
      <c r="BTE207" s="44"/>
      <c r="BTF207" s="44"/>
      <c r="BTG207" s="44"/>
      <c r="BTH207" s="44"/>
      <c r="BTI207" s="44"/>
    </row>
    <row r="208" spans="1:1881" s="825" customFormat="1" ht="30.75" customHeight="1" x14ac:dyDescent="0.25">
      <c r="A208" s="123"/>
      <c r="B208" s="782" t="s">
        <v>531</v>
      </c>
      <c r="C208" s="783"/>
      <c r="D208" s="268"/>
      <c r="E208" s="824"/>
      <c r="F208" s="807"/>
      <c r="G208" s="451"/>
      <c r="H208" s="43"/>
      <c r="I208" s="223"/>
      <c r="J208" s="44"/>
      <c r="K208" s="44"/>
      <c r="L208" s="44"/>
      <c r="M208" s="44"/>
      <c r="N208" s="756"/>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c r="GX208" s="44"/>
      <c r="GY208" s="44"/>
      <c r="GZ208" s="44"/>
      <c r="HA208" s="44"/>
      <c r="HB208" s="44"/>
      <c r="HC208" s="44"/>
      <c r="HD208" s="44"/>
      <c r="HE208" s="44"/>
      <c r="HF208" s="44"/>
      <c r="HG208" s="44"/>
      <c r="HH208" s="44"/>
      <c r="HI208" s="44"/>
      <c r="HJ208" s="44"/>
      <c r="HK208" s="44"/>
      <c r="HL208" s="44"/>
      <c r="HM208" s="44"/>
      <c r="HN208" s="44"/>
      <c r="HO208" s="44"/>
      <c r="HP208" s="44"/>
      <c r="HQ208" s="44"/>
      <c r="HR208" s="44"/>
      <c r="HS208" s="44"/>
      <c r="HT208" s="44"/>
      <c r="HU208" s="44"/>
      <c r="HV208" s="44"/>
      <c r="HW208" s="44"/>
      <c r="HX208" s="44"/>
      <c r="HY208" s="44"/>
      <c r="HZ208" s="44"/>
      <c r="IA208" s="44"/>
      <c r="IB208" s="44"/>
      <c r="IC208" s="44"/>
      <c r="ID208" s="44"/>
      <c r="IE208" s="44"/>
      <c r="IF208" s="44"/>
      <c r="IG208" s="44"/>
      <c r="IH208" s="44"/>
      <c r="II208" s="44"/>
      <c r="IJ208" s="44"/>
      <c r="IK208" s="44"/>
      <c r="IL208" s="44"/>
      <c r="IM208" s="44"/>
      <c r="IN208" s="44"/>
      <c r="IO208" s="44"/>
      <c r="IP208" s="44"/>
      <c r="IQ208" s="44"/>
      <c r="IR208" s="44"/>
      <c r="IS208" s="44"/>
      <c r="IT208" s="44"/>
      <c r="IU208" s="44"/>
      <c r="IV208" s="44"/>
      <c r="IW208" s="44"/>
      <c r="IX208" s="44"/>
      <c r="IY208" s="44"/>
      <c r="IZ208" s="44"/>
      <c r="JA208" s="44"/>
      <c r="JB208" s="44"/>
      <c r="JC208" s="44"/>
      <c r="JD208" s="44"/>
      <c r="JE208" s="44"/>
      <c r="JF208" s="44"/>
      <c r="JG208" s="44"/>
      <c r="JH208" s="44"/>
      <c r="JI208" s="44"/>
      <c r="JJ208" s="44"/>
      <c r="JK208" s="44"/>
      <c r="JL208" s="44"/>
      <c r="JM208" s="44"/>
      <c r="JN208" s="44"/>
      <c r="JO208" s="44"/>
      <c r="JP208" s="44"/>
      <c r="JQ208" s="44"/>
      <c r="JR208" s="44"/>
      <c r="JS208" s="44"/>
      <c r="JT208" s="44"/>
      <c r="JU208" s="44"/>
      <c r="JV208" s="44"/>
      <c r="JW208" s="44"/>
      <c r="JX208" s="44"/>
      <c r="JY208" s="44"/>
      <c r="JZ208" s="44"/>
      <c r="KA208" s="44"/>
      <c r="KB208" s="44"/>
      <c r="KC208" s="44"/>
      <c r="KD208" s="44"/>
      <c r="KE208" s="44"/>
      <c r="KF208" s="44"/>
      <c r="KG208" s="44"/>
      <c r="KH208" s="44"/>
      <c r="KI208" s="44"/>
      <c r="KJ208" s="44"/>
      <c r="KK208" s="44"/>
      <c r="KL208" s="44"/>
      <c r="KM208" s="44"/>
      <c r="KN208" s="44"/>
      <c r="KO208" s="44"/>
      <c r="KP208" s="44"/>
      <c r="KQ208" s="44"/>
      <c r="KR208" s="44"/>
      <c r="KS208" s="44"/>
      <c r="KT208" s="44"/>
      <c r="KU208" s="44"/>
      <c r="KV208" s="44"/>
      <c r="KW208" s="44"/>
      <c r="KX208" s="44"/>
      <c r="KY208" s="44"/>
      <c r="KZ208" s="44"/>
      <c r="LA208" s="44"/>
      <c r="LB208" s="44"/>
      <c r="LC208" s="44"/>
      <c r="LD208" s="44"/>
      <c r="LE208" s="44"/>
      <c r="LF208" s="44"/>
      <c r="LG208" s="44"/>
      <c r="LH208" s="44"/>
      <c r="LI208" s="44"/>
      <c r="LJ208" s="44"/>
      <c r="LK208" s="44"/>
      <c r="LL208" s="44"/>
      <c r="LM208" s="44"/>
      <c r="LN208" s="44"/>
      <c r="LO208" s="44"/>
      <c r="LP208" s="44"/>
      <c r="LQ208" s="44"/>
      <c r="LR208" s="44"/>
      <c r="LS208" s="44"/>
      <c r="LT208" s="44"/>
      <c r="LU208" s="44"/>
      <c r="LV208" s="44"/>
      <c r="LW208" s="44"/>
      <c r="LX208" s="44"/>
      <c r="LY208" s="44"/>
      <c r="LZ208" s="44"/>
      <c r="MA208" s="44"/>
      <c r="MB208" s="44"/>
      <c r="MC208" s="44"/>
      <c r="MD208" s="44"/>
      <c r="ME208" s="44"/>
      <c r="MF208" s="44"/>
      <c r="MG208" s="44"/>
      <c r="MH208" s="44"/>
      <c r="MI208" s="44"/>
      <c r="MJ208" s="44"/>
      <c r="MK208" s="44"/>
      <c r="ML208" s="44"/>
      <c r="MM208" s="44"/>
      <c r="MN208" s="44"/>
      <c r="MO208" s="44"/>
      <c r="MP208" s="44"/>
      <c r="MQ208" s="44"/>
      <c r="MR208" s="44"/>
      <c r="MS208" s="44"/>
      <c r="MT208" s="44"/>
      <c r="MU208" s="44"/>
      <c r="MV208" s="44"/>
      <c r="MW208" s="44"/>
      <c r="MX208" s="44"/>
      <c r="MY208" s="44"/>
      <c r="MZ208" s="44"/>
      <c r="NA208" s="44"/>
      <c r="NB208" s="44"/>
      <c r="NC208" s="44"/>
      <c r="ND208" s="44"/>
      <c r="NE208" s="44"/>
      <c r="NF208" s="44"/>
      <c r="NG208" s="44"/>
      <c r="NH208" s="44"/>
      <c r="NI208" s="44"/>
      <c r="NJ208" s="44"/>
      <c r="NK208" s="44"/>
      <c r="NL208" s="44"/>
      <c r="NM208" s="44"/>
      <c r="NN208" s="44"/>
      <c r="NO208" s="44"/>
      <c r="NP208" s="44"/>
      <c r="NQ208" s="44"/>
      <c r="NR208" s="44"/>
      <c r="NS208" s="44"/>
      <c r="NT208" s="44"/>
      <c r="NU208" s="44"/>
      <c r="NV208" s="44"/>
      <c r="NW208" s="44"/>
      <c r="NX208" s="44"/>
      <c r="NY208" s="44"/>
      <c r="NZ208" s="44"/>
      <c r="OA208" s="44"/>
      <c r="OB208" s="44"/>
      <c r="OC208" s="44"/>
      <c r="OD208" s="44"/>
      <c r="OE208" s="44"/>
      <c r="OF208" s="44"/>
      <c r="OG208" s="44"/>
      <c r="OH208" s="44"/>
      <c r="OI208" s="44"/>
      <c r="OJ208" s="44"/>
      <c r="OK208" s="44"/>
      <c r="OL208" s="44"/>
      <c r="OM208" s="44"/>
      <c r="ON208" s="44"/>
      <c r="OO208" s="44"/>
      <c r="OP208" s="44"/>
      <c r="OQ208" s="44"/>
      <c r="OR208" s="44"/>
      <c r="OS208" s="44"/>
      <c r="OT208" s="44"/>
      <c r="OU208" s="44"/>
      <c r="OV208" s="44"/>
      <c r="OW208" s="44"/>
      <c r="OX208" s="44"/>
      <c r="OY208" s="44"/>
      <c r="OZ208" s="44"/>
      <c r="PA208" s="44"/>
      <c r="PB208" s="44"/>
      <c r="PC208" s="44"/>
      <c r="PD208" s="44"/>
      <c r="PE208" s="44"/>
      <c r="PF208" s="44"/>
      <c r="PG208" s="44"/>
      <c r="PH208" s="44"/>
      <c r="PI208" s="44"/>
      <c r="PJ208" s="44"/>
      <c r="PK208" s="44"/>
      <c r="PL208" s="44"/>
      <c r="PM208" s="44"/>
      <c r="PN208" s="44"/>
      <c r="PO208" s="44"/>
      <c r="PP208" s="44"/>
      <c r="PQ208" s="44"/>
      <c r="PR208" s="44"/>
      <c r="PS208" s="44"/>
      <c r="PT208" s="44"/>
      <c r="PU208" s="44"/>
      <c r="PV208" s="44"/>
      <c r="PW208" s="44"/>
      <c r="PX208" s="44"/>
      <c r="PY208" s="44"/>
      <c r="PZ208" s="44"/>
      <c r="QA208" s="44"/>
      <c r="QB208" s="44"/>
      <c r="QC208" s="44"/>
      <c r="QD208" s="44"/>
      <c r="QE208" s="44"/>
      <c r="QF208" s="44"/>
      <c r="QG208" s="44"/>
      <c r="QH208" s="44"/>
      <c r="QI208" s="44"/>
      <c r="QJ208" s="44"/>
      <c r="QK208" s="44"/>
      <c r="QL208" s="44"/>
      <c r="QM208" s="44"/>
      <c r="QN208" s="44"/>
      <c r="QO208" s="44"/>
      <c r="QP208" s="44"/>
      <c r="QQ208" s="44"/>
      <c r="QR208" s="44"/>
      <c r="QS208" s="44"/>
      <c r="QT208" s="44"/>
      <c r="QU208" s="44"/>
      <c r="QV208" s="44"/>
      <c r="QW208" s="44"/>
      <c r="QX208" s="44"/>
      <c r="QY208" s="44"/>
      <c r="QZ208" s="44"/>
      <c r="RA208" s="44"/>
      <c r="RB208" s="44"/>
      <c r="RC208" s="44"/>
      <c r="RD208" s="44"/>
      <c r="RE208" s="44"/>
      <c r="RF208" s="44"/>
      <c r="RG208" s="44"/>
      <c r="RH208" s="44"/>
      <c r="RI208" s="44"/>
      <c r="RJ208" s="44"/>
      <c r="RK208" s="44"/>
      <c r="RL208" s="44"/>
      <c r="RM208" s="44"/>
      <c r="RN208" s="44"/>
      <c r="RO208" s="44"/>
      <c r="RP208" s="44"/>
      <c r="RQ208" s="44"/>
      <c r="RR208" s="44"/>
      <c r="RS208" s="44"/>
      <c r="RT208" s="44"/>
      <c r="RU208" s="44"/>
      <c r="RV208" s="44"/>
      <c r="RW208" s="44"/>
      <c r="RX208" s="44"/>
      <c r="RY208" s="44"/>
      <c r="RZ208" s="44"/>
      <c r="SA208" s="44"/>
      <c r="SB208" s="44"/>
      <c r="SC208" s="44"/>
      <c r="SD208" s="44"/>
      <c r="SE208" s="44"/>
      <c r="SF208" s="44"/>
      <c r="SG208" s="44"/>
      <c r="SH208" s="44"/>
      <c r="SI208" s="44"/>
      <c r="SJ208" s="44"/>
      <c r="SK208" s="44"/>
      <c r="SL208" s="44"/>
      <c r="SM208" s="44"/>
      <c r="SN208" s="44"/>
      <c r="SO208" s="44"/>
      <c r="SP208" s="44"/>
      <c r="SQ208" s="44"/>
      <c r="SR208" s="44"/>
      <c r="SS208" s="44"/>
      <c r="ST208" s="44"/>
      <c r="SU208" s="44"/>
      <c r="SV208" s="44"/>
      <c r="SW208" s="44"/>
      <c r="SX208" s="44"/>
      <c r="SY208" s="44"/>
      <c r="SZ208" s="44"/>
      <c r="TA208" s="44"/>
      <c r="TB208" s="44"/>
      <c r="TC208" s="44"/>
      <c r="TD208" s="44"/>
      <c r="TE208" s="44"/>
      <c r="TF208" s="44"/>
      <c r="TG208" s="44"/>
      <c r="TH208" s="44"/>
      <c r="TI208" s="44"/>
      <c r="TJ208" s="44"/>
      <c r="TK208" s="44"/>
      <c r="TL208" s="44"/>
      <c r="TM208" s="44"/>
      <c r="TN208" s="44"/>
      <c r="TO208" s="44"/>
      <c r="TP208" s="44"/>
      <c r="TQ208" s="44"/>
      <c r="TR208" s="44"/>
      <c r="TS208" s="44"/>
      <c r="TT208" s="44"/>
      <c r="TU208" s="44"/>
      <c r="TV208" s="44"/>
      <c r="TW208" s="44"/>
      <c r="TX208" s="44"/>
      <c r="TY208" s="44"/>
      <c r="TZ208" s="44"/>
      <c r="UA208" s="44"/>
      <c r="UB208" s="44"/>
      <c r="UC208" s="44"/>
      <c r="UD208" s="44"/>
      <c r="UE208" s="44"/>
      <c r="UF208" s="44"/>
      <c r="UG208" s="44"/>
      <c r="UH208" s="44"/>
      <c r="UI208" s="44"/>
      <c r="UJ208" s="44"/>
      <c r="UK208" s="44"/>
      <c r="UL208" s="44"/>
      <c r="UM208" s="44"/>
      <c r="UN208" s="44"/>
      <c r="UO208" s="44"/>
      <c r="UP208" s="44"/>
      <c r="UQ208" s="44"/>
      <c r="UR208" s="44"/>
      <c r="US208" s="44"/>
      <c r="UT208" s="44"/>
      <c r="UU208" s="44"/>
      <c r="UV208" s="44"/>
      <c r="UW208" s="44"/>
      <c r="UX208" s="44"/>
      <c r="UY208" s="44"/>
      <c r="UZ208" s="44"/>
      <c r="VA208" s="44"/>
      <c r="VB208" s="44"/>
      <c r="VC208" s="44"/>
      <c r="VD208" s="44"/>
      <c r="VE208" s="44"/>
      <c r="VF208" s="44"/>
      <c r="VG208" s="44"/>
      <c r="VH208" s="44"/>
      <c r="VI208" s="44"/>
      <c r="VJ208" s="44"/>
      <c r="VK208" s="44"/>
      <c r="VL208" s="44"/>
      <c r="VM208" s="44"/>
      <c r="VN208" s="44"/>
      <c r="VO208" s="44"/>
      <c r="VP208" s="44"/>
      <c r="VQ208" s="44"/>
      <c r="VR208" s="44"/>
      <c r="VS208" s="44"/>
      <c r="VT208" s="44"/>
      <c r="VU208" s="44"/>
      <c r="VV208" s="44"/>
      <c r="VW208" s="44"/>
      <c r="VX208" s="44"/>
      <c r="VY208" s="44"/>
      <c r="VZ208" s="44"/>
      <c r="WA208" s="44"/>
      <c r="WB208" s="44"/>
      <c r="WC208" s="44"/>
      <c r="WD208" s="44"/>
      <c r="WE208" s="44"/>
      <c r="WF208" s="44"/>
      <c r="WG208" s="44"/>
      <c r="WH208" s="44"/>
      <c r="WI208" s="44"/>
      <c r="WJ208" s="44"/>
      <c r="WK208" s="44"/>
      <c r="WL208" s="44"/>
      <c r="WM208" s="44"/>
      <c r="WN208" s="44"/>
      <c r="WO208" s="44"/>
      <c r="WP208" s="44"/>
      <c r="WQ208" s="44"/>
      <c r="WR208" s="44"/>
      <c r="WS208" s="44"/>
      <c r="WT208" s="44"/>
      <c r="WU208" s="44"/>
      <c r="WV208" s="44"/>
      <c r="WW208" s="44"/>
      <c r="WX208" s="44"/>
      <c r="WY208" s="44"/>
      <c r="WZ208" s="44"/>
      <c r="XA208" s="44"/>
      <c r="XB208" s="44"/>
      <c r="XC208" s="44"/>
      <c r="XD208" s="44"/>
      <c r="XE208" s="44"/>
      <c r="XF208" s="44"/>
      <c r="XG208" s="44"/>
      <c r="XH208" s="44"/>
      <c r="XI208" s="44"/>
      <c r="XJ208" s="44"/>
      <c r="XK208" s="44"/>
      <c r="XL208" s="44"/>
      <c r="XM208" s="44"/>
      <c r="XN208" s="44"/>
      <c r="XO208" s="44"/>
      <c r="XP208" s="44"/>
      <c r="XQ208" s="44"/>
      <c r="XR208" s="44"/>
      <c r="XS208" s="44"/>
      <c r="XT208" s="44"/>
      <c r="XU208" s="44"/>
      <c r="XV208" s="44"/>
      <c r="XW208" s="44"/>
      <c r="XX208" s="44"/>
      <c r="XY208" s="44"/>
      <c r="XZ208" s="44"/>
      <c r="YA208" s="44"/>
      <c r="YB208" s="44"/>
      <c r="YC208" s="44"/>
      <c r="YD208" s="44"/>
      <c r="YE208" s="44"/>
      <c r="YF208" s="44"/>
      <c r="YG208" s="44"/>
      <c r="YH208" s="44"/>
      <c r="YI208" s="44"/>
      <c r="YJ208" s="44"/>
      <c r="YK208" s="44"/>
      <c r="YL208" s="44"/>
      <c r="YM208" s="44"/>
      <c r="YN208" s="44"/>
      <c r="YO208" s="44"/>
      <c r="YP208" s="44"/>
      <c r="YQ208" s="44"/>
      <c r="YR208" s="44"/>
      <c r="YS208" s="44"/>
      <c r="YT208" s="44"/>
      <c r="YU208" s="44"/>
      <c r="YV208" s="44"/>
      <c r="YW208" s="44"/>
      <c r="YX208" s="44"/>
      <c r="YY208" s="44"/>
      <c r="YZ208" s="44"/>
      <c r="ZA208" s="44"/>
      <c r="ZB208" s="44"/>
      <c r="ZC208" s="44"/>
      <c r="ZD208" s="44"/>
      <c r="ZE208" s="44"/>
      <c r="ZF208" s="44"/>
      <c r="ZG208" s="44"/>
      <c r="ZH208" s="44"/>
      <c r="ZI208" s="44"/>
      <c r="ZJ208" s="44"/>
      <c r="ZK208" s="44"/>
      <c r="ZL208" s="44"/>
      <c r="ZM208" s="44"/>
      <c r="ZN208" s="44"/>
      <c r="ZO208" s="44"/>
      <c r="ZP208" s="44"/>
      <c r="ZQ208" s="44"/>
      <c r="ZR208" s="44"/>
      <c r="ZS208" s="44"/>
      <c r="ZT208" s="44"/>
      <c r="ZU208" s="44"/>
      <c r="ZV208" s="44"/>
      <c r="ZW208" s="44"/>
      <c r="ZX208" s="44"/>
      <c r="ZY208" s="44"/>
      <c r="ZZ208" s="44"/>
      <c r="AAA208" s="44"/>
      <c r="AAB208" s="44"/>
      <c r="AAC208" s="44"/>
      <c r="AAD208" s="44"/>
      <c r="AAE208" s="44"/>
      <c r="AAF208" s="44"/>
      <c r="AAG208" s="44"/>
      <c r="AAH208" s="44"/>
      <c r="AAI208" s="44"/>
      <c r="AAJ208" s="44"/>
      <c r="AAK208" s="44"/>
      <c r="AAL208" s="44"/>
      <c r="AAM208" s="44"/>
      <c r="AAN208" s="44"/>
      <c r="AAO208" s="44"/>
      <c r="AAP208" s="44"/>
      <c r="AAQ208" s="44"/>
      <c r="AAR208" s="44"/>
      <c r="AAS208" s="44"/>
      <c r="AAT208" s="44"/>
      <c r="AAU208" s="44"/>
      <c r="AAV208" s="44"/>
      <c r="AAW208" s="44"/>
      <c r="AAX208" s="44"/>
      <c r="AAY208" s="44"/>
      <c r="AAZ208" s="44"/>
      <c r="ABA208" s="44"/>
      <c r="ABB208" s="44"/>
      <c r="ABC208" s="44"/>
      <c r="ABD208" s="44"/>
      <c r="ABE208" s="44"/>
      <c r="ABF208" s="44"/>
      <c r="ABG208" s="44"/>
      <c r="ABH208" s="44"/>
      <c r="ABI208" s="44"/>
      <c r="ABJ208" s="44"/>
      <c r="ABK208" s="44"/>
      <c r="ABL208" s="44"/>
      <c r="ABM208" s="44"/>
      <c r="ABN208" s="44"/>
      <c r="ABO208" s="44"/>
      <c r="ABP208" s="44"/>
      <c r="ABQ208" s="44"/>
      <c r="ABR208" s="44"/>
      <c r="ABS208" s="44"/>
      <c r="ABT208" s="44"/>
      <c r="ABU208" s="44"/>
      <c r="ABV208" s="44"/>
      <c r="ABW208" s="44"/>
      <c r="ABX208" s="44"/>
      <c r="ABY208" s="44"/>
      <c r="ABZ208" s="44"/>
      <c r="ACA208" s="44"/>
      <c r="ACB208" s="44"/>
      <c r="ACC208" s="44"/>
      <c r="ACD208" s="44"/>
      <c r="ACE208" s="44"/>
      <c r="ACF208" s="44"/>
      <c r="ACG208" s="44"/>
      <c r="ACH208" s="44"/>
      <c r="ACI208" s="44"/>
      <c r="ACJ208" s="44"/>
      <c r="ACK208" s="44"/>
      <c r="ACL208" s="44"/>
      <c r="ACM208" s="44"/>
      <c r="ACN208" s="44"/>
      <c r="ACO208" s="44"/>
      <c r="ACP208" s="44"/>
      <c r="ACQ208" s="44"/>
      <c r="ACR208" s="44"/>
      <c r="ACS208" s="44"/>
      <c r="ACT208" s="44"/>
      <c r="ACU208" s="44"/>
      <c r="ACV208" s="44"/>
      <c r="ACW208" s="44"/>
      <c r="ACX208" s="44"/>
      <c r="ACY208" s="44"/>
      <c r="ACZ208" s="44"/>
      <c r="ADA208" s="44"/>
      <c r="ADB208" s="44"/>
      <c r="ADC208" s="44"/>
      <c r="ADD208" s="44"/>
      <c r="ADE208" s="44"/>
      <c r="ADF208" s="44"/>
      <c r="ADG208" s="44"/>
      <c r="ADH208" s="44"/>
      <c r="ADI208" s="44"/>
      <c r="ADJ208" s="44"/>
      <c r="ADK208" s="44"/>
      <c r="ADL208" s="44"/>
      <c r="ADM208" s="44"/>
      <c r="ADN208" s="44"/>
      <c r="ADO208" s="44"/>
      <c r="ADP208" s="44"/>
      <c r="ADQ208" s="44"/>
      <c r="ADR208" s="44"/>
      <c r="ADS208" s="44"/>
      <c r="ADT208" s="44"/>
      <c r="ADU208" s="44"/>
      <c r="ADV208" s="44"/>
      <c r="ADW208" s="44"/>
      <c r="ADX208" s="44"/>
      <c r="ADY208" s="44"/>
      <c r="ADZ208" s="44"/>
      <c r="AEA208" s="44"/>
      <c r="AEB208" s="44"/>
      <c r="AEC208" s="44"/>
      <c r="AED208" s="44"/>
      <c r="AEE208" s="44"/>
      <c r="AEF208" s="44"/>
      <c r="AEG208" s="44"/>
      <c r="AEH208" s="44"/>
      <c r="AEI208" s="44"/>
      <c r="AEJ208" s="44"/>
      <c r="AEK208" s="44"/>
      <c r="AEL208" s="44"/>
      <c r="AEM208" s="44"/>
      <c r="AEN208" s="44"/>
      <c r="AEO208" s="44"/>
      <c r="AEP208" s="44"/>
      <c r="AEQ208" s="44"/>
      <c r="AER208" s="44"/>
      <c r="AES208" s="44"/>
      <c r="AET208" s="44"/>
      <c r="AEU208" s="44"/>
      <c r="AEV208" s="44"/>
      <c r="AEW208" s="44"/>
      <c r="AEX208" s="44"/>
      <c r="AEY208" s="44"/>
      <c r="AEZ208" s="44"/>
      <c r="AFA208" s="44"/>
      <c r="AFB208" s="44"/>
      <c r="AFC208" s="44"/>
      <c r="AFD208" s="44"/>
      <c r="AFE208" s="44"/>
      <c r="AFF208" s="44"/>
      <c r="AFG208" s="44"/>
      <c r="AFH208" s="44"/>
      <c r="AFI208" s="44"/>
      <c r="AFJ208" s="44"/>
      <c r="AFK208" s="44"/>
      <c r="AFL208" s="44"/>
      <c r="AFM208" s="44"/>
      <c r="AFN208" s="44"/>
      <c r="AFO208" s="44"/>
      <c r="AFP208" s="44"/>
      <c r="AFQ208" s="44"/>
      <c r="AFR208" s="44"/>
      <c r="AFS208" s="44"/>
      <c r="AFT208" s="44"/>
      <c r="AFU208" s="44"/>
      <c r="AFV208" s="44"/>
      <c r="AFW208" s="44"/>
      <c r="AFX208" s="44"/>
      <c r="AFY208" s="44"/>
      <c r="AFZ208" s="44"/>
      <c r="AGA208" s="44"/>
      <c r="AGB208" s="44"/>
      <c r="AGC208" s="44"/>
      <c r="AGD208" s="44"/>
      <c r="AGE208" s="44"/>
      <c r="AGF208" s="44"/>
      <c r="AGG208" s="44"/>
      <c r="AGH208" s="44"/>
      <c r="AGI208" s="44"/>
      <c r="AGJ208" s="44"/>
      <c r="AGK208" s="44"/>
      <c r="AGL208" s="44"/>
      <c r="AGM208" s="44"/>
      <c r="AGN208" s="44"/>
      <c r="AGO208" s="44"/>
      <c r="AGP208" s="44"/>
      <c r="AGQ208" s="44"/>
      <c r="AGR208" s="44"/>
      <c r="AGS208" s="44"/>
      <c r="AGT208" s="44"/>
      <c r="AGU208" s="44"/>
      <c r="AGV208" s="44"/>
      <c r="AGW208" s="44"/>
      <c r="AGX208" s="44"/>
      <c r="AGY208" s="44"/>
      <c r="AGZ208" s="44"/>
      <c r="AHA208" s="44"/>
      <c r="AHB208" s="44"/>
      <c r="AHC208" s="44"/>
      <c r="AHD208" s="44"/>
      <c r="AHE208" s="44"/>
      <c r="AHF208" s="44"/>
      <c r="AHG208" s="44"/>
      <c r="AHH208" s="44"/>
      <c r="AHI208" s="44"/>
      <c r="AHJ208" s="44"/>
      <c r="AHK208" s="44"/>
      <c r="AHL208" s="44"/>
      <c r="AHM208" s="44"/>
      <c r="AHN208" s="44"/>
      <c r="AHO208" s="44"/>
      <c r="AHP208" s="44"/>
      <c r="AHQ208" s="44"/>
      <c r="AHR208" s="44"/>
      <c r="AHS208" s="44"/>
      <c r="AHT208" s="44"/>
      <c r="AHU208" s="44"/>
      <c r="AHV208" s="44"/>
      <c r="AHW208" s="44"/>
      <c r="AHX208" s="44"/>
      <c r="AHY208" s="44"/>
      <c r="AHZ208" s="44"/>
      <c r="AIA208" s="44"/>
      <c r="AIB208" s="44"/>
      <c r="AIC208" s="44"/>
      <c r="AID208" s="44"/>
      <c r="AIE208" s="44"/>
      <c r="AIF208" s="44"/>
      <c r="AIG208" s="44"/>
      <c r="AIH208" s="44"/>
      <c r="AII208" s="44"/>
      <c r="AIJ208" s="44"/>
      <c r="AIK208" s="44"/>
      <c r="AIL208" s="44"/>
      <c r="AIM208" s="44"/>
      <c r="AIN208" s="44"/>
      <c r="AIO208" s="44"/>
      <c r="AIP208" s="44"/>
      <c r="AIQ208" s="44"/>
      <c r="AIR208" s="44"/>
      <c r="AIS208" s="44"/>
      <c r="AIT208" s="44"/>
      <c r="AIU208" s="44"/>
      <c r="AIV208" s="44"/>
      <c r="AIW208" s="44"/>
      <c r="AIX208" s="44"/>
      <c r="AIY208" s="44"/>
      <c r="AIZ208" s="44"/>
      <c r="AJA208" s="44"/>
      <c r="AJB208" s="44"/>
      <c r="AJC208" s="44"/>
      <c r="AJD208" s="44"/>
      <c r="AJE208" s="44"/>
      <c r="AJF208" s="44"/>
      <c r="AJG208" s="44"/>
      <c r="AJH208" s="44"/>
      <c r="AJI208" s="44"/>
      <c r="AJJ208" s="44"/>
      <c r="AJK208" s="44"/>
      <c r="AJL208" s="44"/>
      <c r="AJM208" s="44"/>
      <c r="AJN208" s="44"/>
      <c r="AJO208" s="44"/>
      <c r="AJP208" s="44"/>
      <c r="AJQ208" s="44"/>
      <c r="AJR208" s="44"/>
      <c r="AJS208" s="44"/>
      <c r="AJT208" s="44"/>
      <c r="AJU208" s="44"/>
      <c r="AJV208" s="44"/>
      <c r="AJW208" s="44"/>
      <c r="AJX208" s="44"/>
      <c r="AJY208" s="44"/>
      <c r="AJZ208" s="44"/>
      <c r="AKA208" s="44"/>
      <c r="AKB208" s="44"/>
      <c r="AKC208" s="44"/>
      <c r="AKD208" s="44"/>
      <c r="AKE208" s="44"/>
      <c r="AKF208" s="44"/>
      <c r="AKG208" s="44"/>
      <c r="AKH208" s="44"/>
      <c r="AKI208" s="44"/>
      <c r="AKJ208" s="44"/>
      <c r="AKK208" s="44"/>
      <c r="AKL208" s="44"/>
      <c r="AKM208" s="44"/>
      <c r="AKN208" s="44"/>
      <c r="AKO208" s="44"/>
      <c r="AKP208" s="44"/>
      <c r="AKQ208" s="44"/>
      <c r="AKR208" s="44"/>
      <c r="AKS208" s="44"/>
      <c r="AKT208" s="44"/>
      <c r="AKU208" s="44"/>
      <c r="AKV208" s="44"/>
      <c r="AKW208" s="44"/>
      <c r="AKX208" s="44"/>
      <c r="AKY208" s="44"/>
      <c r="AKZ208" s="44"/>
      <c r="ALA208" s="44"/>
      <c r="ALB208" s="44"/>
      <c r="ALC208" s="44"/>
      <c r="ALD208" s="44"/>
      <c r="ALE208" s="44"/>
      <c r="ALF208" s="44"/>
      <c r="ALG208" s="44"/>
      <c r="ALH208" s="44"/>
      <c r="ALI208" s="44"/>
      <c r="ALJ208" s="44"/>
      <c r="ALK208" s="44"/>
      <c r="ALL208" s="44"/>
      <c r="ALM208" s="44"/>
      <c r="ALN208" s="44"/>
      <c r="ALO208" s="44"/>
      <c r="ALP208" s="44"/>
      <c r="ALQ208" s="44"/>
      <c r="ALR208" s="44"/>
      <c r="ALS208" s="44"/>
      <c r="ALT208" s="44"/>
      <c r="ALU208" s="44"/>
      <c r="ALV208" s="44"/>
      <c r="ALW208" s="44"/>
      <c r="ALX208" s="44"/>
      <c r="ALY208" s="44"/>
      <c r="ALZ208" s="44"/>
      <c r="AMA208" s="44"/>
      <c r="AMB208" s="44"/>
      <c r="AMC208" s="44"/>
      <c r="AMD208" s="44"/>
      <c r="AME208" s="44"/>
      <c r="AMF208" s="44"/>
      <c r="AMG208" s="44"/>
      <c r="AMH208" s="44"/>
      <c r="AMI208" s="44"/>
      <c r="AMJ208" s="44"/>
      <c r="AMK208" s="44"/>
      <c r="AML208" s="44"/>
      <c r="AMM208" s="44"/>
      <c r="AMN208" s="44"/>
      <c r="AMO208" s="44"/>
      <c r="AMP208" s="44"/>
      <c r="AMQ208" s="44"/>
      <c r="AMR208" s="44"/>
      <c r="AMS208" s="44"/>
      <c r="AMT208" s="44"/>
      <c r="AMU208" s="44"/>
      <c r="AMV208" s="44"/>
      <c r="AMW208" s="44"/>
      <c r="AMX208" s="44"/>
      <c r="AMY208" s="44"/>
      <c r="AMZ208" s="44"/>
      <c r="ANA208" s="44"/>
      <c r="ANB208" s="44"/>
      <c r="ANC208" s="44"/>
      <c r="AND208" s="44"/>
      <c r="ANE208" s="44"/>
      <c r="ANF208" s="44"/>
      <c r="ANG208" s="44"/>
      <c r="ANH208" s="44"/>
      <c r="ANI208" s="44"/>
      <c r="ANJ208" s="44"/>
      <c r="ANK208" s="44"/>
      <c r="ANL208" s="44"/>
      <c r="ANM208" s="44"/>
      <c r="ANN208" s="44"/>
      <c r="ANO208" s="44"/>
      <c r="ANP208" s="44"/>
      <c r="ANQ208" s="44"/>
      <c r="ANR208" s="44"/>
      <c r="ANS208" s="44"/>
      <c r="ANT208" s="44"/>
      <c r="ANU208" s="44"/>
      <c r="ANV208" s="44"/>
      <c r="ANW208" s="44"/>
      <c r="ANX208" s="44"/>
      <c r="ANY208" s="44"/>
      <c r="ANZ208" s="44"/>
      <c r="AOA208" s="44"/>
      <c r="AOB208" s="44"/>
      <c r="AOC208" s="44"/>
      <c r="AOD208" s="44"/>
      <c r="AOE208" s="44"/>
      <c r="AOF208" s="44"/>
      <c r="AOG208" s="44"/>
      <c r="AOH208" s="44"/>
      <c r="AOI208" s="44"/>
      <c r="AOJ208" s="44"/>
      <c r="AOK208" s="44"/>
      <c r="AOL208" s="44"/>
      <c r="AOM208" s="44"/>
      <c r="AON208" s="44"/>
      <c r="AOO208" s="44"/>
      <c r="AOP208" s="44"/>
      <c r="AOQ208" s="44"/>
      <c r="AOR208" s="44"/>
      <c r="AOS208" s="44"/>
      <c r="AOT208" s="44"/>
      <c r="AOU208" s="44"/>
      <c r="AOV208" s="44"/>
      <c r="AOW208" s="44"/>
      <c r="AOX208" s="44"/>
      <c r="AOY208" s="44"/>
      <c r="AOZ208" s="44"/>
      <c r="APA208" s="44"/>
      <c r="APB208" s="44"/>
      <c r="APC208" s="44"/>
      <c r="APD208" s="44"/>
      <c r="APE208" s="44"/>
      <c r="APF208" s="44"/>
      <c r="APG208" s="44"/>
      <c r="APH208" s="44"/>
      <c r="API208" s="44"/>
      <c r="APJ208" s="44"/>
      <c r="APK208" s="44"/>
      <c r="APL208" s="44"/>
      <c r="APM208" s="44"/>
      <c r="APN208" s="44"/>
      <c r="APO208" s="44"/>
      <c r="APP208" s="44"/>
      <c r="APQ208" s="44"/>
      <c r="APR208" s="44"/>
      <c r="APS208" s="44"/>
      <c r="APT208" s="44"/>
      <c r="APU208" s="44"/>
      <c r="APV208" s="44"/>
      <c r="APW208" s="44"/>
      <c r="APX208" s="44"/>
      <c r="APY208" s="44"/>
      <c r="APZ208" s="44"/>
      <c r="AQA208" s="44"/>
      <c r="AQB208" s="44"/>
      <c r="AQC208" s="44"/>
      <c r="AQD208" s="44"/>
      <c r="AQE208" s="44"/>
      <c r="AQF208" s="44"/>
      <c r="AQG208" s="44"/>
      <c r="AQH208" s="44"/>
      <c r="AQI208" s="44"/>
      <c r="AQJ208" s="44"/>
      <c r="AQK208" s="44"/>
      <c r="AQL208" s="44"/>
      <c r="AQM208" s="44"/>
      <c r="AQN208" s="44"/>
      <c r="AQO208" s="44"/>
      <c r="AQP208" s="44"/>
      <c r="AQQ208" s="44"/>
      <c r="AQR208" s="44"/>
      <c r="AQS208" s="44"/>
      <c r="AQT208" s="44"/>
      <c r="AQU208" s="44"/>
      <c r="AQV208" s="44"/>
      <c r="AQW208" s="44"/>
      <c r="AQX208" s="44"/>
      <c r="AQY208" s="44"/>
      <c r="AQZ208" s="44"/>
      <c r="ARA208" s="44"/>
      <c r="ARB208" s="44"/>
      <c r="ARC208" s="44"/>
      <c r="ARD208" s="44"/>
      <c r="ARE208" s="44"/>
      <c r="ARF208" s="44"/>
      <c r="ARG208" s="44"/>
      <c r="ARH208" s="44"/>
      <c r="ARI208" s="44"/>
      <c r="ARJ208" s="44"/>
      <c r="ARK208" s="44"/>
      <c r="ARL208" s="44"/>
      <c r="ARM208" s="44"/>
      <c r="ARN208" s="44"/>
      <c r="ARO208" s="44"/>
      <c r="ARP208" s="44"/>
      <c r="ARQ208" s="44"/>
      <c r="ARR208" s="44"/>
      <c r="ARS208" s="44"/>
      <c r="ART208" s="44"/>
      <c r="ARU208" s="44"/>
      <c r="ARV208" s="44"/>
      <c r="ARW208" s="44"/>
      <c r="ARX208" s="44"/>
      <c r="ARY208" s="44"/>
      <c r="ARZ208" s="44"/>
      <c r="ASA208" s="44"/>
      <c r="ASB208" s="44"/>
      <c r="ASC208" s="44"/>
      <c r="ASD208" s="44"/>
      <c r="ASE208" s="44"/>
      <c r="ASF208" s="44"/>
      <c r="ASG208" s="44"/>
      <c r="ASH208" s="44"/>
      <c r="ASI208" s="44"/>
      <c r="ASJ208" s="44"/>
      <c r="ASK208" s="44"/>
      <c r="ASL208" s="44"/>
      <c r="ASM208" s="44"/>
      <c r="ASN208" s="44"/>
      <c r="ASO208" s="44"/>
      <c r="ASP208" s="44"/>
      <c r="ASQ208" s="44"/>
      <c r="ASR208" s="44"/>
      <c r="ASS208" s="44"/>
      <c r="AST208" s="44"/>
      <c r="ASU208" s="44"/>
      <c r="ASV208" s="44"/>
      <c r="ASW208" s="44"/>
      <c r="ASX208" s="44"/>
      <c r="ASY208" s="44"/>
      <c r="ASZ208" s="44"/>
      <c r="ATA208" s="44"/>
      <c r="ATB208" s="44"/>
      <c r="ATC208" s="44"/>
      <c r="ATD208" s="44"/>
      <c r="ATE208" s="44"/>
      <c r="ATF208" s="44"/>
      <c r="ATG208" s="44"/>
      <c r="ATH208" s="44"/>
      <c r="ATI208" s="44"/>
      <c r="ATJ208" s="44"/>
      <c r="ATK208" s="44"/>
      <c r="ATL208" s="44"/>
      <c r="ATM208" s="44"/>
      <c r="ATN208" s="44"/>
      <c r="ATO208" s="44"/>
      <c r="ATP208" s="44"/>
      <c r="ATQ208" s="44"/>
      <c r="ATR208" s="44"/>
      <c r="ATS208" s="44"/>
      <c r="ATT208" s="44"/>
      <c r="ATU208" s="44"/>
      <c r="ATV208" s="44"/>
      <c r="ATW208" s="44"/>
      <c r="ATX208" s="44"/>
      <c r="ATY208" s="44"/>
      <c r="ATZ208" s="44"/>
      <c r="AUA208" s="44"/>
      <c r="AUB208" s="44"/>
      <c r="AUC208" s="44"/>
      <c r="AUD208" s="44"/>
      <c r="AUE208" s="44"/>
      <c r="AUF208" s="44"/>
      <c r="AUG208" s="44"/>
      <c r="AUH208" s="44"/>
      <c r="AUI208" s="44"/>
      <c r="AUJ208" s="44"/>
      <c r="AUK208" s="44"/>
      <c r="AUL208" s="44"/>
      <c r="AUM208" s="44"/>
      <c r="AUN208" s="44"/>
      <c r="AUO208" s="44"/>
      <c r="AUP208" s="44"/>
      <c r="AUQ208" s="44"/>
      <c r="AUR208" s="44"/>
      <c r="AUS208" s="44"/>
      <c r="AUT208" s="44"/>
      <c r="AUU208" s="44"/>
      <c r="AUV208" s="44"/>
      <c r="AUW208" s="44"/>
      <c r="AUX208" s="44"/>
      <c r="AUY208" s="44"/>
      <c r="AUZ208" s="44"/>
      <c r="AVA208" s="44"/>
      <c r="AVB208" s="44"/>
      <c r="AVC208" s="44"/>
      <c r="AVD208" s="44"/>
      <c r="AVE208" s="44"/>
      <c r="AVF208" s="44"/>
      <c r="AVG208" s="44"/>
      <c r="AVH208" s="44"/>
      <c r="AVI208" s="44"/>
      <c r="AVJ208" s="44"/>
      <c r="AVK208" s="44"/>
      <c r="AVL208" s="44"/>
      <c r="AVM208" s="44"/>
      <c r="AVN208" s="44"/>
      <c r="AVO208" s="44"/>
      <c r="AVP208" s="44"/>
      <c r="AVQ208" s="44"/>
      <c r="AVR208" s="44"/>
      <c r="AVS208" s="44"/>
      <c r="AVT208" s="44"/>
      <c r="AVU208" s="44"/>
      <c r="AVV208" s="44"/>
      <c r="AVW208" s="44"/>
      <c r="AVX208" s="44"/>
      <c r="AVY208" s="44"/>
      <c r="AVZ208" s="44"/>
      <c r="AWA208" s="44"/>
      <c r="AWB208" s="44"/>
      <c r="AWC208" s="44"/>
      <c r="AWD208" s="44"/>
      <c r="AWE208" s="44"/>
      <c r="AWF208" s="44"/>
      <c r="AWG208" s="44"/>
      <c r="AWH208" s="44"/>
      <c r="AWI208" s="44"/>
      <c r="AWJ208" s="44"/>
      <c r="AWK208" s="44"/>
      <c r="AWL208" s="44"/>
      <c r="AWM208" s="44"/>
      <c r="AWN208" s="44"/>
      <c r="AWO208" s="44"/>
      <c r="AWP208" s="44"/>
      <c r="AWQ208" s="44"/>
      <c r="AWR208" s="44"/>
      <c r="AWS208" s="44"/>
      <c r="AWT208" s="44"/>
      <c r="AWU208" s="44"/>
      <c r="AWV208" s="44"/>
      <c r="AWW208" s="44"/>
      <c r="AWX208" s="44"/>
      <c r="AWY208" s="44"/>
      <c r="AWZ208" s="44"/>
      <c r="AXA208" s="44"/>
      <c r="AXB208" s="44"/>
      <c r="AXC208" s="44"/>
      <c r="AXD208" s="44"/>
      <c r="AXE208" s="44"/>
      <c r="AXF208" s="44"/>
      <c r="AXG208" s="44"/>
      <c r="AXH208" s="44"/>
      <c r="AXI208" s="44"/>
      <c r="AXJ208" s="44"/>
      <c r="AXK208" s="44"/>
      <c r="AXL208" s="44"/>
      <c r="AXM208" s="44"/>
      <c r="AXN208" s="44"/>
      <c r="AXO208" s="44"/>
      <c r="AXP208" s="44"/>
      <c r="AXQ208" s="44"/>
      <c r="AXR208" s="44"/>
      <c r="AXS208" s="44"/>
      <c r="AXT208" s="44"/>
      <c r="AXU208" s="44"/>
      <c r="AXV208" s="44"/>
      <c r="AXW208" s="44"/>
      <c r="AXX208" s="44"/>
      <c r="AXY208" s="44"/>
      <c r="AXZ208" s="44"/>
      <c r="AYA208" s="44"/>
      <c r="AYB208" s="44"/>
      <c r="AYC208" s="44"/>
      <c r="AYD208" s="44"/>
      <c r="AYE208" s="44"/>
      <c r="AYF208" s="44"/>
      <c r="AYG208" s="44"/>
      <c r="AYH208" s="44"/>
      <c r="AYI208" s="44"/>
      <c r="AYJ208" s="44"/>
      <c r="AYK208" s="44"/>
      <c r="AYL208" s="44"/>
      <c r="AYM208" s="44"/>
      <c r="AYN208" s="44"/>
      <c r="AYO208" s="44"/>
      <c r="AYP208" s="44"/>
      <c r="AYQ208" s="44"/>
      <c r="AYR208" s="44"/>
      <c r="AYS208" s="44"/>
      <c r="AYT208" s="44"/>
      <c r="AYU208" s="44"/>
      <c r="AYV208" s="44"/>
      <c r="AYW208" s="44"/>
      <c r="AYX208" s="44"/>
      <c r="AYY208" s="44"/>
      <c r="AYZ208" s="44"/>
      <c r="AZA208" s="44"/>
      <c r="AZB208" s="44"/>
      <c r="AZC208" s="44"/>
      <c r="AZD208" s="44"/>
      <c r="AZE208" s="44"/>
      <c r="AZF208" s="44"/>
      <c r="AZG208" s="44"/>
      <c r="AZH208" s="44"/>
      <c r="AZI208" s="44"/>
      <c r="AZJ208" s="44"/>
      <c r="AZK208" s="44"/>
      <c r="AZL208" s="44"/>
      <c r="AZM208" s="44"/>
      <c r="AZN208" s="44"/>
      <c r="AZO208" s="44"/>
      <c r="AZP208" s="44"/>
      <c r="AZQ208" s="44"/>
      <c r="AZR208" s="44"/>
      <c r="AZS208" s="44"/>
      <c r="AZT208" s="44"/>
      <c r="AZU208" s="44"/>
      <c r="AZV208" s="44"/>
      <c r="AZW208" s="44"/>
      <c r="AZX208" s="44"/>
      <c r="AZY208" s="44"/>
      <c r="AZZ208" s="44"/>
      <c r="BAA208" s="44"/>
      <c r="BAB208" s="44"/>
      <c r="BAC208" s="44"/>
      <c r="BAD208" s="44"/>
      <c r="BAE208" s="44"/>
      <c r="BAF208" s="44"/>
      <c r="BAG208" s="44"/>
      <c r="BAH208" s="44"/>
      <c r="BAI208" s="44"/>
      <c r="BAJ208" s="44"/>
      <c r="BAK208" s="44"/>
      <c r="BAL208" s="44"/>
      <c r="BAM208" s="44"/>
      <c r="BAN208" s="44"/>
      <c r="BAO208" s="44"/>
      <c r="BAP208" s="44"/>
      <c r="BAQ208" s="44"/>
      <c r="BAR208" s="44"/>
      <c r="BAS208" s="44"/>
      <c r="BAT208" s="44"/>
      <c r="BAU208" s="44"/>
      <c r="BAV208" s="44"/>
      <c r="BAW208" s="44"/>
      <c r="BAX208" s="44"/>
      <c r="BAY208" s="44"/>
      <c r="BAZ208" s="44"/>
      <c r="BBA208" s="44"/>
      <c r="BBB208" s="44"/>
      <c r="BBC208" s="44"/>
      <c r="BBD208" s="44"/>
      <c r="BBE208" s="44"/>
      <c r="BBF208" s="44"/>
      <c r="BBG208" s="44"/>
      <c r="BBH208" s="44"/>
      <c r="BBI208" s="44"/>
      <c r="BBJ208" s="44"/>
      <c r="BBK208" s="44"/>
      <c r="BBL208" s="44"/>
      <c r="BBM208" s="44"/>
      <c r="BBN208" s="44"/>
      <c r="BBO208" s="44"/>
      <c r="BBP208" s="44"/>
      <c r="BBQ208" s="44"/>
      <c r="BBR208" s="44"/>
      <c r="BBS208" s="44"/>
      <c r="BBT208" s="44"/>
      <c r="BBU208" s="44"/>
      <c r="BBV208" s="44"/>
      <c r="BBW208" s="44"/>
      <c r="BBX208" s="44"/>
      <c r="BBY208" s="44"/>
      <c r="BBZ208" s="44"/>
      <c r="BCA208" s="44"/>
      <c r="BCB208" s="44"/>
      <c r="BCC208" s="44"/>
      <c r="BCD208" s="44"/>
      <c r="BCE208" s="44"/>
      <c r="BCF208" s="44"/>
      <c r="BCG208" s="44"/>
      <c r="BCH208" s="44"/>
      <c r="BCI208" s="44"/>
      <c r="BCJ208" s="44"/>
      <c r="BCK208" s="44"/>
      <c r="BCL208" s="44"/>
      <c r="BCM208" s="44"/>
      <c r="BCN208" s="44"/>
      <c r="BCO208" s="44"/>
      <c r="BCP208" s="44"/>
      <c r="BCQ208" s="44"/>
      <c r="BCR208" s="44"/>
      <c r="BCS208" s="44"/>
      <c r="BCT208" s="44"/>
      <c r="BCU208" s="44"/>
      <c r="BCV208" s="44"/>
      <c r="BCW208" s="44"/>
      <c r="BCX208" s="44"/>
      <c r="BCY208" s="44"/>
      <c r="BCZ208" s="44"/>
      <c r="BDA208" s="44"/>
      <c r="BDB208" s="44"/>
      <c r="BDC208" s="44"/>
      <c r="BDD208" s="44"/>
      <c r="BDE208" s="44"/>
      <c r="BDF208" s="44"/>
      <c r="BDG208" s="44"/>
      <c r="BDH208" s="44"/>
      <c r="BDI208" s="44"/>
      <c r="BDJ208" s="44"/>
      <c r="BDK208" s="44"/>
      <c r="BDL208" s="44"/>
      <c r="BDM208" s="44"/>
      <c r="BDN208" s="44"/>
      <c r="BDO208" s="44"/>
      <c r="BDP208" s="44"/>
      <c r="BDQ208" s="44"/>
      <c r="BDR208" s="44"/>
      <c r="BDS208" s="44"/>
      <c r="BDT208" s="44"/>
      <c r="BDU208" s="44"/>
      <c r="BDV208" s="44"/>
      <c r="BDW208" s="44"/>
      <c r="BDX208" s="44"/>
      <c r="BDY208" s="44"/>
      <c r="BDZ208" s="44"/>
      <c r="BEA208" s="44"/>
      <c r="BEB208" s="44"/>
      <c r="BEC208" s="44"/>
      <c r="BED208" s="44"/>
      <c r="BEE208" s="44"/>
      <c r="BEF208" s="44"/>
      <c r="BEG208" s="44"/>
      <c r="BEH208" s="44"/>
      <c r="BEI208" s="44"/>
      <c r="BEJ208" s="44"/>
      <c r="BEK208" s="44"/>
      <c r="BEL208" s="44"/>
      <c r="BEM208" s="44"/>
      <c r="BEN208" s="44"/>
      <c r="BEO208" s="44"/>
      <c r="BEP208" s="44"/>
      <c r="BEQ208" s="44"/>
      <c r="BER208" s="44"/>
      <c r="BES208" s="44"/>
      <c r="BET208" s="44"/>
      <c r="BEU208" s="44"/>
      <c r="BEV208" s="44"/>
      <c r="BEW208" s="44"/>
      <c r="BEX208" s="44"/>
      <c r="BEY208" s="44"/>
      <c r="BEZ208" s="44"/>
      <c r="BFA208" s="44"/>
      <c r="BFB208" s="44"/>
      <c r="BFC208" s="44"/>
      <c r="BFD208" s="44"/>
      <c r="BFE208" s="44"/>
      <c r="BFF208" s="44"/>
      <c r="BFG208" s="44"/>
      <c r="BFH208" s="44"/>
      <c r="BFI208" s="44"/>
      <c r="BFJ208" s="44"/>
      <c r="BFK208" s="44"/>
      <c r="BFL208" s="44"/>
      <c r="BFM208" s="44"/>
      <c r="BFN208" s="44"/>
      <c r="BFO208" s="44"/>
      <c r="BFP208" s="44"/>
      <c r="BFQ208" s="44"/>
      <c r="BFR208" s="44"/>
      <c r="BFS208" s="44"/>
      <c r="BFT208" s="44"/>
      <c r="BFU208" s="44"/>
      <c r="BFV208" s="44"/>
      <c r="BFW208" s="44"/>
      <c r="BFX208" s="44"/>
      <c r="BFY208" s="44"/>
      <c r="BFZ208" s="44"/>
      <c r="BGA208" s="44"/>
      <c r="BGB208" s="44"/>
      <c r="BGC208" s="44"/>
      <c r="BGD208" s="44"/>
      <c r="BGE208" s="44"/>
      <c r="BGF208" s="44"/>
      <c r="BGG208" s="44"/>
      <c r="BGH208" s="44"/>
      <c r="BGI208" s="44"/>
      <c r="BGJ208" s="44"/>
      <c r="BGK208" s="44"/>
      <c r="BGL208" s="44"/>
      <c r="BGM208" s="44"/>
      <c r="BGN208" s="44"/>
      <c r="BGO208" s="44"/>
      <c r="BGP208" s="44"/>
      <c r="BGQ208" s="44"/>
      <c r="BGR208" s="44"/>
      <c r="BGS208" s="44"/>
      <c r="BGT208" s="44"/>
      <c r="BGU208" s="44"/>
      <c r="BGV208" s="44"/>
      <c r="BGW208" s="44"/>
      <c r="BGX208" s="44"/>
      <c r="BGY208" s="44"/>
      <c r="BGZ208" s="44"/>
      <c r="BHA208" s="44"/>
      <c r="BHB208" s="44"/>
      <c r="BHC208" s="44"/>
      <c r="BHD208" s="44"/>
      <c r="BHE208" s="44"/>
      <c r="BHF208" s="44"/>
      <c r="BHG208" s="44"/>
      <c r="BHH208" s="44"/>
      <c r="BHI208" s="44"/>
      <c r="BHJ208" s="44"/>
      <c r="BHK208" s="44"/>
      <c r="BHL208" s="44"/>
      <c r="BHM208" s="44"/>
      <c r="BHN208" s="44"/>
      <c r="BHO208" s="44"/>
      <c r="BHP208" s="44"/>
      <c r="BHQ208" s="44"/>
      <c r="BHR208" s="44"/>
      <c r="BHS208" s="44"/>
      <c r="BHT208" s="44"/>
      <c r="BHU208" s="44"/>
      <c r="BHV208" s="44"/>
      <c r="BHW208" s="44"/>
      <c r="BHX208" s="44"/>
      <c r="BHY208" s="44"/>
      <c r="BHZ208" s="44"/>
      <c r="BIA208" s="44"/>
      <c r="BIB208" s="44"/>
      <c r="BIC208" s="44"/>
      <c r="BID208" s="44"/>
      <c r="BIE208" s="44"/>
      <c r="BIF208" s="44"/>
      <c r="BIG208" s="44"/>
      <c r="BIH208" s="44"/>
      <c r="BII208" s="44"/>
      <c r="BIJ208" s="44"/>
      <c r="BIK208" s="44"/>
      <c r="BIL208" s="44"/>
      <c r="BIM208" s="44"/>
      <c r="BIN208" s="44"/>
      <c r="BIO208" s="44"/>
      <c r="BIP208" s="44"/>
      <c r="BIQ208" s="44"/>
      <c r="BIR208" s="44"/>
      <c r="BIS208" s="44"/>
      <c r="BIT208" s="44"/>
      <c r="BIU208" s="44"/>
      <c r="BIV208" s="44"/>
      <c r="BIW208" s="44"/>
      <c r="BIX208" s="44"/>
      <c r="BIY208" s="44"/>
      <c r="BIZ208" s="44"/>
      <c r="BJA208" s="44"/>
      <c r="BJB208" s="44"/>
      <c r="BJC208" s="44"/>
      <c r="BJD208" s="44"/>
      <c r="BJE208" s="44"/>
      <c r="BJF208" s="44"/>
      <c r="BJG208" s="44"/>
      <c r="BJH208" s="44"/>
      <c r="BJI208" s="44"/>
      <c r="BJJ208" s="44"/>
      <c r="BJK208" s="44"/>
      <c r="BJL208" s="44"/>
      <c r="BJM208" s="44"/>
      <c r="BJN208" s="44"/>
      <c r="BJO208" s="44"/>
      <c r="BJP208" s="44"/>
      <c r="BJQ208" s="44"/>
      <c r="BJR208" s="44"/>
      <c r="BJS208" s="44"/>
      <c r="BJT208" s="44"/>
      <c r="BJU208" s="44"/>
      <c r="BJV208" s="44"/>
      <c r="BJW208" s="44"/>
      <c r="BJX208" s="44"/>
      <c r="BJY208" s="44"/>
      <c r="BJZ208" s="44"/>
      <c r="BKA208" s="44"/>
      <c r="BKB208" s="44"/>
      <c r="BKC208" s="44"/>
      <c r="BKD208" s="44"/>
      <c r="BKE208" s="44"/>
      <c r="BKF208" s="44"/>
      <c r="BKG208" s="44"/>
      <c r="BKH208" s="44"/>
      <c r="BKI208" s="44"/>
      <c r="BKJ208" s="44"/>
      <c r="BKK208" s="44"/>
      <c r="BKL208" s="44"/>
      <c r="BKM208" s="44"/>
      <c r="BKN208" s="44"/>
      <c r="BKO208" s="44"/>
      <c r="BKP208" s="44"/>
      <c r="BKQ208" s="44"/>
      <c r="BKR208" s="44"/>
      <c r="BKS208" s="44"/>
      <c r="BKT208" s="44"/>
      <c r="BKU208" s="44"/>
      <c r="BKV208" s="44"/>
      <c r="BKW208" s="44"/>
      <c r="BKX208" s="44"/>
      <c r="BKY208" s="44"/>
      <c r="BKZ208" s="44"/>
      <c r="BLA208" s="44"/>
      <c r="BLB208" s="44"/>
      <c r="BLC208" s="44"/>
      <c r="BLD208" s="44"/>
      <c r="BLE208" s="44"/>
      <c r="BLF208" s="44"/>
      <c r="BLG208" s="44"/>
      <c r="BLH208" s="44"/>
      <c r="BLI208" s="44"/>
      <c r="BLJ208" s="44"/>
      <c r="BLK208" s="44"/>
      <c r="BLL208" s="44"/>
      <c r="BLM208" s="44"/>
      <c r="BLN208" s="44"/>
      <c r="BLO208" s="44"/>
      <c r="BLP208" s="44"/>
      <c r="BLQ208" s="44"/>
      <c r="BLR208" s="44"/>
      <c r="BLS208" s="44"/>
      <c r="BLT208" s="44"/>
      <c r="BLU208" s="44"/>
      <c r="BLV208" s="44"/>
      <c r="BLW208" s="44"/>
      <c r="BLX208" s="44"/>
      <c r="BLY208" s="44"/>
      <c r="BLZ208" s="44"/>
      <c r="BMA208" s="44"/>
      <c r="BMB208" s="44"/>
      <c r="BMC208" s="44"/>
      <c r="BMD208" s="44"/>
      <c r="BME208" s="44"/>
      <c r="BMF208" s="44"/>
      <c r="BMG208" s="44"/>
      <c r="BMH208" s="44"/>
      <c r="BMI208" s="44"/>
      <c r="BMJ208" s="44"/>
      <c r="BMK208" s="44"/>
      <c r="BML208" s="44"/>
      <c r="BMM208" s="44"/>
      <c r="BMN208" s="44"/>
      <c r="BMO208" s="44"/>
      <c r="BMP208" s="44"/>
      <c r="BMQ208" s="44"/>
      <c r="BMR208" s="44"/>
      <c r="BMS208" s="44"/>
      <c r="BMT208" s="44"/>
      <c r="BMU208" s="44"/>
      <c r="BMV208" s="44"/>
      <c r="BMW208" s="44"/>
      <c r="BMX208" s="44"/>
      <c r="BMY208" s="44"/>
      <c r="BMZ208" s="44"/>
      <c r="BNA208" s="44"/>
      <c r="BNB208" s="44"/>
      <c r="BNC208" s="44"/>
      <c r="BND208" s="44"/>
      <c r="BNE208" s="44"/>
      <c r="BNF208" s="44"/>
      <c r="BNG208" s="44"/>
      <c r="BNH208" s="44"/>
      <c r="BNI208" s="44"/>
      <c r="BNJ208" s="44"/>
      <c r="BNK208" s="44"/>
      <c r="BNL208" s="44"/>
      <c r="BNM208" s="44"/>
      <c r="BNN208" s="44"/>
      <c r="BNO208" s="44"/>
      <c r="BNP208" s="44"/>
      <c r="BNQ208" s="44"/>
      <c r="BNR208" s="44"/>
      <c r="BNS208" s="44"/>
      <c r="BNT208" s="44"/>
      <c r="BNU208" s="44"/>
      <c r="BNV208" s="44"/>
      <c r="BNW208" s="44"/>
      <c r="BNX208" s="44"/>
      <c r="BNY208" s="44"/>
      <c r="BNZ208" s="44"/>
      <c r="BOA208" s="44"/>
      <c r="BOB208" s="44"/>
      <c r="BOC208" s="44"/>
      <c r="BOD208" s="44"/>
      <c r="BOE208" s="44"/>
      <c r="BOF208" s="44"/>
      <c r="BOG208" s="44"/>
      <c r="BOH208" s="44"/>
      <c r="BOI208" s="44"/>
      <c r="BOJ208" s="44"/>
      <c r="BOK208" s="44"/>
      <c r="BOL208" s="44"/>
      <c r="BOM208" s="44"/>
      <c r="BON208" s="44"/>
      <c r="BOO208" s="44"/>
      <c r="BOP208" s="44"/>
      <c r="BOQ208" s="44"/>
      <c r="BOR208" s="44"/>
      <c r="BOS208" s="44"/>
      <c r="BOT208" s="44"/>
      <c r="BOU208" s="44"/>
      <c r="BOV208" s="44"/>
      <c r="BOW208" s="44"/>
      <c r="BOX208" s="44"/>
      <c r="BOY208" s="44"/>
      <c r="BOZ208" s="44"/>
      <c r="BPA208" s="44"/>
      <c r="BPB208" s="44"/>
      <c r="BPC208" s="44"/>
      <c r="BPD208" s="44"/>
      <c r="BPE208" s="44"/>
      <c r="BPF208" s="44"/>
      <c r="BPG208" s="44"/>
      <c r="BPH208" s="44"/>
      <c r="BPI208" s="44"/>
      <c r="BPJ208" s="44"/>
      <c r="BPK208" s="44"/>
      <c r="BPL208" s="44"/>
      <c r="BPM208" s="44"/>
      <c r="BPN208" s="44"/>
      <c r="BPO208" s="44"/>
      <c r="BPP208" s="44"/>
      <c r="BPQ208" s="44"/>
      <c r="BPR208" s="44"/>
      <c r="BPS208" s="44"/>
      <c r="BPT208" s="44"/>
      <c r="BPU208" s="44"/>
      <c r="BPV208" s="44"/>
      <c r="BPW208" s="44"/>
      <c r="BPX208" s="44"/>
      <c r="BPY208" s="44"/>
      <c r="BPZ208" s="44"/>
      <c r="BQA208" s="44"/>
      <c r="BQB208" s="44"/>
      <c r="BQC208" s="44"/>
      <c r="BQD208" s="44"/>
      <c r="BQE208" s="44"/>
      <c r="BQF208" s="44"/>
      <c r="BQG208" s="44"/>
      <c r="BQH208" s="44"/>
      <c r="BQI208" s="44"/>
      <c r="BQJ208" s="44"/>
      <c r="BQK208" s="44"/>
      <c r="BQL208" s="44"/>
      <c r="BQM208" s="44"/>
      <c r="BQN208" s="44"/>
      <c r="BQO208" s="44"/>
      <c r="BQP208" s="44"/>
      <c r="BQQ208" s="44"/>
      <c r="BQR208" s="44"/>
      <c r="BQS208" s="44"/>
      <c r="BQT208" s="44"/>
      <c r="BQU208" s="44"/>
      <c r="BQV208" s="44"/>
      <c r="BQW208" s="44"/>
      <c r="BQX208" s="44"/>
      <c r="BQY208" s="44"/>
      <c r="BQZ208" s="44"/>
      <c r="BRA208" s="44"/>
      <c r="BRB208" s="44"/>
      <c r="BRC208" s="44"/>
      <c r="BRD208" s="44"/>
      <c r="BRE208" s="44"/>
      <c r="BRF208" s="44"/>
      <c r="BRG208" s="44"/>
      <c r="BRH208" s="44"/>
      <c r="BRI208" s="44"/>
      <c r="BRJ208" s="44"/>
      <c r="BRK208" s="44"/>
      <c r="BRL208" s="44"/>
      <c r="BRM208" s="44"/>
      <c r="BRN208" s="44"/>
      <c r="BRO208" s="44"/>
      <c r="BRP208" s="44"/>
      <c r="BRQ208" s="44"/>
      <c r="BRR208" s="44"/>
      <c r="BRS208" s="44"/>
      <c r="BRT208" s="44"/>
      <c r="BRU208" s="44"/>
      <c r="BRV208" s="44"/>
      <c r="BRW208" s="44"/>
      <c r="BRX208" s="44"/>
      <c r="BRY208" s="44"/>
      <c r="BRZ208" s="44"/>
      <c r="BSA208" s="44"/>
      <c r="BSB208" s="44"/>
      <c r="BSC208" s="44"/>
      <c r="BSD208" s="44"/>
      <c r="BSE208" s="44"/>
      <c r="BSF208" s="44"/>
      <c r="BSG208" s="44"/>
      <c r="BSH208" s="44"/>
      <c r="BSI208" s="44"/>
      <c r="BSJ208" s="44"/>
      <c r="BSK208" s="44"/>
      <c r="BSL208" s="44"/>
      <c r="BSM208" s="44"/>
      <c r="BSN208" s="44"/>
      <c r="BSO208" s="44"/>
      <c r="BSP208" s="44"/>
      <c r="BSQ208" s="44"/>
      <c r="BSR208" s="44"/>
      <c r="BSS208" s="44"/>
      <c r="BST208" s="44"/>
      <c r="BSU208" s="44"/>
      <c r="BSV208" s="44"/>
      <c r="BSW208" s="44"/>
      <c r="BSX208" s="44"/>
      <c r="BSY208" s="44"/>
      <c r="BSZ208" s="44"/>
      <c r="BTA208" s="44"/>
      <c r="BTB208" s="44"/>
      <c r="BTC208" s="44"/>
      <c r="BTD208" s="44"/>
      <c r="BTE208" s="44"/>
      <c r="BTF208" s="44"/>
      <c r="BTG208" s="44"/>
      <c r="BTH208" s="44"/>
      <c r="BTI208" s="44"/>
    </row>
    <row r="209" spans="1:1881" s="825" customFormat="1" ht="81.75" customHeight="1" x14ac:dyDescent="0.25">
      <c r="A209" s="317">
        <v>598</v>
      </c>
      <c r="B209" s="768" t="s">
        <v>61</v>
      </c>
      <c r="C209" s="769" t="s">
        <v>532</v>
      </c>
      <c r="D209" s="105" t="s">
        <v>683</v>
      </c>
      <c r="E209" s="588" t="e">
        <f>HLOOKUP($D$2,'2019 Data(H)'!$C$1:$CF$293,258,FALSE)</f>
        <v>#N/A</v>
      </c>
      <c r="F209" s="476"/>
      <c r="G209" s="500">
        <f>IF(F209&lt;0,"Error: Enter as positive.",)</f>
        <v>0</v>
      </c>
      <c r="H209" s="500"/>
      <c r="I209" s="823"/>
      <c r="J209" s="772"/>
      <c r="K209" s="44"/>
      <c r="L209" s="44"/>
      <c r="M209" s="44"/>
      <c r="N209" s="756"/>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c r="GX209" s="44"/>
      <c r="GY209" s="44"/>
      <c r="GZ209" s="44"/>
      <c r="HA209" s="44"/>
      <c r="HB209" s="44"/>
      <c r="HC209" s="44"/>
      <c r="HD209" s="44"/>
      <c r="HE209" s="44"/>
      <c r="HF209" s="44"/>
      <c r="HG209" s="44"/>
      <c r="HH209" s="44"/>
      <c r="HI209" s="44"/>
      <c r="HJ209" s="44"/>
      <c r="HK209" s="44"/>
      <c r="HL209" s="44"/>
      <c r="HM209" s="44"/>
      <c r="HN209" s="44"/>
      <c r="HO209" s="44"/>
      <c r="HP209" s="44"/>
      <c r="HQ209" s="44"/>
      <c r="HR209" s="44"/>
      <c r="HS209" s="44"/>
      <c r="HT209" s="44"/>
      <c r="HU209" s="44"/>
      <c r="HV209" s="44"/>
      <c r="HW209" s="44"/>
      <c r="HX209" s="44"/>
      <c r="HY209" s="44"/>
      <c r="HZ209" s="44"/>
      <c r="IA209" s="44"/>
      <c r="IB209" s="44"/>
      <c r="IC209" s="44"/>
      <c r="ID209" s="44"/>
      <c r="IE209" s="44"/>
      <c r="IF209" s="44"/>
      <c r="IG209" s="44"/>
      <c r="IH209" s="44"/>
      <c r="II209" s="44"/>
      <c r="IJ209" s="44"/>
      <c r="IK209" s="44"/>
      <c r="IL209" s="44"/>
      <c r="IM209" s="44"/>
      <c r="IN209" s="44"/>
      <c r="IO209" s="44"/>
      <c r="IP209" s="44"/>
      <c r="IQ209" s="44"/>
      <c r="IR209" s="44"/>
      <c r="IS209" s="44"/>
      <c r="IT209" s="44"/>
      <c r="IU209" s="44"/>
      <c r="IV209" s="44"/>
      <c r="IW209" s="44"/>
      <c r="IX209" s="44"/>
      <c r="IY209" s="44"/>
      <c r="IZ209" s="44"/>
      <c r="JA209" s="44"/>
      <c r="JB209" s="44"/>
      <c r="JC209" s="44"/>
      <c r="JD209" s="44"/>
      <c r="JE209" s="44"/>
      <c r="JF209" s="44"/>
      <c r="JG209" s="44"/>
      <c r="JH209" s="44"/>
      <c r="JI209" s="44"/>
      <c r="JJ209" s="44"/>
      <c r="JK209" s="44"/>
      <c r="JL209" s="44"/>
      <c r="JM209" s="44"/>
      <c r="JN209" s="44"/>
      <c r="JO209" s="44"/>
      <c r="JP209" s="44"/>
      <c r="JQ209" s="44"/>
      <c r="JR209" s="44"/>
      <c r="JS209" s="44"/>
      <c r="JT209" s="44"/>
      <c r="JU209" s="44"/>
      <c r="JV209" s="44"/>
      <c r="JW209" s="44"/>
      <c r="JX209" s="44"/>
      <c r="JY209" s="44"/>
      <c r="JZ209" s="44"/>
      <c r="KA209" s="44"/>
      <c r="KB209" s="44"/>
      <c r="KC209" s="44"/>
      <c r="KD209" s="44"/>
      <c r="KE209" s="44"/>
      <c r="KF209" s="44"/>
      <c r="KG209" s="44"/>
      <c r="KH209" s="44"/>
      <c r="KI209" s="44"/>
      <c r="KJ209" s="44"/>
      <c r="KK209" s="44"/>
      <c r="KL209" s="44"/>
      <c r="KM209" s="44"/>
      <c r="KN209" s="44"/>
      <c r="KO209" s="44"/>
      <c r="KP209" s="44"/>
      <c r="KQ209" s="44"/>
      <c r="KR209" s="44"/>
      <c r="KS209" s="44"/>
      <c r="KT209" s="44"/>
      <c r="KU209" s="44"/>
      <c r="KV209" s="44"/>
      <c r="KW209" s="44"/>
      <c r="KX209" s="44"/>
      <c r="KY209" s="44"/>
      <c r="KZ209" s="44"/>
      <c r="LA209" s="44"/>
      <c r="LB209" s="44"/>
      <c r="LC209" s="44"/>
      <c r="LD209" s="44"/>
      <c r="LE209" s="44"/>
      <c r="LF209" s="44"/>
      <c r="LG209" s="44"/>
      <c r="LH209" s="44"/>
      <c r="LI209" s="44"/>
      <c r="LJ209" s="44"/>
      <c r="LK209" s="44"/>
      <c r="LL209" s="44"/>
      <c r="LM209" s="44"/>
      <c r="LN209" s="44"/>
      <c r="LO209" s="44"/>
      <c r="LP209" s="44"/>
      <c r="LQ209" s="44"/>
      <c r="LR209" s="44"/>
      <c r="LS209" s="44"/>
      <c r="LT209" s="44"/>
      <c r="LU209" s="44"/>
      <c r="LV209" s="44"/>
      <c r="LW209" s="44"/>
      <c r="LX209" s="44"/>
      <c r="LY209" s="44"/>
      <c r="LZ209" s="44"/>
      <c r="MA209" s="44"/>
      <c r="MB209" s="44"/>
      <c r="MC209" s="44"/>
      <c r="MD209" s="44"/>
      <c r="ME209" s="44"/>
      <c r="MF209" s="44"/>
      <c r="MG209" s="44"/>
      <c r="MH209" s="44"/>
      <c r="MI209" s="44"/>
      <c r="MJ209" s="44"/>
      <c r="MK209" s="44"/>
      <c r="ML209" s="44"/>
      <c r="MM209" s="44"/>
      <c r="MN209" s="44"/>
      <c r="MO209" s="44"/>
      <c r="MP209" s="44"/>
      <c r="MQ209" s="44"/>
      <c r="MR209" s="44"/>
      <c r="MS209" s="44"/>
      <c r="MT209" s="44"/>
      <c r="MU209" s="44"/>
      <c r="MV209" s="44"/>
      <c r="MW209" s="44"/>
      <c r="MX209" s="44"/>
      <c r="MY209" s="44"/>
      <c r="MZ209" s="44"/>
      <c r="NA209" s="44"/>
      <c r="NB209" s="44"/>
      <c r="NC209" s="44"/>
      <c r="ND209" s="44"/>
      <c r="NE209" s="44"/>
      <c r="NF209" s="44"/>
      <c r="NG209" s="44"/>
      <c r="NH209" s="44"/>
      <c r="NI209" s="44"/>
      <c r="NJ209" s="44"/>
      <c r="NK209" s="44"/>
      <c r="NL209" s="44"/>
      <c r="NM209" s="44"/>
      <c r="NN209" s="44"/>
      <c r="NO209" s="44"/>
      <c r="NP209" s="44"/>
      <c r="NQ209" s="44"/>
      <c r="NR209" s="44"/>
      <c r="NS209" s="44"/>
      <c r="NT209" s="44"/>
      <c r="NU209" s="44"/>
      <c r="NV209" s="44"/>
      <c r="NW209" s="44"/>
      <c r="NX209" s="44"/>
      <c r="NY209" s="44"/>
      <c r="NZ209" s="44"/>
      <c r="OA209" s="44"/>
      <c r="OB209" s="44"/>
      <c r="OC209" s="44"/>
      <c r="OD209" s="44"/>
      <c r="OE209" s="44"/>
      <c r="OF209" s="44"/>
      <c r="OG209" s="44"/>
      <c r="OH209" s="44"/>
      <c r="OI209" s="44"/>
      <c r="OJ209" s="44"/>
      <c r="OK209" s="44"/>
      <c r="OL209" s="44"/>
      <c r="OM209" s="44"/>
      <c r="ON209" s="44"/>
      <c r="OO209" s="44"/>
      <c r="OP209" s="44"/>
      <c r="OQ209" s="44"/>
      <c r="OR209" s="44"/>
      <c r="OS209" s="44"/>
      <c r="OT209" s="44"/>
      <c r="OU209" s="44"/>
      <c r="OV209" s="44"/>
      <c r="OW209" s="44"/>
      <c r="OX209" s="44"/>
      <c r="OY209" s="44"/>
      <c r="OZ209" s="44"/>
      <c r="PA209" s="44"/>
      <c r="PB209" s="44"/>
      <c r="PC209" s="44"/>
      <c r="PD209" s="44"/>
      <c r="PE209" s="44"/>
      <c r="PF209" s="44"/>
      <c r="PG209" s="44"/>
      <c r="PH209" s="44"/>
      <c r="PI209" s="44"/>
      <c r="PJ209" s="44"/>
      <c r="PK209" s="44"/>
      <c r="PL209" s="44"/>
      <c r="PM209" s="44"/>
      <c r="PN209" s="44"/>
      <c r="PO209" s="44"/>
      <c r="PP209" s="44"/>
      <c r="PQ209" s="44"/>
      <c r="PR209" s="44"/>
      <c r="PS209" s="44"/>
      <c r="PT209" s="44"/>
      <c r="PU209" s="44"/>
      <c r="PV209" s="44"/>
      <c r="PW209" s="44"/>
      <c r="PX209" s="44"/>
      <c r="PY209" s="44"/>
      <c r="PZ209" s="44"/>
      <c r="QA209" s="44"/>
      <c r="QB209" s="44"/>
      <c r="QC209" s="44"/>
      <c r="QD209" s="44"/>
      <c r="QE209" s="44"/>
      <c r="QF209" s="44"/>
      <c r="QG209" s="44"/>
      <c r="QH209" s="44"/>
      <c r="QI209" s="44"/>
      <c r="QJ209" s="44"/>
      <c r="QK209" s="44"/>
      <c r="QL209" s="44"/>
      <c r="QM209" s="44"/>
      <c r="QN209" s="44"/>
      <c r="QO209" s="44"/>
      <c r="QP209" s="44"/>
      <c r="QQ209" s="44"/>
      <c r="QR209" s="44"/>
      <c r="QS209" s="44"/>
      <c r="QT209" s="44"/>
      <c r="QU209" s="44"/>
      <c r="QV209" s="44"/>
      <c r="QW209" s="44"/>
      <c r="QX209" s="44"/>
      <c r="QY209" s="44"/>
      <c r="QZ209" s="44"/>
      <c r="RA209" s="44"/>
      <c r="RB209" s="44"/>
      <c r="RC209" s="44"/>
      <c r="RD209" s="44"/>
      <c r="RE209" s="44"/>
      <c r="RF209" s="44"/>
      <c r="RG209" s="44"/>
      <c r="RH209" s="44"/>
      <c r="RI209" s="44"/>
      <c r="RJ209" s="44"/>
      <c r="RK209" s="44"/>
      <c r="RL209" s="44"/>
      <c r="RM209" s="44"/>
      <c r="RN209" s="44"/>
      <c r="RO209" s="44"/>
      <c r="RP209" s="44"/>
      <c r="RQ209" s="44"/>
      <c r="RR209" s="44"/>
      <c r="RS209" s="44"/>
      <c r="RT209" s="44"/>
      <c r="RU209" s="44"/>
      <c r="RV209" s="44"/>
      <c r="RW209" s="44"/>
      <c r="RX209" s="44"/>
      <c r="RY209" s="44"/>
      <c r="RZ209" s="44"/>
      <c r="SA209" s="44"/>
      <c r="SB209" s="44"/>
      <c r="SC209" s="44"/>
      <c r="SD209" s="44"/>
      <c r="SE209" s="44"/>
      <c r="SF209" s="44"/>
      <c r="SG209" s="44"/>
      <c r="SH209" s="44"/>
      <c r="SI209" s="44"/>
      <c r="SJ209" s="44"/>
      <c r="SK209" s="44"/>
      <c r="SL209" s="44"/>
      <c r="SM209" s="44"/>
      <c r="SN209" s="44"/>
      <c r="SO209" s="44"/>
      <c r="SP209" s="44"/>
      <c r="SQ209" s="44"/>
      <c r="SR209" s="44"/>
      <c r="SS209" s="44"/>
      <c r="ST209" s="44"/>
      <c r="SU209" s="44"/>
      <c r="SV209" s="44"/>
      <c r="SW209" s="44"/>
      <c r="SX209" s="44"/>
      <c r="SY209" s="44"/>
      <c r="SZ209" s="44"/>
      <c r="TA209" s="44"/>
      <c r="TB209" s="44"/>
      <c r="TC209" s="44"/>
      <c r="TD209" s="44"/>
      <c r="TE209" s="44"/>
      <c r="TF209" s="44"/>
      <c r="TG209" s="44"/>
      <c r="TH209" s="44"/>
      <c r="TI209" s="44"/>
      <c r="TJ209" s="44"/>
      <c r="TK209" s="44"/>
      <c r="TL209" s="44"/>
      <c r="TM209" s="44"/>
      <c r="TN209" s="44"/>
      <c r="TO209" s="44"/>
      <c r="TP209" s="44"/>
      <c r="TQ209" s="44"/>
      <c r="TR209" s="44"/>
      <c r="TS209" s="44"/>
      <c r="TT209" s="44"/>
      <c r="TU209" s="44"/>
      <c r="TV209" s="44"/>
      <c r="TW209" s="44"/>
      <c r="TX209" s="44"/>
      <c r="TY209" s="44"/>
      <c r="TZ209" s="44"/>
      <c r="UA209" s="44"/>
      <c r="UB209" s="44"/>
      <c r="UC209" s="44"/>
      <c r="UD209" s="44"/>
      <c r="UE209" s="44"/>
      <c r="UF209" s="44"/>
      <c r="UG209" s="44"/>
      <c r="UH209" s="44"/>
      <c r="UI209" s="44"/>
      <c r="UJ209" s="44"/>
      <c r="UK209" s="44"/>
      <c r="UL209" s="44"/>
      <c r="UM209" s="44"/>
      <c r="UN209" s="44"/>
      <c r="UO209" s="44"/>
      <c r="UP209" s="44"/>
      <c r="UQ209" s="44"/>
      <c r="UR209" s="44"/>
      <c r="US209" s="44"/>
      <c r="UT209" s="44"/>
      <c r="UU209" s="44"/>
      <c r="UV209" s="44"/>
      <c r="UW209" s="44"/>
      <c r="UX209" s="44"/>
      <c r="UY209" s="44"/>
      <c r="UZ209" s="44"/>
      <c r="VA209" s="44"/>
      <c r="VB209" s="44"/>
      <c r="VC209" s="44"/>
      <c r="VD209" s="44"/>
      <c r="VE209" s="44"/>
      <c r="VF209" s="44"/>
      <c r="VG209" s="44"/>
      <c r="VH209" s="44"/>
      <c r="VI209" s="44"/>
      <c r="VJ209" s="44"/>
      <c r="VK209" s="44"/>
      <c r="VL209" s="44"/>
      <c r="VM209" s="44"/>
      <c r="VN209" s="44"/>
      <c r="VO209" s="44"/>
      <c r="VP209" s="44"/>
      <c r="VQ209" s="44"/>
      <c r="VR209" s="44"/>
      <c r="VS209" s="44"/>
      <c r="VT209" s="44"/>
      <c r="VU209" s="44"/>
      <c r="VV209" s="44"/>
      <c r="VW209" s="44"/>
      <c r="VX209" s="44"/>
      <c r="VY209" s="44"/>
      <c r="VZ209" s="44"/>
      <c r="WA209" s="44"/>
      <c r="WB209" s="44"/>
      <c r="WC209" s="44"/>
      <c r="WD209" s="44"/>
      <c r="WE209" s="44"/>
      <c r="WF209" s="44"/>
      <c r="WG209" s="44"/>
      <c r="WH209" s="44"/>
      <c r="WI209" s="44"/>
      <c r="WJ209" s="44"/>
      <c r="WK209" s="44"/>
      <c r="WL209" s="44"/>
      <c r="WM209" s="44"/>
      <c r="WN209" s="44"/>
      <c r="WO209" s="44"/>
      <c r="WP209" s="44"/>
      <c r="WQ209" s="44"/>
      <c r="WR209" s="44"/>
      <c r="WS209" s="44"/>
      <c r="WT209" s="44"/>
      <c r="WU209" s="44"/>
      <c r="WV209" s="44"/>
      <c r="WW209" s="44"/>
      <c r="WX209" s="44"/>
      <c r="WY209" s="44"/>
      <c r="WZ209" s="44"/>
      <c r="XA209" s="44"/>
      <c r="XB209" s="44"/>
      <c r="XC209" s="44"/>
      <c r="XD209" s="44"/>
      <c r="XE209" s="44"/>
      <c r="XF209" s="44"/>
      <c r="XG209" s="44"/>
      <c r="XH209" s="44"/>
      <c r="XI209" s="44"/>
      <c r="XJ209" s="44"/>
      <c r="XK209" s="44"/>
      <c r="XL209" s="44"/>
      <c r="XM209" s="44"/>
      <c r="XN209" s="44"/>
      <c r="XO209" s="44"/>
      <c r="XP209" s="44"/>
      <c r="XQ209" s="44"/>
      <c r="XR209" s="44"/>
      <c r="XS209" s="44"/>
      <c r="XT209" s="44"/>
      <c r="XU209" s="44"/>
      <c r="XV209" s="44"/>
      <c r="XW209" s="44"/>
      <c r="XX209" s="44"/>
      <c r="XY209" s="44"/>
      <c r="XZ209" s="44"/>
      <c r="YA209" s="44"/>
      <c r="YB209" s="44"/>
      <c r="YC209" s="44"/>
      <c r="YD209" s="44"/>
      <c r="YE209" s="44"/>
      <c r="YF209" s="44"/>
      <c r="YG209" s="44"/>
      <c r="YH209" s="44"/>
      <c r="YI209" s="44"/>
      <c r="YJ209" s="44"/>
      <c r="YK209" s="44"/>
      <c r="YL209" s="44"/>
      <c r="YM209" s="44"/>
      <c r="YN209" s="44"/>
      <c r="YO209" s="44"/>
      <c r="YP209" s="44"/>
      <c r="YQ209" s="44"/>
      <c r="YR209" s="44"/>
      <c r="YS209" s="44"/>
      <c r="YT209" s="44"/>
      <c r="YU209" s="44"/>
      <c r="YV209" s="44"/>
      <c r="YW209" s="44"/>
      <c r="YX209" s="44"/>
      <c r="YY209" s="44"/>
      <c r="YZ209" s="44"/>
      <c r="ZA209" s="44"/>
      <c r="ZB209" s="44"/>
      <c r="ZC209" s="44"/>
      <c r="ZD209" s="44"/>
      <c r="ZE209" s="44"/>
      <c r="ZF209" s="44"/>
      <c r="ZG209" s="44"/>
      <c r="ZH209" s="44"/>
      <c r="ZI209" s="44"/>
      <c r="ZJ209" s="44"/>
      <c r="ZK209" s="44"/>
      <c r="ZL209" s="44"/>
      <c r="ZM209" s="44"/>
      <c r="ZN209" s="44"/>
      <c r="ZO209" s="44"/>
      <c r="ZP209" s="44"/>
      <c r="ZQ209" s="44"/>
      <c r="ZR209" s="44"/>
      <c r="ZS209" s="44"/>
      <c r="ZT209" s="44"/>
      <c r="ZU209" s="44"/>
      <c r="ZV209" s="44"/>
      <c r="ZW209" s="44"/>
      <c r="ZX209" s="44"/>
      <c r="ZY209" s="44"/>
      <c r="ZZ209" s="44"/>
      <c r="AAA209" s="44"/>
      <c r="AAB209" s="44"/>
      <c r="AAC209" s="44"/>
      <c r="AAD209" s="44"/>
      <c r="AAE209" s="44"/>
      <c r="AAF209" s="44"/>
      <c r="AAG209" s="44"/>
      <c r="AAH209" s="44"/>
      <c r="AAI209" s="44"/>
      <c r="AAJ209" s="44"/>
      <c r="AAK209" s="44"/>
      <c r="AAL209" s="44"/>
      <c r="AAM209" s="44"/>
      <c r="AAN209" s="44"/>
      <c r="AAO209" s="44"/>
      <c r="AAP209" s="44"/>
      <c r="AAQ209" s="44"/>
      <c r="AAR209" s="44"/>
      <c r="AAS209" s="44"/>
      <c r="AAT209" s="44"/>
      <c r="AAU209" s="44"/>
      <c r="AAV209" s="44"/>
      <c r="AAW209" s="44"/>
      <c r="AAX209" s="44"/>
      <c r="AAY209" s="44"/>
      <c r="AAZ209" s="44"/>
      <c r="ABA209" s="44"/>
      <c r="ABB209" s="44"/>
      <c r="ABC209" s="44"/>
      <c r="ABD209" s="44"/>
      <c r="ABE209" s="44"/>
      <c r="ABF209" s="44"/>
      <c r="ABG209" s="44"/>
      <c r="ABH209" s="44"/>
      <c r="ABI209" s="44"/>
      <c r="ABJ209" s="44"/>
      <c r="ABK209" s="44"/>
      <c r="ABL209" s="44"/>
      <c r="ABM209" s="44"/>
      <c r="ABN209" s="44"/>
      <c r="ABO209" s="44"/>
      <c r="ABP209" s="44"/>
      <c r="ABQ209" s="44"/>
      <c r="ABR209" s="44"/>
      <c r="ABS209" s="44"/>
      <c r="ABT209" s="44"/>
      <c r="ABU209" s="44"/>
      <c r="ABV209" s="44"/>
      <c r="ABW209" s="44"/>
      <c r="ABX209" s="44"/>
      <c r="ABY209" s="44"/>
      <c r="ABZ209" s="44"/>
      <c r="ACA209" s="44"/>
      <c r="ACB209" s="44"/>
      <c r="ACC209" s="44"/>
      <c r="ACD209" s="44"/>
      <c r="ACE209" s="44"/>
      <c r="ACF209" s="44"/>
      <c r="ACG209" s="44"/>
      <c r="ACH209" s="44"/>
      <c r="ACI209" s="44"/>
      <c r="ACJ209" s="44"/>
      <c r="ACK209" s="44"/>
      <c r="ACL209" s="44"/>
      <c r="ACM209" s="44"/>
      <c r="ACN209" s="44"/>
      <c r="ACO209" s="44"/>
      <c r="ACP209" s="44"/>
      <c r="ACQ209" s="44"/>
      <c r="ACR209" s="44"/>
      <c r="ACS209" s="44"/>
      <c r="ACT209" s="44"/>
      <c r="ACU209" s="44"/>
      <c r="ACV209" s="44"/>
      <c r="ACW209" s="44"/>
      <c r="ACX209" s="44"/>
      <c r="ACY209" s="44"/>
      <c r="ACZ209" s="44"/>
      <c r="ADA209" s="44"/>
      <c r="ADB209" s="44"/>
      <c r="ADC209" s="44"/>
      <c r="ADD209" s="44"/>
      <c r="ADE209" s="44"/>
      <c r="ADF209" s="44"/>
      <c r="ADG209" s="44"/>
      <c r="ADH209" s="44"/>
      <c r="ADI209" s="44"/>
      <c r="ADJ209" s="44"/>
      <c r="ADK209" s="44"/>
      <c r="ADL209" s="44"/>
      <c r="ADM209" s="44"/>
      <c r="ADN209" s="44"/>
      <c r="ADO209" s="44"/>
      <c r="ADP209" s="44"/>
      <c r="ADQ209" s="44"/>
      <c r="ADR209" s="44"/>
      <c r="ADS209" s="44"/>
      <c r="ADT209" s="44"/>
      <c r="ADU209" s="44"/>
      <c r="ADV209" s="44"/>
      <c r="ADW209" s="44"/>
      <c r="ADX209" s="44"/>
      <c r="ADY209" s="44"/>
      <c r="ADZ209" s="44"/>
      <c r="AEA209" s="44"/>
      <c r="AEB209" s="44"/>
      <c r="AEC209" s="44"/>
      <c r="AED209" s="44"/>
      <c r="AEE209" s="44"/>
      <c r="AEF209" s="44"/>
      <c r="AEG209" s="44"/>
      <c r="AEH209" s="44"/>
      <c r="AEI209" s="44"/>
      <c r="AEJ209" s="44"/>
      <c r="AEK209" s="44"/>
      <c r="AEL209" s="44"/>
      <c r="AEM209" s="44"/>
      <c r="AEN209" s="44"/>
      <c r="AEO209" s="44"/>
      <c r="AEP209" s="44"/>
      <c r="AEQ209" s="44"/>
      <c r="AER209" s="44"/>
      <c r="AES209" s="44"/>
      <c r="AET209" s="44"/>
      <c r="AEU209" s="44"/>
      <c r="AEV209" s="44"/>
      <c r="AEW209" s="44"/>
      <c r="AEX209" s="44"/>
      <c r="AEY209" s="44"/>
      <c r="AEZ209" s="44"/>
      <c r="AFA209" s="44"/>
      <c r="AFB209" s="44"/>
      <c r="AFC209" s="44"/>
      <c r="AFD209" s="44"/>
      <c r="AFE209" s="44"/>
      <c r="AFF209" s="44"/>
      <c r="AFG209" s="44"/>
      <c r="AFH209" s="44"/>
      <c r="AFI209" s="44"/>
      <c r="AFJ209" s="44"/>
      <c r="AFK209" s="44"/>
      <c r="AFL209" s="44"/>
      <c r="AFM209" s="44"/>
      <c r="AFN209" s="44"/>
      <c r="AFO209" s="44"/>
      <c r="AFP209" s="44"/>
      <c r="AFQ209" s="44"/>
      <c r="AFR209" s="44"/>
      <c r="AFS209" s="44"/>
      <c r="AFT209" s="44"/>
      <c r="AFU209" s="44"/>
      <c r="AFV209" s="44"/>
      <c r="AFW209" s="44"/>
      <c r="AFX209" s="44"/>
      <c r="AFY209" s="44"/>
      <c r="AFZ209" s="44"/>
      <c r="AGA209" s="44"/>
      <c r="AGB209" s="44"/>
      <c r="AGC209" s="44"/>
      <c r="AGD209" s="44"/>
      <c r="AGE209" s="44"/>
      <c r="AGF209" s="44"/>
      <c r="AGG209" s="44"/>
      <c r="AGH209" s="44"/>
      <c r="AGI209" s="44"/>
      <c r="AGJ209" s="44"/>
      <c r="AGK209" s="44"/>
      <c r="AGL209" s="44"/>
      <c r="AGM209" s="44"/>
      <c r="AGN209" s="44"/>
      <c r="AGO209" s="44"/>
      <c r="AGP209" s="44"/>
      <c r="AGQ209" s="44"/>
      <c r="AGR209" s="44"/>
      <c r="AGS209" s="44"/>
      <c r="AGT209" s="44"/>
      <c r="AGU209" s="44"/>
      <c r="AGV209" s="44"/>
      <c r="AGW209" s="44"/>
      <c r="AGX209" s="44"/>
      <c r="AGY209" s="44"/>
      <c r="AGZ209" s="44"/>
      <c r="AHA209" s="44"/>
      <c r="AHB209" s="44"/>
      <c r="AHC209" s="44"/>
      <c r="AHD209" s="44"/>
      <c r="AHE209" s="44"/>
      <c r="AHF209" s="44"/>
      <c r="AHG209" s="44"/>
      <c r="AHH209" s="44"/>
      <c r="AHI209" s="44"/>
      <c r="AHJ209" s="44"/>
      <c r="AHK209" s="44"/>
      <c r="AHL209" s="44"/>
      <c r="AHM209" s="44"/>
      <c r="AHN209" s="44"/>
      <c r="AHO209" s="44"/>
      <c r="AHP209" s="44"/>
      <c r="AHQ209" s="44"/>
      <c r="AHR209" s="44"/>
      <c r="AHS209" s="44"/>
      <c r="AHT209" s="44"/>
      <c r="AHU209" s="44"/>
      <c r="AHV209" s="44"/>
      <c r="AHW209" s="44"/>
      <c r="AHX209" s="44"/>
      <c r="AHY209" s="44"/>
      <c r="AHZ209" s="44"/>
      <c r="AIA209" s="44"/>
      <c r="AIB209" s="44"/>
      <c r="AIC209" s="44"/>
      <c r="AID209" s="44"/>
      <c r="AIE209" s="44"/>
      <c r="AIF209" s="44"/>
      <c r="AIG209" s="44"/>
      <c r="AIH209" s="44"/>
      <c r="AII209" s="44"/>
      <c r="AIJ209" s="44"/>
      <c r="AIK209" s="44"/>
      <c r="AIL209" s="44"/>
      <c r="AIM209" s="44"/>
      <c r="AIN209" s="44"/>
      <c r="AIO209" s="44"/>
      <c r="AIP209" s="44"/>
      <c r="AIQ209" s="44"/>
      <c r="AIR209" s="44"/>
      <c r="AIS209" s="44"/>
      <c r="AIT209" s="44"/>
      <c r="AIU209" s="44"/>
      <c r="AIV209" s="44"/>
      <c r="AIW209" s="44"/>
      <c r="AIX209" s="44"/>
      <c r="AIY209" s="44"/>
      <c r="AIZ209" s="44"/>
      <c r="AJA209" s="44"/>
      <c r="AJB209" s="44"/>
      <c r="AJC209" s="44"/>
      <c r="AJD209" s="44"/>
      <c r="AJE209" s="44"/>
      <c r="AJF209" s="44"/>
      <c r="AJG209" s="44"/>
      <c r="AJH209" s="44"/>
      <c r="AJI209" s="44"/>
      <c r="AJJ209" s="44"/>
      <c r="AJK209" s="44"/>
      <c r="AJL209" s="44"/>
      <c r="AJM209" s="44"/>
      <c r="AJN209" s="44"/>
      <c r="AJO209" s="44"/>
      <c r="AJP209" s="44"/>
      <c r="AJQ209" s="44"/>
      <c r="AJR209" s="44"/>
      <c r="AJS209" s="44"/>
      <c r="AJT209" s="44"/>
      <c r="AJU209" s="44"/>
      <c r="AJV209" s="44"/>
      <c r="AJW209" s="44"/>
      <c r="AJX209" s="44"/>
      <c r="AJY209" s="44"/>
      <c r="AJZ209" s="44"/>
      <c r="AKA209" s="44"/>
      <c r="AKB209" s="44"/>
      <c r="AKC209" s="44"/>
      <c r="AKD209" s="44"/>
      <c r="AKE209" s="44"/>
      <c r="AKF209" s="44"/>
      <c r="AKG209" s="44"/>
      <c r="AKH209" s="44"/>
      <c r="AKI209" s="44"/>
      <c r="AKJ209" s="44"/>
      <c r="AKK209" s="44"/>
      <c r="AKL209" s="44"/>
      <c r="AKM209" s="44"/>
      <c r="AKN209" s="44"/>
      <c r="AKO209" s="44"/>
      <c r="AKP209" s="44"/>
      <c r="AKQ209" s="44"/>
      <c r="AKR209" s="44"/>
      <c r="AKS209" s="44"/>
      <c r="AKT209" s="44"/>
      <c r="AKU209" s="44"/>
      <c r="AKV209" s="44"/>
      <c r="AKW209" s="44"/>
      <c r="AKX209" s="44"/>
      <c r="AKY209" s="44"/>
      <c r="AKZ209" s="44"/>
      <c r="ALA209" s="44"/>
      <c r="ALB209" s="44"/>
      <c r="ALC209" s="44"/>
      <c r="ALD209" s="44"/>
      <c r="ALE209" s="44"/>
      <c r="ALF209" s="44"/>
      <c r="ALG209" s="44"/>
      <c r="ALH209" s="44"/>
      <c r="ALI209" s="44"/>
      <c r="ALJ209" s="44"/>
      <c r="ALK209" s="44"/>
      <c r="ALL209" s="44"/>
      <c r="ALM209" s="44"/>
      <c r="ALN209" s="44"/>
      <c r="ALO209" s="44"/>
      <c r="ALP209" s="44"/>
      <c r="ALQ209" s="44"/>
      <c r="ALR209" s="44"/>
      <c r="ALS209" s="44"/>
      <c r="ALT209" s="44"/>
      <c r="ALU209" s="44"/>
      <c r="ALV209" s="44"/>
      <c r="ALW209" s="44"/>
      <c r="ALX209" s="44"/>
      <c r="ALY209" s="44"/>
      <c r="ALZ209" s="44"/>
      <c r="AMA209" s="44"/>
      <c r="AMB209" s="44"/>
      <c r="AMC209" s="44"/>
      <c r="AMD209" s="44"/>
      <c r="AME209" s="44"/>
      <c r="AMF209" s="44"/>
      <c r="AMG209" s="44"/>
      <c r="AMH209" s="44"/>
      <c r="AMI209" s="44"/>
      <c r="AMJ209" s="44"/>
      <c r="AMK209" s="44"/>
      <c r="AML209" s="44"/>
      <c r="AMM209" s="44"/>
      <c r="AMN209" s="44"/>
      <c r="AMO209" s="44"/>
      <c r="AMP209" s="44"/>
      <c r="AMQ209" s="44"/>
      <c r="AMR209" s="44"/>
      <c r="AMS209" s="44"/>
      <c r="AMT209" s="44"/>
      <c r="AMU209" s="44"/>
      <c r="AMV209" s="44"/>
      <c r="AMW209" s="44"/>
      <c r="AMX209" s="44"/>
      <c r="AMY209" s="44"/>
      <c r="AMZ209" s="44"/>
      <c r="ANA209" s="44"/>
      <c r="ANB209" s="44"/>
      <c r="ANC209" s="44"/>
      <c r="AND209" s="44"/>
      <c r="ANE209" s="44"/>
      <c r="ANF209" s="44"/>
      <c r="ANG209" s="44"/>
      <c r="ANH209" s="44"/>
      <c r="ANI209" s="44"/>
      <c r="ANJ209" s="44"/>
      <c r="ANK209" s="44"/>
      <c r="ANL209" s="44"/>
      <c r="ANM209" s="44"/>
      <c r="ANN209" s="44"/>
      <c r="ANO209" s="44"/>
      <c r="ANP209" s="44"/>
      <c r="ANQ209" s="44"/>
      <c r="ANR209" s="44"/>
      <c r="ANS209" s="44"/>
      <c r="ANT209" s="44"/>
      <c r="ANU209" s="44"/>
      <c r="ANV209" s="44"/>
      <c r="ANW209" s="44"/>
      <c r="ANX209" s="44"/>
      <c r="ANY209" s="44"/>
      <c r="ANZ209" s="44"/>
      <c r="AOA209" s="44"/>
      <c r="AOB209" s="44"/>
      <c r="AOC209" s="44"/>
      <c r="AOD209" s="44"/>
      <c r="AOE209" s="44"/>
      <c r="AOF209" s="44"/>
      <c r="AOG209" s="44"/>
      <c r="AOH209" s="44"/>
      <c r="AOI209" s="44"/>
      <c r="AOJ209" s="44"/>
      <c r="AOK209" s="44"/>
      <c r="AOL209" s="44"/>
      <c r="AOM209" s="44"/>
      <c r="AON209" s="44"/>
      <c r="AOO209" s="44"/>
      <c r="AOP209" s="44"/>
      <c r="AOQ209" s="44"/>
      <c r="AOR209" s="44"/>
      <c r="AOS209" s="44"/>
      <c r="AOT209" s="44"/>
      <c r="AOU209" s="44"/>
      <c r="AOV209" s="44"/>
      <c r="AOW209" s="44"/>
      <c r="AOX209" s="44"/>
      <c r="AOY209" s="44"/>
      <c r="AOZ209" s="44"/>
      <c r="APA209" s="44"/>
      <c r="APB209" s="44"/>
      <c r="APC209" s="44"/>
      <c r="APD209" s="44"/>
      <c r="APE209" s="44"/>
      <c r="APF209" s="44"/>
      <c r="APG209" s="44"/>
      <c r="APH209" s="44"/>
      <c r="API209" s="44"/>
      <c r="APJ209" s="44"/>
      <c r="APK209" s="44"/>
      <c r="APL209" s="44"/>
      <c r="APM209" s="44"/>
      <c r="APN209" s="44"/>
      <c r="APO209" s="44"/>
      <c r="APP209" s="44"/>
      <c r="APQ209" s="44"/>
      <c r="APR209" s="44"/>
      <c r="APS209" s="44"/>
      <c r="APT209" s="44"/>
      <c r="APU209" s="44"/>
      <c r="APV209" s="44"/>
      <c r="APW209" s="44"/>
      <c r="APX209" s="44"/>
      <c r="APY209" s="44"/>
      <c r="APZ209" s="44"/>
      <c r="AQA209" s="44"/>
      <c r="AQB209" s="44"/>
      <c r="AQC209" s="44"/>
      <c r="AQD209" s="44"/>
      <c r="AQE209" s="44"/>
      <c r="AQF209" s="44"/>
      <c r="AQG209" s="44"/>
      <c r="AQH209" s="44"/>
      <c r="AQI209" s="44"/>
      <c r="AQJ209" s="44"/>
      <c r="AQK209" s="44"/>
      <c r="AQL209" s="44"/>
      <c r="AQM209" s="44"/>
      <c r="AQN209" s="44"/>
      <c r="AQO209" s="44"/>
      <c r="AQP209" s="44"/>
      <c r="AQQ209" s="44"/>
      <c r="AQR209" s="44"/>
      <c r="AQS209" s="44"/>
      <c r="AQT209" s="44"/>
      <c r="AQU209" s="44"/>
      <c r="AQV209" s="44"/>
      <c r="AQW209" s="44"/>
      <c r="AQX209" s="44"/>
      <c r="AQY209" s="44"/>
      <c r="AQZ209" s="44"/>
      <c r="ARA209" s="44"/>
      <c r="ARB209" s="44"/>
      <c r="ARC209" s="44"/>
      <c r="ARD209" s="44"/>
      <c r="ARE209" s="44"/>
      <c r="ARF209" s="44"/>
      <c r="ARG209" s="44"/>
      <c r="ARH209" s="44"/>
      <c r="ARI209" s="44"/>
      <c r="ARJ209" s="44"/>
      <c r="ARK209" s="44"/>
      <c r="ARL209" s="44"/>
      <c r="ARM209" s="44"/>
      <c r="ARN209" s="44"/>
      <c r="ARO209" s="44"/>
      <c r="ARP209" s="44"/>
      <c r="ARQ209" s="44"/>
      <c r="ARR209" s="44"/>
      <c r="ARS209" s="44"/>
      <c r="ART209" s="44"/>
      <c r="ARU209" s="44"/>
      <c r="ARV209" s="44"/>
      <c r="ARW209" s="44"/>
      <c r="ARX209" s="44"/>
      <c r="ARY209" s="44"/>
      <c r="ARZ209" s="44"/>
      <c r="ASA209" s="44"/>
      <c r="ASB209" s="44"/>
      <c r="ASC209" s="44"/>
      <c r="ASD209" s="44"/>
      <c r="ASE209" s="44"/>
      <c r="ASF209" s="44"/>
      <c r="ASG209" s="44"/>
      <c r="ASH209" s="44"/>
      <c r="ASI209" s="44"/>
      <c r="ASJ209" s="44"/>
      <c r="ASK209" s="44"/>
      <c r="ASL209" s="44"/>
      <c r="ASM209" s="44"/>
      <c r="ASN209" s="44"/>
      <c r="ASO209" s="44"/>
      <c r="ASP209" s="44"/>
      <c r="ASQ209" s="44"/>
      <c r="ASR209" s="44"/>
      <c r="ASS209" s="44"/>
      <c r="AST209" s="44"/>
      <c r="ASU209" s="44"/>
      <c r="ASV209" s="44"/>
      <c r="ASW209" s="44"/>
      <c r="ASX209" s="44"/>
      <c r="ASY209" s="44"/>
      <c r="ASZ209" s="44"/>
      <c r="ATA209" s="44"/>
      <c r="ATB209" s="44"/>
      <c r="ATC209" s="44"/>
      <c r="ATD209" s="44"/>
      <c r="ATE209" s="44"/>
      <c r="ATF209" s="44"/>
      <c r="ATG209" s="44"/>
      <c r="ATH209" s="44"/>
      <c r="ATI209" s="44"/>
      <c r="ATJ209" s="44"/>
      <c r="ATK209" s="44"/>
      <c r="ATL209" s="44"/>
      <c r="ATM209" s="44"/>
      <c r="ATN209" s="44"/>
      <c r="ATO209" s="44"/>
      <c r="ATP209" s="44"/>
      <c r="ATQ209" s="44"/>
      <c r="ATR209" s="44"/>
      <c r="ATS209" s="44"/>
      <c r="ATT209" s="44"/>
      <c r="ATU209" s="44"/>
      <c r="ATV209" s="44"/>
      <c r="ATW209" s="44"/>
      <c r="ATX209" s="44"/>
      <c r="ATY209" s="44"/>
      <c r="ATZ209" s="44"/>
      <c r="AUA209" s="44"/>
      <c r="AUB209" s="44"/>
      <c r="AUC209" s="44"/>
      <c r="AUD209" s="44"/>
      <c r="AUE209" s="44"/>
      <c r="AUF209" s="44"/>
      <c r="AUG209" s="44"/>
      <c r="AUH209" s="44"/>
      <c r="AUI209" s="44"/>
      <c r="AUJ209" s="44"/>
      <c r="AUK209" s="44"/>
      <c r="AUL209" s="44"/>
      <c r="AUM209" s="44"/>
      <c r="AUN209" s="44"/>
      <c r="AUO209" s="44"/>
      <c r="AUP209" s="44"/>
      <c r="AUQ209" s="44"/>
      <c r="AUR209" s="44"/>
      <c r="AUS209" s="44"/>
      <c r="AUT209" s="44"/>
      <c r="AUU209" s="44"/>
      <c r="AUV209" s="44"/>
      <c r="AUW209" s="44"/>
      <c r="AUX209" s="44"/>
      <c r="AUY209" s="44"/>
      <c r="AUZ209" s="44"/>
      <c r="AVA209" s="44"/>
      <c r="AVB209" s="44"/>
      <c r="AVC209" s="44"/>
      <c r="AVD209" s="44"/>
      <c r="AVE209" s="44"/>
      <c r="AVF209" s="44"/>
      <c r="AVG209" s="44"/>
      <c r="AVH209" s="44"/>
      <c r="AVI209" s="44"/>
      <c r="AVJ209" s="44"/>
      <c r="AVK209" s="44"/>
      <c r="AVL209" s="44"/>
      <c r="AVM209" s="44"/>
      <c r="AVN209" s="44"/>
      <c r="AVO209" s="44"/>
      <c r="AVP209" s="44"/>
      <c r="AVQ209" s="44"/>
      <c r="AVR209" s="44"/>
      <c r="AVS209" s="44"/>
      <c r="AVT209" s="44"/>
      <c r="AVU209" s="44"/>
      <c r="AVV209" s="44"/>
      <c r="AVW209" s="44"/>
      <c r="AVX209" s="44"/>
      <c r="AVY209" s="44"/>
      <c r="AVZ209" s="44"/>
      <c r="AWA209" s="44"/>
      <c r="AWB209" s="44"/>
      <c r="AWC209" s="44"/>
      <c r="AWD209" s="44"/>
      <c r="AWE209" s="44"/>
      <c r="AWF209" s="44"/>
      <c r="AWG209" s="44"/>
      <c r="AWH209" s="44"/>
      <c r="AWI209" s="44"/>
      <c r="AWJ209" s="44"/>
      <c r="AWK209" s="44"/>
      <c r="AWL209" s="44"/>
      <c r="AWM209" s="44"/>
      <c r="AWN209" s="44"/>
      <c r="AWO209" s="44"/>
      <c r="AWP209" s="44"/>
      <c r="AWQ209" s="44"/>
      <c r="AWR209" s="44"/>
      <c r="AWS209" s="44"/>
      <c r="AWT209" s="44"/>
      <c r="AWU209" s="44"/>
      <c r="AWV209" s="44"/>
      <c r="AWW209" s="44"/>
      <c r="AWX209" s="44"/>
      <c r="AWY209" s="44"/>
      <c r="AWZ209" s="44"/>
      <c r="AXA209" s="44"/>
      <c r="AXB209" s="44"/>
      <c r="AXC209" s="44"/>
      <c r="AXD209" s="44"/>
      <c r="AXE209" s="44"/>
      <c r="AXF209" s="44"/>
      <c r="AXG209" s="44"/>
      <c r="AXH209" s="44"/>
      <c r="AXI209" s="44"/>
      <c r="AXJ209" s="44"/>
      <c r="AXK209" s="44"/>
      <c r="AXL209" s="44"/>
      <c r="AXM209" s="44"/>
      <c r="AXN209" s="44"/>
      <c r="AXO209" s="44"/>
      <c r="AXP209" s="44"/>
      <c r="AXQ209" s="44"/>
      <c r="AXR209" s="44"/>
      <c r="AXS209" s="44"/>
      <c r="AXT209" s="44"/>
      <c r="AXU209" s="44"/>
      <c r="AXV209" s="44"/>
      <c r="AXW209" s="44"/>
      <c r="AXX209" s="44"/>
      <c r="AXY209" s="44"/>
      <c r="AXZ209" s="44"/>
      <c r="AYA209" s="44"/>
      <c r="AYB209" s="44"/>
      <c r="AYC209" s="44"/>
      <c r="AYD209" s="44"/>
      <c r="AYE209" s="44"/>
      <c r="AYF209" s="44"/>
      <c r="AYG209" s="44"/>
      <c r="AYH209" s="44"/>
      <c r="AYI209" s="44"/>
      <c r="AYJ209" s="44"/>
      <c r="AYK209" s="44"/>
      <c r="AYL209" s="44"/>
      <c r="AYM209" s="44"/>
      <c r="AYN209" s="44"/>
      <c r="AYO209" s="44"/>
      <c r="AYP209" s="44"/>
      <c r="AYQ209" s="44"/>
      <c r="AYR209" s="44"/>
      <c r="AYS209" s="44"/>
      <c r="AYT209" s="44"/>
      <c r="AYU209" s="44"/>
      <c r="AYV209" s="44"/>
      <c r="AYW209" s="44"/>
      <c r="AYX209" s="44"/>
      <c r="AYY209" s="44"/>
      <c r="AYZ209" s="44"/>
      <c r="AZA209" s="44"/>
      <c r="AZB209" s="44"/>
      <c r="AZC209" s="44"/>
      <c r="AZD209" s="44"/>
      <c r="AZE209" s="44"/>
      <c r="AZF209" s="44"/>
      <c r="AZG209" s="44"/>
      <c r="AZH209" s="44"/>
      <c r="AZI209" s="44"/>
      <c r="AZJ209" s="44"/>
      <c r="AZK209" s="44"/>
      <c r="AZL209" s="44"/>
      <c r="AZM209" s="44"/>
      <c r="AZN209" s="44"/>
      <c r="AZO209" s="44"/>
      <c r="AZP209" s="44"/>
      <c r="AZQ209" s="44"/>
      <c r="AZR209" s="44"/>
      <c r="AZS209" s="44"/>
      <c r="AZT209" s="44"/>
      <c r="AZU209" s="44"/>
      <c r="AZV209" s="44"/>
      <c r="AZW209" s="44"/>
      <c r="AZX209" s="44"/>
      <c r="AZY209" s="44"/>
      <c r="AZZ209" s="44"/>
      <c r="BAA209" s="44"/>
      <c r="BAB209" s="44"/>
      <c r="BAC209" s="44"/>
      <c r="BAD209" s="44"/>
      <c r="BAE209" s="44"/>
      <c r="BAF209" s="44"/>
      <c r="BAG209" s="44"/>
      <c r="BAH209" s="44"/>
      <c r="BAI209" s="44"/>
      <c r="BAJ209" s="44"/>
      <c r="BAK209" s="44"/>
      <c r="BAL209" s="44"/>
      <c r="BAM209" s="44"/>
      <c r="BAN209" s="44"/>
      <c r="BAO209" s="44"/>
      <c r="BAP209" s="44"/>
      <c r="BAQ209" s="44"/>
      <c r="BAR209" s="44"/>
      <c r="BAS209" s="44"/>
      <c r="BAT209" s="44"/>
      <c r="BAU209" s="44"/>
      <c r="BAV209" s="44"/>
      <c r="BAW209" s="44"/>
      <c r="BAX209" s="44"/>
      <c r="BAY209" s="44"/>
      <c r="BAZ209" s="44"/>
      <c r="BBA209" s="44"/>
      <c r="BBB209" s="44"/>
      <c r="BBC209" s="44"/>
      <c r="BBD209" s="44"/>
      <c r="BBE209" s="44"/>
      <c r="BBF209" s="44"/>
      <c r="BBG209" s="44"/>
      <c r="BBH209" s="44"/>
      <c r="BBI209" s="44"/>
      <c r="BBJ209" s="44"/>
      <c r="BBK209" s="44"/>
      <c r="BBL209" s="44"/>
      <c r="BBM209" s="44"/>
      <c r="BBN209" s="44"/>
      <c r="BBO209" s="44"/>
      <c r="BBP209" s="44"/>
      <c r="BBQ209" s="44"/>
      <c r="BBR209" s="44"/>
      <c r="BBS209" s="44"/>
      <c r="BBT209" s="44"/>
      <c r="BBU209" s="44"/>
      <c r="BBV209" s="44"/>
      <c r="BBW209" s="44"/>
      <c r="BBX209" s="44"/>
      <c r="BBY209" s="44"/>
      <c r="BBZ209" s="44"/>
      <c r="BCA209" s="44"/>
      <c r="BCB209" s="44"/>
      <c r="BCC209" s="44"/>
      <c r="BCD209" s="44"/>
      <c r="BCE209" s="44"/>
      <c r="BCF209" s="44"/>
      <c r="BCG209" s="44"/>
      <c r="BCH209" s="44"/>
      <c r="BCI209" s="44"/>
      <c r="BCJ209" s="44"/>
      <c r="BCK209" s="44"/>
      <c r="BCL209" s="44"/>
      <c r="BCM209" s="44"/>
      <c r="BCN209" s="44"/>
      <c r="BCO209" s="44"/>
      <c r="BCP209" s="44"/>
      <c r="BCQ209" s="44"/>
      <c r="BCR209" s="44"/>
      <c r="BCS209" s="44"/>
      <c r="BCT209" s="44"/>
      <c r="BCU209" s="44"/>
      <c r="BCV209" s="44"/>
      <c r="BCW209" s="44"/>
      <c r="BCX209" s="44"/>
      <c r="BCY209" s="44"/>
      <c r="BCZ209" s="44"/>
      <c r="BDA209" s="44"/>
      <c r="BDB209" s="44"/>
      <c r="BDC209" s="44"/>
      <c r="BDD209" s="44"/>
      <c r="BDE209" s="44"/>
      <c r="BDF209" s="44"/>
      <c r="BDG209" s="44"/>
      <c r="BDH209" s="44"/>
      <c r="BDI209" s="44"/>
      <c r="BDJ209" s="44"/>
      <c r="BDK209" s="44"/>
      <c r="BDL209" s="44"/>
      <c r="BDM209" s="44"/>
      <c r="BDN209" s="44"/>
      <c r="BDO209" s="44"/>
      <c r="BDP209" s="44"/>
      <c r="BDQ209" s="44"/>
      <c r="BDR209" s="44"/>
      <c r="BDS209" s="44"/>
      <c r="BDT209" s="44"/>
      <c r="BDU209" s="44"/>
      <c r="BDV209" s="44"/>
      <c r="BDW209" s="44"/>
      <c r="BDX209" s="44"/>
      <c r="BDY209" s="44"/>
      <c r="BDZ209" s="44"/>
      <c r="BEA209" s="44"/>
      <c r="BEB209" s="44"/>
      <c r="BEC209" s="44"/>
      <c r="BED209" s="44"/>
      <c r="BEE209" s="44"/>
      <c r="BEF209" s="44"/>
      <c r="BEG209" s="44"/>
      <c r="BEH209" s="44"/>
      <c r="BEI209" s="44"/>
      <c r="BEJ209" s="44"/>
      <c r="BEK209" s="44"/>
      <c r="BEL209" s="44"/>
      <c r="BEM209" s="44"/>
      <c r="BEN209" s="44"/>
      <c r="BEO209" s="44"/>
      <c r="BEP209" s="44"/>
      <c r="BEQ209" s="44"/>
      <c r="BER209" s="44"/>
      <c r="BES209" s="44"/>
      <c r="BET209" s="44"/>
      <c r="BEU209" s="44"/>
      <c r="BEV209" s="44"/>
      <c r="BEW209" s="44"/>
      <c r="BEX209" s="44"/>
      <c r="BEY209" s="44"/>
      <c r="BEZ209" s="44"/>
      <c r="BFA209" s="44"/>
      <c r="BFB209" s="44"/>
      <c r="BFC209" s="44"/>
      <c r="BFD209" s="44"/>
      <c r="BFE209" s="44"/>
      <c r="BFF209" s="44"/>
      <c r="BFG209" s="44"/>
      <c r="BFH209" s="44"/>
      <c r="BFI209" s="44"/>
      <c r="BFJ209" s="44"/>
      <c r="BFK209" s="44"/>
      <c r="BFL209" s="44"/>
      <c r="BFM209" s="44"/>
      <c r="BFN209" s="44"/>
      <c r="BFO209" s="44"/>
      <c r="BFP209" s="44"/>
      <c r="BFQ209" s="44"/>
      <c r="BFR209" s="44"/>
      <c r="BFS209" s="44"/>
      <c r="BFT209" s="44"/>
      <c r="BFU209" s="44"/>
      <c r="BFV209" s="44"/>
      <c r="BFW209" s="44"/>
      <c r="BFX209" s="44"/>
      <c r="BFY209" s="44"/>
      <c r="BFZ209" s="44"/>
      <c r="BGA209" s="44"/>
      <c r="BGB209" s="44"/>
      <c r="BGC209" s="44"/>
      <c r="BGD209" s="44"/>
      <c r="BGE209" s="44"/>
      <c r="BGF209" s="44"/>
      <c r="BGG209" s="44"/>
      <c r="BGH209" s="44"/>
      <c r="BGI209" s="44"/>
      <c r="BGJ209" s="44"/>
      <c r="BGK209" s="44"/>
      <c r="BGL209" s="44"/>
      <c r="BGM209" s="44"/>
      <c r="BGN209" s="44"/>
      <c r="BGO209" s="44"/>
      <c r="BGP209" s="44"/>
      <c r="BGQ209" s="44"/>
      <c r="BGR209" s="44"/>
      <c r="BGS209" s="44"/>
      <c r="BGT209" s="44"/>
      <c r="BGU209" s="44"/>
      <c r="BGV209" s="44"/>
      <c r="BGW209" s="44"/>
      <c r="BGX209" s="44"/>
      <c r="BGY209" s="44"/>
      <c r="BGZ209" s="44"/>
      <c r="BHA209" s="44"/>
      <c r="BHB209" s="44"/>
      <c r="BHC209" s="44"/>
      <c r="BHD209" s="44"/>
      <c r="BHE209" s="44"/>
      <c r="BHF209" s="44"/>
      <c r="BHG209" s="44"/>
      <c r="BHH209" s="44"/>
      <c r="BHI209" s="44"/>
      <c r="BHJ209" s="44"/>
      <c r="BHK209" s="44"/>
      <c r="BHL209" s="44"/>
      <c r="BHM209" s="44"/>
      <c r="BHN209" s="44"/>
      <c r="BHO209" s="44"/>
      <c r="BHP209" s="44"/>
      <c r="BHQ209" s="44"/>
      <c r="BHR209" s="44"/>
      <c r="BHS209" s="44"/>
      <c r="BHT209" s="44"/>
      <c r="BHU209" s="44"/>
      <c r="BHV209" s="44"/>
      <c r="BHW209" s="44"/>
      <c r="BHX209" s="44"/>
      <c r="BHY209" s="44"/>
      <c r="BHZ209" s="44"/>
      <c r="BIA209" s="44"/>
      <c r="BIB209" s="44"/>
      <c r="BIC209" s="44"/>
      <c r="BID209" s="44"/>
      <c r="BIE209" s="44"/>
      <c r="BIF209" s="44"/>
      <c r="BIG209" s="44"/>
      <c r="BIH209" s="44"/>
      <c r="BII209" s="44"/>
      <c r="BIJ209" s="44"/>
      <c r="BIK209" s="44"/>
      <c r="BIL209" s="44"/>
      <c r="BIM209" s="44"/>
      <c r="BIN209" s="44"/>
      <c r="BIO209" s="44"/>
      <c r="BIP209" s="44"/>
      <c r="BIQ209" s="44"/>
      <c r="BIR209" s="44"/>
      <c r="BIS209" s="44"/>
      <c r="BIT209" s="44"/>
      <c r="BIU209" s="44"/>
      <c r="BIV209" s="44"/>
      <c r="BIW209" s="44"/>
      <c r="BIX209" s="44"/>
      <c r="BIY209" s="44"/>
      <c r="BIZ209" s="44"/>
      <c r="BJA209" s="44"/>
      <c r="BJB209" s="44"/>
      <c r="BJC209" s="44"/>
      <c r="BJD209" s="44"/>
      <c r="BJE209" s="44"/>
      <c r="BJF209" s="44"/>
      <c r="BJG209" s="44"/>
      <c r="BJH209" s="44"/>
      <c r="BJI209" s="44"/>
      <c r="BJJ209" s="44"/>
      <c r="BJK209" s="44"/>
      <c r="BJL209" s="44"/>
      <c r="BJM209" s="44"/>
      <c r="BJN209" s="44"/>
      <c r="BJO209" s="44"/>
      <c r="BJP209" s="44"/>
      <c r="BJQ209" s="44"/>
      <c r="BJR209" s="44"/>
      <c r="BJS209" s="44"/>
      <c r="BJT209" s="44"/>
      <c r="BJU209" s="44"/>
      <c r="BJV209" s="44"/>
      <c r="BJW209" s="44"/>
      <c r="BJX209" s="44"/>
      <c r="BJY209" s="44"/>
      <c r="BJZ209" s="44"/>
      <c r="BKA209" s="44"/>
      <c r="BKB209" s="44"/>
      <c r="BKC209" s="44"/>
      <c r="BKD209" s="44"/>
      <c r="BKE209" s="44"/>
      <c r="BKF209" s="44"/>
      <c r="BKG209" s="44"/>
      <c r="BKH209" s="44"/>
      <c r="BKI209" s="44"/>
      <c r="BKJ209" s="44"/>
      <c r="BKK209" s="44"/>
      <c r="BKL209" s="44"/>
      <c r="BKM209" s="44"/>
      <c r="BKN209" s="44"/>
      <c r="BKO209" s="44"/>
      <c r="BKP209" s="44"/>
      <c r="BKQ209" s="44"/>
      <c r="BKR209" s="44"/>
      <c r="BKS209" s="44"/>
      <c r="BKT209" s="44"/>
      <c r="BKU209" s="44"/>
      <c r="BKV209" s="44"/>
      <c r="BKW209" s="44"/>
      <c r="BKX209" s="44"/>
      <c r="BKY209" s="44"/>
      <c r="BKZ209" s="44"/>
      <c r="BLA209" s="44"/>
      <c r="BLB209" s="44"/>
      <c r="BLC209" s="44"/>
      <c r="BLD209" s="44"/>
      <c r="BLE209" s="44"/>
      <c r="BLF209" s="44"/>
      <c r="BLG209" s="44"/>
      <c r="BLH209" s="44"/>
      <c r="BLI209" s="44"/>
      <c r="BLJ209" s="44"/>
      <c r="BLK209" s="44"/>
      <c r="BLL209" s="44"/>
      <c r="BLM209" s="44"/>
      <c r="BLN209" s="44"/>
      <c r="BLO209" s="44"/>
      <c r="BLP209" s="44"/>
      <c r="BLQ209" s="44"/>
      <c r="BLR209" s="44"/>
      <c r="BLS209" s="44"/>
      <c r="BLT209" s="44"/>
      <c r="BLU209" s="44"/>
      <c r="BLV209" s="44"/>
      <c r="BLW209" s="44"/>
      <c r="BLX209" s="44"/>
      <c r="BLY209" s="44"/>
      <c r="BLZ209" s="44"/>
      <c r="BMA209" s="44"/>
      <c r="BMB209" s="44"/>
      <c r="BMC209" s="44"/>
      <c r="BMD209" s="44"/>
      <c r="BME209" s="44"/>
      <c r="BMF209" s="44"/>
      <c r="BMG209" s="44"/>
      <c r="BMH209" s="44"/>
      <c r="BMI209" s="44"/>
      <c r="BMJ209" s="44"/>
      <c r="BMK209" s="44"/>
      <c r="BML209" s="44"/>
      <c r="BMM209" s="44"/>
      <c r="BMN209" s="44"/>
      <c r="BMO209" s="44"/>
      <c r="BMP209" s="44"/>
      <c r="BMQ209" s="44"/>
      <c r="BMR209" s="44"/>
      <c r="BMS209" s="44"/>
      <c r="BMT209" s="44"/>
      <c r="BMU209" s="44"/>
      <c r="BMV209" s="44"/>
      <c r="BMW209" s="44"/>
      <c r="BMX209" s="44"/>
      <c r="BMY209" s="44"/>
      <c r="BMZ209" s="44"/>
      <c r="BNA209" s="44"/>
      <c r="BNB209" s="44"/>
      <c r="BNC209" s="44"/>
      <c r="BND209" s="44"/>
      <c r="BNE209" s="44"/>
      <c r="BNF209" s="44"/>
      <c r="BNG209" s="44"/>
      <c r="BNH209" s="44"/>
      <c r="BNI209" s="44"/>
      <c r="BNJ209" s="44"/>
      <c r="BNK209" s="44"/>
      <c r="BNL209" s="44"/>
      <c r="BNM209" s="44"/>
      <c r="BNN209" s="44"/>
      <c r="BNO209" s="44"/>
      <c r="BNP209" s="44"/>
      <c r="BNQ209" s="44"/>
      <c r="BNR209" s="44"/>
      <c r="BNS209" s="44"/>
      <c r="BNT209" s="44"/>
      <c r="BNU209" s="44"/>
      <c r="BNV209" s="44"/>
      <c r="BNW209" s="44"/>
      <c r="BNX209" s="44"/>
      <c r="BNY209" s="44"/>
      <c r="BNZ209" s="44"/>
      <c r="BOA209" s="44"/>
      <c r="BOB209" s="44"/>
      <c r="BOC209" s="44"/>
      <c r="BOD209" s="44"/>
      <c r="BOE209" s="44"/>
      <c r="BOF209" s="44"/>
      <c r="BOG209" s="44"/>
      <c r="BOH209" s="44"/>
      <c r="BOI209" s="44"/>
      <c r="BOJ209" s="44"/>
      <c r="BOK209" s="44"/>
      <c r="BOL209" s="44"/>
      <c r="BOM209" s="44"/>
      <c r="BON209" s="44"/>
      <c r="BOO209" s="44"/>
      <c r="BOP209" s="44"/>
      <c r="BOQ209" s="44"/>
      <c r="BOR209" s="44"/>
      <c r="BOS209" s="44"/>
      <c r="BOT209" s="44"/>
      <c r="BOU209" s="44"/>
      <c r="BOV209" s="44"/>
      <c r="BOW209" s="44"/>
      <c r="BOX209" s="44"/>
      <c r="BOY209" s="44"/>
      <c r="BOZ209" s="44"/>
      <c r="BPA209" s="44"/>
      <c r="BPB209" s="44"/>
      <c r="BPC209" s="44"/>
      <c r="BPD209" s="44"/>
      <c r="BPE209" s="44"/>
      <c r="BPF209" s="44"/>
      <c r="BPG209" s="44"/>
      <c r="BPH209" s="44"/>
      <c r="BPI209" s="44"/>
      <c r="BPJ209" s="44"/>
      <c r="BPK209" s="44"/>
      <c r="BPL209" s="44"/>
      <c r="BPM209" s="44"/>
      <c r="BPN209" s="44"/>
      <c r="BPO209" s="44"/>
      <c r="BPP209" s="44"/>
      <c r="BPQ209" s="44"/>
      <c r="BPR209" s="44"/>
      <c r="BPS209" s="44"/>
      <c r="BPT209" s="44"/>
      <c r="BPU209" s="44"/>
      <c r="BPV209" s="44"/>
      <c r="BPW209" s="44"/>
      <c r="BPX209" s="44"/>
      <c r="BPY209" s="44"/>
      <c r="BPZ209" s="44"/>
      <c r="BQA209" s="44"/>
      <c r="BQB209" s="44"/>
      <c r="BQC209" s="44"/>
      <c r="BQD209" s="44"/>
      <c r="BQE209" s="44"/>
      <c r="BQF209" s="44"/>
      <c r="BQG209" s="44"/>
      <c r="BQH209" s="44"/>
      <c r="BQI209" s="44"/>
      <c r="BQJ209" s="44"/>
      <c r="BQK209" s="44"/>
      <c r="BQL209" s="44"/>
      <c r="BQM209" s="44"/>
      <c r="BQN209" s="44"/>
      <c r="BQO209" s="44"/>
      <c r="BQP209" s="44"/>
      <c r="BQQ209" s="44"/>
      <c r="BQR209" s="44"/>
      <c r="BQS209" s="44"/>
      <c r="BQT209" s="44"/>
      <c r="BQU209" s="44"/>
      <c r="BQV209" s="44"/>
      <c r="BQW209" s="44"/>
      <c r="BQX209" s="44"/>
      <c r="BQY209" s="44"/>
      <c r="BQZ209" s="44"/>
      <c r="BRA209" s="44"/>
      <c r="BRB209" s="44"/>
      <c r="BRC209" s="44"/>
      <c r="BRD209" s="44"/>
      <c r="BRE209" s="44"/>
      <c r="BRF209" s="44"/>
      <c r="BRG209" s="44"/>
      <c r="BRH209" s="44"/>
      <c r="BRI209" s="44"/>
      <c r="BRJ209" s="44"/>
      <c r="BRK209" s="44"/>
      <c r="BRL209" s="44"/>
      <c r="BRM209" s="44"/>
      <c r="BRN209" s="44"/>
      <c r="BRO209" s="44"/>
      <c r="BRP209" s="44"/>
      <c r="BRQ209" s="44"/>
      <c r="BRR209" s="44"/>
      <c r="BRS209" s="44"/>
      <c r="BRT209" s="44"/>
      <c r="BRU209" s="44"/>
      <c r="BRV209" s="44"/>
      <c r="BRW209" s="44"/>
      <c r="BRX209" s="44"/>
      <c r="BRY209" s="44"/>
      <c r="BRZ209" s="44"/>
      <c r="BSA209" s="44"/>
      <c r="BSB209" s="44"/>
      <c r="BSC209" s="44"/>
      <c r="BSD209" s="44"/>
      <c r="BSE209" s="44"/>
      <c r="BSF209" s="44"/>
      <c r="BSG209" s="44"/>
      <c r="BSH209" s="44"/>
      <c r="BSI209" s="44"/>
      <c r="BSJ209" s="44"/>
      <c r="BSK209" s="44"/>
      <c r="BSL209" s="44"/>
      <c r="BSM209" s="44"/>
      <c r="BSN209" s="44"/>
      <c r="BSO209" s="44"/>
      <c r="BSP209" s="44"/>
      <c r="BSQ209" s="44"/>
      <c r="BSR209" s="44"/>
      <c r="BSS209" s="44"/>
      <c r="BST209" s="44"/>
      <c r="BSU209" s="44"/>
      <c r="BSV209" s="44"/>
      <c r="BSW209" s="44"/>
      <c r="BSX209" s="44"/>
      <c r="BSY209" s="44"/>
      <c r="BSZ209" s="44"/>
      <c r="BTA209" s="44"/>
      <c r="BTB209" s="44"/>
      <c r="BTC209" s="44"/>
      <c r="BTD209" s="44"/>
      <c r="BTE209" s="44"/>
      <c r="BTF209" s="44"/>
      <c r="BTG209" s="44"/>
      <c r="BTH209" s="44"/>
      <c r="BTI209" s="44"/>
    </row>
    <row r="210" spans="1:1881" s="825" customFormat="1" ht="53.25" customHeight="1" x14ac:dyDescent="0.25">
      <c r="A210" s="317">
        <v>599</v>
      </c>
      <c r="B210" s="768" t="s">
        <v>61</v>
      </c>
      <c r="C210" s="768" t="s">
        <v>532</v>
      </c>
      <c r="D210" s="117" t="s">
        <v>684</v>
      </c>
      <c r="E210" s="588" t="e">
        <f>HLOOKUP($D$2,'2019 Data(H)'!$C$1:$CF$293,259,FALSE)</f>
        <v>#N/A</v>
      </c>
      <c r="F210" s="605"/>
      <c r="G210" s="461" t="str">
        <f>IF(ISBLANK(F210),"Please do not leave blank","")</f>
        <v>Please do not leave blank</v>
      </c>
      <c r="H210" s="500">
        <f>IF(F210&lt;0,"Error: Enter as positive.",)</f>
        <v>0</v>
      </c>
      <c r="I210" s="223"/>
      <c r="J210" s="272"/>
      <c r="K210" s="44"/>
      <c r="L210" s="44"/>
      <c r="M210" s="44"/>
      <c r="N210" s="756"/>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c r="GX210" s="44"/>
      <c r="GY210" s="44"/>
      <c r="GZ210" s="44"/>
      <c r="HA210" s="44"/>
      <c r="HB210" s="44"/>
      <c r="HC210" s="44"/>
      <c r="HD210" s="44"/>
      <c r="HE210" s="44"/>
      <c r="HF210" s="44"/>
      <c r="HG210" s="44"/>
      <c r="HH210" s="44"/>
      <c r="HI210" s="44"/>
      <c r="HJ210" s="44"/>
      <c r="HK210" s="44"/>
      <c r="HL210" s="44"/>
      <c r="HM210" s="44"/>
      <c r="HN210" s="44"/>
      <c r="HO210" s="44"/>
      <c r="HP210" s="44"/>
      <c r="HQ210" s="44"/>
      <c r="HR210" s="44"/>
      <c r="HS210" s="44"/>
      <c r="HT210" s="44"/>
      <c r="HU210" s="44"/>
      <c r="HV210" s="44"/>
      <c r="HW210" s="44"/>
      <c r="HX210" s="44"/>
      <c r="HY210" s="44"/>
      <c r="HZ210" s="44"/>
      <c r="IA210" s="44"/>
      <c r="IB210" s="44"/>
      <c r="IC210" s="44"/>
      <c r="ID210" s="44"/>
      <c r="IE210" s="44"/>
      <c r="IF210" s="44"/>
      <c r="IG210" s="44"/>
      <c r="IH210" s="44"/>
      <c r="II210" s="44"/>
      <c r="IJ210" s="44"/>
      <c r="IK210" s="44"/>
      <c r="IL210" s="44"/>
      <c r="IM210" s="44"/>
      <c r="IN210" s="44"/>
      <c r="IO210" s="44"/>
      <c r="IP210" s="44"/>
      <c r="IQ210" s="44"/>
      <c r="IR210" s="44"/>
      <c r="IS210" s="44"/>
      <c r="IT210" s="44"/>
      <c r="IU210" s="44"/>
      <c r="IV210" s="44"/>
      <c r="IW210" s="44"/>
      <c r="IX210" s="44"/>
      <c r="IY210" s="44"/>
      <c r="IZ210" s="44"/>
      <c r="JA210" s="44"/>
      <c r="JB210" s="44"/>
      <c r="JC210" s="44"/>
      <c r="JD210" s="44"/>
      <c r="JE210" s="44"/>
      <c r="JF210" s="44"/>
      <c r="JG210" s="44"/>
      <c r="JH210" s="44"/>
      <c r="JI210" s="44"/>
      <c r="JJ210" s="44"/>
      <c r="JK210" s="44"/>
      <c r="JL210" s="44"/>
      <c r="JM210" s="44"/>
      <c r="JN210" s="44"/>
      <c r="JO210" s="44"/>
      <c r="JP210" s="44"/>
      <c r="JQ210" s="44"/>
      <c r="JR210" s="44"/>
      <c r="JS210" s="44"/>
      <c r="JT210" s="44"/>
      <c r="JU210" s="44"/>
      <c r="JV210" s="44"/>
      <c r="JW210" s="44"/>
      <c r="JX210" s="44"/>
      <c r="JY210" s="44"/>
      <c r="JZ210" s="44"/>
      <c r="KA210" s="44"/>
      <c r="KB210" s="44"/>
      <c r="KC210" s="44"/>
      <c r="KD210" s="44"/>
      <c r="KE210" s="44"/>
      <c r="KF210" s="44"/>
      <c r="KG210" s="44"/>
      <c r="KH210" s="44"/>
      <c r="KI210" s="44"/>
      <c r="KJ210" s="44"/>
      <c r="KK210" s="44"/>
      <c r="KL210" s="44"/>
      <c r="KM210" s="44"/>
      <c r="KN210" s="44"/>
      <c r="KO210" s="44"/>
      <c r="KP210" s="44"/>
      <c r="KQ210" s="44"/>
      <c r="KR210" s="44"/>
      <c r="KS210" s="44"/>
      <c r="KT210" s="44"/>
      <c r="KU210" s="44"/>
      <c r="KV210" s="44"/>
      <c r="KW210" s="44"/>
      <c r="KX210" s="44"/>
      <c r="KY210" s="44"/>
      <c r="KZ210" s="44"/>
      <c r="LA210" s="44"/>
      <c r="LB210" s="44"/>
      <c r="LC210" s="44"/>
      <c r="LD210" s="44"/>
      <c r="LE210" s="44"/>
      <c r="LF210" s="44"/>
      <c r="LG210" s="44"/>
      <c r="LH210" s="44"/>
      <c r="LI210" s="44"/>
      <c r="LJ210" s="44"/>
      <c r="LK210" s="44"/>
      <c r="LL210" s="44"/>
      <c r="LM210" s="44"/>
      <c r="LN210" s="44"/>
      <c r="LO210" s="44"/>
      <c r="LP210" s="44"/>
      <c r="LQ210" s="44"/>
      <c r="LR210" s="44"/>
      <c r="LS210" s="44"/>
      <c r="LT210" s="44"/>
      <c r="LU210" s="44"/>
      <c r="LV210" s="44"/>
      <c r="LW210" s="44"/>
      <c r="LX210" s="44"/>
      <c r="LY210" s="44"/>
      <c r="LZ210" s="44"/>
      <c r="MA210" s="44"/>
      <c r="MB210" s="44"/>
      <c r="MC210" s="44"/>
      <c r="MD210" s="44"/>
      <c r="ME210" s="44"/>
      <c r="MF210" s="44"/>
      <c r="MG210" s="44"/>
      <c r="MH210" s="44"/>
      <c r="MI210" s="44"/>
      <c r="MJ210" s="44"/>
      <c r="MK210" s="44"/>
      <c r="ML210" s="44"/>
      <c r="MM210" s="44"/>
      <c r="MN210" s="44"/>
      <c r="MO210" s="44"/>
      <c r="MP210" s="44"/>
      <c r="MQ210" s="44"/>
      <c r="MR210" s="44"/>
      <c r="MS210" s="44"/>
      <c r="MT210" s="44"/>
      <c r="MU210" s="44"/>
      <c r="MV210" s="44"/>
      <c r="MW210" s="44"/>
      <c r="MX210" s="44"/>
      <c r="MY210" s="44"/>
      <c r="MZ210" s="44"/>
      <c r="NA210" s="44"/>
      <c r="NB210" s="44"/>
      <c r="NC210" s="44"/>
      <c r="ND210" s="44"/>
      <c r="NE210" s="44"/>
      <c r="NF210" s="44"/>
      <c r="NG210" s="44"/>
      <c r="NH210" s="44"/>
      <c r="NI210" s="44"/>
      <c r="NJ210" s="44"/>
      <c r="NK210" s="44"/>
      <c r="NL210" s="44"/>
      <c r="NM210" s="44"/>
      <c r="NN210" s="44"/>
      <c r="NO210" s="44"/>
      <c r="NP210" s="44"/>
      <c r="NQ210" s="44"/>
      <c r="NR210" s="44"/>
      <c r="NS210" s="44"/>
      <c r="NT210" s="44"/>
      <c r="NU210" s="44"/>
      <c r="NV210" s="44"/>
      <c r="NW210" s="44"/>
      <c r="NX210" s="44"/>
      <c r="NY210" s="44"/>
      <c r="NZ210" s="44"/>
      <c r="OA210" s="44"/>
      <c r="OB210" s="44"/>
      <c r="OC210" s="44"/>
      <c r="OD210" s="44"/>
      <c r="OE210" s="44"/>
      <c r="OF210" s="44"/>
      <c r="OG210" s="44"/>
      <c r="OH210" s="44"/>
      <c r="OI210" s="44"/>
      <c r="OJ210" s="44"/>
      <c r="OK210" s="44"/>
      <c r="OL210" s="44"/>
      <c r="OM210" s="44"/>
      <c r="ON210" s="44"/>
      <c r="OO210" s="44"/>
      <c r="OP210" s="44"/>
      <c r="OQ210" s="44"/>
      <c r="OR210" s="44"/>
      <c r="OS210" s="44"/>
      <c r="OT210" s="44"/>
      <c r="OU210" s="44"/>
      <c r="OV210" s="44"/>
      <c r="OW210" s="44"/>
      <c r="OX210" s="44"/>
      <c r="OY210" s="44"/>
      <c r="OZ210" s="44"/>
      <c r="PA210" s="44"/>
      <c r="PB210" s="44"/>
      <c r="PC210" s="44"/>
      <c r="PD210" s="44"/>
      <c r="PE210" s="44"/>
      <c r="PF210" s="44"/>
      <c r="PG210" s="44"/>
      <c r="PH210" s="44"/>
      <c r="PI210" s="44"/>
      <c r="PJ210" s="44"/>
      <c r="PK210" s="44"/>
      <c r="PL210" s="44"/>
      <c r="PM210" s="44"/>
      <c r="PN210" s="44"/>
      <c r="PO210" s="44"/>
      <c r="PP210" s="44"/>
      <c r="PQ210" s="44"/>
      <c r="PR210" s="44"/>
      <c r="PS210" s="44"/>
      <c r="PT210" s="44"/>
      <c r="PU210" s="44"/>
      <c r="PV210" s="44"/>
      <c r="PW210" s="44"/>
      <c r="PX210" s="44"/>
      <c r="PY210" s="44"/>
      <c r="PZ210" s="44"/>
      <c r="QA210" s="44"/>
      <c r="QB210" s="44"/>
      <c r="QC210" s="44"/>
      <c r="QD210" s="44"/>
      <c r="QE210" s="44"/>
      <c r="QF210" s="44"/>
      <c r="QG210" s="44"/>
      <c r="QH210" s="44"/>
      <c r="QI210" s="44"/>
      <c r="QJ210" s="44"/>
      <c r="QK210" s="44"/>
      <c r="QL210" s="44"/>
      <c r="QM210" s="44"/>
      <c r="QN210" s="44"/>
      <c r="QO210" s="44"/>
      <c r="QP210" s="44"/>
      <c r="QQ210" s="44"/>
      <c r="QR210" s="44"/>
      <c r="QS210" s="44"/>
      <c r="QT210" s="44"/>
      <c r="QU210" s="44"/>
      <c r="QV210" s="44"/>
      <c r="QW210" s="44"/>
      <c r="QX210" s="44"/>
      <c r="QY210" s="44"/>
      <c r="QZ210" s="44"/>
      <c r="RA210" s="44"/>
      <c r="RB210" s="44"/>
      <c r="RC210" s="44"/>
      <c r="RD210" s="44"/>
      <c r="RE210" s="44"/>
      <c r="RF210" s="44"/>
      <c r="RG210" s="44"/>
      <c r="RH210" s="44"/>
      <c r="RI210" s="44"/>
      <c r="RJ210" s="44"/>
      <c r="RK210" s="44"/>
      <c r="RL210" s="44"/>
      <c r="RM210" s="44"/>
      <c r="RN210" s="44"/>
      <c r="RO210" s="44"/>
      <c r="RP210" s="44"/>
      <c r="RQ210" s="44"/>
      <c r="RR210" s="44"/>
      <c r="RS210" s="44"/>
      <c r="RT210" s="44"/>
      <c r="RU210" s="44"/>
      <c r="RV210" s="44"/>
      <c r="RW210" s="44"/>
      <c r="RX210" s="44"/>
      <c r="RY210" s="44"/>
      <c r="RZ210" s="44"/>
      <c r="SA210" s="44"/>
      <c r="SB210" s="44"/>
      <c r="SC210" s="44"/>
      <c r="SD210" s="44"/>
      <c r="SE210" s="44"/>
      <c r="SF210" s="44"/>
      <c r="SG210" s="44"/>
      <c r="SH210" s="44"/>
      <c r="SI210" s="44"/>
      <c r="SJ210" s="44"/>
      <c r="SK210" s="44"/>
      <c r="SL210" s="44"/>
      <c r="SM210" s="44"/>
      <c r="SN210" s="44"/>
      <c r="SO210" s="44"/>
      <c r="SP210" s="44"/>
      <c r="SQ210" s="44"/>
      <c r="SR210" s="44"/>
      <c r="SS210" s="44"/>
      <c r="ST210" s="44"/>
      <c r="SU210" s="44"/>
      <c r="SV210" s="44"/>
      <c r="SW210" s="44"/>
      <c r="SX210" s="44"/>
      <c r="SY210" s="44"/>
      <c r="SZ210" s="44"/>
      <c r="TA210" s="44"/>
      <c r="TB210" s="44"/>
      <c r="TC210" s="44"/>
      <c r="TD210" s="44"/>
      <c r="TE210" s="44"/>
      <c r="TF210" s="44"/>
      <c r="TG210" s="44"/>
      <c r="TH210" s="44"/>
      <c r="TI210" s="44"/>
      <c r="TJ210" s="44"/>
      <c r="TK210" s="44"/>
      <c r="TL210" s="44"/>
      <c r="TM210" s="44"/>
      <c r="TN210" s="44"/>
      <c r="TO210" s="44"/>
      <c r="TP210" s="44"/>
      <c r="TQ210" s="44"/>
      <c r="TR210" s="44"/>
      <c r="TS210" s="44"/>
      <c r="TT210" s="44"/>
      <c r="TU210" s="44"/>
      <c r="TV210" s="44"/>
      <c r="TW210" s="44"/>
      <c r="TX210" s="44"/>
      <c r="TY210" s="44"/>
      <c r="TZ210" s="44"/>
      <c r="UA210" s="44"/>
      <c r="UB210" s="44"/>
      <c r="UC210" s="44"/>
      <c r="UD210" s="44"/>
      <c r="UE210" s="44"/>
      <c r="UF210" s="44"/>
      <c r="UG210" s="44"/>
      <c r="UH210" s="44"/>
      <c r="UI210" s="44"/>
      <c r="UJ210" s="44"/>
      <c r="UK210" s="44"/>
      <c r="UL210" s="44"/>
      <c r="UM210" s="44"/>
      <c r="UN210" s="44"/>
      <c r="UO210" s="44"/>
      <c r="UP210" s="44"/>
      <c r="UQ210" s="44"/>
      <c r="UR210" s="44"/>
      <c r="US210" s="44"/>
      <c r="UT210" s="44"/>
      <c r="UU210" s="44"/>
      <c r="UV210" s="44"/>
      <c r="UW210" s="44"/>
      <c r="UX210" s="44"/>
      <c r="UY210" s="44"/>
      <c r="UZ210" s="44"/>
      <c r="VA210" s="44"/>
      <c r="VB210" s="44"/>
      <c r="VC210" s="44"/>
      <c r="VD210" s="44"/>
      <c r="VE210" s="44"/>
      <c r="VF210" s="44"/>
      <c r="VG210" s="44"/>
      <c r="VH210" s="44"/>
      <c r="VI210" s="44"/>
      <c r="VJ210" s="44"/>
      <c r="VK210" s="44"/>
      <c r="VL210" s="44"/>
      <c r="VM210" s="44"/>
      <c r="VN210" s="44"/>
      <c r="VO210" s="44"/>
      <c r="VP210" s="44"/>
      <c r="VQ210" s="44"/>
      <c r="VR210" s="44"/>
      <c r="VS210" s="44"/>
      <c r="VT210" s="44"/>
      <c r="VU210" s="44"/>
      <c r="VV210" s="44"/>
      <c r="VW210" s="44"/>
      <c r="VX210" s="44"/>
      <c r="VY210" s="44"/>
      <c r="VZ210" s="44"/>
      <c r="WA210" s="44"/>
      <c r="WB210" s="44"/>
      <c r="WC210" s="44"/>
      <c r="WD210" s="44"/>
      <c r="WE210" s="44"/>
      <c r="WF210" s="44"/>
      <c r="WG210" s="44"/>
      <c r="WH210" s="44"/>
      <c r="WI210" s="44"/>
      <c r="WJ210" s="44"/>
      <c r="WK210" s="44"/>
      <c r="WL210" s="44"/>
      <c r="WM210" s="44"/>
      <c r="WN210" s="44"/>
      <c r="WO210" s="44"/>
      <c r="WP210" s="44"/>
      <c r="WQ210" s="44"/>
      <c r="WR210" s="44"/>
      <c r="WS210" s="44"/>
      <c r="WT210" s="44"/>
      <c r="WU210" s="44"/>
      <c r="WV210" s="44"/>
      <c r="WW210" s="44"/>
      <c r="WX210" s="44"/>
      <c r="WY210" s="44"/>
      <c r="WZ210" s="44"/>
      <c r="XA210" s="44"/>
      <c r="XB210" s="44"/>
      <c r="XC210" s="44"/>
      <c r="XD210" s="44"/>
      <c r="XE210" s="44"/>
      <c r="XF210" s="44"/>
      <c r="XG210" s="44"/>
      <c r="XH210" s="44"/>
      <c r="XI210" s="44"/>
      <c r="XJ210" s="44"/>
      <c r="XK210" s="44"/>
      <c r="XL210" s="44"/>
      <c r="XM210" s="44"/>
      <c r="XN210" s="44"/>
      <c r="XO210" s="44"/>
      <c r="XP210" s="44"/>
      <c r="XQ210" s="44"/>
      <c r="XR210" s="44"/>
      <c r="XS210" s="44"/>
      <c r="XT210" s="44"/>
      <c r="XU210" s="44"/>
      <c r="XV210" s="44"/>
      <c r="XW210" s="44"/>
      <c r="XX210" s="44"/>
      <c r="XY210" s="44"/>
      <c r="XZ210" s="44"/>
      <c r="YA210" s="44"/>
      <c r="YB210" s="44"/>
      <c r="YC210" s="44"/>
      <c r="YD210" s="44"/>
      <c r="YE210" s="44"/>
      <c r="YF210" s="44"/>
      <c r="YG210" s="44"/>
      <c r="YH210" s="44"/>
      <c r="YI210" s="44"/>
      <c r="YJ210" s="44"/>
      <c r="YK210" s="44"/>
      <c r="YL210" s="44"/>
      <c r="YM210" s="44"/>
      <c r="YN210" s="44"/>
      <c r="YO210" s="44"/>
      <c r="YP210" s="44"/>
      <c r="YQ210" s="44"/>
      <c r="YR210" s="44"/>
      <c r="YS210" s="44"/>
      <c r="YT210" s="44"/>
      <c r="YU210" s="44"/>
      <c r="YV210" s="44"/>
      <c r="YW210" s="44"/>
      <c r="YX210" s="44"/>
      <c r="YY210" s="44"/>
      <c r="YZ210" s="44"/>
      <c r="ZA210" s="44"/>
      <c r="ZB210" s="44"/>
      <c r="ZC210" s="44"/>
      <c r="ZD210" s="44"/>
      <c r="ZE210" s="44"/>
      <c r="ZF210" s="44"/>
      <c r="ZG210" s="44"/>
      <c r="ZH210" s="44"/>
      <c r="ZI210" s="44"/>
      <c r="ZJ210" s="44"/>
      <c r="ZK210" s="44"/>
      <c r="ZL210" s="44"/>
      <c r="ZM210" s="44"/>
      <c r="ZN210" s="44"/>
      <c r="ZO210" s="44"/>
      <c r="ZP210" s="44"/>
      <c r="ZQ210" s="44"/>
      <c r="ZR210" s="44"/>
      <c r="ZS210" s="44"/>
      <c r="ZT210" s="44"/>
      <c r="ZU210" s="44"/>
      <c r="ZV210" s="44"/>
      <c r="ZW210" s="44"/>
      <c r="ZX210" s="44"/>
      <c r="ZY210" s="44"/>
      <c r="ZZ210" s="44"/>
      <c r="AAA210" s="44"/>
      <c r="AAB210" s="44"/>
      <c r="AAC210" s="44"/>
      <c r="AAD210" s="44"/>
      <c r="AAE210" s="44"/>
      <c r="AAF210" s="44"/>
      <c r="AAG210" s="44"/>
      <c r="AAH210" s="44"/>
      <c r="AAI210" s="44"/>
      <c r="AAJ210" s="44"/>
      <c r="AAK210" s="44"/>
      <c r="AAL210" s="44"/>
      <c r="AAM210" s="44"/>
      <c r="AAN210" s="44"/>
      <c r="AAO210" s="44"/>
      <c r="AAP210" s="44"/>
      <c r="AAQ210" s="44"/>
      <c r="AAR210" s="44"/>
      <c r="AAS210" s="44"/>
      <c r="AAT210" s="44"/>
      <c r="AAU210" s="44"/>
      <c r="AAV210" s="44"/>
      <c r="AAW210" s="44"/>
      <c r="AAX210" s="44"/>
      <c r="AAY210" s="44"/>
      <c r="AAZ210" s="44"/>
      <c r="ABA210" s="44"/>
      <c r="ABB210" s="44"/>
      <c r="ABC210" s="44"/>
      <c r="ABD210" s="44"/>
      <c r="ABE210" s="44"/>
      <c r="ABF210" s="44"/>
      <c r="ABG210" s="44"/>
      <c r="ABH210" s="44"/>
      <c r="ABI210" s="44"/>
      <c r="ABJ210" s="44"/>
      <c r="ABK210" s="44"/>
      <c r="ABL210" s="44"/>
      <c r="ABM210" s="44"/>
      <c r="ABN210" s="44"/>
      <c r="ABO210" s="44"/>
      <c r="ABP210" s="44"/>
      <c r="ABQ210" s="44"/>
      <c r="ABR210" s="44"/>
      <c r="ABS210" s="44"/>
      <c r="ABT210" s="44"/>
      <c r="ABU210" s="44"/>
      <c r="ABV210" s="44"/>
      <c r="ABW210" s="44"/>
      <c r="ABX210" s="44"/>
      <c r="ABY210" s="44"/>
      <c r="ABZ210" s="44"/>
      <c r="ACA210" s="44"/>
      <c r="ACB210" s="44"/>
      <c r="ACC210" s="44"/>
      <c r="ACD210" s="44"/>
      <c r="ACE210" s="44"/>
      <c r="ACF210" s="44"/>
      <c r="ACG210" s="44"/>
      <c r="ACH210" s="44"/>
      <c r="ACI210" s="44"/>
      <c r="ACJ210" s="44"/>
      <c r="ACK210" s="44"/>
      <c r="ACL210" s="44"/>
      <c r="ACM210" s="44"/>
      <c r="ACN210" s="44"/>
      <c r="ACO210" s="44"/>
      <c r="ACP210" s="44"/>
      <c r="ACQ210" s="44"/>
      <c r="ACR210" s="44"/>
      <c r="ACS210" s="44"/>
      <c r="ACT210" s="44"/>
      <c r="ACU210" s="44"/>
      <c r="ACV210" s="44"/>
      <c r="ACW210" s="44"/>
      <c r="ACX210" s="44"/>
      <c r="ACY210" s="44"/>
      <c r="ACZ210" s="44"/>
      <c r="ADA210" s="44"/>
      <c r="ADB210" s="44"/>
      <c r="ADC210" s="44"/>
      <c r="ADD210" s="44"/>
      <c r="ADE210" s="44"/>
      <c r="ADF210" s="44"/>
      <c r="ADG210" s="44"/>
      <c r="ADH210" s="44"/>
      <c r="ADI210" s="44"/>
      <c r="ADJ210" s="44"/>
      <c r="ADK210" s="44"/>
      <c r="ADL210" s="44"/>
      <c r="ADM210" s="44"/>
      <c r="ADN210" s="44"/>
      <c r="ADO210" s="44"/>
      <c r="ADP210" s="44"/>
      <c r="ADQ210" s="44"/>
      <c r="ADR210" s="44"/>
      <c r="ADS210" s="44"/>
      <c r="ADT210" s="44"/>
      <c r="ADU210" s="44"/>
      <c r="ADV210" s="44"/>
      <c r="ADW210" s="44"/>
      <c r="ADX210" s="44"/>
      <c r="ADY210" s="44"/>
      <c r="ADZ210" s="44"/>
      <c r="AEA210" s="44"/>
      <c r="AEB210" s="44"/>
      <c r="AEC210" s="44"/>
      <c r="AED210" s="44"/>
      <c r="AEE210" s="44"/>
      <c r="AEF210" s="44"/>
      <c r="AEG210" s="44"/>
      <c r="AEH210" s="44"/>
      <c r="AEI210" s="44"/>
      <c r="AEJ210" s="44"/>
      <c r="AEK210" s="44"/>
      <c r="AEL210" s="44"/>
      <c r="AEM210" s="44"/>
      <c r="AEN210" s="44"/>
      <c r="AEO210" s="44"/>
      <c r="AEP210" s="44"/>
      <c r="AEQ210" s="44"/>
      <c r="AER210" s="44"/>
      <c r="AES210" s="44"/>
      <c r="AET210" s="44"/>
      <c r="AEU210" s="44"/>
      <c r="AEV210" s="44"/>
      <c r="AEW210" s="44"/>
      <c r="AEX210" s="44"/>
      <c r="AEY210" s="44"/>
      <c r="AEZ210" s="44"/>
      <c r="AFA210" s="44"/>
      <c r="AFB210" s="44"/>
      <c r="AFC210" s="44"/>
      <c r="AFD210" s="44"/>
      <c r="AFE210" s="44"/>
      <c r="AFF210" s="44"/>
      <c r="AFG210" s="44"/>
      <c r="AFH210" s="44"/>
      <c r="AFI210" s="44"/>
      <c r="AFJ210" s="44"/>
      <c r="AFK210" s="44"/>
      <c r="AFL210" s="44"/>
      <c r="AFM210" s="44"/>
      <c r="AFN210" s="44"/>
      <c r="AFO210" s="44"/>
      <c r="AFP210" s="44"/>
      <c r="AFQ210" s="44"/>
      <c r="AFR210" s="44"/>
      <c r="AFS210" s="44"/>
      <c r="AFT210" s="44"/>
      <c r="AFU210" s="44"/>
      <c r="AFV210" s="44"/>
      <c r="AFW210" s="44"/>
      <c r="AFX210" s="44"/>
      <c r="AFY210" s="44"/>
      <c r="AFZ210" s="44"/>
      <c r="AGA210" s="44"/>
      <c r="AGB210" s="44"/>
      <c r="AGC210" s="44"/>
      <c r="AGD210" s="44"/>
      <c r="AGE210" s="44"/>
      <c r="AGF210" s="44"/>
      <c r="AGG210" s="44"/>
      <c r="AGH210" s="44"/>
      <c r="AGI210" s="44"/>
      <c r="AGJ210" s="44"/>
      <c r="AGK210" s="44"/>
      <c r="AGL210" s="44"/>
      <c r="AGM210" s="44"/>
      <c r="AGN210" s="44"/>
      <c r="AGO210" s="44"/>
      <c r="AGP210" s="44"/>
      <c r="AGQ210" s="44"/>
      <c r="AGR210" s="44"/>
      <c r="AGS210" s="44"/>
      <c r="AGT210" s="44"/>
      <c r="AGU210" s="44"/>
      <c r="AGV210" s="44"/>
      <c r="AGW210" s="44"/>
      <c r="AGX210" s="44"/>
      <c r="AGY210" s="44"/>
      <c r="AGZ210" s="44"/>
      <c r="AHA210" s="44"/>
      <c r="AHB210" s="44"/>
      <c r="AHC210" s="44"/>
      <c r="AHD210" s="44"/>
      <c r="AHE210" s="44"/>
      <c r="AHF210" s="44"/>
      <c r="AHG210" s="44"/>
      <c r="AHH210" s="44"/>
      <c r="AHI210" s="44"/>
      <c r="AHJ210" s="44"/>
      <c r="AHK210" s="44"/>
      <c r="AHL210" s="44"/>
      <c r="AHM210" s="44"/>
      <c r="AHN210" s="44"/>
      <c r="AHO210" s="44"/>
      <c r="AHP210" s="44"/>
      <c r="AHQ210" s="44"/>
      <c r="AHR210" s="44"/>
      <c r="AHS210" s="44"/>
      <c r="AHT210" s="44"/>
      <c r="AHU210" s="44"/>
      <c r="AHV210" s="44"/>
      <c r="AHW210" s="44"/>
      <c r="AHX210" s="44"/>
      <c r="AHY210" s="44"/>
      <c r="AHZ210" s="44"/>
      <c r="AIA210" s="44"/>
      <c r="AIB210" s="44"/>
      <c r="AIC210" s="44"/>
      <c r="AID210" s="44"/>
      <c r="AIE210" s="44"/>
      <c r="AIF210" s="44"/>
      <c r="AIG210" s="44"/>
      <c r="AIH210" s="44"/>
      <c r="AII210" s="44"/>
      <c r="AIJ210" s="44"/>
      <c r="AIK210" s="44"/>
      <c r="AIL210" s="44"/>
      <c r="AIM210" s="44"/>
      <c r="AIN210" s="44"/>
      <c r="AIO210" s="44"/>
      <c r="AIP210" s="44"/>
      <c r="AIQ210" s="44"/>
      <c r="AIR210" s="44"/>
      <c r="AIS210" s="44"/>
      <c r="AIT210" s="44"/>
      <c r="AIU210" s="44"/>
      <c r="AIV210" s="44"/>
      <c r="AIW210" s="44"/>
      <c r="AIX210" s="44"/>
      <c r="AIY210" s="44"/>
      <c r="AIZ210" s="44"/>
      <c r="AJA210" s="44"/>
      <c r="AJB210" s="44"/>
      <c r="AJC210" s="44"/>
      <c r="AJD210" s="44"/>
      <c r="AJE210" s="44"/>
      <c r="AJF210" s="44"/>
      <c r="AJG210" s="44"/>
      <c r="AJH210" s="44"/>
      <c r="AJI210" s="44"/>
      <c r="AJJ210" s="44"/>
      <c r="AJK210" s="44"/>
      <c r="AJL210" s="44"/>
      <c r="AJM210" s="44"/>
      <c r="AJN210" s="44"/>
      <c r="AJO210" s="44"/>
      <c r="AJP210" s="44"/>
      <c r="AJQ210" s="44"/>
      <c r="AJR210" s="44"/>
      <c r="AJS210" s="44"/>
      <c r="AJT210" s="44"/>
      <c r="AJU210" s="44"/>
      <c r="AJV210" s="44"/>
      <c r="AJW210" s="44"/>
      <c r="AJX210" s="44"/>
      <c r="AJY210" s="44"/>
      <c r="AJZ210" s="44"/>
      <c r="AKA210" s="44"/>
      <c r="AKB210" s="44"/>
      <c r="AKC210" s="44"/>
      <c r="AKD210" s="44"/>
      <c r="AKE210" s="44"/>
      <c r="AKF210" s="44"/>
      <c r="AKG210" s="44"/>
      <c r="AKH210" s="44"/>
      <c r="AKI210" s="44"/>
      <c r="AKJ210" s="44"/>
      <c r="AKK210" s="44"/>
      <c r="AKL210" s="44"/>
      <c r="AKM210" s="44"/>
      <c r="AKN210" s="44"/>
      <c r="AKO210" s="44"/>
      <c r="AKP210" s="44"/>
      <c r="AKQ210" s="44"/>
      <c r="AKR210" s="44"/>
      <c r="AKS210" s="44"/>
      <c r="AKT210" s="44"/>
      <c r="AKU210" s="44"/>
      <c r="AKV210" s="44"/>
      <c r="AKW210" s="44"/>
      <c r="AKX210" s="44"/>
      <c r="AKY210" s="44"/>
      <c r="AKZ210" s="44"/>
      <c r="ALA210" s="44"/>
      <c r="ALB210" s="44"/>
      <c r="ALC210" s="44"/>
      <c r="ALD210" s="44"/>
      <c r="ALE210" s="44"/>
      <c r="ALF210" s="44"/>
      <c r="ALG210" s="44"/>
      <c r="ALH210" s="44"/>
      <c r="ALI210" s="44"/>
      <c r="ALJ210" s="44"/>
      <c r="ALK210" s="44"/>
      <c r="ALL210" s="44"/>
      <c r="ALM210" s="44"/>
      <c r="ALN210" s="44"/>
      <c r="ALO210" s="44"/>
      <c r="ALP210" s="44"/>
      <c r="ALQ210" s="44"/>
      <c r="ALR210" s="44"/>
      <c r="ALS210" s="44"/>
      <c r="ALT210" s="44"/>
      <c r="ALU210" s="44"/>
      <c r="ALV210" s="44"/>
      <c r="ALW210" s="44"/>
      <c r="ALX210" s="44"/>
      <c r="ALY210" s="44"/>
      <c r="ALZ210" s="44"/>
      <c r="AMA210" s="44"/>
      <c r="AMB210" s="44"/>
      <c r="AMC210" s="44"/>
      <c r="AMD210" s="44"/>
      <c r="AME210" s="44"/>
      <c r="AMF210" s="44"/>
      <c r="AMG210" s="44"/>
      <c r="AMH210" s="44"/>
      <c r="AMI210" s="44"/>
      <c r="AMJ210" s="44"/>
      <c r="AMK210" s="44"/>
      <c r="AML210" s="44"/>
      <c r="AMM210" s="44"/>
      <c r="AMN210" s="44"/>
      <c r="AMO210" s="44"/>
      <c r="AMP210" s="44"/>
      <c r="AMQ210" s="44"/>
      <c r="AMR210" s="44"/>
      <c r="AMS210" s="44"/>
      <c r="AMT210" s="44"/>
      <c r="AMU210" s="44"/>
      <c r="AMV210" s="44"/>
      <c r="AMW210" s="44"/>
      <c r="AMX210" s="44"/>
      <c r="AMY210" s="44"/>
      <c r="AMZ210" s="44"/>
      <c r="ANA210" s="44"/>
      <c r="ANB210" s="44"/>
      <c r="ANC210" s="44"/>
      <c r="AND210" s="44"/>
      <c r="ANE210" s="44"/>
      <c r="ANF210" s="44"/>
      <c r="ANG210" s="44"/>
      <c r="ANH210" s="44"/>
      <c r="ANI210" s="44"/>
      <c r="ANJ210" s="44"/>
      <c r="ANK210" s="44"/>
      <c r="ANL210" s="44"/>
      <c r="ANM210" s="44"/>
      <c r="ANN210" s="44"/>
      <c r="ANO210" s="44"/>
      <c r="ANP210" s="44"/>
      <c r="ANQ210" s="44"/>
      <c r="ANR210" s="44"/>
      <c r="ANS210" s="44"/>
      <c r="ANT210" s="44"/>
      <c r="ANU210" s="44"/>
      <c r="ANV210" s="44"/>
      <c r="ANW210" s="44"/>
      <c r="ANX210" s="44"/>
      <c r="ANY210" s="44"/>
      <c r="ANZ210" s="44"/>
      <c r="AOA210" s="44"/>
      <c r="AOB210" s="44"/>
      <c r="AOC210" s="44"/>
      <c r="AOD210" s="44"/>
      <c r="AOE210" s="44"/>
      <c r="AOF210" s="44"/>
      <c r="AOG210" s="44"/>
      <c r="AOH210" s="44"/>
      <c r="AOI210" s="44"/>
      <c r="AOJ210" s="44"/>
      <c r="AOK210" s="44"/>
      <c r="AOL210" s="44"/>
      <c r="AOM210" s="44"/>
      <c r="AON210" s="44"/>
      <c r="AOO210" s="44"/>
      <c r="AOP210" s="44"/>
      <c r="AOQ210" s="44"/>
      <c r="AOR210" s="44"/>
      <c r="AOS210" s="44"/>
      <c r="AOT210" s="44"/>
      <c r="AOU210" s="44"/>
      <c r="AOV210" s="44"/>
      <c r="AOW210" s="44"/>
      <c r="AOX210" s="44"/>
      <c r="AOY210" s="44"/>
      <c r="AOZ210" s="44"/>
      <c r="APA210" s="44"/>
      <c r="APB210" s="44"/>
      <c r="APC210" s="44"/>
      <c r="APD210" s="44"/>
      <c r="APE210" s="44"/>
      <c r="APF210" s="44"/>
      <c r="APG210" s="44"/>
      <c r="APH210" s="44"/>
      <c r="API210" s="44"/>
      <c r="APJ210" s="44"/>
      <c r="APK210" s="44"/>
      <c r="APL210" s="44"/>
      <c r="APM210" s="44"/>
      <c r="APN210" s="44"/>
      <c r="APO210" s="44"/>
      <c r="APP210" s="44"/>
      <c r="APQ210" s="44"/>
      <c r="APR210" s="44"/>
      <c r="APS210" s="44"/>
      <c r="APT210" s="44"/>
      <c r="APU210" s="44"/>
      <c r="APV210" s="44"/>
      <c r="APW210" s="44"/>
      <c r="APX210" s="44"/>
      <c r="APY210" s="44"/>
      <c r="APZ210" s="44"/>
      <c r="AQA210" s="44"/>
      <c r="AQB210" s="44"/>
      <c r="AQC210" s="44"/>
      <c r="AQD210" s="44"/>
      <c r="AQE210" s="44"/>
      <c r="AQF210" s="44"/>
      <c r="AQG210" s="44"/>
      <c r="AQH210" s="44"/>
      <c r="AQI210" s="44"/>
      <c r="AQJ210" s="44"/>
      <c r="AQK210" s="44"/>
      <c r="AQL210" s="44"/>
      <c r="AQM210" s="44"/>
      <c r="AQN210" s="44"/>
      <c r="AQO210" s="44"/>
      <c r="AQP210" s="44"/>
      <c r="AQQ210" s="44"/>
      <c r="AQR210" s="44"/>
      <c r="AQS210" s="44"/>
      <c r="AQT210" s="44"/>
      <c r="AQU210" s="44"/>
      <c r="AQV210" s="44"/>
      <c r="AQW210" s="44"/>
      <c r="AQX210" s="44"/>
      <c r="AQY210" s="44"/>
      <c r="AQZ210" s="44"/>
      <c r="ARA210" s="44"/>
      <c r="ARB210" s="44"/>
      <c r="ARC210" s="44"/>
      <c r="ARD210" s="44"/>
      <c r="ARE210" s="44"/>
      <c r="ARF210" s="44"/>
      <c r="ARG210" s="44"/>
      <c r="ARH210" s="44"/>
      <c r="ARI210" s="44"/>
      <c r="ARJ210" s="44"/>
      <c r="ARK210" s="44"/>
      <c r="ARL210" s="44"/>
      <c r="ARM210" s="44"/>
      <c r="ARN210" s="44"/>
      <c r="ARO210" s="44"/>
      <c r="ARP210" s="44"/>
      <c r="ARQ210" s="44"/>
      <c r="ARR210" s="44"/>
      <c r="ARS210" s="44"/>
      <c r="ART210" s="44"/>
      <c r="ARU210" s="44"/>
      <c r="ARV210" s="44"/>
      <c r="ARW210" s="44"/>
      <c r="ARX210" s="44"/>
      <c r="ARY210" s="44"/>
      <c r="ARZ210" s="44"/>
      <c r="ASA210" s="44"/>
      <c r="ASB210" s="44"/>
      <c r="ASC210" s="44"/>
      <c r="ASD210" s="44"/>
      <c r="ASE210" s="44"/>
      <c r="ASF210" s="44"/>
      <c r="ASG210" s="44"/>
      <c r="ASH210" s="44"/>
      <c r="ASI210" s="44"/>
      <c r="ASJ210" s="44"/>
      <c r="ASK210" s="44"/>
      <c r="ASL210" s="44"/>
      <c r="ASM210" s="44"/>
      <c r="ASN210" s="44"/>
      <c r="ASO210" s="44"/>
      <c r="ASP210" s="44"/>
      <c r="ASQ210" s="44"/>
      <c r="ASR210" s="44"/>
      <c r="ASS210" s="44"/>
      <c r="AST210" s="44"/>
      <c r="ASU210" s="44"/>
      <c r="ASV210" s="44"/>
      <c r="ASW210" s="44"/>
      <c r="ASX210" s="44"/>
      <c r="ASY210" s="44"/>
      <c r="ASZ210" s="44"/>
      <c r="ATA210" s="44"/>
      <c r="ATB210" s="44"/>
      <c r="ATC210" s="44"/>
      <c r="ATD210" s="44"/>
      <c r="ATE210" s="44"/>
      <c r="ATF210" s="44"/>
      <c r="ATG210" s="44"/>
      <c r="ATH210" s="44"/>
      <c r="ATI210" s="44"/>
      <c r="ATJ210" s="44"/>
      <c r="ATK210" s="44"/>
      <c r="ATL210" s="44"/>
      <c r="ATM210" s="44"/>
      <c r="ATN210" s="44"/>
      <c r="ATO210" s="44"/>
      <c r="ATP210" s="44"/>
      <c r="ATQ210" s="44"/>
      <c r="ATR210" s="44"/>
      <c r="ATS210" s="44"/>
      <c r="ATT210" s="44"/>
      <c r="ATU210" s="44"/>
      <c r="ATV210" s="44"/>
      <c r="ATW210" s="44"/>
      <c r="ATX210" s="44"/>
      <c r="ATY210" s="44"/>
      <c r="ATZ210" s="44"/>
      <c r="AUA210" s="44"/>
      <c r="AUB210" s="44"/>
      <c r="AUC210" s="44"/>
      <c r="AUD210" s="44"/>
      <c r="AUE210" s="44"/>
      <c r="AUF210" s="44"/>
      <c r="AUG210" s="44"/>
      <c r="AUH210" s="44"/>
      <c r="AUI210" s="44"/>
      <c r="AUJ210" s="44"/>
      <c r="AUK210" s="44"/>
      <c r="AUL210" s="44"/>
      <c r="AUM210" s="44"/>
      <c r="AUN210" s="44"/>
      <c r="AUO210" s="44"/>
      <c r="AUP210" s="44"/>
      <c r="AUQ210" s="44"/>
      <c r="AUR210" s="44"/>
      <c r="AUS210" s="44"/>
      <c r="AUT210" s="44"/>
      <c r="AUU210" s="44"/>
      <c r="AUV210" s="44"/>
      <c r="AUW210" s="44"/>
      <c r="AUX210" s="44"/>
      <c r="AUY210" s="44"/>
      <c r="AUZ210" s="44"/>
      <c r="AVA210" s="44"/>
      <c r="AVB210" s="44"/>
      <c r="AVC210" s="44"/>
      <c r="AVD210" s="44"/>
      <c r="AVE210" s="44"/>
      <c r="AVF210" s="44"/>
      <c r="AVG210" s="44"/>
      <c r="AVH210" s="44"/>
      <c r="AVI210" s="44"/>
      <c r="AVJ210" s="44"/>
      <c r="AVK210" s="44"/>
      <c r="AVL210" s="44"/>
      <c r="AVM210" s="44"/>
      <c r="AVN210" s="44"/>
      <c r="AVO210" s="44"/>
      <c r="AVP210" s="44"/>
      <c r="AVQ210" s="44"/>
      <c r="AVR210" s="44"/>
      <c r="AVS210" s="44"/>
      <c r="AVT210" s="44"/>
      <c r="AVU210" s="44"/>
      <c r="AVV210" s="44"/>
      <c r="AVW210" s="44"/>
      <c r="AVX210" s="44"/>
      <c r="AVY210" s="44"/>
      <c r="AVZ210" s="44"/>
      <c r="AWA210" s="44"/>
      <c r="AWB210" s="44"/>
      <c r="AWC210" s="44"/>
      <c r="AWD210" s="44"/>
      <c r="AWE210" s="44"/>
      <c r="AWF210" s="44"/>
      <c r="AWG210" s="44"/>
      <c r="AWH210" s="44"/>
      <c r="AWI210" s="44"/>
      <c r="AWJ210" s="44"/>
      <c r="AWK210" s="44"/>
      <c r="AWL210" s="44"/>
      <c r="AWM210" s="44"/>
      <c r="AWN210" s="44"/>
      <c r="AWO210" s="44"/>
      <c r="AWP210" s="44"/>
      <c r="AWQ210" s="44"/>
      <c r="AWR210" s="44"/>
      <c r="AWS210" s="44"/>
      <c r="AWT210" s="44"/>
      <c r="AWU210" s="44"/>
      <c r="AWV210" s="44"/>
      <c r="AWW210" s="44"/>
      <c r="AWX210" s="44"/>
      <c r="AWY210" s="44"/>
      <c r="AWZ210" s="44"/>
      <c r="AXA210" s="44"/>
      <c r="AXB210" s="44"/>
      <c r="AXC210" s="44"/>
      <c r="AXD210" s="44"/>
      <c r="AXE210" s="44"/>
      <c r="AXF210" s="44"/>
      <c r="AXG210" s="44"/>
      <c r="AXH210" s="44"/>
      <c r="AXI210" s="44"/>
      <c r="AXJ210" s="44"/>
      <c r="AXK210" s="44"/>
      <c r="AXL210" s="44"/>
      <c r="AXM210" s="44"/>
      <c r="AXN210" s="44"/>
      <c r="AXO210" s="44"/>
      <c r="AXP210" s="44"/>
      <c r="AXQ210" s="44"/>
      <c r="AXR210" s="44"/>
      <c r="AXS210" s="44"/>
      <c r="AXT210" s="44"/>
      <c r="AXU210" s="44"/>
      <c r="AXV210" s="44"/>
      <c r="AXW210" s="44"/>
      <c r="AXX210" s="44"/>
      <c r="AXY210" s="44"/>
      <c r="AXZ210" s="44"/>
      <c r="AYA210" s="44"/>
      <c r="AYB210" s="44"/>
      <c r="AYC210" s="44"/>
      <c r="AYD210" s="44"/>
      <c r="AYE210" s="44"/>
      <c r="AYF210" s="44"/>
      <c r="AYG210" s="44"/>
      <c r="AYH210" s="44"/>
      <c r="AYI210" s="44"/>
      <c r="AYJ210" s="44"/>
      <c r="AYK210" s="44"/>
      <c r="AYL210" s="44"/>
      <c r="AYM210" s="44"/>
      <c r="AYN210" s="44"/>
      <c r="AYO210" s="44"/>
      <c r="AYP210" s="44"/>
      <c r="AYQ210" s="44"/>
      <c r="AYR210" s="44"/>
      <c r="AYS210" s="44"/>
      <c r="AYT210" s="44"/>
      <c r="AYU210" s="44"/>
      <c r="AYV210" s="44"/>
      <c r="AYW210" s="44"/>
      <c r="AYX210" s="44"/>
      <c r="AYY210" s="44"/>
      <c r="AYZ210" s="44"/>
      <c r="AZA210" s="44"/>
      <c r="AZB210" s="44"/>
      <c r="AZC210" s="44"/>
      <c r="AZD210" s="44"/>
      <c r="AZE210" s="44"/>
      <c r="AZF210" s="44"/>
      <c r="AZG210" s="44"/>
      <c r="AZH210" s="44"/>
      <c r="AZI210" s="44"/>
      <c r="AZJ210" s="44"/>
      <c r="AZK210" s="44"/>
      <c r="AZL210" s="44"/>
      <c r="AZM210" s="44"/>
      <c r="AZN210" s="44"/>
      <c r="AZO210" s="44"/>
      <c r="AZP210" s="44"/>
      <c r="AZQ210" s="44"/>
      <c r="AZR210" s="44"/>
      <c r="AZS210" s="44"/>
      <c r="AZT210" s="44"/>
      <c r="AZU210" s="44"/>
      <c r="AZV210" s="44"/>
      <c r="AZW210" s="44"/>
      <c r="AZX210" s="44"/>
      <c r="AZY210" s="44"/>
      <c r="AZZ210" s="44"/>
      <c r="BAA210" s="44"/>
      <c r="BAB210" s="44"/>
      <c r="BAC210" s="44"/>
      <c r="BAD210" s="44"/>
      <c r="BAE210" s="44"/>
      <c r="BAF210" s="44"/>
      <c r="BAG210" s="44"/>
      <c r="BAH210" s="44"/>
      <c r="BAI210" s="44"/>
      <c r="BAJ210" s="44"/>
      <c r="BAK210" s="44"/>
      <c r="BAL210" s="44"/>
      <c r="BAM210" s="44"/>
      <c r="BAN210" s="44"/>
      <c r="BAO210" s="44"/>
      <c r="BAP210" s="44"/>
      <c r="BAQ210" s="44"/>
      <c r="BAR210" s="44"/>
      <c r="BAS210" s="44"/>
      <c r="BAT210" s="44"/>
      <c r="BAU210" s="44"/>
      <c r="BAV210" s="44"/>
      <c r="BAW210" s="44"/>
      <c r="BAX210" s="44"/>
      <c r="BAY210" s="44"/>
      <c r="BAZ210" s="44"/>
      <c r="BBA210" s="44"/>
      <c r="BBB210" s="44"/>
      <c r="BBC210" s="44"/>
      <c r="BBD210" s="44"/>
      <c r="BBE210" s="44"/>
      <c r="BBF210" s="44"/>
      <c r="BBG210" s="44"/>
      <c r="BBH210" s="44"/>
      <c r="BBI210" s="44"/>
      <c r="BBJ210" s="44"/>
      <c r="BBK210" s="44"/>
      <c r="BBL210" s="44"/>
      <c r="BBM210" s="44"/>
      <c r="BBN210" s="44"/>
      <c r="BBO210" s="44"/>
      <c r="BBP210" s="44"/>
      <c r="BBQ210" s="44"/>
      <c r="BBR210" s="44"/>
      <c r="BBS210" s="44"/>
      <c r="BBT210" s="44"/>
      <c r="BBU210" s="44"/>
      <c r="BBV210" s="44"/>
      <c r="BBW210" s="44"/>
      <c r="BBX210" s="44"/>
      <c r="BBY210" s="44"/>
      <c r="BBZ210" s="44"/>
      <c r="BCA210" s="44"/>
      <c r="BCB210" s="44"/>
      <c r="BCC210" s="44"/>
      <c r="BCD210" s="44"/>
      <c r="BCE210" s="44"/>
      <c r="BCF210" s="44"/>
      <c r="BCG210" s="44"/>
      <c r="BCH210" s="44"/>
      <c r="BCI210" s="44"/>
      <c r="BCJ210" s="44"/>
      <c r="BCK210" s="44"/>
      <c r="BCL210" s="44"/>
      <c r="BCM210" s="44"/>
      <c r="BCN210" s="44"/>
      <c r="BCO210" s="44"/>
      <c r="BCP210" s="44"/>
      <c r="BCQ210" s="44"/>
      <c r="BCR210" s="44"/>
      <c r="BCS210" s="44"/>
      <c r="BCT210" s="44"/>
      <c r="BCU210" s="44"/>
      <c r="BCV210" s="44"/>
      <c r="BCW210" s="44"/>
      <c r="BCX210" s="44"/>
      <c r="BCY210" s="44"/>
      <c r="BCZ210" s="44"/>
      <c r="BDA210" s="44"/>
      <c r="BDB210" s="44"/>
      <c r="BDC210" s="44"/>
      <c r="BDD210" s="44"/>
      <c r="BDE210" s="44"/>
      <c r="BDF210" s="44"/>
      <c r="BDG210" s="44"/>
      <c r="BDH210" s="44"/>
      <c r="BDI210" s="44"/>
      <c r="BDJ210" s="44"/>
      <c r="BDK210" s="44"/>
      <c r="BDL210" s="44"/>
      <c r="BDM210" s="44"/>
      <c r="BDN210" s="44"/>
      <c r="BDO210" s="44"/>
      <c r="BDP210" s="44"/>
      <c r="BDQ210" s="44"/>
      <c r="BDR210" s="44"/>
      <c r="BDS210" s="44"/>
      <c r="BDT210" s="44"/>
      <c r="BDU210" s="44"/>
      <c r="BDV210" s="44"/>
      <c r="BDW210" s="44"/>
      <c r="BDX210" s="44"/>
      <c r="BDY210" s="44"/>
      <c r="BDZ210" s="44"/>
      <c r="BEA210" s="44"/>
      <c r="BEB210" s="44"/>
      <c r="BEC210" s="44"/>
      <c r="BED210" s="44"/>
      <c r="BEE210" s="44"/>
      <c r="BEF210" s="44"/>
      <c r="BEG210" s="44"/>
      <c r="BEH210" s="44"/>
      <c r="BEI210" s="44"/>
      <c r="BEJ210" s="44"/>
      <c r="BEK210" s="44"/>
      <c r="BEL210" s="44"/>
      <c r="BEM210" s="44"/>
      <c r="BEN210" s="44"/>
      <c r="BEO210" s="44"/>
      <c r="BEP210" s="44"/>
      <c r="BEQ210" s="44"/>
      <c r="BER210" s="44"/>
      <c r="BES210" s="44"/>
      <c r="BET210" s="44"/>
      <c r="BEU210" s="44"/>
      <c r="BEV210" s="44"/>
      <c r="BEW210" s="44"/>
      <c r="BEX210" s="44"/>
      <c r="BEY210" s="44"/>
      <c r="BEZ210" s="44"/>
      <c r="BFA210" s="44"/>
      <c r="BFB210" s="44"/>
      <c r="BFC210" s="44"/>
      <c r="BFD210" s="44"/>
      <c r="BFE210" s="44"/>
      <c r="BFF210" s="44"/>
      <c r="BFG210" s="44"/>
      <c r="BFH210" s="44"/>
      <c r="BFI210" s="44"/>
      <c r="BFJ210" s="44"/>
      <c r="BFK210" s="44"/>
      <c r="BFL210" s="44"/>
      <c r="BFM210" s="44"/>
      <c r="BFN210" s="44"/>
      <c r="BFO210" s="44"/>
      <c r="BFP210" s="44"/>
      <c r="BFQ210" s="44"/>
      <c r="BFR210" s="44"/>
      <c r="BFS210" s="44"/>
      <c r="BFT210" s="44"/>
      <c r="BFU210" s="44"/>
      <c r="BFV210" s="44"/>
      <c r="BFW210" s="44"/>
      <c r="BFX210" s="44"/>
      <c r="BFY210" s="44"/>
      <c r="BFZ210" s="44"/>
      <c r="BGA210" s="44"/>
      <c r="BGB210" s="44"/>
      <c r="BGC210" s="44"/>
      <c r="BGD210" s="44"/>
      <c r="BGE210" s="44"/>
      <c r="BGF210" s="44"/>
      <c r="BGG210" s="44"/>
      <c r="BGH210" s="44"/>
      <c r="BGI210" s="44"/>
      <c r="BGJ210" s="44"/>
      <c r="BGK210" s="44"/>
      <c r="BGL210" s="44"/>
      <c r="BGM210" s="44"/>
      <c r="BGN210" s="44"/>
      <c r="BGO210" s="44"/>
      <c r="BGP210" s="44"/>
      <c r="BGQ210" s="44"/>
      <c r="BGR210" s="44"/>
      <c r="BGS210" s="44"/>
      <c r="BGT210" s="44"/>
      <c r="BGU210" s="44"/>
      <c r="BGV210" s="44"/>
      <c r="BGW210" s="44"/>
      <c r="BGX210" s="44"/>
      <c r="BGY210" s="44"/>
      <c r="BGZ210" s="44"/>
      <c r="BHA210" s="44"/>
      <c r="BHB210" s="44"/>
      <c r="BHC210" s="44"/>
      <c r="BHD210" s="44"/>
      <c r="BHE210" s="44"/>
      <c r="BHF210" s="44"/>
      <c r="BHG210" s="44"/>
      <c r="BHH210" s="44"/>
      <c r="BHI210" s="44"/>
      <c r="BHJ210" s="44"/>
      <c r="BHK210" s="44"/>
      <c r="BHL210" s="44"/>
      <c r="BHM210" s="44"/>
      <c r="BHN210" s="44"/>
      <c r="BHO210" s="44"/>
      <c r="BHP210" s="44"/>
      <c r="BHQ210" s="44"/>
      <c r="BHR210" s="44"/>
      <c r="BHS210" s="44"/>
      <c r="BHT210" s="44"/>
      <c r="BHU210" s="44"/>
      <c r="BHV210" s="44"/>
      <c r="BHW210" s="44"/>
      <c r="BHX210" s="44"/>
      <c r="BHY210" s="44"/>
      <c r="BHZ210" s="44"/>
      <c r="BIA210" s="44"/>
      <c r="BIB210" s="44"/>
      <c r="BIC210" s="44"/>
      <c r="BID210" s="44"/>
      <c r="BIE210" s="44"/>
      <c r="BIF210" s="44"/>
      <c r="BIG210" s="44"/>
      <c r="BIH210" s="44"/>
      <c r="BII210" s="44"/>
      <c r="BIJ210" s="44"/>
      <c r="BIK210" s="44"/>
      <c r="BIL210" s="44"/>
      <c r="BIM210" s="44"/>
      <c r="BIN210" s="44"/>
      <c r="BIO210" s="44"/>
      <c r="BIP210" s="44"/>
      <c r="BIQ210" s="44"/>
      <c r="BIR210" s="44"/>
      <c r="BIS210" s="44"/>
      <c r="BIT210" s="44"/>
      <c r="BIU210" s="44"/>
      <c r="BIV210" s="44"/>
      <c r="BIW210" s="44"/>
      <c r="BIX210" s="44"/>
      <c r="BIY210" s="44"/>
      <c r="BIZ210" s="44"/>
      <c r="BJA210" s="44"/>
      <c r="BJB210" s="44"/>
      <c r="BJC210" s="44"/>
      <c r="BJD210" s="44"/>
      <c r="BJE210" s="44"/>
      <c r="BJF210" s="44"/>
      <c r="BJG210" s="44"/>
      <c r="BJH210" s="44"/>
      <c r="BJI210" s="44"/>
      <c r="BJJ210" s="44"/>
      <c r="BJK210" s="44"/>
      <c r="BJL210" s="44"/>
      <c r="BJM210" s="44"/>
      <c r="BJN210" s="44"/>
      <c r="BJO210" s="44"/>
      <c r="BJP210" s="44"/>
      <c r="BJQ210" s="44"/>
      <c r="BJR210" s="44"/>
      <c r="BJS210" s="44"/>
      <c r="BJT210" s="44"/>
      <c r="BJU210" s="44"/>
      <c r="BJV210" s="44"/>
      <c r="BJW210" s="44"/>
      <c r="BJX210" s="44"/>
      <c r="BJY210" s="44"/>
      <c r="BJZ210" s="44"/>
      <c r="BKA210" s="44"/>
      <c r="BKB210" s="44"/>
      <c r="BKC210" s="44"/>
      <c r="BKD210" s="44"/>
      <c r="BKE210" s="44"/>
      <c r="BKF210" s="44"/>
      <c r="BKG210" s="44"/>
      <c r="BKH210" s="44"/>
      <c r="BKI210" s="44"/>
      <c r="BKJ210" s="44"/>
      <c r="BKK210" s="44"/>
      <c r="BKL210" s="44"/>
      <c r="BKM210" s="44"/>
      <c r="BKN210" s="44"/>
      <c r="BKO210" s="44"/>
      <c r="BKP210" s="44"/>
      <c r="BKQ210" s="44"/>
      <c r="BKR210" s="44"/>
      <c r="BKS210" s="44"/>
      <c r="BKT210" s="44"/>
      <c r="BKU210" s="44"/>
      <c r="BKV210" s="44"/>
      <c r="BKW210" s="44"/>
      <c r="BKX210" s="44"/>
      <c r="BKY210" s="44"/>
      <c r="BKZ210" s="44"/>
      <c r="BLA210" s="44"/>
      <c r="BLB210" s="44"/>
      <c r="BLC210" s="44"/>
      <c r="BLD210" s="44"/>
      <c r="BLE210" s="44"/>
      <c r="BLF210" s="44"/>
      <c r="BLG210" s="44"/>
      <c r="BLH210" s="44"/>
      <c r="BLI210" s="44"/>
      <c r="BLJ210" s="44"/>
      <c r="BLK210" s="44"/>
      <c r="BLL210" s="44"/>
      <c r="BLM210" s="44"/>
      <c r="BLN210" s="44"/>
      <c r="BLO210" s="44"/>
      <c r="BLP210" s="44"/>
      <c r="BLQ210" s="44"/>
      <c r="BLR210" s="44"/>
      <c r="BLS210" s="44"/>
      <c r="BLT210" s="44"/>
      <c r="BLU210" s="44"/>
      <c r="BLV210" s="44"/>
      <c r="BLW210" s="44"/>
      <c r="BLX210" s="44"/>
      <c r="BLY210" s="44"/>
      <c r="BLZ210" s="44"/>
      <c r="BMA210" s="44"/>
      <c r="BMB210" s="44"/>
      <c r="BMC210" s="44"/>
      <c r="BMD210" s="44"/>
      <c r="BME210" s="44"/>
      <c r="BMF210" s="44"/>
      <c r="BMG210" s="44"/>
      <c r="BMH210" s="44"/>
      <c r="BMI210" s="44"/>
      <c r="BMJ210" s="44"/>
      <c r="BMK210" s="44"/>
      <c r="BML210" s="44"/>
      <c r="BMM210" s="44"/>
      <c r="BMN210" s="44"/>
      <c r="BMO210" s="44"/>
      <c r="BMP210" s="44"/>
      <c r="BMQ210" s="44"/>
      <c r="BMR210" s="44"/>
      <c r="BMS210" s="44"/>
      <c r="BMT210" s="44"/>
      <c r="BMU210" s="44"/>
      <c r="BMV210" s="44"/>
      <c r="BMW210" s="44"/>
      <c r="BMX210" s="44"/>
      <c r="BMY210" s="44"/>
      <c r="BMZ210" s="44"/>
      <c r="BNA210" s="44"/>
      <c r="BNB210" s="44"/>
      <c r="BNC210" s="44"/>
      <c r="BND210" s="44"/>
      <c r="BNE210" s="44"/>
      <c r="BNF210" s="44"/>
      <c r="BNG210" s="44"/>
      <c r="BNH210" s="44"/>
      <c r="BNI210" s="44"/>
      <c r="BNJ210" s="44"/>
      <c r="BNK210" s="44"/>
      <c r="BNL210" s="44"/>
      <c r="BNM210" s="44"/>
      <c r="BNN210" s="44"/>
      <c r="BNO210" s="44"/>
      <c r="BNP210" s="44"/>
      <c r="BNQ210" s="44"/>
      <c r="BNR210" s="44"/>
      <c r="BNS210" s="44"/>
      <c r="BNT210" s="44"/>
      <c r="BNU210" s="44"/>
      <c r="BNV210" s="44"/>
      <c r="BNW210" s="44"/>
      <c r="BNX210" s="44"/>
      <c r="BNY210" s="44"/>
      <c r="BNZ210" s="44"/>
      <c r="BOA210" s="44"/>
      <c r="BOB210" s="44"/>
      <c r="BOC210" s="44"/>
      <c r="BOD210" s="44"/>
      <c r="BOE210" s="44"/>
      <c r="BOF210" s="44"/>
      <c r="BOG210" s="44"/>
      <c r="BOH210" s="44"/>
      <c r="BOI210" s="44"/>
      <c r="BOJ210" s="44"/>
      <c r="BOK210" s="44"/>
      <c r="BOL210" s="44"/>
      <c r="BOM210" s="44"/>
      <c r="BON210" s="44"/>
      <c r="BOO210" s="44"/>
      <c r="BOP210" s="44"/>
      <c r="BOQ210" s="44"/>
      <c r="BOR210" s="44"/>
      <c r="BOS210" s="44"/>
      <c r="BOT210" s="44"/>
      <c r="BOU210" s="44"/>
      <c r="BOV210" s="44"/>
      <c r="BOW210" s="44"/>
      <c r="BOX210" s="44"/>
      <c r="BOY210" s="44"/>
      <c r="BOZ210" s="44"/>
      <c r="BPA210" s="44"/>
      <c r="BPB210" s="44"/>
      <c r="BPC210" s="44"/>
      <c r="BPD210" s="44"/>
      <c r="BPE210" s="44"/>
      <c r="BPF210" s="44"/>
      <c r="BPG210" s="44"/>
      <c r="BPH210" s="44"/>
      <c r="BPI210" s="44"/>
      <c r="BPJ210" s="44"/>
      <c r="BPK210" s="44"/>
      <c r="BPL210" s="44"/>
      <c r="BPM210" s="44"/>
      <c r="BPN210" s="44"/>
      <c r="BPO210" s="44"/>
      <c r="BPP210" s="44"/>
      <c r="BPQ210" s="44"/>
      <c r="BPR210" s="44"/>
      <c r="BPS210" s="44"/>
      <c r="BPT210" s="44"/>
      <c r="BPU210" s="44"/>
      <c r="BPV210" s="44"/>
      <c r="BPW210" s="44"/>
      <c r="BPX210" s="44"/>
      <c r="BPY210" s="44"/>
      <c r="BPZ210" s="44"/>
      <c r="BQA210" s="44"/>
      <c r="BQB210" s="44"/>
      <c r="BQC210" s="44"/>
      <c r="BQD210" s="44"/>
      <c r="BQE210" s="44"/>
      <c r="BQF210" s="44"/>
      <c r="BQG210" s="44"/>
      <c r="BQH210" s="44"/>
      <c r="BQI210" s="44"/>
      <c r="BQJ210" s="44"/>
      <c r="BQK210" s="44"/>
      <c r="BQL210" s="44"/>
      <c r="BQM210" s="44"/>
      <c r="BQN210" s="44"/>
      <c r="BQO210" s="44"/>
      <c r="BQP210" s="44"/>
      <c r="BQQ210" s="44"/>
      <c r="BQR210" s="44"/>
      <c r="BQS210" s="44"/>
      <c r="BQT210" s="44"/>
      <c r="BQU210" s="44"/>
      <c r="BQV210" s="44"/>
      <c r="BQW210" s="44"/>
      <c r="BQX210" s="44"/>
      <c r="BQY210" s="44"/>
      <c r="BQZ210" s="44"/>
      <c r="BRA210" s="44"/>
      <c r="BRB210" s="44"/>
      <c r="BRC210" s="44"/>
      <c r="BRD210" s="44"/>
      <c r="BRE210" s="44"/>
      <c r="BRF210" s="44"/>
      <c r="BRG210" s="44"/>
      <c r="BRH210" s="44"/>
      <c r="BRI210" s="44"/>
      <c r="BRJ210" s="44"/>
      <c r="BRK210" s="44"/>
      <c r="BRL210" s="44"/>
      <c r="BRM210" s="44"/>
      <c r="BRN210" s="44"/>
      <c r="BRO210" s="44"/>
      <c r="BRP210" s="44"/>
      <c r="BRQ210" s="44"/>
      <c r="BRR210" s="44"/>
      <c r="BRS210" s="44"/>
      <c r="BRT210" s="44"/>
      <c r="BRU210" s="44"/>
      <c r="BRV210" s="44"/>
      <c r="BRW210" s="44"/>
      <c r="BRX210" s="44"/>
      <c r="BRY210" s="44"/>
      <c r="BRZ210" s="44"/>
      <c r="BSA210" s="44"/>
      <c r="BSB210" s="44"/>
      <c r="BSC210" s="44"/>
      <c r="BSD210" s="44"/>
      <c r="BSE210" s="44"/>
      <c r="BSF210" s="44"/>
      <c r="BSG210" s="44"/>
      <c r="BSH210" s="44"/>
      <c r="BSI210" s="44"/>
      <c r="BSJ210" s="44"/>
      <c r="BSK210" s="44"/>
      <c r="BSL210" s="44"/>
      <c r="BSM210" s="44"/>
      <c r="BSN210" s="44"/>
      <c r="BSO210" s="44"/>
      <c r="BSP210" s="44"/>
      <c r="BSQ210" s="44"/>
      <c r="BSR210" s="44"/>
      <c r="BSS210" s="44"/>
      <c r="BST210" s="44"/>
      <c r="BSU210" s="44"/>
      <c r="BSV210" s="44"/>
      <c r="BSW210" s="44"/>
      <c r="BSX210" s="44"/>
      <c r="BSY210" s="44"/>
      <c r="BSZ210" s="44"/>
      <c r="BTA210" s="44"/>
      <c r="BTB210" s="44"/>
      <c r="BTC210" s="44"/>
      <c r="BTD210" s="44"/>
      <c r="BTE210" s="44"/>
      <c r="BTF210" s="44"/>
      <c r="BTG210" s="44"/>
      <c r="BTH210" s="44"/>
      <c r="BTI210" s="44"/>
    </row>
    <row r="211" spans="1:1881" s="825" customFormat="1" ht="81.75" customHeight="1" x14ac:dyDescent="0.25">
      <c r="A211" s="317">
        <v>602</v>
      </c>
      <c r="B211" s="768" t="s">
        <v>61</v>
      </c>
      <c r="C211" s="768" t="s">
        <v>532</v>
      </c>
      <c r="D211" s="316" t="s">
        <v>691</v>
      </c>
      <c r="E211" s="588" t="e">
        <f>HLOOKUP($D$2,'2019 Data(H)'!$C$1:$CF$293,262,FALSE)</f>
        <v>#N/A</v>
      </c>
      <c r="F211" s="476"/>
      <c r="G211" s="461" t="str">
        <f>IF(ISBLANK(F211),"Please do not leave blank","")</f>
        <v>Please do not leave blank</v>
      </c>
      <c r="H211" s="500">
        <f>IF(F211&lt;0,"Note: Number is normally positive.",)</f>
        <v>0</v>
      </c>
      <c r="I211" s="223"/>
      <c r="J211" s="772"/>
      <c r="K211" s="44"/>
      <c r="L211" s="44"/>
      <c r="M211" s="44"/>
      <c r="N211" s="756"/>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c r="GX211" s="44"/>
      <c r="GY211" s="44"/>
      <c r="GZ211" s="44"/>
      <c r="HA211" s="44"/>
      <c r="HB211" s="44"/>
      <c r="HC211" s="44"/>
      <c r="HD211" s="44"/>
      <c r="HE211" s="44"/>
      <c r="HF211" s="44"/>
      <c r="HG211" s="44"/>
      <c r="HH211" s="44"/>
      <c r="HI211" s="44"/>
      <c r="HJ211" s="44"/>
      <c r="HK211" s="44"/>
      <c r="HL211" s="44"/>
      <c r="HM211" s="44"/>
      <c r="HN211" s="44"/>
      <c r="HO211" s="44"/>
      <c r="HP211" s="44"/>
      <c r="HQ211" s="44"/>
      <c r="HR211" s="44"/>
      <c r="HS211" s="44"/>
      <c r="HT211" s="44"/>
      <c r="HU211" s="44"/>
      <c r="HV211" s="44"/>
      <c r="HW211" s="44"/>
      <c r="HX211" s="44"/>
      <c r="HY211" s="44"/>
      <c r="HZ211" s="44"/>
      <c r="IA211" s="44"/>
      <c r="IB211" s="44"/>
      <c r="IC211" s="44"/>
      <c r="ID211" s="44"/>
      <c r="IE211" s="44"/>
      <c r="IF211" s="44"/>
      <c r="IG211" s="44"/>
      <c r="IH211" s="44"/>
      <c r="II211" s="44"/>
      <c r="IJ211" s="44"/>
      <c r="IK211" s="44"/>
      <c r="IL211" s="44"/>
      <c r="IM211" s="44"/>
      <c r="IN211" s="44"/>
      <c r="IO211" s="44"/>
      <c r="IP211" s="44"/>
      <c r="IQ211" s="44"/>
      <c r="IR211" s="44"/>
      <c r="IS211" s="44"/>
      <c r="IT211" s="44"/>
      <c r="IU211" s="44"/>
      <c r="IV211" s="44"/>
      <c r="IW211" s="44"/>
      <c r="IX211" s="44"/>
      <c r="IY211" s="44"/>
      <c r="IZ211" s="44"/>
      <c r="JA211" s="44"/>
      <c r="JB211" s="44"/>
      <c r="JC211" s="44"/>
      <c r="JD211" s="44"/>
      <c r="JE211" s="44"/>
      <c r="JF211" s="44"/>
      <c r="JG211" s="44"/>
      <c r="JH211" s="44"/>
      <c r="JI211" s="44"/>
      <c r="JJ211" s="44"/>
      <c r="JK211" s="44"/>
      <c r="JL211" s="44"/>
      <c r="JM211" s="44"/>
      <c r="JN211" s="44"/>
      <c r="JO211" s="44"/>
      <c r="JP211" s="44"/>
      <c r="JQ211" s="44"/>
      <c r="JR211" s="44"/>
      <c r="JS211" s="44"/>
      <c r="JT211" s="44"/>
      <c r="JU211" s="44"/>
      <c r="JV211" s="44"/>
      <c r="JW211" s="44"/>
      <c r="JX211" s="44"/>
      <c r="JY211" s="44"/>
      <c r="JZ211" s="44"/>
      <c r="KA211" s="44"/>
      <c r="KB211" s="44"/>
      <c r="KC211" s="44"/>
      <c r="KD211" s="44"/>
      <c r="KE211" s="44"/>
      <c r="KF211" s="44"/>
      <c r="KG211" s="44"/>
      <c r="KH211" s="44"/>
      <c r="KI211" s="44"/>
      <c r="KJ211" s="44"/>
      <c r="KK211" s="44"/>
      <c r="KL211" s="44"/>
      <c r="KM211" s="44"/>
      <c r="KN211" s="44"/>
      <c r="KO211" s="44"/>
      <c r="KP211" s="44"/>
      <c r="KQ211" s="44"/>
      <c r="KR211" s="44"/>
      <c r="KS211" s="44"/>
      <c r="KT211" s="44"/>
      <c r="KU211" s="44"/>
      <c r="KV211" s="44"/>
      <c r="KW211" s="44"/>
      <c r="KX211" s="44"/>
      <c r="KY211" s="44"/>
      <c r="KZ211" s="44"/>
      <c r="LA211" s="44"/>
      <c r="LB211" s="44"/>
      <c r="LC211" s="44"/>
      <c r="LD211" s="44"/>
      <c r="LE211" s="44"/>
      <c r="LF211" s="44"/>
      <c r="LG211" s="44"/>
      <c r="LH211" s="44"/>
      <c r="LI211" s="44"/>
      <c r="LJ211" s="44"/>
      <c r="LK211" s="44"/>
      <c r="LL211" s="44"/>
      <c r="LM211" s="44"/>
      <c r="LN211" s="44"/>
      <c r="LO211" s="44"/>
      <c r="LP211" s="44"/>
      <c r="LQ211" s="44"/>
      <c r="LR211" s="44"/>
      <c r="LS211" s="44"/>
      <c r="LT211" s="44"/>
      <c r="LU211" s="44"/>
      <c r="LV211" s="44"/>
      <c r="LW211" s="44"/>
      <c r="LX211" s="44"/>
      <c r="LY211" s="44"/>
      <c r="LZ211" s="44"/>
      <c r="MA211" s="44"/>
      <c r="MB211" s="44"/>
      <c r="MC211" s="44"/>
      <c r="MD211" s="44"/>
      <c r="ME211" s="44"/>
      <c r="MF211" s="44"/>
      <c r="MG211" s="44"/>
      <c r="MH211" s="44"/>
      <c r="MI211" s="44"/>
      <c r="MJ211" s="44"/>
      <c r="MK211" s="44"/>
      <c r="ML211" s="44"/>
      <c r="MM211" s="44"/>
      <c r="MN211" s="44"/>
      <c r="MO211" s="44"/>
      <c r="MP211" s="44"/>
      <c r="MQ211" s="44"/>
      <c r="MR211" s="44"/>
      <c r="MS211" s="44"/>
      <c r="MT211" s="44"/>
      <c r="MU211" s="44"/>
      <c r="MV211" s="44"/>
      <c r="MW211" s="44"/>
      <c r="MX211" s="44"/>
      <c r="MY211" s="44"/>
      <c r="MZ211" s="44"/>
      <c r="NA211" s="44"/>
      <c r="NB211" s="44"/>
      <c r="NC211" s="44"/>
      <c r="ND211" s="44"/>
      <c r="NE211" s="44"/>
      <c r="NF211" s="44"/>
      <c r="NG211" s="44"/>
      <c r="NH211" s="44"/>
      <c r="NI211" s="44"/>
      <c r="NJ211" s="44"/>
      <c r="NK211" s="44"/>
      <c r="NL211" s="44"/>
      <c r="NM211" s="44"/>
      <c r="NN211" s="44"/>
      <c r="NO211" s="44"/>
      <c r="NP211" s="44"/>
      <c r="NQ211" s="44"/>
      <c r="NR211" s="44"/>
      <c r="NS211" s="44"/>
      <c r="NT211" s="44"/>
      <c r="NU211" s="44"/>
      <c r="NV211" s="44"/>
      <c r="NW211" s="44"/>
      <c r="NX211" s="44"/>
      <c r="NY211" s="44"/>
      <c r="NZ211" s="44"/>
      <c r="OA211" s="44"/>
      <c r="OB211" s="44"/>
      <c r="OC211" s="44"/>
      <c r="OD211" s="44"/>
      <c r="OE211" s="44"/>
      <c r="OF211" s="44"/>
      <c r="OG211" s="44"/>
      <c r="OH211" s="44"/>
      <c r="OI211" s="44"/>
      <c r="OJ211" s="44"/>
      <c r="OK211" s="44"/>
      <c r="OL211" s="44"/>
      <c r="OM211" s="44"/>
      <c r="ON211" s="44"/>
      <c r="OO211" s="44"/>
      <c r="OP211" s="44"/>
      <c r="OQ211" s="44"/>
      <c r="OR211" s="44"/>
      <c r="OS211" s="44"/>
      <c r="OT211" s="44"/>
      <c r="OU211" s="44"/>
      <c r="OV211" s="44"/>
      <c r="OW211" s="44"/>
      <c r="OX211" s="44"/>
      <c r="OY211" s="44"/>
      <c r="OZ211" s="44"/>
      <c r="PA211" s="44"/>
      <c r="PB211" s="44"/>
      <c r="PC211" s="44"/>
      <c r="PD211" s="44"/>
      <c r="PE211" s="44"/>
      <c r="PF211" s="44"/>
      <c r="PG211" s="44"/>
      <c r="PH211" s="44"/>
      <c r="PI211" s="44"/>
      <c r="PJ211" s="44"/>
      <c r="PK211" s="44"/>
      <c r="PL211" s="44"/>
      <c r="PM211" s="44"/>
      <c r="PN211" s="44"/>
      <c r="PO211" s="44"/>
      <c r="PP211" s="44"/>
      <c r="PQ211" s="44"/>
      <c r="PR211" s="44"/>
      <c r="PS211" s="44"/>
      <c r="PT211" s="44"/>
      <c r="PU211" s="44"/>
      <c r="PV211" s="44"/>
      <c r="PW211" s="44"/>
      <c r="PX211" s="44"/>
      <c r="PY211" s="44"/>
      <c r="PZ211" s="44"/>
      <c r="QA211" s="44"/>
      <c r="QB211" s="44"/>
      <c r="QC211" s="44"/>
      <c r="QD211" s="44"/>
      <c r="QE211" s="44"/>
      <c r="QF211" s="44"/>
      <c r="QG211" s="44"/>
      <c r="QH211" s="44"/>
      <c r="QI211" s="44"/>
      <c r="QJ211" s="44"/>
      <c r="QK211" s="44"/>
      <c r="QL211" s="44"/>
      <c r="QM211" s="44"/>
      <c r="QN211" s="44"/>
      <c r="QO211" s="44"/>
      <c r="QP211" s="44"/>
      <c r="QQ211" s="44"/>
      <c r="QR211" s="44"/>
      <c r="QS211" s="44"/>
      <c r="QT211" s="44"/>
      <c r="QU211" s="44"/>
      <c r="QV211" s="44"/>
      <c r="QW211" s="44"/>
      <c r="QX211" s="44"/>
      <c r="QY211" s="44"/>
      <c r="QZ211" s="44"/>
      <c r="RA211" s="44"/>
      <c r="RB211" s="44"/>
      <c r="RC211" s="44"/>
      <c r="RD211" s="44"/>
      <c r="RE211" s="44"/>
      <c r="RF211" s="44"/>
      <c r="RG211" s="44"/>
      <c r="RH211" s="44"/>
      <c r="RI211" s="44"/>
      <c r="RJ211" s="44"/>
      <c r="RK211" s="44"/>
      <c r="RL211" s="44"/>
      <c r="RM211" s="44"/>
      <c r="RN211" s="44"/>
      <c r="RO211" s="44"/>
      <c r="RP211" s="44"/>
      <c r="RQ211" s="44"/>
      <c r="RR211" s="44"/>
      <c r="RS211" s="44"/>
      <c r="RT211" s="44"/>
      <c r="RU211" s="44"/>
      <c r="RV211" s="44"/>
      <c r="RW211" s="44"/>
      <c r="RX211" s="44"/>
      <c r="RY211" s="44"/>
      <c r="RZ211" s="44"/>
      <c r="SA211" s="44"/>
      <c r="SB211" s="44"/>
      <c r="SC211" s="44"/>
      <c r="SD211" s="44"/>
      <c r="SE211" s="44"/>
      <c r="SF211" s="44"/>
      <c r="SG211" s="44"/>
      <c r="SH211" s="44"/>
      <c r="SI211" s="44"/>
      <c r="SJ211" s="44"/>
      <c r="SK211" s="44"/>
      <c r="SL211" s="44"/>
      <c r="SM211" s="44"/>
      <c r="SN211" s="44"/>
      <c r="SO211" s="44"/>
      <c r="SP211" s="44"/>
      <c r="SQ211" s="44"/>
      <c r="SR211" s="44"/>
      <c r="SS211" s="44"/>
      <c r="ST211" s="44"/>
      <c r="SU211" s="44"/>
      <c r="SV211" s="44"/>
      <c r="SW211" s="44"/>
      <c r="SX211" s="44"/>
      <c r="SY211" s="44"/>
      <c r="SZ211" s="44"/>
      <c r="TA211" s="44"/>
      <c r="TB211" s="44"/>
      <c r="TC211" s="44"/>
      <c r="TD211" s="44"/>
      <c r="TE211" s="44"/>
      <c r="TF211" s="44"/>
      <c r="TG211" s="44"/>
      <c r="TH211" s="44"/>
      <c r="TI211" s="44"/>
      <c r="TJ211" s="44"/>
      <c r="TK211" s="44"/>
      <c r="TL211" s="44"/>
      <c r="TM211" s="44"/>
      <c r="TN211" s="44"/>
      <c r="TO211" s="44"/>
      <c r="TP211" s="44"/>
      <c r="TQ211" s="44"/>
      <c r="TR211" s="44"/>
      <c r="TS211" s="44"/>
      <c r="TT211" s="44"/>
      <c r="TU211" s="44"/>
      <c r="TV211" s="44"/>
      <c r="TW211" s="44"/>
      <c r="TX211" s="44"/>
      <c r="TY211" s="44"/>
      <c r="TZ211" s="44"/>
      <c r="UA211" s="44"/>
      <c r="UB211" s="44"/>
      <c r="UC211" s="44"/>
      <c r="UD211" s="44"/>
      <c r="UE211" s="44"/>
      <c r="UF211" s="44"/>
      <c r="UG211" s="44"/>
      <c r="UH211" s="44"/>
      <c r="UI211" s="44"/>
      <c r="UJ211" s="44"/>
      <c r="UK211" s="44"/>
      <c r="UL211" s="44"/>
      <c r="UM211" s="44"/>
      <c r="UN211" s="44"/>
      <c r="UO211" s="44"/>
      <c r="UP211" s="44"/>
      <c r="UQ211" s="44"/>
      <c r="UR211" s="44"/>
      <c r="US211" s="44"/>
      <c r="UT211" s="44"/>
      <c r="UU211" s="44"/>
      <c r="UV211" s="44"/>
      <c r="UW211" s="44"/>
      <c r="UX211" s="44"/>
      <c r="UY211" s="44"/>
      <c r="UZ211" s="44"/>
      <c r="VA211" s="44"/>
      <c r="VB211" s="44"/>
      <c r="VC211" s="44"/>
      <c r="VD211" s="44"/>
      <c r="VE211" s="44"/>
      <c r="VF211" s="44"/>
      <c r="VG211" s="44"/>
      <c r="VH211" s="44"/>
      <c r="VI211" s="44"/>
      <c r="VJ211" s="44"/>
      <c r="VK211" s="44"/>
      <c r="VL211" s="44"/>
      <c r="VM211" s="44"/>
      <c r="VN211" s="44"/>
      <c r="VO211" s="44"/>
      <c r="VP211" s="44"/>
      <c r="VQ211" s="44"/>
      <c r="VR211" s="44"/>
      <c r="VS211" s="44"/>
      <c r="VT211" s="44"/>
      <c r="VU211" s="44"/>
      <c r="VV211" s="44"/>
      <c r="VW211" s="44"/>
      <c r="VX211" s="44"/>
      <c r="VY211" s="44"/>
      <c r="VZ211" s="44"/>
      <c r="WA211" s="44"/>
      <c r="WB211" s="44"/>
      <c r="WC211" s="44"/>
      <c r="WD211" s="44"/>
      <c r="WE211" s="44"/>
      <c r="WF211" s="44"/>
      <c r="WG211" s="44"/>
      <c r="WH211" s="44"/>
      <c r="WI211" s="44"/>
      <c r="WJ211" s="44"/>
      <c r="WK211" s="44"/>
      <c r="WL211" s="44"/>
      <c r="WM211" s="44"/>
      <c r="WN211" s="44"/>
      <c r="WO211" s="44"/>
      <c r="WP211" s="44"/>
      <c r="WQ211" s="44"/>
      <c r="WR211" s="44"/>
      <c r="WS211" s="44"/>
      <c r="WT211" s="44"/>
      <c r="WU211" s="44"/>
      <c r="WV211" s="44"/>
      <c r="WW211" s="44"/>
      <c r="WX211" s="44"/>
      <c r="WY211" s="44"/>
      <c r="WZ211" s="44"/>
      <c r="XA211" s="44"/>
      <c r="XB211" s="44"/>
      <c r="XC211" s="44"/>
      <c r="XD211" s="44"/>
      <c r="XE211" s="44"/>
      <c r="XF211" s="44"/>
      <c r="XG211" s="44"/>
      <c r="XH211" s="44"/>
      <c r="XI211" s="44"/>
      <c r="XJ211" s="44"/>
      <c r="XK211" s="44"/>
      <c r="XL211" s="44"/>
      <c r="XM211" s="44"/>
      <c r="XN211" s="44"/>
      <c r="XO211" s="44"/>
      <c r="XP211" s="44"/>
      <c r="XQ211" s="44"/>
      <c r="XR211" s="44"/>
      <c r="XS211" s="44"/>
      <c r="XT211" s="44"/>
      <c r="XU211" s="44"/>
      <c r="XV211" s="44"/>
      <c r="XW211" s="44"/>
      <c r="XX211" s="44"/>
      <c r="XY211" s="44"/>
      <c r="XZ211" s="44"/>
      <c r="YA211" s="44"/>
      <c r="YB211" s="44"/>
      <c r="YC211" s="44"/>
      <c r="YD211" s="44"/>
      <c r="YE211" s="44"/>
      <c r="YF211" s="44"/>
      <c r="YG211" s="44"/>
      <c r="YH211" s="44"/>
      <c r="YI211" s="44"/>
      <c r="YJ211" s="44"/>
      <c r="YK211" s="44"/>
      <c r="YL211" s="44"/>
      <c r="YM211" s="44"/>
      <c r="YN211" s="44"/>
      <c r="YO211" s="44"/>
      <c r="YP211" s="44"/>
      <c r="YQ211" s="44"/>
      <c r="YR211" s="44"/>
      <c r="YS211" s="44"/>
      <c r="YT211" s="44"/>
      <c r="YU211" s="44"/>
      <c r="YV211" s="44"/>
      <c r="YW211" s="44"/>
      <c r="YX211" s="44"/>
      <c r="YY211" s="44"/>
      <c r="YZ211" s="44"/>
      <c r="ZA211" s="44"/>
      <c r="ZB211" s="44"/>
      <c r="ZC211" s="44"/>
      <c r="ZD211" s="44"/>
      <c r="ZE211" s="44"/>
      <c r="ZF211" s="44"/>
      <c r="ZG211" s="44"/>
      <c r="ZH211" s="44"/>
      <c r="ZI211" s="44"/>
      <c r="ZJ211" s="44"/>
      <c r="ZK211" s="44"/>
      <c r="ZL211" s="44"/>
      <c r="ZM211" s="44"/>
      <c r="ZN211" s="44"/>
      <c r="ZO211" s="44"/>
      <c r="ZP211" s="44"/>
      <c r="ZQ211" s="44"/>
      <c r="ZR211" s="44"/>
      <c r="ZS211" s="44"/>
      <c r="ZT211" s="44"/>
      <c r="ZU211" s="44"/>
      <c r="ZV211" s="44"/>
      <c r="ZW211" s="44"/>
      <c r="ZX211" s="44"/>
      <c r="ZY211" s="44"/>
      <c r="ZZ211" s="44"/>
      <c r="AAA211" s="44"/>
      <c r="AAB211" s="44"/>
      <c r="AAC211" s="44"/>
      <c r="AAD211" s="44"/>
      <c r="AAE211" s="44"/>
      <c r="AAF211" s="44"/>
      <c r="AAG211" s="44"/>
      <c r="AAH211" s="44"/>
      <c r="AAI211" s="44"/>
      <c r="AAJ211" s="44"/>
      <c r="AAK211" s="44"/>
      <c r="AAL211" s="44"/>
      <c r="AAM211" s="44"/>
      <c r="AAN211" s="44"/>
      <c r="AAO211" s="44"/>
      <c r="AAP211" s="44"/>
      <c r="AAQ211" s="44"/>
      <c r="AAR211" s="44"/>
      <c r="AAS211" s="44"/>
      <c r="AAT211" s="44"/>
      <c r="AAU211" s="44"/>
      <c r="AAV211" s="44"/>
      <c r="AAW211" s="44"/>
      <c r="AAX211" s="44"/>
      <c r="AAY211" s="44"/>
      <c r="AAZ211" s="44"/>
      <c r="ABA211" s="44"/>
      <c r="ABB211" s="44"/>
      <c r="ABC211" s="44"/>
      <c r="ABD211" s="44"/>
      <c r="ABE211" s="44"/>
      <c r="ABF211" s="44"/>
      <c r="ABG211" s="44"/>
      <c r="ABH211" s="44"/>
      <c r="ABI211" s="44"/>
      <c r="ABJ211" s="44"/>
      <c r="ABK211" s="44"/>
      <c r="ABL211" s="44"/>
      <c r="ABM211" s="44"/>
      <c r="ABN211" s="44"/>
      <c r="ABO211" s="44"/>
      <c r="ABP211" s="44"/>
      <c r="ABQ211" s="44"/>
      <c r="ABR211" s="44"/>
      <c r="ABS211" s="44"/>
      <c r="ABT211" s="44"/>
      <c r="ABU211" s="44"/>
      <c r="ABV211" s="44"/>
      <c r="ABW211" s="44"/>
      <c r="ABX211" s="44"/>
      <c r="ABY211" s="44"/>
      <c r="ABZ211" s="44"/>
      <c r="ACA211" s="44"/>
      <c r="ACB211" s="44"/>
      <c r="ACC211" s="44"/>
      <c r="ACD211" s="44"/>
      <c r="ACE211" s="44"/>
      <c r="ACF211" s="44"/>
      <c r="ACG211" s="44"/>
      <c r="ACH211" s="44"/>
      <c r="ACI211" s="44"/>
      <c r="ACJ211" s="44"/>
      <c r="ACK211" s="44"/>
      <c r="ACL211" s="44"/>
      <c r="ACM211" s="44"/>
      <c r="ACN211" s="44"/>
      <c r="ACO211" s="44"/>
      <c r="ACP211" s="44"/>
      <c r="ACQ211" s="44"/>
      <c r="ACR211" s="44"/>
      <c r="ACS211" s="44"/>
      <c r="ACT211" s="44"/>
      <c r="ACU211" s="44"/>
      <c r="ACV211" s="44"/>
      <c r="ACW211" s="44"/>
      <c r="ACX211" s="44"/>
      <c r="ACY211" s="44"/>
      <c r="ACZ211" s="44"/>
      <c r="ADA211" s="44"/>
      <c r="ADB211" s="44"/>
      <c r="ADC211" s="44"/>
      <c r="ADD211" s="44"/>
      <c r="ADE211" s="44"/>
      <c r="ADF211" s="44"/>
      <c r="ADG211" s="44"/>
      <c r="ADH211" s="44"/>
      <c r="ADI211" s="44"/>
      <c r="ADJ211" s="44"/>
      <c r="ADK211" s="44"/>
      <c r="ADL211" s="44"/>
      <c r="ADM211" s="44"/>
      <c r="ADN211" s="44"/>
      <c r="ADO211" s="44"/>
      <c r="ADP211" s="44"/>
      <c r="ADQ211" s="44"/>
      <c r="ADR211" s="44"/>
      <c r="ADS211" s="44"/>
      <c r="ADT211" s="44"/>
      <c r="ADU211" s="44"/>
      <c r="ADV211" s="44"/>
      <c r="ADW211" s="44"/>
      <c r="ADX211" s="44"/>
      <c r="ADY211" s="44"/>
      <c r="ADZ211" s="44"/>
      <c r="AEA211" s="44"/>
      <c r="AEB211" s="44"/>
      <c r="AEC211" s="44"/>
      <c r="AED211" s="44"/>
      <c r="AEE211" s="44"/>
      <c r="AEF211" s="44"/>
      <c r="AEG211" s="44"/>
      <c r="AEH211" s="44"/>
      <c r="AEI211" s="44"/>
      <c r="AEJ211" s="44"/>
      <c r="AEK211" s="44"/>
      <c r="AEL211" s="44"/>
      <c r="AEM211" s="44"/>
      <c r="AEN211" s="44"/>
      <c r="AEO211" s="44"/>
      <c r="AEP211" s="44"/>
      <c r="AEQ211" s="44"/>
      <c r="AER211" s="44"/>
      <c r="AES211" s="44"/>
      <c r="AET211" s="44"/>
      <c r="AEU211" s="44"/>
      <c r="AEV211" s="44"/>
      <c r="AEW211" s="44"/>
      <c r="AEX211" s="44"/>
      <c r="AEY211" s="44"/>
      <c r="AEZ211" s="44"/>
      <c r="AFA211" s="44"/>
      <c r="AFB211" s="44"/>
      <c r="AFC211" s="44"/>
      <c r="AFD211" s="44"/>
      <c r="AFE211" s="44"/>
      <c r="AFF211" s="44"/>
      <c r="AFG211" s="44"/>
      <c r="AFH211" s="44"/>
      <c r="AFI211" s="44"/>
      <c r="AFJ211" s="44"/>
      <c r="AFK211" s="44"/>
      <c r="AFL211" s="44"/>
      <c r="AFM211" s="44"/>
      <c r="AFN211" s="44"/>
      <c r="AFO211" s="44"/>
      <c r="AFP211" s="44"/>
      <c r="AFQ211" s="44"/>
      <c r="AFR211" s="44"/>
      <c r="AFS211" s="44"/>
      <c r="AFT211" s="44"/>
      <c r="AFU211" s="44"/>
      <c r="AFV211" s="44"/>
      <c r="AFW211" s="44"/>
      <c r="AFX211" s="44"/>
      <c r="AFY211" s="44"/>
      <c r="AFZ211" s="44"/>
      <c r="AGA211" s="44"/>
      <c r="AGB211" s="44"/>
      <c r="AGC211" s="44"/>
      <c r="AGD211" s="44"/>
      <c r="AGE211" s="44"/>
      <c r="AGF211" s="44"/>
      <c r="AGG211" s="44"/>
      <c r="AGH211" s="44"/>
      <c r="AGI211" s="44"/>
      <c r="AGJ211" s="44"/>
      <c r="AGK211" s="44"/>
      <c r="AGL211" s="44"/>
      <c r="AGM211" s="44"/>
      <c r="AGN211" s="44"/>
      <c r="AGO211" s="44"/>
      <c r="AGP211" s="44"/>
      <c r="AGQ211" s="44"/>
      <c r="AGR211" s="44"/>
      <c r="AGS211" s="44"/>
      <c r="AGT211" s="44"/>
      <c r="AGU211" s="44"/>
      <c r="AGV211" s="44"/>
      <c r="AGW211" s="44"/>
      <c r="AGX211" s="44"/>
      <c r="AGY211" s="44"/>
      <c r="AGZ211" s="44"/>
      <c r="AHA211" s="44"/>
      <c r="AHB211" s="44"/>
      <c r="AHC211" s="44"/>
      <c r="AHD211" s="44"/>
      <c r="AHE211" s="44"/>
      <c r="AHF211" s="44"/>
      <c r="AHG211" s="44"/>
      <c r="AHH211" s="44"/>
      <c r="AHI211" s="44"/>
      <c r="AHJ211" s="44"/>
      <c r="AHK211" s="44"/>
      <c r="AHL211" s="44"/>
      <c r="AHM211" s="44"/>
      <c r="AHN211" s="44"/>
      <c r="AHO211" s="44"/>
      <c r="AHP211" s="44"/>
      <c r="AHQ211" s="44"/>
      <c r="AHR211" s="44"/>
      <c r="AHS211" s="44"/>
      <c r="AHT211" s="44"/>
      <c r="AHU211" s="44"/>
      <c r="AHV211" s="44"/>
      <c r="AHW211" s="44"/>
      <c r="AHX211" s="44"/>
      <c r="AHY211" s="44"/>
      <c r="AHZ211" s="44"/>
      <c r="AIA211" s="44"/>
      <c r="AIB211" s="44"/>
      <c r="AIC211" s="44"/>
      <c r="AID211" s="44"/>
      <c r="AIE211" s="44"/>
      <c r="AIF211" s="44"/>
      <c r="AIG211" s="44"/>
      <c r="AIH211" s="44"/>
      <c r="AII211" s="44"/>
      <c r="AIJ211" s="44"/>
      <c r="AIK211" s="44"/>
      <c r="AIL211" s="44"/>
      <c r="AIM211" s="44"/>
      <c r="AIN211" s="44"/>
      <c r="AIO211" s="44"/>
      <c r="AIP211" s="44"/>
      <c r="AIQ211" s="44"/>
      <c r="AIR211" s="44"/>
      <c r="AIS211" s="44"/>
      <c r="AIT211" s="44"/>
      <c r="AIU211" s="44"/>
      <c r="AIV211" s="44"/>
      <c r="AIW211" s="44"/>
      <c r="AIX211" s="44"/>
      <c r="AIY211" s="44"/>
      <c r="AIZ211" s="44"/>
      <c r="AJA211" s="44"/>
      <c r="AJB211" s="44"/>
      <c r="AJC211" s="44"/>
      <c r="AJD211" s="44"/>
      <c r="AJE211" s="44"/>
      <c r="AJF211" s="44"/>
      <c r="AJG211" s="44"/>
      <c r="AJH211" s="44"/>
      <c r="AJI211" s="44"/>
      <c r="AJJ211" s="44"/>
      <c r="AJK211" s="44"/>
      <c r="AJL211" s="44"/>
      <c r="AJM211" s="44"/>
      <c r="AJN211" s="44"/>
      <c r="AJO211" s="44"/>
      <c r="AJP211" s="44"/>
      <c r="AJQ211" s="44"/>
      <c r="AJR211" s="44"/>
      <c r="AJS211" s="44"/>
      <c r="AJT211" s="44"/>
      <c r="AJU211" s="44"/>
      <c r="AJV211" s="44"/>
      <c r="AJW211" s="44"/>
      <c r="AJX211" s="44"/>
      <c r="AJY211" s="44"/>
      <c r="AJZ211" s="44"/>
      <c r="AKA211" s="44"/>
      <c r="AKB211" s="44"/>
      <c r="AKC211" s="44"/>
      <c r="AKD211" s="44"/>
      <c r="AKE211" s="44"/>
      <c r="AKF211" s="44"/>
      <c r="AKG211" s="44"/>
      <c r="AKH211" s="44"/>
      <c r="AKI211" s="44"/>
      <c r="AKJ211" s="44"/>
      <c r="AKK211" s="44"/>
      <c r="AKL211" s="44"/>
      <c r="AKM211" s="44"/>
      <c r="AKN211" s="44"/>
      <c r="AKO211" s="44"/>
      <c r="AKP211" s="44"/>
      <c r="AKQ211" s="44"/>
      <c r="AKR211" s="44"/>
      <c r="AKS211" s="44"/>
      <c r="AKT211" s="44"/>
      <c r="AKU211" s="44"/>
      <c r="AKV211" s="44"/>
      <c r="AKW211" s="44"/>
      <c r="AKX211" s="44"/>
      <c r="AKY211" s="44"/>
      <c r="AKZ211" s="44"/>
      <c r="ALA211" s="44"/>
      <c r="ALB211" s="44"/>
      <c r="ALC211" s="44"/>
      <c r="ALD211" s="44"/>
      <c r="ALE211" s="44"/>
      <c r="ALF211" s="44"/>
      <c r="ALG211" s="44"/>
      <c r="ALH211" s="44"/>
      <c r="ALI211" s="44"/>
      <c r="ALJ211" s="44"/>
      <c r="ALK211" s="44"/>
      <c r="ALL211" s="44"/>
      <c r="ALM211" s="44"/>
      <c r="ALN211" s="44"/>
      <c r="ALO211" s="44"/>
      <c r="ALP211" s="44"/>
      <c r="ALQ211" s="44"/>
      <c r="ALR211" s="44"/>
      <c r="ALS211" s="44"/>
      <c r="ALT211" s="44"/>
      <c r="ALU211" s="44"/>
      <c r="ALV211" s="44"/>
      <c r="ALW211" s="44"/>
      <c r="ALX211" s="44"/>
      <c r="ALY211" s="44"/>
      <c r="ALZ211" s="44"/>
      <c r="AMA211" s="44"/>
      <c r="AMB211" s="44"/>
      <c r="AMC211" s="44"/>
      <c r="AMD211" s="44"/>
      <c r="AME211" s="44"/>
      <c r="AMF211" s="44"/>
      <c r="AMG211" s="44"/>
      <c r="AMH211" s="44"/>
      <c r="AMI211" s="44"/>
      <c r="AMJ211" s="44"/>
      <c r="AMK211" s="44"/>
      <c r="AML211" s="44"/>
      <c r="AMM211" s="44"/>
      <c r="AMN211" s="44"/>
      <c r="AMO211" s="44"/>
      <c r="AMP211" s="44"/>
      <c r="AMQ211" s="44"/>
      <c r="AMR211" s="44"/>
      <c r="AMS211" s="44"/>
      <c r="AMT211" s="44"/>
      <c r="AMU211" s="44"/>
      <c r="AMV211" s="44"/>
      <c r="AMW211" s="44"/>
      <c r="AMX211" s="44"/>
      <c r="AMY211" s="44"/>
      <c r="AMZ211" s="44"/>
      <c r="ANA211" s="44"/>
      <c r="ANB211" s="44"/>
      <c r="ANC211" s="44"/>
      <c r="AND211" s="44"/>
      <c r="ANE211" s="44"/>
      <c r="ANF211" s="44"/>
      <c r="ANG211" s="44"/>
      <c r="ANH211" s="44"/>
      <c r="ANI211" s="44"/>
      <c r="ANJ211" s="44"/>
      <c r="ANK211" s="44"/>
      <c r="ANL211" s="44"/>
      <c r="ANM211" s="44"/>
      <c r="ANN211" s="44"/>
      <c r="ANO211" s="44"/>
      <c r="ANP211" s="44"/>
      <c r="ANQ211" s="44"/>
      <c r="ANR211" s="44"/>
      <c r="ANS211" s="44"/>
      <c r="ANT211" s="44"/>
      <c r="ANU211" s="44"/>
      <c r="ANV211" s="44"/>
      <c r="ANW211" s="44"/>
      <c r="ANX211" s="44"/>
      <c r="ANY211" s="44"/>
      <c r="ANZ211" s="44"/>
      <c r="AOA211" s="44"/>
      <c r="AOB211" s="44"/>
      <c r="AOC211" s="44"/>
      <c r="AOD211" s="44"/>
      <c r="AOE211" s="44"/>
      <c r="AOF211" s="44"/>
      <c r="AOG211" s="44"/>
      <c r="AOH211" s="44"/>
      <c r="AOI211" s="44"/>
      <c r="AOJ211" s="44"/>
      <c r="AOK211" s="44"/>
      <c r="AOL211" s="44"/>
      <c r="AOM211" s="44"/>
      <c r="AON211" s="44"/>
      <c r="AOO211" s="44"/>
      <c r="AOP211" s="44"/>
      <c r="AOQ211" s="44"/>
      <c r="AOR211" s="44"/>
      <c r="AOS211" s="44"/>
      <c r="AOT211" s="44"/>
      <c r="AOU211" s="44"/>
      <c r="AOV211" s="44"/>
      <c r="AOW211" s="44"/>
      <c r="AOX211" s="44"/>
      <c r="AOY211" s="44"/>
      <c r="AOZ211" s="44"/>
      <c r="APA211" s="44"/>
      <c r="APB211" s="44"/>
      <c r="APC211" s="44"/>
      <c r="APD211" s="44"/>
      <c r="APE211" s="44"/>
      <c r="APF211" s="44"/>
      <c r="APG211" s="44"/>
      <c r="APH211" s="44"/>
      <c r="API211" s="44"/>
      <c r="APJ211" s="44"/>
      <c r="APK211" s="44"/>
      <c r="APL211" s="44"/>
      <c r="APM211" s="44"/>
      <c r="APN211" s="44"/>
      <c r="APO211" s="44"/>
      <c r="APP211" s="44"/>
      <c r="APQ211" s="44"/>
      <c r="APR211" s="44"/>
      <c r="APS211" s="44"/>
      <c r="APT211" s="44"/>
      <c r="APU211" s="44"/>
      <c r="APV211" s="44"/>
      <c r="APW211" s="44"/>
      <c r="APX211" s="44"/>
      <c r="APY211" s="44"/>
      <c r="APZ211" s="44"/>
      <c r="AQA211" s="44"/>
      <c r="AQB211" s="44"/>
      <c r="AQC211" s="44"/>
      <c r="AQD211" s="44"/>
      <c r="AQE211" s="44"/>
      <c r="AQF211" s="44"/>
      <c r="AQG211" s="44"/>
      <c r="AQH211" s="44"/>
      <c r="AQI211" s="44"/>
      <c r="AQJ211" s="44"/>
      <c r="AQK211" s="44"/>
      <c r="AQL211" s="44"/>
      <c r="AQM211" s="44"/>
      <c r="AQN211" s="44"/>
      <c r="AQO211" s="44"/>
      <c r="AQP211" s="44"/>
      <c r="AQQ211" s="44"/>
      <c r="AQR211" s="44"/>
      <c r="AQS211" s="44"/>
      <c r="AQT211" s="44"/>
      <c r="AQU211" s="44"/>
      <c r="AQV211" s="44"/>
      <c r="AQW211" s="44"/>
      <c r="AQX211" s="44"/>
      <c r="AQY211" s="44"/>
      <c r="AQZ211" s="44"/>
      <c r="ARA211" s="44"/>
      <c r="ARB211" s="44"/>
      <c r="ARC211" s="44"/>
      <c r="ARD211" s="44"/>
      <c r="ARE211" s="44"/>
      <c r="ARF211" s="44"/>
      <c r="ARG211" s="44"/>
      <c r="ARH211" s="44"/>
      <c r="ARI211" s="44"/>
      <c r="ARJ211" s="44"/>
      <c r="ARK211" s="44"/>
      <c r="ARL211" s="44"/>
      <c r="ARM211" s="44"/>
      <c r="ARN211" s="44"/>
      <c r="ARO211" s="44"/>
      <c r="ARP211" s="44"/>
      <c r="ARQ211" s="44"/>
      <c r="ARR211" s="44"/>
      <c r="ARS211" s="44"/>
      <c r="ART211" s="44"/>
      <c r="ARU211" s="44"/>
      <c r="ARV211" s="44"/>
      <c r="ARW211" s="44"/>
      <c r="ARX211" s="44"/>
      <c r="ARY211" s="44"/>
      <c r="ARZ211" s="44"/>
      <c r="ASA211" s="44"/>
      <c r="ASB211" s="44"/>
      <c r="ASC211" s="44"/>
      <c r="ASD211" s="44"/>
      <c r="ASE211" s="44"/>
      <c r="ASF211" s="44"/>
      <c r="ASG211" s="44"/>
      <c r="ASH211" s="44"/>
      <c r="ASI211" s="44"/>
      <c r="ASJ211" s="44"/>
      <c r="ASK211" s="44"/>
      <c r="ASL211" s="44"/>
      <c r="ASM211" s="44"/>
      <c r="ASN211" s="44"/>
      <c r="ASO211" s="44"/>
      <c r="ASP211" s="44"/>
      <c r="ASQ211" s="44"/>
      <c r="ASR211" s="44"/>
      <c r="ASS211" s="44"/>
      <c r="AST211" s="44"/>
      <c r="ASU211" s="44"/>
      <c r="ASV211" s="44"/>
      <c r="ASW211" s="44"/>
      <c r="ASX211" s="44"/>
      <c r="ASY211" s="44"/>
      <c r="ASZ211" s="44"/>
      <c r="ATA211" s="44"/>
      <c r="ATB211" s="44"/>
      <c r="ATC211" s="44"/>
      <c r="ATD211" s="44"/>
      <c r="ATE211" s="44"/>
      <c r="ATF211" s="44"/>
      <c r="ATG211" s="44"/>
      <c r="ATH211" s="44"/>
      <c r="ATI211" s="44"/>
      <c r="ATJ211" s="44"/>
      <c r="ATK211" s="44"/>
      <c r="ATL211" s="44"/>
      <c r="ATM211" s="44"/>
      <c r="ATN211" s="44"/>
      <c r="ATO211" s="44"/>
      <c r="ATP211" s="44"/>
      <c r="ATQ211" s="44"/>
      <c r="ATR211" s="44"/>
      <c r="ATS211" s="44"/>
      <c r="ATT211" s="44"/>
      <c r="ATU211" s="44"/>
      <c r="ATV211" s="44"/>
      <c r="ATW211" s="44"/>
      <c r="ATX211" s="44"/>
      <c r="ATY211" s="44"/>
      <c r="ATZ211" s="44"/>
      <c r="AUA211" s="44"/>
      <c r="AUB211" s="44"/>
      <c r="AUC211" s="44"/>
      <c r="AUD211" s="44"/>
      <c r="AUE211" s="44"/>
      <c r="AUF211" s="44"/>
      <c r="AUG211" s="44"/>
      <c r="AUH211" s="44"/>
      <c r="AUI211" s="44"/>
      <c r="AUJ211" s="44"/>
      <c r="AUK211" s="44"/>
      <c r="AUL211" s="44"/>
      <c r="AUM211" s="44"/>
      <c r="AUN211" s="44"/>
      <c r="AUO211" s="44"/>
      <c r="AUP211" s="44"/>
      <c r="AUQ211" s="44"/>
      <c r="AUR211" s="44"/>
      <c r="AUS211" s="44"/>
      <c r="AUT211" s="44"/>
      <c r="AUU211" s="44"/>
      <c r="AUV211" s="44"/>
      <c r="AUW211" s="44"/>
      <c r="AUX211" s="44"/>
      <c r="AUY211" s="44"/>
      <c r="AUZ211" s="44"/>
      <c r="AVA211" s="44"/>
      <c r="AVB211" s="44"/>
      <c r="AVC211" s="44"/>
      <c r="AVD211" s="44"/>
      <c r="AVE211" s="44"/>
      <c r="AVF211" s="44"/>
      <c r="AVG211" s="44"/>
      <c r="AVH211" s="44"/>
      <c r="AVI211" s="44"/>
      <c r="AVJ211" s="44"/>
      <c r="AVK211" s="44"/>
      <c r="AVL211" s="44"/>
      <c r="AVM211" s="44"/>
      <c r="AVN211" s="44"/>
      <c r="AVO211" s="44"/>
      <c r="AVP211" s="44"/>
      <c r="AVQ211" s="44"/>
      <c r="AVR211" s="44"/>
      <c r="AVS211" s="44"/>
      <c r="AVT211" s="44"/>
      <c r="AVU211" s="44"/>
      <c r="AVV211" s="44"/>
      <c r="AVW211" s="44"/>
      <c r="AVX211" s="44"/>
      <c r="AVY211" s="44"/>
      <c r="AVZ211" s="44"/>
      <c r="AWA211" s="44"/>
      <c r="AWB211" s="44"/>
      <c r="AWC211" s="44"/>
      <c r="AWD211" s="44"/>
      <c r="AWE211" s="44"/>
      <c r="AWF211" s="44"/>
      <c r="AWG211" s="44"/>
      <c r="AWH211" s="44"/>
      <c r="AWI211" s="44"/>
      <c r="AWJ211" s="44"/>
      <c r="AWK211" s="44"/>
      <c r="AWL211" s="44"/>
      <c r="AWM211" s="44"/>
      <c r="AWN211" s="44"/>
      <c r="AWO211" s="44"/>
      <c r="AWP211" s="44"/>
      <c r="AWQ211" s="44"/>
      <c r="AWR211" s="44"/>
      <c r="AWS211" s="44"/>
      <c r="AWT211" s="44"/>
      <c r="AWU211" s="44"/>
      <c r="AWV211" s="44"/>
      <c r="AWW211" s="44"/>
      <c r="AWX211" s="44"/>
      <c r="AWY211" s="44"/>
      <c r="AWZ211" s="44"/>
      <c r="AXA211" s="44"/>
      <c r="AXB211" s="44"/>
      <c r="AXC211" s="44"/>
      <c r="AXD211" s="44"/>
      <c r="AXE211" s="44"/>
      <c r="AXF211" s="44"/>
      <c r="AXG211" s="44"/>
      <c r="AXH211" s="44"/>
      <c r="AXI211" s="44"/>
      <c r="AXJ211" s="44"/>
      <c r="AXK211" s="44"/>
      <c r="AXL211" s="44"/>
      <c r="AXM211" s="44"/>
      <c r="AXN211" s="44"/>
      <c r="AXO211" s="44"/>
      <c r="AXP211" s="44"/>
      <c r="AXQ211" s="44"/>
      <c r="AXR211" s="44"/>
      <c r="AXS211" s="44"/>
      <c r="AXT211" s="44"/>
      <c r="AXU211" s="44"/>
      <c r="AXV211" s="44"/>
      <c r="AXW211" s="44"/>
      <c r="AXX211" s="44"/>
      <c r="AXY211" s="44"/>
      <c r="AXZ211" s="44"/>
      <c r="AYA211" s="44"/>
      <c r="AYB211" s="44"/>
      <c r="AYC211" s="44"/>
      <c r="AYD211" s="44"/>
      <c r="AYE211" s="44"/>
      <c r="AYF211" s="44"/>
      <c r="AYG211" s="44"/>
      <c r="AYH211" s="44"/>
      <c r="AYI211" s="44"/>
      <c r="AYJ211" s="44"/>
      <c r="AYK211" s="44"/>
      <c r="AYL211" s="44"/>
      <c r="AYM211" s="44"/>
      <c r="AYN211" s="44"/>
      <c r="AYO211" s="44"/>
      <c r="AYP211" s="44"/>
      <c r="AYQ211" s="44"/>
      <c r="AYR211" s="44"/>
      <c r="AYS211" s="44"/>
      <c r="AYT211" s="44"/>
      <c r="AYU211" s="44"/>
      <c r="AYV211" s="44"/>
      <c r="AYW211" s="44"/>
      <c r="AYX211" s="44"/>
      <c r="AYY211" s="44"/>
      <c r="AYZ211" s="44"/>
      <c r="AZA211" s="44"/>
      <c r="AZB211" s="44"/>
      <c r="AZC211" s="44"/>
      <c r="AZD211" s="44"/>
      <c r="AZE211" s="44"/>
      <c r="AZF211" s="44"/>
      <c r="AZG211" s="44"/>
      <c r="AZH211" s="44"/>
      <c r="AZI211" s="44"/>
      <c r="AZJ211" s="44"/>
      <c r="AZK211" s="44"/>
      <c r="AZL211" s="44"/>
      <c r="AZM211" s="44"/>
      <c r="AZN211" s="44"/>
      <c r="AZO211" s="44"/>
      <c r="AZP211" s="44"/>
      <c r="AZQ211" s="44"/>
      <c r="AZR211" s="44"/>
      <c r="AZS211" s="44"/>
      <c r="AZT211" s="44"/>
      <c r="AZU211" s="44"/>
      <c r="AZV211" s="44"/>
      <c r="AZW211" s="44"/>
      <c r="AZX211" s="44"/>
      <c r="AZY211" s="44"/>
      <c r="AZZ211" s="44"/>
      <c r="BAA211" s="44"/>
      <c r="BAB211" s="44"/>
      <c r="BAC211" s="44"/>
      <c r="BAD211" s="44"/>
      <c r="BAE211" s="44"/>
      <c r="BAF211" s="44"/>
      <c r="BAG211" s="44"/>
      <c r="BAH211" s="44"/>
      <c r="BAI211" s="44"/>
      <c r="BAJ211" s="44"/>
      <c r="BAK211" s="44"/>
      <c r="BAL211" s="44"/>
      <c r="BAM211" s="44"/>
      <c r="BAN211" s="44"/>
      <c r="BAO211" s="44"/>
      <c r="BAP211" s="44"/>
      <c r="BAQ211" s="44"/>
      <c r="BAR211" s="44"/>
      <c r="BAS211" s="44"/>
      <c r="BAT211" s="44"/>
      <c r="BAU211" s="44"/>
      <c r="BAV211" s="44"/>
      <c r="BAW211" s="44"/>
      <c r="BAX211" s="44"/>
      <c r="BAY211" s="44"/>
      <c r="BAZ211" s="44"/>
      <c r="BBA211" s="44"/>
      <c r="BBB211" s="44"/>
      <c r="BBC211" s="44"/>
      <c r="BBD211" s="44"/>
      <c r="BBE211" s="44"/>
      <c r="BBF211" s="44"/>
      <c r="BBG211" s="44"/>
      <c r="BBH211" s="44"/>
      <c r="BBI211" s="44"/>
      <c r="BBJ211" s="44"/>
      <c r="BBK211" s="44"/>
      <c r="BBL211" s="44"/>
      <c r="BBM211" s="44"/>
      <c r="BBN211" s="44"/>
      <c r="BBO211" s="44"/>
      <c r="BBP211" s="44"/>
      <c r="BBQ211" s="44"/>
      <c r="BBR211" s="44"/>
      <c r="BBS211" s="44"/>
      <c r="BBT211" s="44"/>
      <c r="BBU211" s="44"/>
      <c r="BBV211" s="44"/>
      <c r="BBW211" s="44"/>
      <c r="BBX211" s="44"/>
      <c r="BBY211" s="44"/>
      <c r="BBZ211" s="44"/>
      <c r="BCA211" s="44"/>
      <c r="BCB211" s="44"/>
      <c r="BCC211" s="44"/>
      <c r="BCD211" s="44"/>
      <c r="BCE211" s="44"/>
      <c r="BCF211" s="44"/>
      <c r="BCG211" s="44"/>
      <c r="BCH211" s="44"/>
      <c r="BCI211" s="44"/>
      <c r="BCJ211" s="44"/>
      <c r="BCK211" s="44"/>
      <c r="BCL211" s="44"/>
      <c r="BCM211" s="44"/>
      <c r="BCN211" s="44"/>
      <c r="BCO211" s="44"/>
      <c r="BCP211" s="44"/>
      <c r="BCQ211" s="44"/>
      <c r="BCR211" s="44"/>
      <c r="BCS211" s="44"/>
      <c r="BCT211" s="44"/>
      <c r="BCU211" s="44"/>
      <c r="BCV211" s="44"/>
      <c r="BCW211" s="44"/>
      <c r="BCX211" s="44"/>
      <c r="BCY211" s="44"/>
      <c r="BCZ211" s="44"/>
      <c r="BDA211" s="44"/>
      <c r="BDB211" s="44"/>
      <c r="BDC211" s="44"/>
      <c r="BDD211" s="44"/>
      <c r="BDE211" s="44"/>
      <c r="BDF211" s="44"/>
      <c r="BDG211" s="44"/>
      <c r="BDH211" s="44"/>
      <c r="BDI211" s="44"/>
      <c r="BDJ211" s="44"/>
      <c r="BDK211" s="44"/>
      <c r="BDL211" s="44"/>
      <c r="BDM211" s="44"/>
      <c r="BDN211" s="44"/>
      <c r="BDO211" s="44"/>
      <c r="BDP211" s="44"/>
      <c r="BDQ211" s="44"/>
      <c r="BDR211" s="44"/>
      <c r="BDS211" s="44"/>
      <c r="BDT211" s="44"/>
      <c r="BDU211" s="44"/>
      <c r="BDV211" s="44"/>
      <c r="BDW211" s="44"/>
      <c r="BDX211" s="44"/>
      <c r="BDY211" s="44"/>
      <c r="BDZ211" s="44"/>
      <c r="BEA211" s="44"/>
      <c r="BEB211" s="44"/>
      <c r="BEC211" s="44"/>
      <c r="BED211" s="44"/>
      <c r="BEE211" s="44"/>
      <c r="BEF211" s="44"/>
      <c r="BEG211" s="44"/>
      <c r="BEH211" s="44"/>
      <c r="BEI211" s="44"/>
      <c r="BEJ211" s="44"/>
      <c r="BEK211" s="44"/>
      <c r="BEL211" s="44"/>
      <c r="BEM211" s="44"/>
      <c r="BEN211" s="44"/>
      <c r="BEO211" s="44"/>
      <c r="BEP211" s="44"/>
      <c r="BEQ211" s="44"/>
      <c r="BER211" s="44"/>
      <c r="BES211" s="44"/>
      <c r="BET211" s="44"/>
      <c r="BEU211" s="44"/>
      <c r="BEV211" s="44"/>
      <c r="BEW211" s="44"/>
      <c r="BEX211" s="44"/>
      <c r="BEY211" s="44"/>
      <c r="BEZ211" s="44"/>
      <c r="BFA211" s="44"/>
      <c r="BFB211" s="44"/>
      <c r="BFC211" s="44"/>
      <c r="BFD211" s="44"/>
      <c r="BFE211" s="44"/>
      <c r="BFF211" s="44"/>
      <c r="BFG211" s="44"/>
      <c r="BFH211" s="44"/>
      <c r="BFI211" s="44"/>
      <c r="BFJ211" s="44"/>
      <c r="BFK211" s="44"/>
      <c r="BFL211" s="44"/>
      <c r="BFM211" s="44"/>
      <c r="BFN211" s="44"/>
      <c r="BFO211" s="44"/>
      <c r="BFP211" s="44"/>
      <c r="BFQ211" s="44"/>
      <c r="BFR211" s="44"/>
      <c r="BFS211" s="44"/>
      <c r="BFT211" s="44"/>
      <c r="BFU211" s="44"/>
      <c r="BFV211" s="44"/>
      <c r="BFW211" s="44"/>
      <c r="BFX211" s="44"/>
      <c r="BFY211" s="44"/>
      <c r="BFZ211" s="44"/>
      <c r="BGA211" s="44"/>
      <c r="BGB211" s="44"/>
      <c r="BGC211" s="44"/>
      <c r="BGD211" s="44"/>
      <c r="BGE211" s="44"/>
      <c r="BGF211" s="44"/>
      <c r="BGG211" s="44"/>
      <c r="BGH211" s="44"/>
      <c r="BGI211" s="44"/>
      <c r="BGJ211" s="44"/>
      <c r="BGK211" s="44"/>
      <c r="BGL211" s="44"/>
      <c r="BGM211" s="44"/>
      <c r="BGN211" s="44"/>
      <c r="BGO211" s="44"/>
      <c r="BGP211" s="44"/>
      <c r="BGQ211" s="44"/>
      <c r="BGR211" s="44"/>
      <c r="BGS211" s="44"/>
      <c r="BGT211" s="44"/>
      <c r="BGU211" s="44"/>
      <c r="BGV211" s="44"/>
      <c r="BGW211" s="44"/>
      <c r="BGX211" s="44"/>
      <c r="BGY211" s="44"/>
      <c r="BGZ211" s="44"/>
      <c r="BHA211" s="44"/>
      <c r="BHB211" s="44"/>
      <c r="BHC211" s="44"/>
      <c r="BHD211" s="44"/>
      <c r="BHE211" s="44"/>
      <c r="BHF211" s="44"/>
      <c r="BHG211" s="44"/>
      <c r="BHH211" s="44"/>
      <c r="BHI211" s="44"/>
      <c r="BHJ211" s="44"/>
      <c r="BHK211" s="44"/>
      <c r="BHL211" s="44"/>
      <c r="BHM211" s="44"/>
      <c r="BHN211" s="44"/>
      <c r="BHO211" s="44"/>
      <c r="BHP211" s="44"/>
      <c r="BHQ211" s="44"/>
      <c r="BHR211" s="44"/>
      <c r="BHS211" s="44"/>
      <c r="BHT211" s="44"/>
      <c r="BHU211" s="44"/>
      <c r="BHV211" s="44"/>
      <c r="BHW211" s="44"/>
      <c r="BHX211" s="44"/>
      <c r="BHY211" s="44"/>
      <c r="BHZ211" s="44"/>
      <c r="BIA211" s="44"/>
      <c r="BIB211" s="44"/>
      <c r="BIC211" s="44"/>
      <c r="BID211" s="44"/>
      <c r="BIE211" s="44"/>
      <c r="BIF211" s="44"/>
      <c r="BIG211" s="44"/>
      <c r="BIH211" s="44"/>
      <c r="BII211" s="44"/>
      <c r="BIJ211" s="44"/>
      <c r="BIK211" s="44"/>
      <c r="BIL211" s="44"/>
      <c r="BIM211" s="44"/>
      <c r="BIN211" s="44"/>
      <c r="BIO211" s="44"/>
      <c r="BIP211" s="44"/>
      <c r="BIQ211" s="44"/>
      <c r="BIR211" s="44"/>
      <c r="BIS211" s="44"/>
      <c r="BIT211" s="44"/>
      <c r="BIU211" s="44"/>
      <c r="BIV211" s="44"/>
      <c r="BIW211" s="44"/>
      <c r="BIX211" s="44"/>
      <c r="BIY211" s="44"/>
      <c r="BIZ211" s="44"/>
      <c r="BJA211" s="44"/>
      <c r="BJB211" s="44"/>
      <c r="BJC211" s="44"/>
      <c r="BJD211" s="44"/>
      <c r="BJE211" s="44"/>
      <c r="BJF211" s="44"/>
      <c r="BJG211" s="44"/>
      <c r="BJH211" s="44"/>
      <c r="BJI211" s="44"/>
      <c r="BJJ211" s="44"/>
      <c r="BJK211" s="44"/>
      <c r="BJL211" s="44"/>
      <c r="BJM211" s="44"/>
      <c r="BJN211" s="44"/>
      <c r="BJO211" s="44"/>
      <c r="BJP211" s="44"/>
      <c r="BJQ211" s="44"/>
      <c r="BJR211" s="44"/>
      <c r="BJS211" s="44"/>
      <c r="BJT211" s="44"/>
      <c r="BJU211" s="44"/>
      <c r="BJV211" s="44"/>
      <c r="BJW211" s="44"/>
      <c r="BJX211" s="44"/>
      <c r="BJY211" s="44"/>
      <c r="BJZ211" s="44"/>
      <c r="BKA211" s="44"/>
      <c r="BKB211" s="44"/>
      <c r="BKC211" s="44"/>
      <c r="BKD211" s="44"/>
      <c r="BKE211" s="44"/>
      <c r="BKF211" s="44"/>
      <c r="BKG211" s="44"/>
      <c r="BKH211" s="44"/>
      <c r="BKI211" s="44"/>
      <c r="BKJ211" s="44"/>
      <c r="BKK211" s="44"/>
      <c r="BKL211" s="44"/>
      <c r="BKM211" s="44"/>
      <c r="BKN211" s="44"/>
      <c r="BKO211" s="44"/>
      <c r="BKP211" s="44"/>
      <c r="BKQ211" s="44"/>
      <c r="BKR211" s="44"/>
      <c r="BKS211" s="44"/>
      <c r="BKT211" s="44"/>
      <c r="BKU211" s="44"/>
      <c r="BKV211" s="44"/>
      <c r="BKW211" s="44"/>
      <c r="BKX211" s="44"/>
      <c r="BKY211" s="44"/>
      <c r="BKZ211" s="44"/>
      <c r="BLA211" s="44"/>
      <c r="BLB211" s="44"/>
      <c r="BLC211" s="44"/>
      <c r="BLD211" s="44"/>
      <c r="BLE211" s="44"/>
      <c r="BLF211" s="44"/>
      <c r="BLG211" s="44"/>
      <c r="BLH211" s="44"/>
      <c r="BLI211" s="44"/>
      <c r="BLJ211" s="44"/>
      <c r="BLK211" s="44"/>
      <c r="BLL211" s="44"/>
      <c r="BLM211" s="44"/>
      <c r="BLN211" s="44"/>
      <c r="BLO211" s="44"/>
      <c r="BLP211" s="44"/>
      <c r="BLQ211" s="44"/>
      <c r="BLR211" s="44"/>
      <c r="BLS211" s="44"/>
      <c r="BLT211" s="44"/>
      <c r="BLU211" s="44"/>
      <c r="BLV211" s="44"/>
      <c r="BLW211" s="44"/>
      <c r="BLX211" s="44"/>
      <c r="BLY211" s="44"/>
      <c r="BLZ211" s="44"/>
      <c r="BMA211" s="44"/>
      <c r="BMB211" s="44"/>
      <c r="BMC211" s="44"/>
      <c r="BMD211" s="44"/>
      <c r="BME211" s="44"/>
      <c r="BMF211" s="44"/>
      <c r="BMG211" s="44"/>
      <c r="BMH211" s="44"/>
      <c r="BMI211" s="44"/>
      <c r="BMJ211" s="44"/>
      <c r="BMK211" s="44"/>
      <c r="BML211" s="44"/>
      <c r="BMM211" s="44"/>
      <c r="BMN211" s="44"/>
      <c r="BMO211" s="44"/>
      <c r="BMP211" s="44"/>
      <c r="BMQ211" s="44"/>
      <c r="BMR211" s="44"/>
      <c r="BMS211" s="44"/>
      <c r="BMT211" s="44"/>
      <c r="BMU211" s="44"/>
      <c r="BMV211" s="44"/>
      <c r="BMW211" s="44"/>
      <c r="BMX211" s="44"/>
      <c r="BMY211" s="44"/>
      <c r="BMZ211" s="44"/>
      <c r="BNA211" s="44"/>
      <c r="BNB211" s="44"/>
      <c r="BNC211" s="44"/>
      <c r="BND211" s="44"/>
      <c r="BNE211" s="44"/>
      <c r="BNF211" s="44"/>
      <c r="BNG211" s="44"/>
      <c r="BNH211" s="44"/>
      <c r="BNI211" s="44"/>
      <c r="BNJ211" s="44"/>
      <c r="BNK211" s="44"/>
      <c r="BNL211" s="44"/>
      <c r="BNM211" s="44"/>
      <c r="BNN211" s="44"/>
      <c r="BNO211" s="44"/>
      <c r="BNP211" s="44"/>
      <c r="BNQ211" s="44"/>
      <c r="BNR211" s="44"/>
      <c r="BNS211" s="44"/>
      <c r="BNT211" s="44"/>
      <c r="BNU211" s="44"/>
      <c r="BNV211" s="44"/>
      <c r="BNW211" s="44"/>
      <c r="BNX211" s="44"/>
      <c r="BNY211" s="44"/>
      <c r="BNZ211" s="44"/>
      <c r="BOA211" s="44"/>
      <c r="BOB211" s="44"/>
      <c r="BOC211" s="44"/>
      <c r="BOD211" s="44"/>
      <c r="BOE211" s="44"/>
      <c r="BOF211" s="44"/>
      <c r="BOG211" s="44"/>
      <c r="BOH211" s="44"/>
      <c r="BOI211" s="44"/>
      <c r="BOJ211" s="44"/>
      <c r="BOK211" s="44"/>
      <c r="BOL211" s="44"/>
      <c r="BOM211" s="44"/>
      <c r="BON211" s="44"/>
      <c r="BOO211" s="44"/>
      <c r="BOP211" s="44"/>
      <c r="BOQ211" s="44"/>
      <c r="BOR211" s="44"/>
      <c r="BOS211" s="44"/>
      <c r="BOT211" s="44"/>
      <c r="BOU211" s="44"/>
      <c r="BOV211" s="44"/>
      <c r="BOW211" s="44"/>
      <c r="BOX211" s="44"/>
      <c r="BOY211" s="44"/>
      <c r="BOZ211" s="44"/>
      <c r="BPA211" s="44"/>
      <c r="BPB211" s="44"/>
      <c r="BPC211" s="44"/>
      <c r="BPD211" s="44"/>
      <c r="BPE211" s="44"/>
      <c r="BPF211" s="44"/>
      <c r="BPG211" s="44"/>
      <c r="BPH211" s="44"/>
      <c r="BPI211" s="44"/>
      <c r="BPJ211" s="44"/>
      <c r="BPK211" s="44"/>
      <c r="BPL211" s="44"/>
      <c r="BPM211" s="44"/>
      <c r="BPN211" s="44"/>
      <c r="BPO211" s="44"/>
      <c r="BPP211" s="44"/>
      <c r="BPQ211" s="44"/>
      <c r="BPR211" s="44"/>
      <c r="BPS211" s="44"/>
      <c r="BPT211" s="44"/>
      <c r="BPU211" s="44"/>
      <c r="BPV211" s="44"/>
      <c r="BPW211" s="44"/>
      <c r="BPX211" s="44"/>
      <c r="BPY211" s="44"/>
      <c r="BPZ211" s="44"/>
      <c r="BQA211" s="44"/>
      <c r="BQB211" s="44"/>
      <c r="BQC211" s="44"/>
      <c r="BQD211" s="44"/>
      <c r="BQE211" s="44"/>
      <c r="BQF211" s="44"/>
      <c r="BQG211" s="44"/>
      <c r="BQH211" s="44"/>
      <c r="BQI211" s="44"/>
      <c r="BQJ211" s="44"/>
      <c r="BQK211" s="44"/>
      <c r="BQL211" s="44"/>
      <c r="BQM211" s="44"/>
      <c r="BQN211" s="44"/>
      <c r="BQO211" s="44"/>
      <c r="BQP211" s="44"/>
      <c r="BQQ211" s="44"/>
      <c r="BQR211" s="44"/>
      <c r="BQS211" s="44"/>
      <c r="BQT211" s="44"/>
      <c r="BQU211" s="44"/>
      <c r="BQV211" s="44"/>
      <c r="BQW211" s="44"/>
      <c r="BQX211" s="44"/>
      <c r="BQY211" s="44"/>
      <c r="BQZ211" s="44"/>
      <c r="BRA211" s="44"/>
      <c r="BRB211" s="44"/>
      <c r="BRC211" s="44"/>
      <c r="BRD211" s="44"/>
      <c r="BRE211" s="44"/>
      <c r="BRF211" s="44"/>
      <c r="BRG211" s="44"/>
      <c r="BRH211" s="44"/>
      <c r="BRI211" s="44"/>
      <c r="BRJ211" s="44"/>
      <c r="BRK211" s="44"/>
      <c r="BRL211" s="44"/>
      <c r="BRM211" s="44"/>
      <c r="BRN211" s="44"/>
      <c r="BRO211" s="44"/>
      <c r="BRP211" s="44"/>
      <c r="BRQ211" s="44"/>
      <c r="BRR211" s="44"/>
      <c r="BRS211" s="44"/>
      <c r="BRT211" s="44"/>
      <c r="BRU211" s="44"/>
      <c r="BRV211" s="44"/>
      <c r="BRW211" s="44"/>
      <c r="BRX211" s="44"/>
      <c r="BRY211" s="44"/>
      <c r="BRZ211" s="44"/>
      <c r="BSA211" s="44"/>
      <c r="BSB211" s="44"/>
      <c r="BSC211" s="44"/>
      <c r="BSD211" s="44"/>
      <c r="BSE211" s="44"/>
      <c r="BSF211" s="44"/>
      <c r="BSG211" s="44"/>
      <c r="BSH211" s="44"/>
      <c r="BSI211" s="44"/>
      <c r="BSJ211" s="44"/>
      <c r="BSK211" s="44"/>
      <c r="BSL211" s="44"/>
      <c r="BSM211" s="44"/>
      <c r="BSN211" s="44"/>
      <c r="BSO211" s="44"/>
      <c r="BSP211" s="44"/>
      <c r="BSQ211" s="44"/>
      <c r="BSR211" s="44"/>
      <c r="BSS211" s="44"/>
      <c r="BST211" s="44"/>
      <c r="BSU211" s="44"/>
      <c r="BSV211" s="44"/>
      <c r="BSW211" s="44"/>
      <c r="BSX211" s="44"/>
      <c r="BSY211" s="44"/>
      <c r="BSZ211" s="44"/>
      <c r="BTA211" s="44"/>
      <c r="BTB211" s="44"/>
      <c r="BTC211" s="44"/>
      <c r="BTD211" s="44"/>
      <c r="BTE211" s="44"/>
      <c r="BTF211" s="44"/>
      <c r="BTG211" s="44"/>
      <c r="BTH211" s="44"/>
      <c r="BTI211" s="44"/>
    </row>
    <row r="212" spans="1:1881" s="825" customFormat="1" ht="96.75" customHeight="1" x14ac:dyDescent="0.25">
      <c r="A212" s="317">
        <v>619</v>
      </c>
      <c r="B212" s="768" t="s">
        <v>61</v>
      </c>
      <c r="C212" s="768" t="s">
        <v>706</v>
      </c>
      <c r="D212" s="264" t="s">
        <v>717</v>
      </c>
      <c r="E212" s="588" t="e">
        <f>HLOOKUP($D$2,'2019 Data(H)'!$C$1:$CF$293,279,FALSE)</f>
        <v>#N/A</v>
      </c>
      <c r="F212" s="550"/>
      <c r="G212" s="461" t="str">
        <f>IF(ISBLANK(F212),"Please do not leave blank ",IF(F212=H212,"","Please review percentage"))</f>
        <v xml:space="preserve">Please do not leave blank </v>
      </c>
      <c r="H212" s="826">
        <f>ROUND(IFERROR((F211/F210)*100,0),1)</f>
        <v>0</v>
      </c>
      <c r="I212" s="756"/>
      <c r="J212" s="44"/>
      <c r="K212" s="44"/>
      <c r="L212" s="44"/>
      <c r="M212" s="44"/>
      <c r="N212" s="756"/>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c r="GX212" s="44"/>
      <c r="GY212" s="44"/>
      <c r="GZ212" s="44"/>
      <c r="HA212" s="44"/>
      <c r="HB212" s="44"/>
      <c r="HC212" s="44"/>
      <c r="HD212" s="44"/>
      <c r="HE212" s="44"/>
      <c r="HF212" s="44"/>
      <c r="HG212" s="44"/>
      <c r="HH212" s="44"/>
      <c r="HI212" s="44"/>
      <c r="HJ212" s="44"/>
      <c r="HK212" s="44"/>
      <c r="HL212" s="44"/>
      <c r="HM212" s="44"/>
      <c r="HN212" s="44"/>
      <c r="HO212" s="44"/>
      <c r="HP212" s="44"/>
      <c r="HQ212" s="44"/>
      <c r="HR212" s="44"/>
      <c r="HS212" s="44"/>
      <c r="HT212" s="44"/>
      <c r="HU212" s="44"/>
      <c r="HV212" s="44"/>
      <c r="HW212" s="44"/>
      <c r="HX212" s="44"/>
      <c r="HY212" s="44"/>
      <c r="HZ212" s="44"/>
      <c r="IA212" s="44"/>
      <c r="IB212" s="44"/>
      <c r="IC212" s="44"/>
      <c r="ID212" s="44"/>
      <c r="IE212" s="44"/>
      <c r="IF212" s="44"/>
      <c r="IG212" s="44"/>
      <c r="IH212" s="44"/>
      <c r="II212" s="44"/>
      <c r="IJ212" s="44"/>
      <c r="IK212" s="44"/>
      <c r="IL212" s="44"/>
      <c r="IM212" s="44"/>
      <c r="IN212" s="44"/>
      <c r="IO212" s="44"/>
      <c r="IP212" s="44"/>
      <c r="IQ212" s="44"/>
      <c r="IR212" s="44"/>
      <c r="IS212" s="44"/>
      <c r="IT212" s="44"/>
      <c r="IU212" s="44"/>
      <c r="IV212" s="44"/>
      <c r="IW212" s="44"/>
      <c r="IX212" s="44"/>
      <c r="IY212" s="44"/>
      <c r="IZ212" s="44"/>
      <c r="JA212" s="44"/>
      <c r="JB212" s="44"/>
      <c r="JC212" s="44"/>
      <c r="JD212" s="44"/>
      <c r="JE212" s="44"/>
      <c r="JF212" s="44"/>
      <c r="JG212" s="44"/>
      <c r="JH212" s="44"/>
      <c r="JI212" s="44"/>
      <c r="JJ212" s="44"/>
      <c r="JK212" s="44"/>
      <c r="JL212" s="44"/>
      <c r="JM212" s="44"/>
      <c r="JN212" s="44"/>
      <c r="JO212" s="44"/>
      <c r="JP212" s="44"/>
      <c r="JQ212" s="44"/>
      <c r="JR212" s="44"/>
      <c r="JS212" s="44"/>
      <c r="JT212" s="44"/>
      <c r="JU212" s="44"/>
      <c r="JV212" s="44"/>
      <c r="JW212" s="44"/>
      <c r="JX212" s="44"/>
      <c r="JY212" s="44"/>
      <c r="JZ212" s="44"/>
      <c r="KA212" s="44"/>
      <c r="KB212" s="44"/>
      <c r="KC212" s="44"/>
      <c r="KD212" s="44"/>
      <c r="KE212" s="44"/>
      <c r="KF212" s="44"/>
      <c r="KG212" s="44"/>
      <c r="KH212" s="44"/>
      <c r="KI212" s="44"/>
      <c r="KJ212" s="44"/>
      <c r="KK212" s="44"/>
      <c r="KL212" s="44"/>
      <c r="KM212" s="44"/>
      <c r="KN212" s="44"/>
      <c r="KO212" s="44"/>
      <c r="KP212" s="44"/>
      <c r="KQ212" s="44"/>
      <c r="KR212" s="44"/>
      <c r="KS212" s="44"/>
      <c r="KT212" s="44"/>
      <c r="KU212" s="44"/>
      <c r="KV212" s="44"/>
      <c r="KW212" s="44"/>
      <c r="KX212" s="44"/>
      <c r="KY212" s="44"/>
      <c r="KZ212" s="44"/>
      <c r="LA212" s="44"/>
      <c r="LB212" s="44"/>
      <c r="LC212" s="44"/>
      <c r="LD212" s="44"/>
      <c r="LE212" s="44"/>
      <c r="LF212" s="44"/>
      <c r="LG212" s="44"/>
      <c r="LH212" s="44"/>
      <c r="LI212" s="44"/>
      <c r="LJ212" s="44"/>
      <c r="LK212" s="44"/>
      <c r="LL212" s="44"/>
      <c r="LM212" s="44"/>
      <c r="LN212" s="44"/>
      <c r="LO212" s="44"/>
      <c r="LP212" s="44"/>
      <c r="LQ212" s="44"/>
      <c r="LR212" s="44"/>
      <c r="LS212" s="44"/>
      <c r="LT212" s="44"/>
      <c r="LU212" s="44"/>
      <c r="LV212" s="44"/>
      <c r="LW212" s="44"/>
      <c r="LX212" s="44"/>
      <c r="LY212" s="44"/>
      <c r="LZ212" s="44"/>
      <c r="MA212" s="44"/>
      <c r="MB212" s="44"/>
      <c r="MC212" s="44"/>
      <c r="MD212" s="44"/>
      <c r="ME212" s="44"/>
      <c r="MF212" s="44"/>
      <c r="MG212" s="44"/>
      <c r="MH212" s="44"/>
      <c r="MI212" s="44"/>
      <c r="MJ212" s="44"/>
      <c r="MK212" s="44"/>
      <c r="ML212" s="44"/>
      <c r="MM212" s="44"/>
      <c r="MN212" s="44"/>
      <c r="MO212" s="44"/>
      <c r="MP212" s="44"/>
      <c r="MQ212" s="44"/>
      <c r="MR212" s="44"/>
      <c r="MS212" s="44"/>
      <c r="MT212" s="44"/>
      <c r="MU212" s="44"/>
      <c r="MV212" s="44"/>
      <c r="MW212" s="44"/>
      <c r="MX212" s="44"/>
      <c r="MY212" s="44"/>
      <c r="MZ212" s="44"/>
      <c r="NA212" s="44"/>
      <c r="NB212" s="44"/>
      <c r="NC212" s="44"/>
      <c r="ND212" s="44"/>
      <c r="NE212" s="44"/>
      <c r="NF212" s="44"/>
      <c r="NG212" s="44"/>
      <c r="NH212" s="44"/>
      <c r="NI212" s="44"/>
      <c r="NJ212" s="44"/>
      <c r="NK212" s="44"/>
      <c r="NL212" s="44"/>
      <c r="NM212" s="44"/>
      <c r="NN212" s="44"/>
      <c r="NO212" s="44"/>
      <c r="NP212" s="44"/>
      <c r="NQ212" s="44"/>
      <c r="NR212" s="44"/>
      <c r="NS212" s="44"/>
      <c r="NT212" s="44"/>
      <c r="NU212" s="44"/>
      <c r="NV212" s="44"/>
      <c r="NW212" s="44"/>
      <c r="NX212" s="44"/>
      <c r="NY212" s="44"/>
      <c r="NZ212" s="44"/>
      <c r="OA212" s="44"/>
      <c r="OB212" s="44"/>
      <c r="OC212" s="44"/>
      <c r="OD212" s="44"/>
      <c r="OE212" s="44"/>
      <c r="OF212" s="44"/>
      <c r="OG212" s="44"/>
      <c r="OH212" s="44"/>
      <c r="OI212" s="44"/>
      <c r="OJ212" s="44"/>
      <c r="OK212" s="44"/>
      <c r="OL212" s="44"/>
      <c r="OM212" s="44"/>
      <c r="ON212" s="44"/>
      <c r="OO212" s="44"/>
      <c r="OP212" s="44"/>
      <c r="OQ212" s="44"/>
      <c r="OR212" s="44"/>
      <c r="OS212" s="44"/>
      <c r="OT212" s="44"/>
      <c r="OU212" s="44"/>
      <c r="OV212" s="44"/>
      <c r="OW212" s="44"/>
      <c r="OX212" s="44"/>
      <c r="OY212" s="44"/>
      <c r="OZ212" s="44"/>
      <c r="PA212" s="44"/>
      <c r="PB212" s="44"/>
      <c r="PC212" s="44"/>
      <c r="PD212" s="44"/>
      <c r="PE212" s="44"/>
      <c r="PF212" s="44"/>
      <c r="PG212" s="44"/>
      <c r="PH212" s="44"/>
      <c r="PI212" s="44"/>
      <c r="PJ212" s="44"/>
      <c r="PK212" s="44"/>
      <c r="PL212" s="44"/>
      <c r="PM212" s="44"/>
      <c r="PN212" s="44"/>
      <c r="PO212" s="44"/>
      <c r="PP212" s="44"/>
      <c r="PQ212" s="44"/>
      <c r="PR212" s="44"/>
      <c r="PS212" s="44"/>
      <c r="PT212" s="44"/>
      <c r="PU212" s="44"/>
      <c r="PV212" s="44"/>
      <c r="PW212" s="44"/>
      <c r="PX212" s="44"/>
      <c r="PY212" s="44"/>
      <c r="PZ212" s="44"/>
      <c r="QA212" s="44"/>
      <c r="QB212" s="44"/>
      <c r="QC212" s="44"/>
      <c r="QD212" s="44"/>
      <c r="QE212" s="44"/>
      <c r="QF212" s="44"/>
      <c r="QG212" s="44"/>
      <c r="QH212" s="44"/>
      <c r="QI212" s="44"/>
      <c r="QJ212" s="44"/>
      <c r="QK212" s="44"/>
      <c r="QL212" s="44"/>
      <c r="QM212" s="44"/>
      <c r="QN212" s="44"/>
      <c r="QO212" s="44"/>
      <c r="QP212" s="44"/>
      <c r="QQ212" s="44"/>
      <c r="QR212" s="44"/>
      <c r="QS212" s="44"/>
      <c r="QT212" s="44"/>
      <c r="QU212" s="44"/>
      <c r="QV212" s="44"/>
      <c r="QW212" s="44"/>
      <c r="QX212" s="44"/>
      <c r="QY212" s="44"/>
      <c r="QZ212" s="44"/>
      <c r="RA212" s="44"/>
      <c r="RB212" s="44"/>
      <c r="RC212" s="44"/>
      <c r="RD212" s="44"/>
      <c r="RE212" s="44"/>
      <c r="RF212" s="44"/>
      <c r="RG212" s="44"/>
      <c r="RH212" s="44"/>
      <c r="RI212" s="44"/>
      <c r="RJ212" s="44"/>
      <c r="RK212" s="44"/>
      <c r="RL212" s="44"/>
      <c r="RM212" s="44"/>
      <c r="RN212" s="44"/>
      <c r="RO212" s="44"/>
      <c r="RP212" s="44"/>
      <c r="RQ212" s="44"/>
      <c r="RR212" s="44"/>
      <c r="RS212" s="44"/>
      <c r="RT212" s="44"/>
      <c r="RU212" s="44"/>
      <c r="RV212" s="44"/>
      <c r="RW212" s="44"/>
      <c r="RX212" s="44"/>
      <c r="RY212" s="44"/>
      <c r="RZ212" s="44"/>
      <c r="SA212" s="44"/>
      <c r="SB212" s="44"/>
      <c r="SC212" s="44"/>
      <c r="SD212" s="44"/>
      <c r="SE212" s="44"/>
      <c r="SF212" s="44"/>
      <c r="SG212" s="44"/>
      <c r="SH212" s="44"/>
      <c r="SI212" s="44"/>
      <c r="SJ212" s="44"/>
      <c r="SK212" s="44"/>
      <c r="SL212" s="44"/>
      <c r="SM212" s="44"/>
      <c r="SN212" s="44"/>
      <c r="SO212" s="44"/>
      <c r="SP212" s="44"/>
      <c r="SQ212" s="44"/>
      <c r="SR212" s="44"/>
      <c r="SS212" s="44"/>
      <c r="ST212" s="44"/>
      <c r="SU212" s="44"/>
      <c r="SV212" s="44"/>
      <c r="SW212" s="44"/>
      <c r="SX212" s="44"/>
      <c r="SY212" s="44"/>
      <c r="SZ212" s="44"/>
      <c r="TA212" s="44"/>
      <c r="TB212" s="44"/>
      <c r="TC212" s="44"/>
      <c r="TD212" s="44"/>
      <c r="TE212" s="44"/>
      <c r="TF212" s="44"/>
      <c r="TG212" s="44"/>
      <c r="TH212" s="44"/>
      <c r="TI212" s="44"/>
      <c r="TJ212" s="44"/>
      <c r="TK212" s="44"/>
      <c r="TL212" s="44"/>
      <c r="TM212" s="44"/>
      <c r="TN212" s="44"/>
      <c r="TO212" s="44"/>
      <c r="TP212" s="44"/>
      <c r="TQ212" s="44"/>
      <c r="TR212" s="44"/>
      <c r="TS212" s="44"/>
      <c r="TT212" s="44"/>
      <c r="TU212" s="44"/>
      <c r="TV212" s="44"/>
      <c r="TW212" s="44"/>
      <c r="TX212" s="44"/>
      <c r="TY212" s="44"/>
      <c r="TZ212" s="44"/>
      <c r="UA212" s="44"/>
      <c r="UB212" s="44"/>
      <c r="UC212" s="44"/>
      <c r="UD212" s="44"/>
      <c r="UE212" s="44"/>
      <c r="UF212" s="44"/>
      <c r="UG212" s="44"/>
      <c r="UH212" s="44"/>
      <c r="UI212" s="44"/>
      <c r="UJ212" s="44"/>
      <c r="UK212" s="44"/>
      <c r="UL212" s="44"/>
      <c r="UM212" s="44"/>
      <c r="UN212" s="44"/>
      <c r="UO212" s="44"/>
      <c r="UP212" s="44"/>
      <c r="UQ212" s="44"/>
      <c r="UR212" s="44"/>
      <c r="US212" s="44"/>
      <c r="UT212" s="44"/>
      <c r="UU212" s="44"/>
      <c r="UV212" s="44"/>
      <c r="UW212" s="44"/>
      <c r="UX212" s="44"/>
      <c r="UY212" s="44"/>
      <c r="UZ212" s="44"/>
      <c r="VA212" s="44"/>
      <c r="VB212" s="44"/>
      <c r="VC212" s="44"/>
      <c r="VD212" s="44"/>
      <c r="VE212" s="44"/>
      <c r="VF212" s="44"/>
      <c r="VG212" s="44"/>
      <c r="VH212" s="44"/>
      <c r="VI212" s="44"/>
      <c r="VJ212" s="44"/>
      <c r="VK212" s="44"/>
      <c r="VL212" s="44"/>
      <c r="VM212" s="44"/>
      <c r="VN212" s="44"/>
      <c r="VO212" s="44"/>
      <c r="VP212" s="44"/>
      <c r="VQ212" s="44"/>
      <c r="VR212" s="44"/>
      <c r="VS212" s="44"/>
      <c r="VT212" s="44"/>
      <c r="VU212" s="44"/>
      <c r="VV212" s="44"/>
      <c r="VW212" s="44"/>
      <c r="VX212" s="44"/>
      <c r="VY212" s="44"/>
      <c r="VZ212" s="44"/>
      <c r="WA212" s="44"/>
      <c r="WB212" s="44"/>
      <c r="WC212" s="44"/>
      <c r="WD212" s="44"/>
      <c r="WE212" s="44"/>
      <c r="WF212" s="44"/>
      <c r="WG212" s="44"/>
      <c r="WH212" s="44"/>
      <c r="WI212" s="44"/>
      <c r="WJ212" s="44"/>
      <c r="WK212" s="44"/>
      <c r="WL212" s="44"/>
      <c r="WM212" s="44"/>
      <c r="WN212" s="44"/>
      <c r="WO212" s="44"/>
      <c r="WP212" s="44"/>
      <c r="WQ212" s="44"/>
      <c r="WR212" s="44"/>
      <c r="WS212" s="44"/>
      <c r="WT212" s="44"/>
      <c r="WU212" s="44"/>
      <c r="WV212" s="44"/>
      <c r="WW212" s="44"/>
      <c r="WX212" s="44"/>
      <c r="WY212" s="44"/>
      <c r="WZ212" s="44"/>
      <c r="XA212" s="44"/>
      <c r="XB212" s="44"/>
      <c r="XC212" s="44"/>
      <c r="XD212" s="44"/>
      <c r="XE212" s="44"/>
      <c r="XF212" s="44"/>
      <c r="XG212" s="44"/>
      <c r="XH212" s="44"/>
      <c r="XI212" s="44"/>
      <c r="XJ212" s="44"/>
      <c r="XK212" s="44"/>
      <c r="XL212" s="44"/>
      <c r="XM212" s="44"/>
      <c r="XN212" s="44"/>
      <c r="XO212" s="44"/>
      <c r="XP212" s="44"/>
      <c r="XQ212" s="44"/>
      <c r="XR212" s="44"/>
      <c r="XS212" s="44"/>
      <c r="XT212" s="44"/>
      <c r="XU212" s="44"/>
      <c r="XV212" s="44"/>
      <c r="XW212" s="44"/>
      <c r="XX212" s="44"/>
      <c r="XY212" s="44"/>
      <c r="XZ212" s="44"/>
      <c r="YA212" s="44"/>
      <c r="YB212" s="44"/>
      <c r="YC212" s="44"/>
      <c r="YD212" s="44"/>
      <c r="YE212" s="44"/>
      <c r="YF212" s="44"/>
      <c r="YG212" s="44"/>
      <c r="YH212" s="44"/>
      <c r="YI212" s="44"/>
      <c r="YJ212" s="44"/>
      <c r="YK212" s="44"/>
      <c r="YL212" s="44"/>
      <c r="YM212" s="44"/>
      <c r="YN212" s="44"/>
      <c r="YO212" s="44"/>
      <c r="YP212" s="44"/>
      <c r="YQ212" s="44"/>
      <c r="YR212" s="44"/>
      <c r="YS212" s="44"/>
      <c r="YT212" s="44"/>
      <c r="YU212" s="44"/>
      <c r="YV212" s="44"/>
      <c r="YW212" s="44"/>
      <c r="YX212" s="44"/>
      <c r="YY212" s="44"/>
      <c r="YZ212" s="44"/>
      <c r="ZA212" s="44"/>
      <c r="ZB212" s="44"/>
      <c r="ZC212" s="44"/>
      <c r="ZD212" s="44"/>
      <c r="ZE212" s="44"/>
      <c r="ZF212" s="44"/>
      <c r="ZG212" s="44"/>
      <c r="ZH212" s="44"/>
      <c r="ZI212" s="44"/>
      <c r="ZJ212" s="44"/>
      <c r="ZK212" s="44"/>
      <c r="ZL212" s="44"/>
      <c r="ZM212" s="44"/>
      <c r="ZN212" s="44"/>
      <c r="ZO212" s="44"/>
      <c r="ZP212" s="44"/>
      <c r="ZQ212" s="44"/>
      <c r="ZR212" s="44"/>
      <c r="ZS212" s="44"/>
      <c r="ZT212" s="44"/>
      <c r="ZU212" s="44"/>
      <c r="ZV212" s="44"/>
      <c r="ZW212" s="44"/>
      <c r="ZX212" s="44"/>
      <c r="ZY212" s="44"/>
      <c r="ZZ212" s="44"/>
      <c r="AAA212" s="44"/>
      <c r="AAB212" s="44"/>
      <c r="AAC212" s="44"/>
      <c r="AAD212" s="44"/>
      <c r="AAE212" s="44"/>
      <c r="AAF212" s="44"/>
      <c r="AAG212" s="44"/>
      <c r="AAH212" s="44"/>
      <c r="AAI212" s="44"/>
      <c r="AAJ212" s="44"/>
      <c r="AAK212" s="44"/>
      <c r="AAL212" s="44"/>
      <c r="AAM212" s="44"/>
      <c r="AAN212" s="44"/>
      <c r="AAO212" s="44"/>
      <c r="AAP212" s="44"/>
      <c r="AAQ212" s="44"/>
      <c r="AAR212" s="44"/>
      <c r="AAS212" s="44"/>
      <c r="AAT212" s="44"/>
      <c r="AAU212" s="44"/>
      <c r="AAV212" s="44"/>
      <c r="AAW212" s="44"/>
      <c r="AAX212" s="44"/>
      <c r="AAY212" s="44"/>
      <c r="AAZ212" s="44"/>
      <c r="ABA212" s="44"/>
      <c r="ABB212" s="44"/>
      <c r="ABC212" s="44"/>
      <c r="ABD212" s="44"/>
      <c r="ABE212" s="44"/>
      <c r="ABF212" s="44"/>
      <c r="ABG212" s="44"/>
      <c r="ABH212" s="44"/>
      <c r="ABI212" s="44"/>
      <c r="ABJ212" s="44"/>
      <c r="ABK212" s="44"/>
      <c r="ABL212" s="44"/>
      <c r="ABM212" s="44"/>
      <c r="ABN212" s="44"/>
      <c r="ABO212" s="44"/>
      <c r="ABP212" s="44"/>
      <c r="ABQ212" s="44"/>
      <c r="ABR212" s="44"/>
      <c r="ABS212" s="44"/>
      <c r="ABT212" s="44"/>
      <c r="ABU212" s="44"/>
      <c r="ABV212" s="44"/>
      <c r="ABW212" s="44"/>
      <c r="ABX212" s="44"/>
      <c r="ABY212" s="44"/>
      <c r="ABZ212" s="44"/>
      <c r="ACA212" s="44"/>
      <c r="ACB212" s="44"/>
      <c r="ACC212" s="44"/>
      <c r="ACD212" s="44"/>
      <c r="ACE212" s="44"/>
      <c r="ACF212" s="44"/>
      <c r="ACG212" s="44"/>
      <c r="ACH212" s="44"/>
      <c r="ACI212" s="44"/>
      <c r="ACJ212" s="44"/>
      <c r="ACK212" s="44"/>
      <c r="ACL212" s="44"/>
      <c r="ACM212" s="44"/>
      <c r="ACN212" s="44"/>
      <c r="ACO212" s="44"/>
      <c r="ACP212" s="44"/>
      <c r="ACQ212" s="44"/>
      <c r="ACR212" s="44"/>
      <c r="ACS212" s="44"/>
      <c r="ACT212" s="44"/>
      <c r="ACU212" s="44"/>
      <c r="ACV212" s="44"/>
      <c r="ACW212" s="44"/>
      <c r="ACX212" s="44"/>
      <c r="ACY212" s="44"/>
      <c r="ACZ212" s="44"/>
      <c r="ADA212" s="44"/>
      <c r="ADB212" s="44"/>
      <c r="ADC212" s="44"/>
      <c r="ADD212" s="44"/>
      <c r="ADE212" s="44"/>
      <c r="ADF212" s="44"/>
      <c r="ADG212" s="44"/>
      <c r="ADH212" s="44"/>
      <c r="ADI212" s="44"/>
      <c r="ADJ212" s="44"/>
      <c r="ADK212" s="44"/>
      <c r="ADL212" s="44"/>
      <c r="ADM212" s="44"/>
      <c r="ADN212" s="44"/>
      <c r="ADO212" s="44"/>
      <c r="ADP212" s="44"/>
      <c r="ADQ212" s="44"/>
      <c r="ADR212" s="44"/>
      <c r="ADS212" s="44"/>
      <c r="ADT212" s="44"/>
      <c r="ADU212" s="44"/>
      <c r="ADV212" s="44"/>
      <c r="ADW212" s="44"/>
      <c r="ADX212" s="44"/>
      <c r="ADY212" s="44"/>
      <c r="ADZ212" s="44"/>
      <c r="AEA212" s="44"/>
      <c r="AEB212" s="44"/>
      <c r="AEC212" s="44"/>
      <c r="AED212" s="44"/>
      <c r="AEE212" s="44"/>
      <c r="AEF212" s="44"/>
      <c r="AEG212" s="44"/>
      <c r="AEH212" s="44"/>
      <c r="AEI212" s="44"/>
      <c r="AEJ212" s="44"/>
      <c r="AEK212" s="44"/>
      <c r="AEL212" s="44"/>
      <c r="AEM212" s="44"/>
      <c r="AEN212" s="44"/>
      <c r="AEO212" s="44"/>
      <c r="AEP212" s="44"/>
      <c r="AEQ212" s="44"/>
      <c r="AER212" s="44"/>
      <c r="AES212" s="44"/>
      <c r="AET212" s="44"/>
      <c r="AEU212" s="44"/>
      <c r="AEV212" s="44"/>
      <c r="AEW212" s="44"/>
      <c r="AEX212" s="44"/>
      <c r="AEY212" s="44"/>
      <c r="AEZ212" s="44"/>
      <c r="AFA212" s="44"/>
      <c r="AFB212" s="44"/>
      <c r="AFC212" s="44"/>
      <c r="AFD212" s="44"/>
      <c r="AFE212" s="44"/>
      <c r="AFF212" s="44"/>
      <c r="AFG212" s="44"/>
      <c r="AFH212" s="44"/>
      <c r="AFI212" s="44"/>
      <c r="AFJ212" s="44"/>
      <c r="AFK212" s="44"/>
      <c r="AFL212" s="44"/>
      <c r="AFM212" s="44"/>
      <c r="AFN212" s="44"/>
      <c r="AFO212" s="44"/>
      <c r="AFP212" s="44"/>
      <c r="AFQ212" s="44"/>
      <c r="AFR212" s="44"/>
      <c r="AFS212" s="44"/>
      <c r="AFT212" s="44"/>
      <c r="AFU212" s="44"/>
      <c r="AFV212" s="44"/>
      <c r="AFW212" s="44"/>
      <c r="AFX212" s="44"/>
      <c r="AFY212" s="44"/>
      <c r="AFZ212" s="44"/>
      <c r="AGA212" s="44"/>
      <c r="AGB212" s="44"/>
      <c r="AGC212" s="44"/>
      <c r="AGD212" s="44"/>
      <c r="AGE212" s="44"/>
      <c r="AGF212" s="44"/>
      <c r="AGG212" s="44"/>
      <c r="AGH212" s="44"/>
      <c r="AGI212" s="44"/>
      <c r="AGJ212" s="44"/>
      <c r="AGK212" s="44"/>
      <c r="AGL212" s="44"/>
      <c r="AGM212" s="44"/>
      <c r="AGN212" s="44"/>
      <c r="AGO212" s="44"/>
      <c r="AGP212" s="44"/>
      <c r="AGQ212" s="44"/>
      <c r="AGR212" s="44"/>
      <c r="AGS212" s="44"/>
      <c r="AGT212" s="44"/>
      <c r="AGU212" s="44"/>
      <c r="AGV212" s="44"/>
      <c r="AGW212" s="44"/>
      <c r="AGX212" s="44"/>
      <c r="AGY212" s="44"/>
      <c r="AGZ212" s="44"/>
      <c r="AHA212" s="44"/>
      <c r="AHB212" s="44"/>
      <c r="AHC212" s="44"/>
      <c r="AHD212" s="44"/>
      <c r="AHE212" s="44"/>
      <c r="AHF212" s="44"/>
      <c r="AHG212" s="44"/>
      <c r="AHH212" s="44"/>
      <c r="AHI212" s="44"/>
      <c r="AHJ212" s="44"/>
      <c r="AHK212" s="44"/>
      <c r="AHL212" s="44"/>
      <c r="AHM212" s="44"/>
      <c r="AHN212" s="44"/>
      <c r="AHO212" s="44"/>
      <c r="AHP212" s="44"/>
      <c r="AHQ212" s="44"/>
      <c r="AHR212" s="44"/>
      <c r="AHS212" s="44"/>
      <c r="AHT212" s="44"/>
      <c r="AHU212" s="44"/>
      <c r="AHV212" s="44"/>
      <c r="AHW212" s="44"/>
      <c r="AHX212" s="44"/>
      <c r="AHY212" s="44"/>
      <c r="AHZ212" s="44"/>
      <c r="AIA212" s="44"/>
      <c r="AIB212" s="44"/>
      <c r="AIC212" s="44"/>
      <c r="AID212" s="44"/>
      <c r="AIE212" s="44"/>
      <c r="AIF212" s="44"/>
      <c r="AIG212" s="44"/>
      <c r="AIH212" s="44"/>
      <c r="AII212" s="44"/>
      <c r="AIJ212" s="44"/>
      <c r="AIK212" s="44"/>
      <c r="AIL212" s="44"/>
      <c r="AIM212" s="44"/>
      <c r="AIN212" s="44"/>
      <c r="AIO212" s="44"/>
      <c r="AIP212" s="44"/>
      <c r="AIQ212" s="44"/>
      <c r="AIR212" s="44"/>
      <c r="AIS212" s="44"/>
      <c r="AIT212" s="44"/>
      <c r="AIU212" s="44"/>
      <c r="AIV212" s="44"/>
      <c r="AIW212" s="44"/>
      <c r="AIX212" s="44"/>
      <c r="AIY212" s="44"/>
      <c r="AIZ212" s="44"/>
      <c r="AJA212" s="44"/>
      <c r="AJB212" s="44"/>
      <c r="AJC212" s="44"/>
      <c r="AJD212" s="44"/>
      <c r="AJE212" s="44"/>
      <c r="AJF212" s="44"/>
      <c r="AJG212" s="44"/>
      <c r="AJH212" s="44"/>
      <c r="AJI212" s="44"/>
      <c r="AJJ212" s="44"/>
      <c r="AJK212" s="44"/>
      <c r="AJL212" s="44"/>
      <c r="AJM212" s="44"/>
      <c r="AJN212" s="44"/>
      <c r="AJO212" s="44"/>
      <c r="AJP212" s="44"/>
      <c r="AJQ212" s="44"/>
      <c r="AJR212" s="44"/>
      <c r="AJS212" s="44"/>
      <c r="AJT212" s="44"/>
      <c r="AJU212" s="44"/>
      <c r="AJV212" s="44"/>
      <c r="AJW212" s="44"/>
      <c r="AJX212" s="44"/>
      <c r="AJY212" s="44"/>
      <c r="AJZ212" s="44"/>
      <c r="AKA212" s="44"/>
      <c r="AKB212" s="44"/>
      <c r="AKC212" s="44"/>
      <c r="AKD212" s="44"/>
      <c r="AKE212" s="44"/>
      <c r="AKF212" s="44"/>
      <c r="AKG212" s="44"/>
      <c r="AKH212" s="44"/>
      <c r="AKI212" s="44"/>
      <c r="AKJ212" s="44"/>
      <c r="AKK212" s="44"/>
      <c r="AKL212" s="44"/>
      <c r="AKM212" s="44"/>
      <c r="AKN212" s="44"/>
      <c r="AKO212" s="44"/>
      <c r="AKP212" s="44"/>
      <c r="AKQ212" s="44"/>
      <c r="AKR212" s="44"/>
      <c r="AKS212" s="44"/>
      <c r="AKT212" s="44"/>
      <c r="AKU212" s="44"/>
      <c r="AKV212" s="44"/>
      <c r="AKW212" s="44"/>
      <c r="AKX212" s="44"/>
      <c r="AKY212" s="44"/>
      <c r="AKZ212" s="44"/>
      <c r="ALA212" s="44"/>
      <c r="ALB212" s="44"/>
      <c r="ALC212" s="44"/>
      <c r="ALD212" s="44"/>
      <c r="ALE212" s="44"/>
      <c r="ALF212" s="44"/>
      <c r="ALG212" s="44"/>
      <c r="ALH212" s="44"/>
      <c r="ALI212" s="44"/>
      <c r="ALJ212" s="44"/>
      <c r="ALK212" s="44"/>
      <c r="ALL212" s="44"/>
      <c r="ALM212" s="44"/>
      <c r="ALN212" s="44"/>
      <c r="ALO212" s="44"/>
      <c r="ALP212" s="44"/>
      <c r="ALQ212" s="44"/>
      <c r="ALR212" s="44"/>
      <c r="ALS212" s="44"/>
      <c r="ALT212" s="44"/>
      <c r="ALU212" s="44"/>
      <c r="ALV212" s="44"/>
      <c r="ALW212" s="44"/>
      <c r="ALX212" s="44"/>
      <c r="ALY212" s="44"/>
      <c r="ALZ212" s="44"/>
      <c r="AMA212" s="44"/>
      <c r="AMB212" s="44"/>
      <c r="AMC212" s="44"/>
      <c r="AMD212" s="44"/>
      <c r="AME212" s="44"/>
      <c r="AMF212" s="44"/>
      <c r="AMG212" s="44"/>
      <c r="AMH212" s="44"/>
      <c r="AMI212" s="44"/>
      <c r="AMJ212" s="44"/>
      <c r="AMK212" s="44"/>
      <c r="AML212" s="44"/>
      <c r="AMM212" s="44"/>
      <c r="AMN212" s="44"/>
      <c r="AMO212" s="44"/>
      <c r="AMP212" s="44"/>
      <c r="AMQ212" s="44"/>
      <c r="AMR212" s="44"/>
      <c r="AMS212" s="44"/>
      <c r="AMT212" s="44"/>
      <c r="AMU212" s="44"/>
      <c r="AMV212" s="44"/>
      <c r="AMW212" s="44"/>
      <c r="AMX212" s="44"/>
      <c r="AMY212" s="44"/>
      <c r="AMZ212" s="44"/>
      <c r="ANA212" s="44"/>
      <c r="ANB212" s="44"/>
      <c r="ANC212" s="44"/>
      <c r="AND212" s="44"/>
      <c r="ANE212" s="44"/>
      <c r="ANF212" s="44"/>
      <c r="ANG212" s="44"/>
      <c r="ANH212" s="44"/>
      <c r="ANI212" s="44"/>
      <c r="ANJ212" s="44"/>
      <c r="ANK212" s="44"/>
      <c r="ANL212" s="44"/>
      <c r="ANM212" s="44"/>
      <c r="ANN212" s="44"/>
      <c r="ANO212" s="44"/>
      <c r="ANP212" s="44"/>
      <c r="ANQ212" s="44"/>
      <c r="ANR212" s="44"/>
      <c r="ANS212" s="44"/>
      <c r="ANT212" s="44"/>
      <c r="ANU212" s="44"/>
      <c r="ANV212" s="44"/>
      <c r="ANW212" s="44"/>
      <c r="ANX212" s="44"/>
      <c r="ANY212" s="44"/>
      <c r="ANZ212" s="44"/>
      <c r="AOA212" s="44"/>
      <c r="AOB212" s="44"/>
      <c r="AOC212" s="44"/>
      <c r="AOD212" s="44"/>
      <c r="AOE212" s="44"/>
      <c r="AOF212" s="44"/>
      <c r="AOG212" s="44"/>
      <c r="AOH212" s="44"/>
      <c r="AOI212" s="44"/>
      <c r="AOJ212" s="44"/>
      <c r="AOK212" s="44"/>
      <c r="AOL212" s="44"/>
      <c r="AOM212" s="44"/>
      <c r="AON212" s="44"/>
      <c r="AOO212" s="44"/>
      <c r="AOP212" s="44"/>
      <c r="AOQ212" s="44"/>
      <c r="AOR212" s="44"/>
      <c r="AOS212" s="44"/>
      <c r="AOT212" s="44"/>
      <c r="AOU212" s="44"/>
      <c r="AOV212" s="44"/>
      <c r="AOW212" s="44"/>
      <c r="AOX212" s="44"/>
      <c r="AOY212" s="44"/>
      <c r="AOZ212" s="44"/>
      <c r="APA212" s="44"/>
      <c r="APB212" s="44"/>
      <c r="APC212" s="44"/>
      <c r="APD212" s="44"/>
      <c r="APE212" s="44"/>
      <c r="APF212" s="44"/>
      <c r="APG212" s="44"/>
      <c r="APH212" s="44"/>
      <c r="API212" s="44"/>
      <c r="APJ212" s="44"/>
      <c r="APK212" s="44"/>
      <c r="APL212" s="44"/>
      <c r="APM212" s="44"/>
      <c r="APN212" s="44"/>
      <c r="APO212" s="44"/>
      <c r="APP212" s="44"/>
      <c r="APQ212" s="44"/>
      <c r="APR212" s="44"/>
      <c r="APS212" s="44"/>
      <c r="APT212" s="44"/>
      <c r="APU212" s="44"/>
      <c r="APV212" s="44"/>
      <c r="APW212" s="44"/>
      <c r="APX212" s="44"/>
      <c r="APY212" s="44"/>
      <c r="APZ212" s="44"/>
      <c r="AQA212" s="44"/>
      <c r="AQB212" s="44"/>
      <c r="AQC212" s="44"/>
      <c r="AQD212" s="44"/>
      <c r="AQE212" s="44"/>
      <c r="AQF212" s="44"/>
      <c r="AQG212" s="44"/>
      <c r="AQH212" s="44"/>
      <c r="AQI212" s="44"/>
      <c r="AQJ212" s="44"/>
      <c r="AQK212" s="44"/>
      <c r="AQL212" s="44"/>
      <c r="AQM212" s="44"/>
      <c r="AQN212" s="44"/>
      <c r="AQO212" s="44"/>
      <c r="AQP212" s="44"/>
      <c r="AQQ212" s="44"/>
      <c r="AQR212" s="44"/>
      <c r="AQS212" s="44"/>
      <c r="AQT212" s="44"/>
      <c r="AQU212" s="44"/>
      <c r="AQV212" s="44"/>
      <c r="AQW212" s="44"/>
      <c r="AQX212" s="44"/>
      <c r="AQY212" s="44"/>
      <c r="AQZ212" s="44"/>
      <c r="ARA212" s="44"/>
      <c r="ARB212" s="44"/>
      <c r="ARC212" s="44"/>
      <c r="ARD212" s="44"/>
      <c r="ARE212" s="44"/>
      <c r="ARF212" s="44"/>
      <c r="ARG212" s="44"/>
      <c r="ARH212" s="44"/>
      <c r="ARI212" s="44"/>
      <c r="ARJ212" s="44"/>
      <c r="ARK212" s="44"/>
      <c r="ARL212" s="44"/>
      <c r="ARM212" s="44"/>
      <c r="ARN212" s="44"/>
      <c r="ARO212" s="44"/>
      <c r="ARP212" s="44"/>
      <c r="ARQ212" s="44"/>
      <c r="ARR212" s="44"/>
      <c r="ARS212" s="44"/>
      <c r="ART212" s="44"/>
      <c r="ARU212" s="44"/>
      <c r="ARV212" s="44"/>
      <c r="ARW212" s="44"/>
      <c r="ARX212" s="44"/>
      <c r="ARY212" s="44"/>
      <c r="ARZ212" s="44"/>
      <c r="ASA212" s="44"/>
      <c r="ASB212" s="44"/>
      <c r="ASC212" s="44"/>
      <c r="ASD212" s="44"/>
      <c r="ASE212" s="44"/>
      <c r="ASF212" s="44"/>
      <c r="ASG212" s="44"/>
      <c r="ASH212" s="44"/>
      <c r="ASI212" s="44"/>
      <c r="ASJ212" s="44"/>
      <c r="ASK212" s="44"/>
      <c r="ASL212" s="44"/>
      <c r="ASM212" s="44"/>
      <c r="ASN212" s="44"/>
      <c r="ASO212" s="44"/>
      <c r="ASP212" s="44"/>
      <c r="ASQ212" s="44"/>
      <c r="ASR212" s="44"/>
      <c r="ASS212" s="44"/>
      <c r="AST212" s="44"/>
      <c r="ASU212" s="44"/>
      <c r="ASV212" s="44"/>
      <c r="ASW212" s="44"/>
      <c r="ASX212" s="44"/>
      <c r="ASY212" s="44"/>
      <c r="ASZ212" s="44"/>
      <c r="ATA212" s="44"/>
      <c r="ATB212" s="44"/>
      <c r="ATC212" s="44"/>
      <c r="ATD212" s="44"/>
      <c r="ATE212" s="44"/>
      <c r="ATF212" s="44"/>
      <c r="ATG212" s="44"/>
      <c r="ATH212" s="44"/>
      <c r="ATI212" s="44"/>
      <c r="ATJ212" s="44"/>
      <c r="ATK212" s="44"/>
      <c r="ATL212" s="44"/>
      <c r="ATM212" s="44"/>
      <c r="ATN212" s="44"/>
      <c r="ATO212" s="44"/>
      <c r="ATP212" s="44"/>
      <c r="ATQ212" s="44"/>
      <c r="ATR212" s="44"/>
      <c r="ATS212" s="44"/>
      <c r="ATT212" s="44"/>
      <c r="ATU212" s="44"/>
      <c r="ATV212" s="44"/>
      <c r="ATW212" s="44"/>
      <c r="ATX212" s="44"/>
      <c r="ATY212" s="44"/>
      <c r="ATZ212" s="44"/>
      <c r="AUA212" s="44"/>
      <c r="AUB212" s="44"/>
      <c r="AUC212" s="44"/>
      <c r="AUD212" s="44"/>
      <c r="AUE212" s="44"/>
      <c r="AUF212" s="44"/>
      <c r="AUG212" s="44"/>
      <c r="AUH212" s="44"/>
      <c r="AUI212" s="44"/>
      <c r="AUJ212" s="44"/>
      <c r="AUK212" s="44"/>
      <c r="AUL212" s="44"/>
      <c r="AUM212" s="44"/>
      <c r="AUN212" s="44"/>
      <c r="AUO212" s="44"/>
      <c r="AUP212" s="44"/>
      <c r="AUQ212" s="44"/>
      <c r="AUR212" s="44"/>
      <c r="AUS212" s="44"/>
      <c r="AUT212" s="44"/>
      <c r="AUU212" s="44"/>
      <c r="AUV212" s="44"/>
      <c r="AUW212" s="44"/>
      <c r="AUX212" s="44"/>
      <c r="AUY212" s="44"/>
      <c r="AUZ212" s="44"/>
      <c r="AVA212" s="44"/>
      <c r="AVB212" s="44"/>
      <c r="AVC212" s="44"/>
      <c r="AVD212" s="44"/>
      <c r="AVE212" s="44"/>
      <c r="AVF212" s="44"/>
      <c r="AVG212" s="44"/>
      <c r="AVH212" s="44"/>
      <c r="AVI212" s="44"/>
      <c r="AVJ212" s="44"/>
      <c r="AVK212" s="44"/>
      <c r="AVL212" s="44"/>
      <c r="AVM212" s="44"/>
      <c r="AVN212" s="44"/>
      <c r="AVO212" s="44"/>
      <c r="AVP212" s="44"/>
      <c r="AVQ212" s="44"/>
      <c r="AVR212" s="44"/>
      <c r="AVS212" s="44"/>
      <c r="AVT212" s="44"/>
      <c r="AVU212" s="44"/>
      <c r="AVV212" s="44"/>
      <c r="AVW212" s="44"/>
      <c r="AVX212" s="44"/>
      <c r="AVY212" s="44"/>
      <c r="AVZ212" s="44"/>
      <c r="AWA212" s="44"/>
      <c r="AWB212" s="44"/>
      <c r="AWC212" s="44"/>
      <c r="AWD212" s="44"/>
      <c r="AWE212" s="44"/>
      <c r="AWF212" s="44"/>
      <c r="AWG212" s="44"/>
      <c r="AWH212" s="44"/>
      <c r="AWI212" s="44"/>
      <c r="AWJ212" s="44"/>
      <c r="AWK212" s="44"/>
      <c r="AWL212" s="44"/>
      <c r="AWM212" s="44"/>
      <c r="AWN212" s="44"/>
      <c r="AWO212" s="44"/>
      <c r="AWP212" s="44"/>
      <c r="AWQ212" s="44"/>
      <c r="AWR212" s="44"/>
      <c r="AWS212" s="44"/>
      <c r="AWT212" s="44"/>
      <c r="AWU212" s="44"/>
      <c r="AWV212" s="44"/>
      <c r="AWW212" s="44"/>
      <c r="AWX212" s="44"/>
      <c r="AWY212" s="44"/>
      <c r="AWZ212" s="44"/>
      <c r="AXA212" s="44"/>
      <c r="AXB212" s="44"/>
      <c r="AXC212" s="44"/>
      <c r="AXD212" s="44"/>
      <c r="AXE212" s="44"/>
      <c r="AXF212" s="44"/>
      <c r="AXG212" s="44"/>
      <c r="AXH212" s="44"/>
      <c r="AXI212" s="44"/>
      <c r="AXJ212" s="44"/>
      <c r="AXK212" s="44"/>
      <c r="AXL212" s="44"/>
      <c r="AXM212" s="44"/>
      <c r="AXN212" s="44"/>
      <c r="AXO212" s="44"/>
      <c r="AXP212" s="44"/>
      <c r="AXQ212" s="44"/>
      <c r="AXR212" s="44"/>
      <c r="AXS212" s="44"/>
      <c r="AXT212" s="44"/>
      <c r="AXU212" s="44"/>
      <c r="AXV212" s="44"/>
      <c r="AXW212" s="44"/>
      <c r="AXX212" s="44"/>
      <c r="AXY212" s="44"/>
      <c r="AXZ212" s="44"/>
      <c r="AYA212" s="44"/>
      <c r="AYB212" s="44"/>
      <c r="AYC212" s="44"/>
      <c r="AYD212" s="44"/>
      <c r="AYE212" s="44"/>
      <c r="AYF212" s="44"/>
      <c r="AYG212" s="44"/>
      <c r="AYH212" s="44"/>
      <c r="AYI212" s="44"/>
      <c r="AYJ212" s="44"/>
      <c r="AYK212" s="44"/>
      <c r="AYL212" s="44"/>
      <c r="AYM212" s="44"/>
      <c r="AYN212" s="44"/>
      <c r="AYO212" s="44"/>
      <c r="AYP212" s="44"/>
      <c r="AYQ212" s="44"/>
      <c r="AYR212" s="44"/>
      <c r="AYS212" s="44"/>
      <c r="AYT212" s="44"/>
      <c r="AYU212" s="44"/>
      <c r="AYV212" s="44"/>
      <c r="AYW212" s="44"/>
      <c r="AYX212" s="44"/>
      <c r="AYY212" s="44"/>
      <c r="AYZ212" s="44"/>
      <c r="AZA212" s="44"/>
      <c r="AZB212" s="44"/>
      <c r="AZC212" s="44"/>
      <c r="AZD212" s="44"/>
      <c r="AZE212" s="44"/>
      <c r="AZF212" s="44"/>
      <c r="AZG212" s="44"/>
      <c r="AZH212" s="44"/>
      <c r="AZI212" s="44"/>
      <c r="AZJ212" s="44"/>
      <c r="AZK212" s="44"/>
      <c r="AZL212" s="44"/>
      <c r="AZM212" s="44"/>
      <c r="AZN212" s="44"/>
      <c r="AZO212" s="44"/>
      <c r="AZP212" s="44"/>
      <c r="AZQ212" s="44"/>
      <c r="AZR212" s="44"/>
      <c r="AZS212" s="44"/>
      <c r="AZT212" s="44"/>
      <c r="AZU212" s="44"/>
      <c r="AZV212" s="44"/>
      <c r="AZW212" s="44"/>
      <c r="AZX212" s="44"/>
      <c r="AZY212" s="44"/>
      <c r="AZZ212" s="44"/>
      <c r="BAA212" s="44"/>
      <c r="BAB212" s="44"/>
      <c r="BAC212" s="44"/>
      <c r="BAD212" s="44"/>
      <c r="BAE212" s="44"/>
      <c r="BAF212" s="44"/>
      <c r="BAG212" s="44"/>
      <c r="BAH212" s="44"/>
      <c r="BAI212" s="44"/>
      <c r="BAJ212" s="44"/>
      <c r="BAK212" s="44"/>
      <c r="BAL212" s="44"/>
      <c r="BAM212" s="44"/>
      <c r="BAN212" s="44"/>
      <c r="BAO212" s="44"/>
      <c r="BAP212" s="44"/>
      <c r="BAQ212" s="44"/>
      <c r="BAR212" s="44"/>
      <c r="BAS212" s="44"/>
      <c r="BAT212" s="44"/>
      <c r="BAU212" s="44"/>
      <c r="BAV212" s="44"/>
      <c r="BAW212" s="44"/>
      <c r="BAX212" s="44"/>
      <c r="BAY212" s="44"/>
      <c r="BAZ212" s="44"/>
      <c r="BBA212" s="44"/>
      <c r="BBB212" s="44"/>
      <c r="BBC212" s="44"/>
      <c r="BBD212" s="44"/>
      <c r="BBE212" s="44"/>
      <c r="BBF212" s="44"/>
      <c r="BBG212" s="44"/>
      <c r="BBH212" s="44"/>
      <c r="BBI212" s="44"/>
      <c r="BBJ212" s="44"/>
      <c r="BBK212" s="44"/>
      <c r="BBL212" s="44"/>
      <c r="BBM212" s="44"/>
      <c r="BBN212" s="44"/>
      <c r="BBO212" s="44"/>
      <c r="BBP212" s="44"/>
      <c r="BBQ212" s="44"/>
      <c r="BBR212" s="44"/>
      <c r="BBS212" s="44"/>
      <c r="BBT212" s="44"/>
      <c r="BBU212" s="44"/>
      <c r="BBV212" s="44"/>
      <c r="BBW212" s="44"/>
      <c r="BBX212" s="44"/>
      <c r="BBY212" s="44"/>
      <c r="BBZ212" s="44"/>
      <c r="BCA212" s="44"/>
      <c r="BCB212" s="44"/>
      <c r="BCC212" s="44"/>
      <c r="BCD212" s="44"/>
      <c r="BCE212" s="44"/>
      <c r="BCF212" s="44"/>
      <c r="BCG212" s="44"/>
      <c r="BCH212" s="44"/>
      <c r="BCI212" s="44"/>
      <c r="BCJ212" s="44"/>
      <c r="BCK212" s="44"/>
      <c r="BCL212" s="44"/>
      <c r="BCM212" s="44"/>
      <c r="BCN212" s="44"/>
      <c r="BCO212" s="44"/>
      <c r="BCP212" s="44"/>
      <c r="BCQ212" s="44"/>
      <c r="BCR212" s="44"/>
      <c r="BCS212" s="44"/>
      <c r="BCT212" s="44"/>
      <c r="BCU212" s="44"/>
      <c r="BCV212" s="44"/>
      <c r="BCW212" s="44"/>
      <c r="BCX212" s="44"/>
      <c r="BCY212" s="44"/>
      <c r="BCZ212" s="44"/>
      <c r="BDA212" s="44"/>
      <c r="BDB212" s="44"/>
      <c r="BDC212" s="44"/>
      <c r="BDD212" s="44"/>
      <c r="BDE212" s="44"/>
      <c r="BDF212" s="44"/>
      <c r="BDG212" s="44"/>
      <c r="BDH212" s="44"/>
      <c r="BDI212" s="44"/>
      <c r="BDJ212" s="44"/>
      <c r="BDK212" s="44"/>
      <c r="BDL212" s="44"/>
      <c r="BDM212" s="44"/>
      <c r="BDN212" s="44"/>
      <c r="BDO212" s="44"/>
      <c r="BDP212" s="44"/>
      <c r="BDQ212" s="44"/>
      <c r="BDR212" s="44"/>
      <c r="BDS212" s="44"/>
      <c r="BDT212" s="44"/>
      <c r="BDU212" s="44"/>
      <c r="BDV212" s="44"/>
      <c r="BDW212" s="44"/>
      <c r="BDX212" s="44"/>
      <c r="BDY212" s="44"/>
      <c r="BDZ212" s="44"/>
      <c r="BEA212" s="44"/>
      <c r="BEB212" s="44"/>
      <c r="BEC212" s="44"/>
      <c r="BED212" s="44"/>
      <c r="BEE212" s="44"/>
      <c r="BEF212" s="44"/>
      <c r="BEG212" s="44"/>
      <c r="BEH212" s="44"/>
      <c r="BEI212" s="44"/>
      <c r="BEJ212" s="44"/>
      <c r="BEK212" s="44"/>
      <c r="BEL212" s="44"/>
      <c r="BEM212" s="44"/>
      <c r="BEN212" s="44"/>
      <c r="BEO212" s="44"/>
      <c r="BEP212" s="44"/>
      <c r="BEQ212" s="44"/>
      <c r="BER212" s="44"/>
      <c r="BES212" s="44"/>
      <c r="BET212" s="44"/>
      <c r="BEU212" s="44"/>
      <c r="BEV212" s="44"/>
      <c r="BEW212" s="44"/>
      <c r="BEX212" s="44"/>
      <c r="BEY212" s="44"/>
      <c r="BEZ212" s="44"/>
      <c r="BFA212" s="44"/>
      <c r="BFB212" s="44"/>
      <c r="BFC212" s="44"/>
      <c r="BFD212" s="44"/>
      <c r="BFE212" s="44"/>
      <c r="BFF212" s="44"/>
      <c r="BFG212" s="44"/>
      <c r="BFH212" s="44"/>
      <c r="BFI212" s="44"/>
      <c r="BFJ212" s="44"/>
      <c r="BFK212" s="44"/>
      <c r="BFL212" s="44"/>
      <c r="BFM212" s="44"/>
      <c r="BFN212" s="44"/>
      <c r="BFO212" s="44"/>
      <c r="BFP212" s="44"/>
      <c r="BFQ212" s="44"/>
      <c r="BFR212" s="44"/>
      <c r="BFS212" s="44"/>
      <c r="BFT212" s="44"/>
      <c r="BFU212" s="44"/>
      <c r="BFV212" s="44"/>
      <c r="BFW212" s="44"/>
      <c r="BFX212" s="44"/>
      <c r="BFY212" s="44"/>
      <c r="BFZ212" s="44"/>
      <c r="BGA212" s="44"/>
      <c r="BGB212" s="44"/>
      <c r="BGC212" s="44"/>
      <c r="BGD212" s="44"/>
      <c r="BGE212" s="44"/>
      <c r="BGF212" s="44"/>
      <c r="BGG212" s="44"/>
      <c r="BGH212" s="44"/>
      <c r="BGI212" s="44"/>
      <c r="BGJ212" s="44"/>
      <c r="BGK212" s="44"/>
      <c r="BGL212" s="44"/>
      <c r="BGM212" s="44"/>
      <c r="BGN212" s="44"/>
      <c r="BGO212" s="44"/>
      <c r="BGP212" s="44"/>
      <c r="BGQ212" s="44"/>
      <c r="BGR212" s="44"/>
      <c r="BGS212" s="44"/>
      <c r="BGT212" s="44"/>
      <c r="BGU212" s="44"/>
      <c r="BGV212" s="44"/>
      <c r="BGW212" s="44"/>
      <c r="BGX212" s="44"/>
      <c r="BGY212" s="44"/>
      <c r="BGZ212" s="44"/>
      <c r="BHA212" s="44"/>
      <c r="BHB212" s="44"/>
      <c r="BHC212" s="44"/>
      <c r="BHD212" s="44"/>
      <c r="BHE212" s="44"/>
      <c r="BHF212" s="44"/>
      <c r="BHG212" s="44"/>
      <c r="BHH212" s="44"/>
      <c r="BHI212" s="44"/>
      <c r="BHJ212" s="44"/>
      <c r="BHK212" s="44"/>
      <c r="BHL212" s="44"/>
      <c r="BHM212" s="44"/>
      <c r="BHN212" s="44"/>
      <c r="BHO212" s="44"/>
      <c r="BHP212" s="44"/>
      <c r="BHQ212" s="44"/>
      <c r="BHR212" s="44"/>
      <c r="BHS212" s="44"/>
      <c r="BHT212" s="44"/>
      <c r="BHU212" s="44"/>
      <c r="BHV212" s="44"/>
      <c r="BHW212" s="44"/>
      <c r="BHX212" s="44"/>
      <c r="BHY212" s="44"/>
      <c r="BHZ212" s="44"/>
      <c r="BIA212" s="44"/>
      <c r="BIB212" s="44"/>
      <c r="BIC212" s="44"/>
      <c r="BID212" s="44"/>
      <c r="BIE212" s="44"/>
      <c r="BIF212" s="44"/>
      <c r="BIG212" s="44"/>
      <c r="BIH212" s="44"/>
      <c r="BII212" s="44"/>
      <c r="BIJ212" s="44"/>
      <c r="BIK212" s="44"/>
      <c r="BIL212" s="44"/>
      <c r="BIM212" s="44"/>
      <c r="BIN212" s="44"/>
      <c r="BIO212" s="44"/>
      <c r="BIP212" s="44"/>
      <c r="BIQ212" s="44"/>
      <c r="BIR212" s="44"/>
      <c r="BIS212" s="44"/>
      <c r="BIT212" s="44"/>
      <c r="BIU212" s="44"/>
      <c r="BIV212" s="44"/>
      <c r="BIW212" s="44"/>
      <c r="BIX212" s="44"/>
      <c r="BIY212" s="44"/>
      <c r="BIZ212" s="44"/>
      <c r="BJA212" s="44"/>
      <c r="BJB212" s="44"/>
      <c r="BJC212" s="44"/>
      <c r="BJD212" s="44"/>
      <c r="BJE212" s="44"/>
      <c r="BJF212" s="44"/>
      <c r="BJG212" s="44"/>
      <c r="BJH212" s="44"/>
      <c r="BJI212" s="44"/>
      <c r="BJJ212" s="44"/>
      <c r="BJK212" s="44"/>
      <c r="BJL212" s="44"/>
      <c r="BJM212" s="44"/>
      <c r="BJN212" s="44"/>
      <c r="BJO212" s="44"/>
      <c r="BJP212" s="44"/>
      <c r="BJQ212" s="44"/>
      <c r="BJR212" s="44"/>
      <c r="BJS212" s="44"/>
      <c r="BJT212" s="44"/>
      <c r="BJU212" s="44"/>
      <c r="BJV212" s="44"/>
      <c r="BJW212" s="44"/>
      <c r="BJX212" s="44"/>
      <c r="BJY212" s="44"/>
      <c r="BJZ212" s="44"/>
      <c r="BKA212" s="44"/>
      <c r="BKB212" s="44"/>
      <c r="BKC212" s="44"/>
      <c r="BKD212" s="44"/>
      <c r="BKE212" s="44"/>
      <c r="BKF212" s="44"/>
      <c r="BKG212" s="44"/>
      <c r="BKH212" s="44"/>
      <c r="BKI212" s="44"/>
      <c r="BKJ212" s="44"/>
      <c r="BKK212" s="44"/>
      <c r="BKL212" s="44"/>
      <c r="BKM212" s="44"/>
      <c r="BKN212" s="44"/>
      <c r="BKO212" s="44"/>
      <c r="BKP212" s="44"/>
      <c r="BKQ212" s="44"/>
      <c r="BKR212" s="44"/>
      <c r="BKS212" s="44"/>
      <c r="BKT212" s="44"/>
      <c r="BKU212" s="44"/>
      <c r="BKV212" s="44"/>
      <c r="BKW212" s="44"/>
      <c r="BKX212" s="44"/>
      <c r="BKY212" s="44"/>
      <c r="BKZ212" s="44"/>
      <c r="BLA212" s="44"/>
      <c r="BLB212" s="44"/>
      <c r="BLC212" s="44"/>
      <c r="BLD212" s="44"/>
      <c r="BLE212" s="44"/>
      <c r="BLF212" s="44"/>
      <c r="BLG212" s="44"/>
      <c r="BLH212" s="44"/>
      <c r="BLI212" s="44"/>
      <c r="BLJ212" s="44"/>
      <c r="BLK212" s="44"/>
      <c r="BLL212" s="44"/>
      <c r="BLM212" s="44"/>
      <c r="BLN212" s="44"/>
      <c r="BLO212" s="44"/>
      <c r="BLP212" s="44"/>
      <c r="BLQ212" s="44"/>
      <c r="BLR212" s="44"/>
      <c r="BLS212" s="44"/>
      <c r="BLT212" s="44"/>
      <c r="BLU212" s="44"/>
      <c r="BLV212" s="44"/>
      <c r="BLW212" s="44"/>
      <c r="BLX212" s="44"/>
      <c r="BLY212" s="44"/>
      <c r="BLZ212" s="44"/>
      <c r="BMA212" s="44"/>
      <c r="BMB212" s="44"/>
      <c r="BMC212" s="44"/>
      <c r="BMD212" s="44"/>
      <c r="BME212" s="44"/>
      <c r="BMF212" s="44"/>
      <c r="BMG212" s="44"/>
      <c r="BMH212" s="44"/>
      <c r="BMI212" s="44"/>
      <c r="BMJ212" s="44"/>
      <c r="BMK212" s="44"/>
      <c r="BML212" s="44"/>
      <c r="BMM212" s="44"/>
      <c r="BMN212" s="44"/>
      <c r="BMO212" s="44"/>
      <c r="BMP212" s="44"/>
      <c r="BMQ212" s="44"/>
      <c r="BMR212" s="44"/>
      <c r="BMS212" s="44"/>
      <c r="BMT212" s="44"/>
      <c r="BMU212" s="44"/>
      <c r="BMV212" s="44"/>
      <c r="BMW212" s="44"/>
      <c r="BMX212" s="44"/>
      <c r="BMY212" s="44"/>
      <c r="BMZ212" s="44"/>
      <c r="BNA212" s="44"/>
      <c r="BNB212" s="44"/>
      <c r="BNC212" s="44"/>
      <c r="BND212" s="44"/>
      <c r="BNE212" s="44"/>
      <c r="BNF212" s="44"/>
      <c r="BNG212" s="44"/>
      <c r="BNH212" s="44"/>
      <c r="BNI212" s="44"/>
      <c r="BNJ212" s="44"/>
      <c r="BNK212" s="44"/>
      <c r="BNL212" s="44"/>
      <c r="BNM212" s="44"/>
      <c r="BNN212" s="44"/>
      <c r="BNO212" s="44"/>
      <c r="BNP212" s="44"/>
      <c r="BNQ212" s="44"/>
      <c r="BNR212" s="44"/>
      <c r="BNS212" s="44"/>
      <c r="BNT212" s="44"/>
      <c r="BNU212" s="44"/>
      <c r="BNV212" s="44"/>
      <c r="BNW212" s="44"/>
      <c r="BNX212" s="44"/>
      <c r="BNY212" s="44"/>
      <c r="BNZ212" s="44"/>
      <c r="BOA212" s="44"/>
      <c r="BOB212" s="44"/>
      <c r="BOC212" s="44"/>
      <c r="BOD212" s="44"/>
      <c r="BOE212" s="44"/>
      <c r="BOF212" s="44"/>
      <c r="BOG212" s="44"/>
      <c r="BOH212" s="44"/>
      <c r="BOI212" s="44"/>
      <c r="BOJ212" s="44"/>
      <c r="BOK212" s="44"/>
      <c r="BOL212" s="44"/>
      <c r="BOM212" s="44"/>
      <c r="BON212" s="44"/>
      <c r="BOO212" s="44"/>
      <c r="BOP212" s="44"/>
      <c r="BOQ212" s="44"/>
      <c r="BOR212" s="44"/>
      <c r="BOS212" s="44"/>
      <c r="BOT212" s="44"/>
      <c r="BOU212" s="44"/>
      <c r="BOV212" s="44"/>
      <c r="BOW212" s="44"/>
      <c r="BOX212" s="44"/>
      <c r="BOY212" s="44"/>
      <c r="BOZ212" s="44"/>
      <c r="BPA212" s="44"/>
      <c r="BPB212" s="44"/>
      <c r="BPC212" s="44"/>
      <c r="BPD212" s="44"/>
      <c r="BPE212" s="44"/>
      <c r="BPF212" s="44"/>
      <c r="BPG212" s="44"/>
      <c r="BPH212" s="44"/>
      <c r="BPI212" s="44"/>
      <c r="BPJ212" s="44"/>
      <c r="BPK212" s="44"/>
      <c r="BPL212" s="44"/>
      <c r="BPM212" s="44"/>
      <c r="BPN212" s="44"/>
      <c r="BPO212" s="44"/>
      <c r="BPP212" s="44"/>
      <c r="BPQ212" s="44"/>
      <c r="BPR212" s="44"/>
      <c r="BPS212" s="44"/>
      <c r="BPT212" s="44"/>
      <c r="BPU212" s="44"/>
      <c r="BPV212" s="44"/>
      <c r="BPW212" s="44"/>
      <c r="BPX212" s="44"/>
      <c r="BPY212" s="44"/>
      <c r="BPZ212" s="44"/>
      <c r="BQA212" s="44"/>
      <c r="BQB212" s="44"/>
      <c r="BQC212" s="44"/>
      <c r="BQD212" s="44"/>
      <c r="BQE212" s="44"/>
      <c r="BQF212" s="44"/>
      <c r="BQG212" s="44"/>
      <c r="BQH212" s="44"/>
      <c r="BQI212" s="44"/>
      <c r="BQJ212" s="44"/>
      <c r="BQK212" s="44"/>
      <c r="BQL212" s="44"/>
      <c r="BQM212" s="44"/>
      <c r="BQN212" s="44"/>
      <c r="BQO212" s="44"/>
      <c r="BQP212" s="44"/>
      <c r="BQQ212" s="44"/>
      <c r="BQR212" s="44"/>
      <c r="BQS212" s="44"/>
      <c r="BQT212" s="44"/>
      <c r="BQU212" s="44"/>
      <c r="BQV212" s="44"/>
      <c r="BQW212" s="44"/>
      <c r="BQX212" s="44"/>
      <c r="BQY212" s="44"/>
      <c r="BQZ212" s="44"/>
      <c r="BRA212" s="44"/>
      <c r="BRB212" s="44"/>
      <c r="BRC212" s="44"/>
      <c r="BRD212" s="44"/>
      <c r="BRE212" s="44"/>
      <c r="BRF212" s="44"/>
      <c r="BRG212" s="44"/>
      <c r="BRH212" s="44"/>
      <c r="BRI212" s="44"/>
      <c r="BRJ212" s="44"/>
      <c r="BRK212" s="44"/>
      <c r="BRL212" s="44"/>
      <c r="BRM212" s="44"/>
      <c r="BRN212" s="44"/>
      <c r="BRO212" s="44"/>
      <c r="BRP212" s="44"/>
      <c r="BRQ212" s="44"/>
      <c r="BRR212" s="44"/>
      <c r="BRS212" s="44"/>
      <c r="BRT212" s="44"/>
      <c r="BRU212" s="44"/>
      <c r="BRV212" s="44"/>
      <c r="BRW212" s="44"/>
      <c r="BRX212" s="44"/>
      <c r="BRY212" s="44"/>
      <c r="BRZ212" s="44"/>
      <c r="BSA212" s="44"/>
      <c r="BSB212" s="44"/>
      <c r="BSC212" s="44"/>
      <c r="BSD212" s="44"/>
      <c r="BSE212" s="44"/>
      <c r="BSF212" s="44"/>
      <c r="BSG212" s="44"/>
      <c r="BSH212" s="44"/>
      <c r="BSI212" s="44"/>
      <c r="BSJ212" s="44"/>
      <c r="BSK212" s="44"/>
      <c r="BSL212" s="44"/>
      <c r="BSM212" s="44"/>
      <c r="BSN212" s="44"/>
      <c r="BSO212" s="44"/>
      <c r="BSP212" s="44"/>
      <c r="BSQ212" s="44"/>
      <c r="BSR212" s="44"/>
      <c r="BSS212" s="44"/>
      <c r="BST212" s="44"/>
      <c r="BSU212" s="44"/>
      <c r="BSV212" s="44"/>
      <c r="BSW212" s="44"/>
      <c r="BSX212" s="44"/>
      <c r="BSY212" s="44"/>
      <c r="BSZ212" s="44"/>
      <c r="BTA212" s="44"/>
      <c r="BTB212" s="44"/>
      <c r="BTC212" s="44"/>
      <c r="BTD212" s="44"/>
      <c r="BTE212" s="44"/>
      <c r="BTF212" s="44"/>
      <c r="BTG212" s="44"/>
      <c r="BTH212" s="44"/>
      <c r="BTI212" s="44"/>
    </row>
    <row r="213" spans="1:1881" ht="35.25" customHeight="1" x14ac:dyDescent="0.25">
      <c r="A213" s="123"/>
      <c r="B213" s="782" t="s">
        <v>26</v>
      </c>
      <c r="C213" s="783"/>
      <c r="D213" s="268"/>
      <c r="E213" s="824"/>
      <c r="F213" s="792"/>
      <c r="G213" s="451"/>
      <c r="H213" s="43"/>
      <c r="I213" s="223"/>
      <c r="J213" s="772"/>
    </row>
    <row r="214" spans="1:1881" ht="60.75" customHeight="1" x14ac:dyDescent="0.25">
      <c r="A214" s="364">
        <v>621</v>
      </c>
      <c r="B214" s="364" t="s">
        <v>611</v>
      </c>
      <c r="C214" s="363" t="s">
        <v>724</v>
      </c>
      <c r="D214" s="363" t="s">
        <v>1207</v>
      </c>
      <c r="E214" s="588" t="e">
        <f>HLOOKUP($D$2,'2019 Data(H)'!$C$1:$CF$293,281,FALSE)</f>
        <v>#N/A</v>
      </c>
      <c r="F214" s="504"/>
      <c r="G214" s="462"/>
      <c r="H214" s="770"/>
      <c r="I214" s="771"/>
    </row>
    <row r="215" spans="1:1881" ht="147.75" customHeight="1" x14ac:dyDescent="0.25">
      <c r="A215" s="827">
        <v>547</v>
      </c>
      <c r="B215" s="827"/>
      <c r="C215" s="828" t="s">
        <v>170</v>
      </c>
      <c r="D215" s="828" t="s">
        <v>535</v>
      </c>
      <c r="E215" s="588" t="e">
        <f>HLOOKUP($D$2,'2019 Data(H)'!$C$1:$CF$293,197,FALSE)</f>
        <v>#N/A</v>
      </c>
      <c r="F215" s="791"/>
      <c r="G215" s="463" t="str">
        <f>IF(F215&lt;1,"Please answer this question","")</f>
        <v>Please answer this question</v>
      </c>
      <c r="H215" s="770"/>
      <c r="I215" s="771"/>
    </row>
    <row r="216" spans="1:1881" s="44" customFormat="1" ht="54.75" customHeight="1" x14ac:dyDescent="0.25">
      <c r="A216" s="358">
        <v>659</v>
      </c>
      <c r="B216" s="777" t="s">
        <v>61</v>
      </c>
      <c r="C216" s="777" t="s">
        <v>701</v>
      </c>
      <c r="D216" s="829" t="s">
        <v>888</v>
      </c>
      <c r="E216" s="357" t="s">
        <v>735</v>
      </c>
      <c r="F216" s="504"/>
      <c r="G216" s="875" t="str">
        <f>IF(ISBLANK(F216),"Please do not leave blank","")</f>
        <v>Please do not leave blank</v>
      </c>
      <c r="H216" s="500">
        <f>IF(F213&lt;0,"Error: Enter as positive.",)</f>
        <v>0</v>
      </c>
      <c r="I216" s="43"/>
      <c r="N216" s="756"/>
    </row>
    <row r="217" spans="1:1881" ht="65.25" customHeight="1" x14ac:dyDescent="0.25">
      <c r="A217" s="358">
        <v>660</v>
      </c>
      <c r="B217" s="777" t="s">
        <v>61</v>
      </c>
      <c r="C217" s="777" t="s">
        <v>701</v>
      </c>
      <c r="D217" s="829" t="s">
        <v>889</v>
      </c>
      <c r="E217" s="357" t="s">
        <v>735</v>
      </c>
      <c r="F217" s="504"/>
      <c r="G217" s="875" t="str">
        <f>IF(ISBLANK(F217),"Please do not leave blank","")</f>
        <v>Please do not leave blank</v>
      </c>
      <c r="H217" s="500">
        <f>IF(F214&lt;0,"Note: Number is normally positive.",)</f>
        <v>0</v>
      </c>
      <c r="I217" s="43"/>
    </row>
    <row r="218" spans="1:1881" ht="97.5" customHeight="1" x14ac:dyDescent="0.25">
      <c r="A218" s="358">
        <v>661</v>
      </c>
      <c r="B218" s="777" t="s">
        <v>61</v>
      </c>
      <c r="C218" s="777" t="s">
        <v>705</v>
      </c>
      <c r="D218" s="830" t="s">
        <v>890</v>
      </c>
      <c r="E218" s="357" t="s">
        <v>735</v>
      </c>
      <c r="F218" s="550"/>
      <c r="G218" s="875" t="str">
        <f>IF(ISBLANK(F218),"Please do not leave blank ",IF(F218=H218,"","Please review percentage"))</f>
        <v xml:space="preserve">Please do not leave blank </v>
      </c>
      <c r="H218" s="831">
        <f>ROUND(IFERROR((F217/F216)*100,0),1)</f>
        <v>0</v>
      </c>
      <c r="I218" s="831"/>
    </row>
    <row r="219" spans="1:1881" ht="68.25" customHeight="1" x14ac:dyDescent="0.25">
      <c r="A219" s="123"/>
      <c r="B219" s="768"/>
      <c r="C219" s="768"/>
      <c r="D219" s="109" t="s">
        <v>27</v>
      </c>
      <c r="E219" s="35"/>
      <c r="F219" s="469"/>
      <c r="G219" s="462"/>
      <c r="H219" s="831"/>
      <c r="I219" s="832"/>
    </row>
    <row r="220" spans="1:1881" ht="32.25" customHeight="1" x14ac:dyDescent="0.25">
      <c r="A220" s="123"/>
      <c r="B220" s="782" t="s">
        <v>28</v>
      </c>
      <c r="C220" s="783"/>
      <c r="D220" s="268"/>
      <c r="E220" s="824"/>
      <c r="F220" s="833"/>
      <c r="G220" s="451"/>
      <c r="H220" s="43"/>
      <c r="I220" s="223"/>
    </row>
    <row r="221" spans="1:1881" ht="67.5" customHeight="1" x14ac:dyDescent="0.25">
      <c r="A221" s="124">
        <v>371</v>
      </c>
      <c r="B221" s="774" t="s">
        <v>58</v>
      </c>
      <c r="C221" s="786" t="s">
        <v>171</v>
      </c>
      <c r="D221" s="103" t="s">
        <v>1208</v>
      </c>
      <c r="E221" s="588" t="e">
        <f>HLOOKUP($D$2,'2019 Data(H)'!$C$1:$CF$293,132,FALSE)</f>
        <v>#N/A</v>
      </c>
      <c r="F221" s="504"/>
      <c r="G221" s="500">
        <f>IF(F221&lt;0,"Error: Enter as positive.",)</f>
        <v>0</v>
      </c>
      <c r="H221" s="43"/>
      <c r="I221" s="223"/>
    </row>
    <row r="222" spans="1:1881" ht="67.5" customHeight="1" x14ac:dyDescent="0.25">
      <c r="A222" s="317">
        <v>513</v>
      </c>
      <c r="B222" s="793" t="s">
        <v>60</v>
      </c>
      <c r="C222" s="786" t="s">
        <v>171</v>
      </c>
      <c r="D222" s="103" t="s">
        <v>1209</v>
      </c>
      <c r="E222" s="588" t="e">
        <f>HLOOKUP($D$2,'2019 Data(H)'!$C$1:$CF$293,163,FALSE)</f>
        <v>#N/A</v>
      </c>
      <c r="F222" s="550"/>
      <c r="G222" s="500">
        <f>IF(F222&lt;0,"Error: Enter as positive.",)</f>
        <v>0</v>
      </c>
      <c r="H222" s="770"/>
      <c r="I222" s="771"/>
    </row>
    <row r="223" spans="1:1881" ht="67.5" customHeight="1" x14ac:dyDescent="0.25">
      <c r="A223" s="317">
        <v>514</v>
      </c>
      <c r="B223" s="793" t="s">
        <v>60</v>
      </c>
      <c r="C223" s="786" t="s">
        <v>171</v>
      </c>
      <c r="D223" s="103" t="s">
        <v>1210</v>
      </c>
      <c r="E223" s="588" t="e">
        <f>HLOOKUP($D$2,'2019 Data(H)'!$C$1:$CF$293,164,FALSE)</f>
        <v>#N/A</v>
      </c>
      <c r="F223" s="504"/>
      <c r="G223" s="500">
        <f>IF(F223&lt;0,"Error: Enter as positive.",)</f>
        <v>0</v>
      </c>
      <c r="H223" s="43"/>
      <c r="I223" s="771"/>
    </row>
    <row r="224" spans="1:1881" ht="32.25" customHeight="1" x14ac:dyDescent="0.25">
      <c r="A224" s="317"/>
      <c r="B224" s="782" t="s">
        <v>29</v>
      </c>
      <c r="C224" s="783"/>
      <c r="D224" s="268"/>
      <c r="E224" s="824"/>
      <c r="F224" s="606"/>
      <c r="G224" s="451"/>
      <c r="H224" s="43"/>
      <c r="I224" s="223"/>
    </row>
    <row r="225" spans="1:10" ht="67.5" customHeight="1" x14ac:dyDescent="0.25">
      <c r="A225" s="317">
        <v>6</v>
      </c>
      <c r="B225" s="774" t="s">
        <v>57</v>
      </c>
      <c r="C225" s="786" t="s">
        <v>172</v>
      </c>
      <c r="D225" s="103" t="s">
        <v>1211</v>
      </c>
      <c r="E225" s="588" t="e">
        <f>HLOOKUP($D$2,'2019 Data(H)'!$C$1:$CF$293,5,FALSE)</f>
        <v>#N/A</v>
      </c>
      <c r="F225" s="550"/>
      <c r="G225" s="500">
        <f>IF(F225&lt;0,"Error: Enter as positive.",)</f>
        <v>0</v>
      </c>
      <c r="H225" s="43"/>
      <c r="I225" s="223"/>
      <c r="J225" s="772"/>
    </row>
    <row r="226" spans="1:10" ht="33" customHeight="1" x14ac:dyDescent="0.25">
      <c r="A226" s="317"/>
      <c r="B226" s="782" t="s">
        <v>183</v>
      </c>
      <c r="C226" s="783"/>
      <c r="D226" s="268"/>
      <c r="E226" s="110"/>
      <c r="F226" s="607"/>
      <c r="G226" s="471"/>
      <c r="H226" s="770"/>
      <c r="I226" s="771"/>
      <c r="J226" s="772"/>
    </row>
    <row r="227" spans="1:10" ht="140.25" customHeight="1" x14ac:dyDescent="0.25">
      <c r="A227" s="317">
        <v>541</v>
      </c>
      <c r="B227" s="768" t="s">
        <v>61</v>
      </c>
      <c r="C227" s="769" t="s">
        <v>1212</v>
      </c>
      <c r="D227" s="244" t="s">
        <v>1213</v>
      </c>
      <c r="E227" s="588" t="e">
        <f>HLOOKUP($D$2,'2019 Data(H)'!$C$1:$CF$293,191,FALSE)</f>
        <v>#N/A</v>
      </c>
      <c r="F227" s="595"/>
      <c r="G227" s="500"/>
      <c r="H227" s="770"/>
      <c r="I227" s="771"/>
      <c r="J227" s="772"/>
    </row>
    <row r="228" spans="1:10" ht="28.5" customHeight="1" x14ac:dyDescent="0.25">
      <c r="A228" s="317"/>
      <c r="B228" s="783" t="s">
        <v>52</v>
      </c>
      <c r="C228" s="783"/>
      <c r="D228" s="268"/>
      <c r="E228" s="110"/>
      <c r="F228" s="608"/>
      <c r="G228" s="269"/>
      <c r="H228" s="770"/>
      <c r="I228" s="771"/>
    </row>
    <row r="229" spans="1:10" ht="86.25" customHeight="1" x14ac:dyDescent="0.25">
      <c r="A229" s="317">
        <v>542</v>
      </c>
      <c r="B229" s="768" t="s">
        <v>61</v>
      </c>
      <c r="C229" s="834" t="s">
        <v>1214</v>
      </c>
      <c r="D229" s="117" t="s">
        <v>173</v>
      </c>
      <c r="E229" s="588" t="e">
        <f>HLOOKUP($D$2,'2019 Data(H)'!$C$1:$CF$293,192,FALSE)</f>
        <v>#N/A</v>
      </c>
      <c r="F229" s="504"/>
      <c r="G229" s="500"/>
      <c r="H229" s="770"/>
      <c r="I229" s="835"/>
    </row>
    <row r="230" spans="1:10" ht="24.75" customHeight="1" x14ac:dyDescent="0.3">
      <c r="A230" s="123"/>
      <c r="B230" s="782" t="s">
        <v>1215</v>
      </c>
      <c r="C230" s="782"/>
      <c r="D230" s="111"/>
      <c r="E230" s="112"/>
      <c r="F230" s="609"/>
      <c r="G230" s="455"/>
      <c r="H230" s="43"/>
      <c r="I230" s="223"/>
    </row>
    <row r="231" spans="1:10" ht="25.5" customHeight="1" x14ac:dyDescent="0.3">
      <c r="A231" s="123"/>
      <c r="B231" s="836" t="s">
        <v>13</v>
      </c>
      <c r="C231" s="836"/>
      <c r="D231" s="111"/>
      <c r="E231" s="112"/>
      <c r="F231" s="785"/>
      <c r="G231" s="455"/>
      <c r="H231" s="43"/>
      <c r="I231" s="223"/>
    </row>
    <row r="232" spans="1:10" ht="96" customHeight="1" x14ac:dyDescent="0.25">
      <c r="A232" s="317">
        <v>528</v>
      </c>
      <c r="B232" s="768" t="s">
        <v>57</v>
      </c>
      <c r="C232" s="786" t="s">
        <v>174</v>
      </c>
      <c r="D232" s="837" t="s">
        <v>1216</v>
      </c>
      <c r="E232" s="588" t="e">
        <f>HLOOKUP($D$2,'2019 Data(H)'!$C$1:$CF$293,178,FALSE)</f>
        <v>#N/A</v>
      </c>
      <c r="F232" s="504"/>
      <c r="G232" s="500" t="str">
        <f>IF(F232="","Error: Unit must enter this information if they levy taxes.",)</f>
        <v>Error: Unit must enter this information if they levy taxes.</v>
      </c>
      <c r="H232" s="94"/>
      <c r="I232" s="223"/>
      <c r="J232" s="838"/>
    </row>
    <row r="233" spans="1:10" ht="60" x14ac:dyDescent="0.25">
      <c r="A233" s="317">
        <v>529</v>
      </c>
      <c r="B233" s="768" t="s">
        <v>57</v>
      </c>
      <c r="C233" s="786" t="s">
        <v>174</v>
      </c>
      <c r="D233" s="837" t="s">
        <v>1217</v>
      </c>
      <c r="E233" s="588" t="e">
        <f>HLOOKUP($D$2,'2019 Data(H)'!$C$1:$CF$293,179,FALSE)</f>
        <v>#N/A</v>
      </c>
      <c r="F233" s="504"/>
      <c r="G233" s="500" t="str">
        <f>IF(F233="","Error: Unit must enter this information if they levy taxes.",)</f>
        <v>Error: Unit must enter this information if they levy taxes.</v>
      </c>
      <c r="H233" s="43"/>
      <c r="I233" s="223"/>
    </row>
    <row r="234" spans="1:10" ht="45" x14ac:dyDescent="0.25">
      <c r="A234" s="317">
        <v>530</v>
      </c>
      <c r="B234" s="768" t="s">
        <v>57</v>
      </c>
      <c r="C234" s="786" t="s">
        <v>174</v>
      </c>
      <c r="D234" s="839" t="s">
        <v>1218</v>
      </c>
      <c r="E234" s="588" t="e">
        <f>HLOOKUP($D$2,'2019 Data(H)'!$C$1:$CF$293,180,FALSE)</f>
        <v>#N/A</v>
      </c>
      <c r="F234" s="504"/>
      <c r="G234" s="500" t="str">
        <f>IF(F234="","Error: Unit must enter this information if they levy taxes.",)</f>
        <v>Error: Unit must enter this information if they levy taxes.</v>
      </c>
      <c r="H234" s="43"/>
      <c r="I234" s="223"/>
    </row>
    <row r="235" spans="1:10" ht="45" x14ac:dyDescent="0.25">
      <c r="A235" s="317">
        <v>531</v>
      </c>
      <c r="B235" s="768" t="s">
        <v>57</v>
      </c>
      <c r="C235" s="786" t="s">
        <v>174</v>
      </c>
      <c r="D235" s="839" t="s">
        <v>1219</v>
      </c>
      <c r="E235" s="588" t="e">
        <f>HLOOKUP($D$2,'2019 Data(H)'!$C$1:$CF$293,181,FALSE)</f>
        <v>#N/A</v>
      </c>
      <c r="F235" s="504"/>
      <c r="G235" s="500" t="str">
        <f>IF(F235="","Error: Unit must enter this information if they levy taxes.",)</f>
        <v>Error: Unit must enter this information if they levy taxes.</v>
      </c>
      <c r="H235" s="43"/>
      <c r="I235" s="223"/>
    </row>
    <row r="236" spans="1:10" ht="45" x14ac:dyDescent="0.25">
      <c r="A236" s="317">
        <v>61</v>
      </c>
      <c r="B236" s="774" t="s">
        <v>61</v>
      </c>
      <c r="C236" s="786" t="s">
        <v>174</v>
      </c>
      <c r="D236" s="117" t="s">
        <v>1220</v>
      </c>
      <c r="E236" s="125" t="e">
        <f>HLOOKUP($D$2,'2019 Data(H)'!$C$1:$CF$293,43,FALSE)</f>
        <v>#N/A</v>
      </c>
      <c r="F236" s="475"/>
      <c r="G236" s="500" t="e">
        <f>IF(F236=H236," ","Please check values in account 528, 529, 530 and  531.")</f>
        <v>#DIV/0!</v>
      </c>
      <c r="H236" s="840" t="e">
        <f>ROUND((F232+F233-F234-F235)/(F232+F233)*100,2)</f>
        <v>#DIV/0!</v>
      </c>
      <c r="I236" s="223"/>
    </row>
    <row r="237" spans="1:10" ht="60" x14ac:dyDescent="0.25">
      <c r="A237" s="317">
        <v>102</v>
      </c>
      <c r="B237" s="774" t="s">
        <v>61</v>
      </c>
      <c r="C237" s="786" t="s">
        <v>174</v>
      </c>
      <c r="D237" s="179" t="s">
        <v>1221</v>
      </c>
      <c r="E237" s="125" t="e">
        <f>HLOOKUP($D$2,'2019 Data(H)'!$C$1:$CF$293,62,FALSE)</f>
        <v>#N/A</v>
      </c>
      <c r="F237" s="475"/>
      <c r="G237" s="500" t="e">
        <f>IF(F237=H237," ","Please check values in account 528 and 530.")</f>
        <v>#DIV/0!</v>
      </c>
      <c r="H237" s="840" t="e">
        <f>ROUND((F232-F234)/(F232)*100,2)</f>
        <v>#DIV/0!</v>
      </c>
      <c r="I237" s="223"/>
    </row>
    <row r="238" spans="1:10" ht="63" customHeight="1" x14ac:dyDescent="0.25">
      <c r="A238" s="317">
        <v>103</v>
      </c>
      <c r="B238" s="774" t="s">
        <v>61</v>
      </c>
      <c r="C238" s="786" t="s">
        <v>174</v>
      </c>
      <c r="D238" s="117" t="s">
        <v>1222</v>
      </c>
      <c r="E238" s="125" t="e">
        <f>HLOOKUP($D$2,'2019 Data(H)'!$C$1:$CF$293,63,FALSE)</f>
        <v>#N/A</v>
      </c>
      <c r="F238" s="475"/>
      <c r="G238" s="500" t="e">
        <f>IF(F238=H238," ","Please check values in account 529 and 531.")</f>
        <v>#DIV/0!</v>
      </c>
      <c r="H238" s="840" t="e">
        <f>ROUND((F233-F235)/F233*100,2)</f>
        <v>#DIV/0!</v>
      </c>
      <c r="I238" s="223"/>
    </row>
    <row r="239" spans="1:10" ht="72" customHeight="1" x14ac:dyDescent="0.25">
      <c r="A239" s="317">
        <v>544</v>
      </c>
      <c r="B239" s="768" t="s">
        <v>61</v>
      </c>
      <c r="C239" s="769" t="s">
        <v>174</v>
      </c>
      <c r="D239" s="103" t="s">
        <v>1223</v>
      </c>
      <c r="E239" s="126" t="e">
        <f>HLOOKUP($D$2,'2019 Data(H)'!$C$1:$CF$293,194,FALSE)</f>
        <v>#N/A</v>
      </c>
      <c r="F239" s="473"/>
      <c r="G239" s="500"/>
      <c r="H239" s="43"/>
      <c r="I239" s="317"/>
    </row>
    <row r="240" spans="1:10" ht="70.5" customHeight="1" x14ac:dyDescent="0.25">
      <c r="A240" s="317">
        <v>545</v>
      </c>
      <c r="B240" s="768" t="s">
        <v>61</v>
      </c>
      <c r="C240" s="769" t="s">
        <v>174</v>
      </c>
      <c r="D240" s="103" t="s">
        <v>1224</v>
      </c>
      <c r="E240" s="482"/>
      <c r="F240" s="473"/>
      <c r="G240" s="500"/>
      <c r="H240" s="43"/>
      <c r="I240" s="483"/>
    </row>
    <row r="241" spans="1:15" ht="63" customHeight="1" x14ac:dyDescent="0.25">
      <c r="A241" s="364">
        <v>624</v>
      </c>
      <c r="B241" s="363" t="s">
        <v>61</v>
      </c>
      <c r="C241" s="363"/>
      <c r="D241" s="363" t="s">
        <v>725</v>
      </c>
      <c r="E241" s="482"/>
      <c r="F241" s="474"/>
      <c r="G241" s="463" t="str">
        <f>IF(+F241&lt;1,"Please answer this question","")</f>
        <v>Please answer this question</v>
      </c>
      <c r="H241" s="43"/>
      <c r="I241" s="317"/>
    </row>
    <row r="242" spans="1:15" ht="27.75" customHeight="1" x14ac:dyDescent="0.25">
      <c r="A242" s="466"/>
      <c r="B242" s="782" t="s">
        <v>709</v>
      </c>
      <c r="C242" s="782"/>
      <c r="D242" s="782"/>
      <c r="E242" s="841"/>
      <c r="F242" s="842"/>
      <c r="G242" s="843"/>
      <c r="H242" s="43"/>
      <c r="I242" s="317"/>
      <c r="J242" s="844"/>
    </row>
    <row r="243" spans="1:15" ht="68.25" customHeight="1" x14ac:dyDescent="0.25">
      <c r="A243" s="317">
        <v>620</v>
      </c>
      <c r="B243" s="768" t="s">
        <v>61</v>
      </c>
      <c r="C243" s="769"/>
      <c r="D243" s="103" t="s">
        <v>708</v>
      </c>
      <c r="E243" s="232"/>
      <c r="F243" s="474"/>
      <c r="G243" s="463" t="str">
        <f>IF(F243&lt;1,"Please answer this question","")</f>
        <v>Please answer this question</v>
      </c>
      <c r="H243" s="43"/>
      <c r="I243" s="317"/>
    </row>
    <row r="244" spans="1:15" ht="93" customHeight="1" x14ac:dyDescent="0.25">
      <c r="A244" s="845"/>
      <c r="B244" s="938" t="s">
        <v>1249</v>
      </c>
      <c r="C244" s="938"/>
      <c r="D244" s="938"/>
      <c r="E244" s="938"/>
      <c r="F244" s="938"/>
      <c r="G244" s="938"/>
      <c r="H244" s="43"/>
      <c r="I244" s="317"/>
    </row>
    <row r="245" spans="1:15" ht="45" x14ac:dyDescent="0.25">
      <c r="A245" s="358">
        <v>947</v>
      </c>
      <c r="B245" s="777"/>
      <c r="C245" s="778"/>
      <c r="D245" s="830" t="s">
        <v>968</v>
      </c>
      <c r="E245" s="357" t="s">
        <v>852</v>
      </c>
      <c r="F245" s="905"/>
      <c r="G245" s="463" t="str">
        <f>IF(ISBLANK(F245),"Please do not leave blank","")</f>
        <v>Please do not leave blank</v>
      </c>
      <c r="H245" s="43"/>
      <c r="I245" s="756"/>
      <c r="J245" s="756"/>
      <c r="K245" s="756"/>
      <c r="L245" s="756"/>
      <c r="M245" s="756"/>
      <c r="O245" s="756"/>
    </row>
    <row r="246" spans="1:15" ht="65.25" customHeight="1" x14ac:dyDescent="0.25">
      <c r="A246" s="358">
        <v>948</v>
      </c>
      <c r="B246" s="777"/>
      <c r="C246" s="778"/>
      <c r="D246" s="830" t="s">
        <v>969</v>
      </c>
      <c r="E246" s="357" t="s">
        <v>852</v>
      </c>
      <c r="F246" s="905"/>
      <c r="G246" s="463" t="str">
        <f t="shared" ref="G246:G252" si="3">IF(ISBLANK(F246),"Please do not leave blank","")</f>
        <v>Please do not leave blank</v>
      </c>
      <c r="H246" s="43"/>
      <c r="I246" s="756"/>
      <c r="J246" s="756"/>
      <c r="K246" s="756"/>
      <c r="L246" s="756"/>
      <c r="M246" s="756"/>
      <c r="O246" s="756"/>
    </row>
    <row r="247" spans="1:15" ht="45" x14ac:dyDescent="0.25">
      <c r="A247" s="358">
        <v>949</v>
      </c>
      <c r="B247" s="777"/>
      <c r="C247" s="778"/>
      <c r="D247" s="830" t="s">
        <v>970</v>
      </c>
      <c r="E247" s="357" t="s">
        <v>852</v>
      </c>
      <c r="F247" s="905"/>
      <c r="G247" s="463" t="str">
        <f t="shared" si="3"/>
        <v>Please do not leave blank</v>
      </c>
      <c r="H247" s="43"/>
      <c r="I247" s="756"/>
      <c r="J247" s="756"/>
      <c r="K247" s="756"/>
      <c r="L247" s="756"/>
      <c r="M247" s="756"/>
      <c r="O247" s="756"/>
    </row>
    <row r="248" spans="1:15" ht="60" customHeight="1" x14ac:dyDescent="0.25">
      <c r="A248" s="358">
        <v>950</v>
      </c>
      <c r="B248" s="777"/>
      <c r="C248" s="778"/>
      <c r="D248" s="830" t="s">
        <v>854</v>
      </c>
      <c r="E248" s="357" t="s">
        <v>852</v>
      </c>
      <c r="F248" s="905"/>
      <c r="G248" s="463" t="str">
        <f t="shared" si="3"/>
        <v>Please do not leave blank</v>
      </c>
      <c r="H248" s="43"/>
      <c r="I248" s="756"/>
      <c r="J248" s="756"/>
      <c r="K248" s="756"/>
      <c r="L248" s="756"/>
      <c r="M248" s="756"/>
      <c r="O248" s="756"/>
    </row>
    <row r="249" spans="1:15" ht="97.5" customHeight="1" x14ac:dyDescent="0.25">
      <c r="A249" s="358">
        <v>952</v>
      </c>
      <c r="B249" s="777"/>
      <c r="C249" s="778"/>
      <c r="D249" s="800" t="s">
        <v>1225</v>
      </c>
      <c r="E249" s="357" t="s">
        <v>852</v>
      </c>
      <c r="F249" s="610"/>
      <c r="G249" s="463" t="str">
        <f t="shared" si="3"/>
        <v>Please do not leave blank</v>
      </c>
      <c r="H249" s="43"/>
      <c r="I249" s="756"/>
      <c r="J249" s="756"/>
      <c r="K249" s="756"/>
      <c r="L249" s="756"/>
      <c r="M249" s="756"/>
      <c r="O249" s="756"/>
    </row>
    <row r="250" spans="1:15" ht="93" customHeight="1" x14ac:dyDescent="0.25">
      <c r="A250" s="358">
        <v>954</v>
      </c>
      <c r="B250" s="777"/>
      <c r="C250" s="778"/>
      <c r="D250" s="800" t="s">
        <v>855</v>
      </c>
      <c r="E250" s="357" t="s">
        <v>852</v>
      </c>
      <c r="F250" s="905"/>
      <c r="G250" s="463" t="str">
        <f t="shared" si="3"/>
        <v>Please do not leave blank</v>
      </c>
      <c r="H250" s="43"/>
      <c r="I250" s="756"/>
      <c r="J250" s="756"/>
      <c r="K250" s="756"/>
      <c r="L250" s="756"/>
      <c r="M250" s="756"/>
      <c r="O250" s="756"/>
    </row>
    <row r="251" spans="1:15" ht="87" customHeight="1" x14ac:dyDescent="0.25">
      <c r="A251" s="358">
        <v>956</v>
      </c>
      <c r="B251" s="777"/>
      <c r="C251" s="778"/>
      <c r="D251" s="800" t="s">
        <v>856</v>
      </c>
      <c r="E251" s="357" t="s">
        <v>852</v>
      </c>
      <c r="F251" s="905"/>
      <c r="G251" s="463" t="str">
        <f t="shared" si="3"/>
        <v>Please do not leave blank</v>
      </c>
      <c r="H251" s="43"/>
      <c r="I251" s="756"/>
      <c r="J251" s="756"/>
      <c r="K251" s="756"/>
      <c r="L251" s="756"/>
      <c r="M251" s="756"/>
      <c r="O251" s="756"/>
    </row>
    <row r="252" spans="1:15" ht="194.25" customHeight="1" x14ac:dyDescent="0.25">
      <c r="A252" s="358">
        <v>958</v>
      </c>
      <c r="B252" s="777"/>
      <c r="C252" s="778"/>
      <c r="D252" s="800" t="s">
        <v>1247</v>
      </c>
      <c r="E252" s="357" t="s">
        <v>852</v>
      </c>
      <c r="F252" s="905"/>
      <c r="G252" s="463" t="str">
        <f t="shared" si="3"/>
        <v>Please do not leave blank</v>
      </c>
      <c r="H252" s="43"/>
      <c r="I252" s="756"/>
      <c r="J252" s="756"/>
      <c r="K252" s="756"/>
      <c r="L252" s="756"/>
      <c r="M252" s="756"/>
      <c r="O252" s="756"/>
    </row>
    <row r="253" spans="1:15" ht="21.75" thickBot="1" x14ac:dyDescent="0.3">
      <c r="A253" s="466"/>
      <c r="B253" s="846"/>
      <c r="C253" s="847"/>
      <c r="D253" s="848" t="s">
        <v>858</v>
      </c>
      <c r="E253" s="464"/>
      <c r="F253" s="716"/>
      <c r="G253" s="465"/>
      <c r="H253" s="849"/>
      <c r="I253" s="756"/>
      <c r="J253" s="756"/>
      <c r="K253" s="756"/>
      <c r="L253" s="756"/>
      <c r="M253" s="756"/>
      <c r="O253" s="756"/>
    </row>
    <row r="254" spans="1:15" ht="21.75" thickBot="1" x14ac:dyDescent="0.4">
      <c r="B254" s="932" t="s">
        <v>1250</v>
      </c>
      <c r="C254" s="933"/>
      <c r="D254" s="933"/>
      <c r="E254" s="934"/>
      <c r="F254" s="223"/>
      <c r="G254" s="463"/>
      <c r="H254" s="43"/>
      <c r="I254" s="317"/>
    </row>
    <row r="255" spans="1:15" ht="73.5" customHeight="1" x14ac:dyDescent="0.25">
      <c r="B255" s="935" t="s">
        <v>1251</v>
      </c>
      <c r="C255" s="935"/>
      <c r="D255" s="935"/>
      <c r="E255" s="935"/>
      <c r="F255" s="223"/>
      <c r="G255" s="463"/>
      <c r="H255" s="43"/>
      <c r="I255" s="317"/>
    </row>
    <row r="256" spans="1:15" ht="11.25" customHeight="1" thickBot="1" x14ac:dyDescent="0.3">
      <c r="A256" s="850"/>
      <c r="B256" s="851"/>
      <c r="C256" s="851"/>
      <c r="D256" s="852"/>
      <c r="E256" s="588"/>
      <c r="F256" s="223"/>
      <c r="G256" s="463"/>
      <c r="H256" s="43"/>
      <c r="I256" s="317"/>
    </row>
    <row r="257" spans="1:9" ht="15.75" thickBot="1" x14ac:dyDescent="0.3">
      <c r="B257" s="589" t="s">
        <v>824</v>
      </c>
      <c r="C257" s="590" t="s">
        <v>825</v>
      </c>
      <c r="D257" s="853"/>
      <c r="E257" s="854"/>
      <c r="F257" s="285"/>
      <c r="G257" s="463"/>
      <c r="H257" s="43"/>
      <c r="I257" s="317"/>
    </row>
    <row r="258" spans="1:9" ht="44.25" customHeight="1" thickBot="1" x14ac:dyDescent="0.3">
      <c r="B258" s="594" t="s">
        <v>974</v>
      </c>
      <c r="C258" s="593"/>
      <c r="D258" s="592"/>
      <c r="E258" s="591"/>
      <c r="F258" s="717"/>
      <c r="G258" s="463"/>
      <c r="H258" s="43"/>
      <c r="I258" s="317"/>
    </row>
    <row r="259" spans="1:9" ht="44.25" customHeight="1" thickBot="1" x14ac:dyDescent="0.3">
      <c r="A259" s="756"/>
      <c r="B259" s="594"/>
      <c r="C259" s="734"/>
      <c r="D259" s="936" t="s">
        <v>1098</v>
      </c>
      <c r="E259" s="937"/>
      <c r="F259" s="735"/>
      <c r="G259" s="735"/>
      <c r="H259" s="43"/>
      <c r="I259" s="317"/>
    </row>
    <row r="260" spans="1:9" ht="30.75" customHeight="1" thickBot="1" x14ac:dyDescent="0.3">
      <c r="A260" s="855">
        <v>960</v>
      </c>
      <c r="B260" s="918" t="s">
        <v>975</v>
      </c>
      <c r="C260" s="919"/>
      <c r="D260" s="922"/>
      <c r="E260" s="923"/>
      <c r="F260" s="736" t="str">
        <f>IF(ISBLANK($D260),"&lt;&lt;&lt;&lt;&lt;&lt;&lt;&lt;&lt;&lt;&lt;&lt;&lt;&lt;&lt;&lt;&lt;&lt;&lt;","")</f>
        <v>&lt;&lt;&lt;&lt;&lt;&lt;&lt;&lt;&lt;&lt;&lt;&lt;&lt;&lt;&lt;&lt;&lt;&lt;&lt;</v>
      </c>
      <c r="G260" s="856" t="str">
        <f>IF(ISBLANK($D260),"Cell D260 must be completed.","")</f>
        <v>Cell D260 must be completed.</v>
      </c>
      <c r="H260" s="43"/>
      <c r="I260" s="317"/>
    </row>
    <row r="261" spans="1:9" ht="30.75" customHeight="1" thickBot="1" x14ac:dyDescent="0.3">
      <c r="A261" s="855">
        <v>962</v>
      </c>
      <c r="B261" s="918" t="s">
        <v>826</v>
      </c>
      <c r="C261" s="919"/>
      <c r="D261" s="922"/>
      <c r="E261" s="923"/>
      <c r="F261" s="736" t="str">
        <f>IF(ISBLANK($D261),"&lt;&lt;&lt;&lt;&lt;&lt;&lt;&lt;&lt;&lt;&lt;&lt;&lt;&lt;&lt;&lt;&lt;&lt;&lt;","")</f>
        <v>&lt;&lt;&lt;&lt;&lt;&lt;&lt;&lt;&lt;&lt;&lt;&lt;&lt;&lt;&lt;&lt;&lt;&lt;&lt;</v>
      </c>
      <c r="G261" s="856" t="str">
        <f>IF(ISBLANK($D261),"Cell D261 must be completed.","")</f>
        <v>Cell D261 must be completed.</v>
      </c>
      <c r="H261" s="43"/>
      <c r="I261" s="317"/>
    </row>
    <row r="262" spans="1:9" ht="30.75" customHeight="1" thickBot="1" x14ac:dyDescent="0.3">
      <c r="A262" s="855">
        <v>964</v>
      </c>
      <c r="B262" s="918" t="s">
        <v>827</v>
      </c>
      <c r="C262" s="919"/>
      <c r="D262" s="925"/>
      <c r="E262" s="926"/>
      <c r="F262" s="736" t="str">
        <f>IF(ISBLANK($D262),"&lt;&lt;&lt;&lt;&lt;&lt;&lt;&lt;&lt;&lt;&lt;&lt;&lt;&lt;&lt;&lt;&lt;&lt;&lt;","")</f>
        <v>&lt;&lt;&lt;&lt;&lt;&lt;&lt;&lt;&lt;&lt;&lt;&lt;&lt;&lt;&lt;&lt;&lt;&lt;&lt;</v>
      </c>
      <c r="G262" s="856" t="str">
        <f>IF(ISBLANK($D262),"Cell D262 must be completed.","")</f>
        <v>Cell D262 must be completed.</v>
      </c>
      <c r="H262" s="43"/>
      <c r="I262" s="317"/>
    </row>
    <row r="263" spans="1:9" ht="30.75" customHeight="1" thickBot="1" x14ac:dyDescent="0.3">
      <c r="A263" s="855">
        <v>966</v>
      </c>
      <c r="B263" s="918" t="s">
        <v>828</v>
      </c>
      <c r="C263" s="919"/>
      <c r="D263" s="922"/>
      <c r="E263" s="923"/>
      <c r="F263" s="736" t="str">
        <f>IF(ISBLANK($D263),"&lt;&lt;&lt;&lt;&lt;&lt;&lt;&lt;&lt;&lt;&lt;&lt;&lt;&lt;&lt;&lt;&lt;&lt;&lt;","")</f>
        <v>&lt;&lt;&lt;&lt;&lt;&lt;&lt;&lt;&lt;&lt;&lt;&lt;&lt;&lt;&lt;&lt;&lt;&lt;&lt;</v>
      </c>
      <c r="G263" s="856" t="str">
        <f>IF(ISBLANK($D263),"Cell D263 must be completed.","")</f>
        <v>Cell D263 must be completed.</v>
      </c>
      <c r="H263" s="43"/>
      <c r="I263" s="317"/>
    </row>
    <row r="264" spans="1:9" ht="30.75" customHeight="1" thickBot="1" x14ac:dyDescent="0.3">
      <c r="A264" s="855">
        <v>968</v>
      </c>
      <c r="B264" s="920" t="s">
        <v>829</v>
      </c>
      <c r="C264" s="921"/>
      <c r="D264" s="924"/>
      <c r="E264" s="923"/>
      <c r="F264" s="736" t="str">
        <f>IF(ISBLANK($D264),"&lt;&lt;&lt;&lt;&lt;&lt;&lt;&lt;&lt;&lt;&lt;&lt;&lt;&lt;&lt;&lt;&lt;&lt;&lt;","")</f>
        <v>&lt;&lt;&lt;&lt;&lt;&lt;&lt;&lt;&lt;&lt;&lt;&lt;&lt;&lt;&lt;&lt;&lt;&lt;&lt;</v>
      </c>
      <c r="G264" s="856" t="str">
        <f>IF(ISBLANK($D264),"Cell D264 must be completed.","")</f>
        <v>Cell D264 must be completed.</v>
      </c>
      <c r="H264" s="43"/>
      <c r="I264" s="317"/>
    </row>
    <row r="265" spans="1:9" ht="48.75" customHeight="1" x14ac:dyDescent="0.25">
      <c r="A265" s="317"/>
      <c r="B265" s="857" t="s">
        <v>43</v>
      </c>
      <c r="C265" s="857"/>
      <c r="D265" s="858" t="s">
        <v>48</v>
      </c>
      <c r="E265" s="859"/>
      <c r="F265" s="860"/>
      <c r="G265" s="859"/>
      <c r="H265" s="861"/>
      <c r="I265" s="317"/>
    </row>
    <row r="266" spans="1:9" x14ac:dyDescent="0.25">
      <c r="A266" s="123"/>
      <c r="B266" s="862"/>
      <c r="C266" s="862"/>
      <c r="D266" s="710"/>
      <c r="E266" s="44"/>
      <c r="F266" s="771"/>
      <c r="G266" s="6"/>
      <c r="H266" s="43"/>
      <c r="I266" s="317"/>
    </row>
    <row r="267" spans="1:9" x14ac:dyDescent="0.25">
      <c r="A267" s="17"/>
      <c r="B267" s="810"/>
      <c r="C267" s="810"/>
      <c r="D267" s="863"/>
      <c r="E267" s="756"/>
      <c r="F267" s="223"/>
      <c r="G267" s="6"/>
      <c r="H267" s="43"/>
      <c r="I267" s="317"/>
    </row>
    <row r="268" spans="1:9" x14ac:dyDescent="0.25">
      <c r="A268" s="17"/>
      <c r="B268" s="810"/>
      <c r="C268" s="810"/>
      <c r="D268" s="864"/>
      <c r="E268" s="756"/>
      <c r="F268" s="223"/>
      <c r="G268" s="6"/>
      <c r="H268" s="43"/>
      <c r="I268" s="317"/>
    </row>
    <row r="269" spans="1:9" x14ac:dyDescent="0.25">
      <c r="A269" s="17"/>
      <c r="B269" s="810"/>
      <c r="C269" s="810"/>
      <c r="D269" s="864"/>
      <c r="E269" s="865"/>
      <c r="F269" s="223"/>
      <c r="G269" s="6"/>
      <c r="H269" s="43"/>
      <c r="I269" s="317"/>
    </row>
    <row r="270" spans="1:9" x14ac:dyDescent="0.25">
      <c r="A270" s="17"/>
      <c r="B270" s="810"/>
      <c r="C270" s="810"/>
      <c r="D270" s="864"/>
      <c r="E270" s="865"/>
      <c r="F270" s="223"/>
      <c r="G270" s="6"/>
      <c r="H270" s="43"/>
      <c r="I270" s="317"/>
    </row>
    <row r="271" spans="1:9" x14ac:dyDescent="0.25">
      <c r="A271" s="17"/>
      <c r="B271" s="810"/>
      <c r="C271" s="810"/>
      <c r="D271" s="864"/>
      <c r="E271" s="865"/>
      <c r="F271" s="223"/>
      <c r="G271" s="6"/>
      <c r="H271" s="43"/>
      <c r="I271" s="317"/>
    </row>
    <row r="272" spans="1:9" x14ac:dyDescent="0.25">
      <c r="A272" s="17"/>
      <c r="D272" s="866"/>
      <c r="E272" s="865"/>
      <c r="F272" s="223"/>
      <c r="H272" s="43"/>
      <c r="I272" s="317"/>
    </row>
    <row r="273" spans="4:12" x14ac:dyDescent="0.25">
      <c r="D273" s="866"/>
      <c r="E273" s="865"/>
      <c r="F273" s="223"/>
      <c r="H273" s="43"/>
      <c r="I273" s="317"/>
    </row>
    <row r="274" spans="4:12" x14ac:dyDescent="0.25">
      <c r="D274" s="866"/>
      <c r="E274" s="865"/>
      <c r="F274" s="223"/>
      <c r="H274" s="43"/>
      <c r="I274" s="317"/>
    </row>
    <row r="275" spans="4:12" x14ac:dyDescent="0.25">
      <c r="D275" s="866"/>
      <c r="E275" s="865"/>
      <c r="F275" s="223"/>
      <c r="I275" s="317"/>
    </row>
    <row r="276" spans="4:12" x14ac:dyDescent="0.25">
      <c r="E276" s="867"/>
      <c r="F276" s="223"/>
      <c r="G276" s="288"/>
      <c r="I276" s="317"/>
    </row>
    <row r="277" spans="4:12" x14ac:dyDescent="0.25">
      <c r="E277" s="756"/>
      <c r="F277" s="223"/>
      <c r="I277" s="317"/>
    </row>
    <row r="278" spans="4:12" x14ac:dyDescent="0.25">
      <c r="E278" s="756"/>
      <c r="F278" s="223"/>
      <c r="I278" s="317"/>
    </row>
    <row r="279" spans="4:12" x14ac:dyDescent="0.25">
      <c r="E279" s="756"/>
      <c r="F279" s="223"/>
      <c r="I279" s="317"/>
    </row>
    <row r="280" spans="4:12" x14ac:dyDescent="0.25">
      <c r="F280" s="223"/>
      <c r="I280" s="317"/>
    </row>
    <row r="281" spans="4:12" x14ac:dyDescent="0.25">
      <c r="F281" s="223"/>
      <c r="I281" s="317"/>
    </row>
    <row r="282" spans="4:12" x14ac:dyDescent="0.25">
      <c r="F282" s="223"/>
      <c r="I282" s="317"/>
    </row>
    <row r="283" spans="4:12" x14ac:dyDescent="0.25">
      <c r="F283" s="223"/>
      <c r="I283" s="317"/>
    </row>
    <row r="284" spans="4:12" x14ac:dyDescent="0.25">
      <c r="F284" s="223"/>
      <c r="I284" s="317"/>
    </row>
    <row r="285" spans="4:12" x14ac:dyDescent="0.25">
      <c r="F285" s="223"/>
      <c r="I285" s="317"/>
    </row>
    <row r="286" spans="4:12" x14ac:dyDescent="0.25">
      <c r="F286" s="223"/>
      <c r="I286" s="317"/>
    </row>
    <row r="287" spans="4:12" x14ac:dyDescent="0.25">
      <c r="F287" s="223"/>
      <c r="I287" s="756"/>
    </row>
    <row r="288" spans="4:12" x14ac:dyDescent="0.25">
      <c r="F288" s="223"/>
      <c r="I288" s="756"/>
      <c r="K288" s="844"/>
      <c r="L288" s="844"/>
    </row>
    <row r="289" spans="6:12" x14ac:dyDescent="0.25">
      <c r="F289" s="223"/>
      <c r="I289" s="756"/>
      <c r="K289" s="844"/>
      <c r="L289" s="844"/>
    </row>
    <row r="290" spans="6:12" x14ac:dyDescent="0.25">
      <c r="F290" s="223"/>
      <c r="I290" s="756"/>
      <c r="K290" s="844"/>
      <c r="L290" s="844"/>
    </row>
    <row r="291" spans="6:12" x14ac:dyDescent="0.25">
      <c r="F291" s="223"/>
      <c r="I291" s="756"/>
      <c r="K291" s="844"/>
      <c r="L291" s="844"/>
    </row>
    <row r="292" spans="6:12" x14ac:dyDescent="0.25">
      <c r="F292" s="223"/>
      <c r="I292" s="756"/>
      <c r="K292" s="844"/>
      <c r="L292" s="844"/>
    </row>
    <row r="293" spans="6:12" x14ac:dyDescent="0.25">
      <c r="F293" s="223"/>
      <c r="I293" s="756"/>
      <c r="K293" s="844"/>
      <c r="L293" s="844"/>
    </row>
    <row r="294" spans="6:12" x14ac:dyDescent="0.25">
      <c r="F294" s="223"/>
      <c r="I294" s="317"/>
      <c r="K294" s="844"/>
      <c r="L294" s="844"/>
    </row>
    <row r="295" spans="6:12" x14ac:dyDescent="0.25">
      <c r="F295" s="223"/>
      <c r="I295" s="317"/>
      <c r="K295" s="844"/>
      <c r="L295" s="844"/>
    </row>
    <row r="296" spans="6:12" x14ac:dyDescent="0.25">
      <c r="F296" s="223"/>
      <c r="I296" s="317"/>
      <c r="J296" s="844"/>
      <c r="K296" s="844"/>
      <c r="L296" s="844"/>
    </row>
    <row r="297" spans="6:12" x14ac:dyDescent="0.25">
      <c r="F297" s="223"/>
      <c r="I297" s="317"/>
      <c r="J297" s="844"/>
      <c r="K297" s="844"/>
      <c r="L297" s="844"/>
    </row>
    <row r="298" spans="6:12" x14ac:dyDescent="0.25">
      <c r="F298" s="223"/>
      <c r="I298" s="317"/>
      <c r="J298" s="844"/>
      <c r="K298" s="844"/>
      <c r="L298" s="844"/>
    </row>
    <row r="299" spans="6:12" x14ac:dyDescent="0.25">
      <c r="F299" s="223"/>
      <c r="I299" s="317"/>
      <c r="J299" s="844"/>
      <c r="K299" s="844"/>
      <c r="L299" s="844"/>
    </row>
    <row r="300" spans="6:12" x14ac:dyDescent="0.25">
      <c r="F300" s="223"/>
      <c r="I300" s="317"/>
      <c r="J300" s="844"/>
      <c r="K300" s="844"/>
      <c r="L300" s="844"/>
    </row>
    <row r="301" spans="6:12" x14ac:dyDescent="0.25">
      <c r="F301" s="223"/>
      <c r="I301" s="317"/>
      <c r="J301" s="844"/>
      <c r="K301" s="844"/>
      <c r="L301" s="844"/>
    </row>
    <row r="302" spans="6:12" x14ac:dyDescent="0.25">
      <c r="F302" s="223"/>
      <c r="I302" s="317"/>
      <c r="J302" s="844"/>
      <c r="K302" s="844"/>
      <c r="L302" s="844"/>
    </row>
    <row r="303" spans="6:12" x14ac:dyDescent="0.25">
      <c r="F303" s="223"/>
      <c r="I303" s="756"/>
      <c r="J303" s="844"/>
      <c r="K303" s="844"/>
      <c r="L303" s="844"/>
    </row>
    <row r="304" spans="6:12" x14ac:dyDescent="0.25">
      <c r="F304" s="223"/>
      <c r="I304" s="756"/>
      <c r="J304" s="844"/>
      <c r="K304" s="844"/>
      <c r="L304" s="844"/>
    </row>
    <row r="305" spans="6:12" x14ac:dyDescent="0.25">
      <c r="F305" s="223"/>
      <c r="I305" s="756"/>
      <c r="J305" s="844"/>
      <c r="K305" s="844"/>
      <c r="L305" s="844"/>
    </row>
    <row r="306" spans="6:12" x14ac:dyDescent="0.25">
      <c r="F306" s="223"/>
      <c r="I306" s="756"/>
      <c r="J306" s="844"/>
      <c r="K306" s="844"/>
      <c r="L306" s="844"/>
    </row>
    <row r="307" spans="6:12" x14ac:dyDescent="0.25">
      <c r="F307" s="223"/>
      <c r="I307" s="756"/>
      <c r="J307" s="844"/>
      <c r="K307" s="844"/>
      <c r="L307" s="844"/>
    </row>
    <row r="308" spans="6:12" x14ac:dyDescent="0.25">
      <c r="F308" s="223"/>
      <c r="I308" s="756"/>
      <c r="J308" s="844"/>
      <c r="K308" s="844"/>
      <c r="L308" s="844"/>
    </row>
    <row r="309" spans="6:12" x14ac:dyDescent="0.25">
      <c r="F309" s="223"/>
      <c r="I309" s="756"/>
      <c r="J309" s="844"/>
      <c r="K309" s="844"/>
      <c r="L309" s="844"/>
    </row>
    <row r="310" spans="6:12" x14ac:dyDescent="0.25">
      <c r="F310" s="223"/>
      <c r="I310" s="756"/>
      <c r="J310" s="844"/>
      <c r="K310" s="844"/>
      <c r="L310" s="844"/>
    </row>
    <row r="311" spans="6:12" x14ac:dyDescent="0.25">
      <c r="F311" s="223"/>
      <c r="I311" s="756"/>
      <c r="J311" s="844"/>
      <c r="K311" s="844"/>
      <c r="L311" s="844"/>
    </row>
    <row r="312" spans="6:12" x14ac:dyDescent="0.25">
      <c r="F312" s="223"/>
      <c r="I312" s="756"/>
      <c r="J312" s="844"/>
      <c r="K312" s="844"/>
      <c r="L312" s="844"/>
    </row>
    <row r="313" spans="6:12" x14ac:dyDescent="0.25">
      <c r="F313" s="223"/>
      <c r="I313" s="756"/>
      <c r="J313" s="844"/>
      <c r="K313" s="844"/>
      <c r="L313" s="844"/>
    </row>
    <row r="314" spans="6:12" x14ac:dyDescent="0.25">
      <c r="F314" s="223"/>
      <c r="I314" s="756"/>
      <c r="J314" s="844"/>
      <c r="K314" s="844"/>
      <c r="L314" s="844"/>
    </row>
    <row r="315" spans="6:12" x14ac:dyDescent="0.25">
      <c r="F315" s="223"/>
      <c r="I315" s="756"/>
      <c r="J315" s="844"/>
      <c r="K315" s="844"/>
      <c r="L315" s="844"/>
    </row>
    <row r="316" spans="6:12" x14ac:dyDescent="0.25">
      <c r="F316" s="223"/>
      <c r="I316" s="756"/>
      <c r="J316" s="844"/>
      <c r="K316" s="844"/>
      <c r="L316" s="844"/>
    </row>
    <row r="317" spans="6:12" x14ac:dyDescent="0.25">
      <c r="F317" s="223"/>
      <c r="I317" s="756"/>
      <c r="J317" s="844"/>
      <c r="K317" s="844"/>
      <c r="L317" s="844"/>
    </row>
    <row r="318" spans="6:12" x14ac:dyDescent="0.25">
      <c r="F318" s="223"/>
      <c r="I318" s="756"/>
      <c r="J318" s="844"/>
      <c r="K318" s="844"/>
      <c r="L318" s="844"/>
    </row>
    <row r="319" spans="6:12" x14ac:dyDescent="0.25">
      <c r="F319" s="223"/>
      <c r="I319" s="756"/>
      <c r="J319" s="844"/>
      <c r="K319" s="844"/>
      <c r="L319" s="844"/>
    </row>
    <row r="320" spans="6:12" x14ac:dyDescent="0.25">
      <c r="F320" s="223"/>
      <c r="I320" s="756"/>
      <c r="J320" s="844"/>
      <c r="K320" s="844"/>
      <c r="L320" s="844"/>
    </row>
    <row r="321" spans="6:12" x14ac:dyDescent="0.25">
      <c r="F321" s="223"/>
      <c r="I321" s="756"/>
      <c r="J321" s="844"/>
      <c r="K321" s="844"/>
      <c r="L321" s="844"/>
    </row>
    <row r="322" spans="6:12" x14ac:dyDescent="0.25">
      <c r="F322" s="223"/>
      <c r="I322" s="756"/>
      <c r="J322" s="844"/>
      <c r="K322" s="844"/>
      <c r="L322" s="844"/>
    </row>
    <row r="323" spans="6:12" x14ac:dyDescent="0.25">
      <c r="F323" s="223"/>
      <c r="I323" s="756"/>
      <c r="J323" s="844"/>
      <c r="K323" s="844"/>
      <c r="L323" s="844"/>
    </row>
    <row r="324" spans="6:12" x14ac:dyDescent="0.25">
      <c r="F324" s="223"/>
      <c r="I324" s="756"/>
      <c r="J324" s="844"/>
      <c r="K324" s="844"/>
      <c r="L324" s="844"/>
    </row>
    <row r="325" spans="6:12" x14ac:dyDescent="0.25">
      <c r="F325" s="223"/>
      <c r="I325" s="756"/>
      <c r="J325" s="844"/>
      <c r="K325" s="844"/>
      <c r="L325" s="844"/>
    </row>
    <row r="326" spans="6:12" x14ac:dyDescent="0.25">
      <c r="F326" s="223"/>
      <c r="I326" s="756"/>
      <c r="J326" s="844"/>
      <c r="K326" s="844"/>
      <c r="L326" s="844"/>
    </row>
    <row r="327" spans="6:12" x14ac:dyDescent="0.25">
      <c r="F327" s="223"/>
      <c r="I327" s="756"/>
      <c r="J327" s="844"/>
      <c r="K327" s="844"/>
      <c r="L327" s="844"/>
    </row>
    <row r="328" spans="6:12" x14ac:dyDescent="0.25">
      <c r="F328" s="223"/>
      <c r="I328" s="756"/>
      <c r="J328" s="844"/>
      <c r="K328" s="844"/>
      <c r="L328" s="844"/>
    </row>
    <row r="329" spans="6:12" x14ac:dyDescent="0.25">
      <c r="F329" s="223"/>
      <c r="I329" s="756"/>
      <c r="J329" s="844"/>
      <c r="K329" s="844"/>
      <c r="L329" s="844"/>
    </row>
    <row r="330" spans="6:12" x14ac:dyDescent="0.25">
      <c r="F330" s="223"/>
      <c r="I330" s="756"/>
      <c r="J330" s="844"/>
      <c r="K330" s="844"/>
      <c r="L330" s="844"/>
    </row>
    <row r="331" spans="6:12" x14ac:dyDescent="0.25">
      <c r="F331" s="223"/>
      <c r="I331" s="756"/>
      <c r="J331" s="844"/>
      <c r="K331" s="844"/>
      <c r="L331" s="844"/>
    </row>
    <row r="332" spans="6:12" x14ac:dyDescent="0.25">
      <c r="F332" s="223"/>
      <c r="I332" s="756"/>
      <c r="J332" s="844"/>
      <c r="K332" s="844"/>
      <c r="L332" s="844"/>
    </row>
    <row r="333" spans="6:12" x14ac:dyDescent="0.25">
      <c r="F333" s="223"/>
      <c r="I333" s="756"/>
      <c r="J333" s="844"/>
      <c r="K333" s="844"/>
      <c r="L333" s="844"/>
    </row>
    <row r="334" spans="6:12" x14ac:dyDescent="0.25">
      <c r="F334" s="223"/>
      <c r="I334" s="756"/>
      <c r="J334" s="844"/>
      <c r="K334" s="844"/>
      <c r="L334" s="844"/>
    </row>
    <row r="335" spans="6:12" x14ac:dyDescent="0.25">
      <c r="F335" s="223"/>
      <c r="I335" s="756"/>
      <c r="J335" s="844"/>
      <c r="K335" s="844"/>
      <c r="L335" s="844"/>
    </row>
    <row r="336" spans="6:12" x14ac:dyDescent="0.25">
      <c r="F336" s="223"/>
      <c r="I336" s="756"/>
      <c r="J336" s="844"/>
      <c r="K336" s="844"/>
      <c r="L336" s="844"/>
    </row>
    <row r="337" spans="6:12" x14ac:dyDescent="0.25">
      <c r="F337" s="223"/>
      <c r="I337" s="756"/>
      <c r="J337" s="844"/>
      <c r="K337" s="844"/>
      <c r="L337" s="844"/>
    </row>
    <row r="338" spans="6:12" x14ac:dyDescent="0.25">
      <c r="F338" s="223"/>
      <c r="I338" s="756"/>
      <c r="J338" s="844"/>
      <c r="K338" s="844"/>
      <c r="L338" s="844"/>
    </row>
    <row r="339" spans="6:12" x14ac:dyDescent="0.25">
      <c r="F339" s="223"/>
      <c r="I339" s="756"/>
      <c r="J339" s="844"/>
      <c r="K339" s="844"/>
      <c r="L339" s="844"/>
    </row>
    <row r="340" spans="6:12" x14ac:dyDescent="0.25">
      <c r="F340" s="223"/>
      <c r="I340" s="756"/>
      <c r="J340" s="844"/>
      <c r="K340" s="844"/>
      <c r="L340" s="844"/>
    </row>
    <row r="341" spans="6:12" x14ac:dyDescent="0.25">
      <c r="F341" s="223"/>
      <c r="I341" s="756"/>
      <c r="J341" s="844"/>
      <c r="K341" s="844"/>
      <c r="L341" s="844"/>
    </row>
    <row r="342" spans="6:12" x14ac:dyDescent="0.25">
      <c r="F342" s="223"/>
      <c r="I342" s="756"/>
      <c r="J342" s="844"/>
      <c r="K342" s="844"/>
      <c r="L342" s="844"/>
    </row>
    <row r="343" spans="6:12" x14ac:dyDescent="0.25">
      <c r="F343" s="223"/>
      <c r="I343" s="756"/>
      <c r="J343" s="844"/>
      <c r="K343" s="844"/>
      <c r="L343" s="844"/>
    </row>
    <row r="344" spans="6:12" x14ac:dyDescent="0.25">
      <c r="F344" s="223"/>
      <c r="I344" s="756"/>
      <c r="J344" s="844"/>
      <c r="K344" s="844"/>
      <c r="L344" s="844"/>
    </row>
    <row r="345" spans="6:12" x14ac:dyDescent="0.25">
      <c r="F345" s="223"/>
      <c r="I345" s="756"/>
      <c r="J345" s="844"/>
      <c r="K345" s="844"/>
      <c r="L345" s="844"/>
    </row>
    <row r="346" spans="6:12" x14ac:dyDescent="0.25">
      <c r="F346" s="223"/>
      <c r="I346" s="756"/>
      <c r="J346" s="844"/>
      <c r="K346" s="844"/>
      <c r="L346" s="844"/>
    </row>
    <row r="347" spans="6:12" x14ac:dyDescent="0.25">
      <c r="F347" s="223"/>
      <c r="I347" s="756"/>
      <c r="J347" s="844"/>
      <c r="K347" s="844"/>
      <c r="L347" s="844"/>
    </row>
    <row r="348" spans="6:12" x14ac:dyDescent="0.25">
      <c r="F348" s="223"/>
      <c r="I348" s="756"/>
      <c r="J348" s="844"/>
      <c r="K348" s="844"/>
      <c r="L348" s="844"/>
    </row>
    <row r="349" spans="6:12" x14ac:dyDescent="0.25">
      <c r="F349" s="223"/>
      <c r="I349" s="756"/>
      <c r="J349" s="844"/>
      <c r="K349" s="844"/>
      <c r="L349" s="844"/>
    </row>
    <row r="350" spans="6:12" x14ac:dyDescent="0.25">
      <c r="F350" s="223"/>
      <c r="I350" s="756"/>
      <c r="J350" s="844"/>
      <c r="K350" s="844"/>
      <c r="L350" s="844"/>
    </row>
    <row r="351" spans="6:12" x14ac:dyDescent="0.25">
      <c r="F351" s="223"/>
      <c r="I351" s="756"/>
      <c r="J351" s="844"/>
      <c r="K351" s="844"/>
      <c r="L351" s="844"/>
    </row>
    <row r="352" spans="6:12" x14ac:dyDescent="0.25">
      <c r="F352" s="223"/>
      <c r="I352" s="756"/>
      <c r="J352" s="844"/>
      <c r="K352" s="844"/>
      <c r="L352" s="844"/>
    </row>
    <row r="353" spans="6:12" x14ac:dyDescent="0.25">
      <c r="F353" s="223"/>
      <c r="I353" s="756"/>
      <c r="J353" s="844"/>
      <c r="K353" s="844"/>
      <c r="L353" s="844"/>
    </row>
    <row r="354" spans="6:12" x14ac:dyDescent="0.25">
      <c r="F354" s="223"/>
      <c r="I354" s="756"/>
      <c r="J354" s="844"/>
      <c r="K354" s="844"/>
      <c r="L354" s="844"/>
    </row>
    <row r="355" spans="6:12" x14ac:dyDescent="0.25">
      <c r="F355" s="223"/>
      <c r="I355" s="756"/>
      <c r="J355" s="844"/>
      <c r="K355" s="844"/>
      <c r="L355" s="844"/>
    </row>
    <row r="356" spans="6:12" x14ac:dyDescent="0.25">
      <c r="F356" s="223"/>
      <c r="I356" s="756"/>
      <c r="J356" s="844"/>
      <c r="K356" s="844"/>
      <c r="L356" s="844"/>
    </row>
    <row r="357" spans="6:12" x14ac:dyDescent="0.25">
      <c r="F357" s="223"/>
      <c r="I357" s="756"/>
      <c r="J357" s="844"/>
    </row>
    <row r="358" spans="6:12" x14ac:dyDescent="0.25">
      <c r="F358" s="223"/>
      <c r="I358" s="756"/>
      <c r="J358" s="844"/>
    </row>
    <row r="359" spans="6:12" x14ac:dyDescent="0.25">
      <c r="F359" s="223"/>
      <c r="I359" s="756"/>
      <c r="J359" s="844"/>
    </row>
    <row r="360" spans="6:12" x14ac:dyDescent="0.25">
      <c r="F360" s="223"/>
      <c r="I360" s="756"/>
      <c r="J360" s="844"/>
    </row>
    <row r="361" spans="6:12" x14ac:dyDescent="0.25">
      <c r="F361" s="223"/>
      <c r="I361" s="756"/>
      <c r="J361" s="844"/>
    </row>
    <row r="362" spans="6:12" x14ac:dyDescent="0.25">
      <c r="F362" s="223"/>
      <c r="I362" s="756"/>
      <c r="J362" s="844"/>
    </row>
    <row r="363" spans="6:12" x14ac:dyDescent="0.25">
      <c r="F363" s="223"/>
      <c r="I363" s="756"/>
      <c r="J363" s="844"/>
    </row>
    <row r="364" spans="6:12" x14ac:dyDescent="0.25">
      <c r="F364" s="223"/>
      <c r="I364" s="756"/>
      <c r="J364" s="844"/>
    </row>
    <row r="365" spans="6:12" x14ac:dyDescent="0.25">
      <c r="F365" s="223"/>
      <c r="I365" s="756"/>
    </row>
    <row r="366" spans="6:12" x14ac:dyDescent="0.25">
      <c r="F366" s="223"/>
      <c r="I366" s="756"/>
    </row>
    <row r="367" spans="6:12" x14ac:dyDescent="0.25">
      <c r="F367" s="223"/>
      <c r="I367" s="756"/>
    </row>
    <row r="368" spans="6:12" x14ac:dyDescent="0.25">
      <c r="F368" s="223"/>
      <c r="I368" s="756"/>
    </row>
    <row r="369" spans="6:9" x14ac:dyDescent="0.25">
      <c r="F369" s="223"/>
      <c r="I369" s="756"/>
    </row>
    <row r="370" spans="6:9" x14ac:dyDescent="0.25">
      <c r="F370" s="223"/>
      <c r="I370" s="756"/>
    </row>
    <row r="371" spans="6:9" x14ac:dyDescent="0.25">
      <c r="F371" s="223"/>
      <c r="I371" s="756"/>
    </row>
    <row r="372" spans="6:9" x14ac:dyDescent="0.25">
      <c r="F372" s="223"/>
      <c r="I372" s="317"/>
    </row>
    <row r="373" spans="6:9" x14ac:dyDescent="0.25">
      <c r="F373" s="223"/>
      <c r="I373" s="317"/>
    </row>
    <row r="374" spans="6:9" x14ac:dyDescent="0.25">
      <c r="F374" s="223"/>
      <c r="I374" s="317"/>
    </row>
    <row r="375" spans="6:9" x14ac:dyDescent="0.25">
      <c r="F375" s="223"/>
      <c r="I375" s="317"/>
    </row>
    <row r="376" spans="6:9" x14ac:dyDescent="0.25">
      <c r="F376" s="223"/>
      <c r="I376" s="317"/>
    </row>
    <row r="377" spans="6:9" x14ac:dyDescent="0.25">
      <c r="I377" s="317"/>
    </row>
    <row r="378" spans="6:9" x14ac:dyDescent="0.25">
      <c r="I378" s="317"/>
    </row>
    <row r="379" spans="6:9" x14ac:dyDescent="0.25">
      <c r="I379" s="317"/>
    </row>
    <row r="380" spans="6:9" x14ac:dyDescent="0.25">
      <c r="I380" s="317"/>
    </row>
    <row r="381" spans="6:9" x14ac:dyDescent="0.25">
      <c r="I381" s="317"/>
    </row>
  </sheetData>
  <sheetProtection algorithmName="SHA-512" hashValue="cCwEmUBYXQlBpjby7dssl7YJBh2l8hWXS5HREZ/g9JGrETt3ldAsFJ0Z88HqOaPhfp8Kskb4HAQqumD3tDwBTg==" saltValue="UcZtVCipbDTaFqLEUFzw4A==" spinCount="100000" sheet="1" formatCells="0" formatColumns="0" formatRows="0"/>
  <dataConsolidate link="1"/>
  <mergeCells count="17">
    <mergeCell ref="B260:C260"/>
    <mergeCell ref="B261:C261"/>
    <mergeCell ref="D260:E260"/>
    <mergeCell ref="D261:E261"/>
    <mergeCell ref="E2:G2"/>
    <mergeCell ref="B2:C2"/>
    <mergeCell ref="B118:D118"/>
    <mergeCell ref="B254:E254"/>
    <mergeCell ref="B255:E255"/>
    <mergeCell ref="D259:E259"/>
    <mergeCell ref="B244:G244"/>
    <mergeCell ref="B263:C263"/>
    <mergeCell ref="B264:C264"/>
    <mergeCell ref="D263:E263"/>
    <mergeCell ref="D264:E264"/>
    <mergeCell ref="B262:C262"/>
    <mergeCell ref="D262:E262"/>
  </mergeCells>
  <phoneticPr fontId="73" type="noConversion"/>
  <conditionalFormatting sqref="H145">
    <cfRule type="cellIs" dxfId="73" priority="104" stopIfTrue="1" operator="notEqual">
      <formula>0</formula>
    </cfRule>
  </conditionalFormatting>
  <conditionalFormatting sqref="H146">
    <cfRule type="cellIs" dxfId="72" priority="102" stopIfTrue="1" operator="notEqual">
      <formula>0</formula>
    </cfRule>
  </conditionalFormatting>
  <conditionalFormatting sqref="G232:G235 G239:G240">
    <cfRule type="cellIs" dxfId="71" priority="101" stopIfTrue="1" operator="notEqual">
      <formula>0</formula>
    </cfRule>
  </conditionalFormatting>
  <conditionalFormatting sqref="H23">
    <cfRule type="cellIs" dxfId="70" priority="100" stopIfTrue="1" operator="notEqual">
      <formula>0</formula>
    </cfRule>
  </conditionalFormatting>
  <conditionalFormatting sqref="H37:H38">
    <cfRule type="cellIs" dxfId="69" priority="99" stopIfTrue="1" operator="notEqual">
      <formula>0</formula>
    </cfRule>
  </conditionalFormatting>
  <conditionalFormatting sqref="H57">
    <cfRule type="cellIs" dxfId="68" priority="98" stopIfTrue="1" operator="notEqual">
      <formula>0</formula>
    </cfRule>
  </conditionalFormatting>
  <conditionalFormatting sqref="H70:H73">
    <cfRule type="cellIs" dxfId="67" priority="97" stopIfTrue="1" operator="notEqual">
      <formula>0</formula>
    </cfRule>
  </conditionalFormatting>
  <conditionalFormatting sqref="H97">
    <cfRule type="cellIs" dxfId="66" priority="96" stopIfTrue="1" operator="notEqual">
      <formula>0</formula>
    </cfRule>
  </conditionalFormatting>
  <conditionalFormatting sqref="H116">
    <cfRule type="cellIs" dxfId="65" priority="95" stopIfTrue="1" operator="notEqual">
      <formula>0</formula>
    </cfRule>
  </conditionalFormatting>
  <conditionalFormatting sqref="H129">
    <cfRule type="cellIs" dxfId="64" priority="94" stopIfTrue="1" operator="notEqual">
      <formula>0</formula>
    </cfRule>
  </conditionalFormatting>
  <conditionalFormatting sqref="H130">
    <cfRule type="cellIs" dxfId="63" priority="93" stopIfTrue="1" operator="notEqual">
      <formula>0</formula>
    </cfRule>
  </conditionalFormatting>
  <conditionalFormatting sqref="L204 G219">
    <cfRule type="cellIs" priority="65" stopIfTrue="1" operator="equal">
      <formula>";;;"</formula>
    </cfRule>
  </conditionalFormatting>
  <conditionalFormatting sqref="L204 G219">
    <cfRule type="cellIs" dxfId="62" priority="64" stopIfTrue="1" operator="equal">
      <formula>0</formula>
    </cfRule>
  </conditionalFormatting>
  <conditionalFormatting sqref="L204">
    <cfRule type="cellIs" dxfId="61" priority="63" stopIfTrue="1" operator="equal">
      <formula>0</formula>
    </cfRule>
  </conditionalFormatting>
  <conditionalFormatting sqref="G218">
    <cfRule type="cellIs" priority="62" stopIfTrue="1" operator="equal">
      <formula>";;;"</formula>
    </cfRule>
  </conditionalFormatting>
  <conditionalFormatting sqref="G218">
    <cfRule type="cellIs" dxfId="60" priority="61" stopIfTrue="1" operator="equal">
      <formula>0</formula>
    </cfRule>
  </conditionalFormatting>
  <conditionalFormatting sqref="G218">
    <cfRule type="cellIs" dxfId="59" priority="60" stopIfTrue="1" operator="equal">
      <formula>0</formula>
    </cfRule>
  </conditionalFormatting>
  <conditionalFormatting sqref="G216">
    <cfRule type="cellIs" priority="56" stopIfTrue="1" operator="equal">
      <formula>";;;"</formula>
    </cfRule>
  </conditionalFormatting>
  <conditionalFormatting sqref="G216">
    <cfRule type="cellIs" dxfId="58" priority="55" stopIfTrue="1" operator="equal">
      <formula>0</formula>
    </cfRule>
  </conditionalFormatting>
  <conditionalFormatting sqref="G216">
    <cfRule type="cellIs" dxfId="57" priority="54" stopIfTrue="1" operator="equal">
      <formula>0</formula>
    </cfRule>
  </conditionalFormatting>
  <conditionalFormatting sqref="G217">
    <cfRule type="cellIs" priority="50" stopIfTrue="1" operator="equal">
      <formula>";;;"</formula>
    </cfRule>
  </conditionalFormatting>
  <conditionalFormatting sqref="G217">
    <cfRule type="cellIs" dxfId="56" priority="49" stopIfTrue="1" operator="equal">
      <formula>0</formula>
    </cfRule>
  </conditionalFormatting>
  <conditionalFormatting sqref="G217">
    <cfRule type="cellIs" dxfId="55" priority="48" stopIfTrue="1" operator="equal">
      <formula>0</formula>
    </cfRule>
  </conditionalFormatting>
  <conditionalFormatting sqref="J210">
    <cfRule type="cellIs" priority="47" stopIfTrue="1" operator="equal">
      <formula>";;;"</formula>
    </cfRule>
  </conditionalFormatting>
  <conditionalFormatting sqref="J210">
    <cfRule type="cellIs" dxfId="54" priority="46" stopIfTrue="1" operator="equal">
      <formula>0</formula>
    </cfRule>
  </conditionalFormatting>
  <conditionalFormatting sqref="J210">
    <cfRule type="cellIs" dxfId="53" priority="45" stopIfTrue="1" operator="equal">
      <formula>0</formula>
    </cfRule>
  </conditionalFormatting>
  <conditionalFormatting sqref="G212">
    <cfRule type="cellIs" priority="17" stopIfTrue="1" operator="equal">
      <formula>";;;"</formula>
    </cfRule>
  </conditionalFormatting>
  <conditionalFormatting sqref="G212">
    <cfRule type="cellIs" dxfId="52" priority="16" stopIfTrue="1" operator="equal">
      <formula>0</formula>
    </cfRule>
  </conditionalFormatting>
  <conditionalFormatting sqref="G212">
    <cfRule type="cellIs" dxfId="51" priority="15" stopIfTrue="1" operator="equal">
      <formula>0</formula>
    </cfRule>
  </conditionalFormatting>
  <conditionalFormatting sqref="G210">
    <cfRule type="cellIs" priority="14" stopIfTrue="1" operator="equal">
      <formula>";;;"</formula>
    </cfRule>
  </conditionalFormatting>
  <conditionalFormatting sqref="G210">
    <cfRule type="cellIs" dxfId="50" priority="13" stopIfTrue="1" operator="equal">
      <formula>0</formula>
    </cfRule>
  </conditionalFormatting>
  <conditionalFormatting sqref="G210">
    <cfRule type="cellIs" dxfId="49" priority="12" stopIfTrue="1" operator="equal">
      <formula>0</formula>
    </cfRule>
  </conditionalFormatting>
  <conditionalFormatting sqref="G211">
    <cfRule type="cellIs" priority="11" stopIfTrue="1" operator="equal">
      <formula>";;;"</formula>
    </cfRule>
  </conditionalFormatting>
  <conditionalFormatting sqref="G211">
    <cfRule type="cellIs" dxfId="48" priority="10" stopIfTrue="1" operator="equal">
      <formula>0</formula>
    </cfRule>
  </conditionalFormatting>
  <conditionalFormatting sqref="G211">
    <cfRule type="cellIs" dxfId="47" priority="9" stopIfTrue="1" operator="equal">
      <formula>0</formula>
    </cfRule>
  </conditionalFormatting>
  <conditionalFormatting sqref="G214">
    <cfRule type="cellIs" priority="8" stopIfTrue="1" operator="equal">
      <formula>";;;"</formula>
    </cfRule>
  </conditionalFormatting>
  <conditionalFormatting sqref="G214">
    <cfRule type="cellIs" dxfId="46" priority="7" stopIfTrue="1" operator="equal">
      <formula>0</formula>
    </cfRule>
  </conditionalFormatting>
  <conditionalFormatting sqref="G214">
    <cfRule type="cellIs" dxfId="45" priority="6" stopIfTrue="1" operator="equal">
      <formula>0</formula>
    </cfRule>
  </conditionalFormatting>
  <dataValidations xWindow="854" yWindow="655" count="11">
    <dataValidation type="list" allowBlank="1" showInputMessage="1" showErrorMessage="1" prompt="Please select Yes or No from the drop down list" sqref="F205" xr:uid="{00000000-0002-0000-0100-000002000000}">
      <formula1>#REF!</formula1>
    </dataValidation>
    <dataValidation type="list" allowBlank="1" showInputMessage="1" showErrorMessage="1" prompt="Please select the appropriate number value from the drop-down box." sqref="F79" xr:uid="{00000000-0002-0000-0100-000005000000}">
      <formula1>$N$2:$N$4</formula1>
    </dataValidation>
    <dataValidation type="date" operator="lessThan" showInputMessage="1" showErrorMessage="1" sqref="F249" xr:uid="{D88F9905-DDAC-4ACA-8507-08F0F7852A99}">
      <formula1>44012</formula1>
    </dataValidation>
    <dataValidation type="list" allowBlank="1" showInputMessage="1" showErrorMessage="1" prompt="Select from drop down list" sqref="G71" xr:uid="{03FCCE46-B0EA-4672-8B51-281D65C01346}">
      <formula1>#REF!</formula1>
    </dataValidation>
    <dataValidation type="list" allowBlank="1" showInputMessage="1" showErrorMessage="1" prompt="Click on cell D2 and select the unit name from the drop down list" sqref="D2" xr:uid="{00000000-0002-0000-0100-000004000000}">
      <formula1>$L$6:$L$86</formula1>
    </dataValidation>
    <dataValidation type="list" allowBlank="1" showInputMessage="1" showErrorMessage="1" sqref="F71" xr:uid="{A85FF889-D99F-45B3-A284-6701B76512B6}">
      <formula1>$M$4:$M$5</formula1>
    </dataValidation>
    <dataValidation type="list" allowBlank="1" showInputMessage="1" showErrorMessage="1" sqref="F131:F132 F207 F248 F250:F252" xr:uid="{9CC5535C-800A-4D03-A86E-273A5BC3EBB6}">
      <formula1>$M$1:$M$2</formula1>
    </dataValidation>
    <dataValidation type="list" allowBlank="1" showInputMessage="1" showErrorMessage="1" sqref="F161" xr:uid="{FCE57F22-20D9-4CFA-AFE5-1751E216D3C1}">
      <formula1>$O$1:$O$2</formula1>
    </dataValidation>
    <dataValidation type="list" allowBlank="1" showInputMessage="1" showErrorMessage="1" sqref="F215" xr:uid="{2CD3BDAD-30EF-425F-BB01-D3FF43CDAA81}">
      <formula1>$O$1:$O$4</formula1>
    </dataValidation>
    <dataValidation type="list" allowBlank="1" showInputMessage="1" showErrorMessage="1" prompt="Please select from the drop down box the most appropriate answer" sqref="F241 F243" xr:uid="{7584867B-76E5-42C2-B404-3B1B6C94E6E2}">
      <formula1>$O$1:$O$2</formula1>
    </dataValidation>
    <dataValidation type="list" allowBlank="1" showInputMessage="1" showErrorMessage="1" sqref="F247" xr:uid="{DB0EB8F5-2DE0-4833-AFDF-F7BB7A8D56E1}">
      <formula1>$M$6:$M$8</formula1>
    </dataValidation>
  </dataValidations>
  <printOptions headings="1" gridLines="1"/>
  <pageMargins left="0.25" right="0.25" top="0.25" bottom="0.75" header="0.3" footer="0.3"/>
  <pageSetup fitToHeight="0" orientation="portrait" r:id="rId1"/>
  <headerFooter>
    <oddFooter>&amp;LPage &amp;P&amp;R&amp;Z&amp;F</oddFooter>
  </headerFooter>
  <ignoredErrors>
    <ignoredError sqref="H236:H23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668"/>
  <sheetViews>
    <sheetView zoomScaleNormal="100" workbookViewId="0">
      <pane xSplit="3" ySplit="3" topLeftCell="D4" activePane="bottomRight" state="frozen"/>
      <selection activeCell="K169" sqref="K169"/>
      <selection pane="topRight" activeCell="K169" sqref="K169"/>
      <selection pane="bottomLeft" activeCell="K169" sqref="K169"/>
      <selection pane="bottomRight" activeCell="D5" sqref="D5"/>
    </sheetView>
  </sheetViews>
  <sheetFormatPr defaultRowHeight="15" x14ac:dyDescent="0.25"/>
  <cols>
    <col min="1" max="1" width="9.140625" style="224" customWidth="1"/>
    <col min="2" max="2" width="17.42578125" style="162" bestFit="1" customWidth="1"/>
    <col min="3" max="3" width="37.85546875" style="156" customWidth="1"/>
    <col min="4" max="4" width="15.28515625" style="1" customWidth="1"/>
    <col min="5" max="5" width="11.140625" style="1" bestFit="1" customWidth="1"/>
    <col min="6" max="6" width="22.140625" style="1" customWidth="1"/>
    <col min="7" max="7" width="17.28515625" style="206" bestFit="1" customWidth="1"/>
    <col min="8" max="8" width="9.5703125" style="1" bestFit="1" customWidth="1"/>
    <col min="9" max="9" width="1" style="37" customWidth="1"/>
    <col min="10" max="10" width="15.5703125" style="157" customWidth="1"/>
    <col min="11" max="11" width="35.28515625" style="30" bestFit="1" customWidth="1"/>
    <col min="12" max="12" width="15.28515625" style="190" bestFit="1" customWidth="1"/>
    <col min="13" max="13" width="1.42578125" style="1" customWidth="1"/>
    <col min="14" max="14" width="17" style="1" customWidth="1"/>
    <col min="15" max="15" width="16.42578125" style="1" bestFit="1" customWidth="1"/>
    <col min="17" max="17" width="10.140625" style="246" bestFit="1" customWidth="1"/>
    <col min="18" max="18" width="7.140625" style="1" bestFit="1" customWidth="1"/>
    <col min="19" max="19" width="6" style="1" hidden="1" customWidth="1"/>
    <col min="20" max="20" width="6.7109375" style="1" hidden="1" customWidth="1"/>
    <col min="21" max="21" width="7.5703125" style="1" hidden="1" customWidth="1"/>
    <col min="22" max="22" width="3.42578125" style="1" hidden="1" customWidth="1"/>
    <col min="23" max="23" width="7.140625" style="1" hidden="1" customWidth="1"/>
    <col min="24" max="24" width="10.5703125" style="1" hidden="1" customWidth="1"/>
    <col min="25" max="25" width="0" style="1" hidden="1" customWidth="1"/>
    <col min="26" max="16384" width="9.140625" style="1"/>
  </cols>
  <sheetData>
    <row r="1" spans="1:27" ht="37.5" x14ac:dyDescent="0.25">
      <c r="C1" s="158" t="s">
        <v>859</v>
      </c>
      <c r="D1" s="36">
        <f>L51-(L38+L39-L43-L44-L180)-L47</f>
        <v>0</v>
      </c>
      <c r="I1" s="130"/>
      <c r="J1" s="151"/>
      <c r="K1" s="39" t="s">
        <v>49</v>
      </c>
      <c r="L1" s="183"/>
      <c r="M1" s="27"/>
      <c r="S1" s="1">
        <v>100</v>
      </c>
      <c r="T1" s="1">
        <v>1</v>
      </c>
    </row>
    <row r="2" spans="1:27" ht="21" x14ac:dyDescent="0.35">
      <c r="C2" s="214">
        <f>'Unit Data from Audit Worksheet'!D2</f>
        <v>0</v>
      </c>
      <c r="D2" s="523">
        <v>2020</v>
      </c>
      <c r="E2" s="33">
        <f>D2</f>
        <v>2020</v>
      </c>
      <c r="F2" s="33"/>
      <c r="G2" s="207"/>
      <c r="H2" s="33"/>
      <c r="I2" s="130"/>
      <c r="J2" s="136" t="s">
        <v>45</v>
      </c>
      <c r="K2" s="29" t="s">
        <v>44</v>
      </c>
      <c r="L2" s="189" t="s">
        <v>31</v>
      </c>
      <c r="S2" s="1">
        <v>200</v>
      </c>
      <c r="T2" s="1">
        <v>2</v>
      </c>
    </row>
    <row r="3" spans="1:27" ht="47.25" x14ac:dyDescent="0.25">
      <c r="A3" s="13" t="s">
        <v>45</v>
      </c>
      <c r="B3" s="163"/>
      <c r="C3" s="149" t="s">
        <v>1</v>
      </c>
      <c r="D3" s="40" t="s">
        <v>46</v>
      </c>
      <c r="E3" s="40" t="s">
        <v>47</v>
      </c>
      <c r="F3" s="41" t="s">
        <v>51</v>
      </c>
      <c r="G3" s="215" t="s">
        <v>560</v>
      </c>
      <c r="H3" s="41" t="s">
        <v>704</v>
      </c>
      <c r="I3" s="130"/>
      <c r="J3" s="497"/>
      <c r="K3" s="526"/>
      <c r="L3" s="527"/>
      <c r="O3" s="1" t="s">
        <v>299</v>
      </c>
      <c r="Q3" s="241" t="s">
        <v>561</v>
      </c>
      <c r="S3" s="1">
        <v>300</v>
      </c>
      <c r="T3" s="1">
        <v>3</v>
      </c>
    </row>
    <row r="4" spans="1:27" ht="18.75" x14ac:dyDescent="0.3">
      <c r="A4" s="24"/>
      <c r="B4" s="164"/>
      <c r="C4" s="159"/>
      <c r="D4" s="25"/>
      <c r="E4" s="25"/>
      <c r="F4" s="25"/>
      <c r="G4" s="208"/>
      <c r="H4" s="25"/>
      <c r="I4" s="130"/>
      <c r="J4" s="147">
        <v>999</v>
      </c>
      <c r="K4" s="32" t="str">
        <f>+K215</f>
        <v>CCH Unit Code</v>
      </c>
      <c r="L4" s="468" t="e">
        <f>'Unit Data from Audit Worksheet'!D3</f>
        <v>#N/A</v>
      </c>
      <c r="R4" s="498"/>
      <c r="S4" s="1">
        <v>400</v>
      </c>
      <c r="T4" s="239">
        <v>4</v>
      </c>
      <c r="W4" s="1" t="b">
        <f>EXACT(A4,J4)</f>
        <v>0</v>
      </c>
      <c r="X4" s="581" t="e">
        <f>E4-L4</f>
        <v>#N/A</v>
      </c>
      <c r="Y4" s="581" t="e">
        <f>D4-L4</f>
        <v>#N/A</v>
      </c>
    </row>
    <row r="5" spans="1:27" ht="57" customHeight="1" x14ac:dyDescent="0.25">
      <c r="A5" s="718">
        <f>'Unit Data from Audit Worksheet'!A7</f>
        <v>333</v>
      </c>
      <c r="B5" s="168" t="str">
        <f>'Unit Data from Audit Worksheet'!C7</f>
        <v>Net Position-Governmental Activities</v>
      </c>
      <c r="C5" s="146" t="str">
        <f>'Unit Data from Audit Worksheet'!D7</f>
        <v xml:space="preserve"> All unrestricted Cash and investments.  
Exclude: restricted cash 
                   cash held by a third party. </v>
      </c>
      <c r="D5" s="502"/>
      <c r="E5" s="551">
        <f>'Unit Data from Audit Worksheet'!F7</f>
        <v>0</v>
      </c>
      <c r="F5" s="145">
        <f>IF(L5&lt;0,"Error: Number is normally positive.",)</f>
        <v>0</v>
      </c>
      <c r="G5" s="209"/>
      <c r="H5" s="138">
        <f>'Unit Data from Audit Worksheet'!I7</f>
        <v>0</v>
      </c>
      <c r="I5" s="501"/>
      <c r="J5" s="135">
        <v>333</v>
      </c>
      <c r="K5" s="160" t="s">
        <v>187</v>
      </c>
      <c r="L5" s="555">
        <f>IF(D5="",E5,D5)</f>
        <v>0</v>
      </c>
      <c r="P5" s="313"/>
      <c r="R5" s="239"/>
      <c r="S5" s="1">
        <v>500</v>
      </c>
      <c r="T5" s="239">
        <v>5</v>
      </c>
      <c r="W5" s="498" t="b">
        <f t="shared" ref="W5:W68" si="0">EXACT(A5,J5)</f>
        <v>1</v>
      </c>
      <c r="X5" s="581">
        <f t="shared" ref="X5:X68" si="1">E5-L5</f>
        <v>0</v>
      </c>
      <c r="Y5" s="581">
        <f t="shared" ref="Y5:Y68" si="2">D5-L5</f>
        <v>0</v>
      </c>
    </row>
    <row r="6" spans="1:27" ht="39.75" customHeight="1" x14ac:dyDescent="0.25">
      <c r="A6" s="289">
        <f>'Unit Data from Audit Worksheet'!A8</f>
        <v>500</v>
      </c>
      <c r="B6" s="165" t="str">
        <f>'Unit Data from Audit Worksheet'!C8</f>
        <v>Net Position-Governmental Activities</v>
      </c>
      <c r="C6" s="153" t="str">
        <f>'Unit Data from Audit Worksheet'!D8</f>
        <v xml:space="preserve"> All restricted Cash and investments</v>
      </c>
      <c r="D6" s="502"/>
      <c r="E6" s="553">
        <f>'Unit Data from Audit Worksheet'!F8</f>
        <v>0</v>
      </c>
      <c r="F6" s="145">
        <f>IF(L6&lt;0,"Error: Number is normally positive.",)</f>
        <v>0</v>
      </c>
      <c r="G6" s="210"/>
      <c r="H6" s="138">
        <f>'Unit Data from Audit Worksheet'!I8</f>
        <v>0</v>
      </c>
      <c r="I6" s="501"/>
      <c r="J6" s="134">
        <v>500</v>
      </c>
      <c r="K6" s="127" t="s">
        <v>186</v>
      </c>
      <c r="L6" s="555">
        <f>IF(D6="",E6,D6)</f>
        <v>0</v>
      </c>
      <c r="P6" s="313"/>
      <c r="R6" s="498"/>
      <c r="T6" s="239">
        <v>6</v>
      </c>
      <c r="W6" s="498" t="b">
        <f t="shared" si="0"/>
        <v>1</v>
      </c>
      <c r="X6" s="581">
        <f t="shared" si="1"/>
        <v>0</v>
      </c>
      <c r="Y6" s="581">
        <f t="shared" si="2"/>
        <v>0</v>
      </c>
      <c r="AA6" s="314"/>
    </row>
    <row r="7" spans="1:27" ht="43.5" customHeight="1" x14ac:dyDescent="0.25">
      <c r="A7" s="289">
        <f>'Unit Data from Audit Worksheet'!A9</f>
        <v>385</v>
      </c>
      <c r="B7" s="165" t="str">
        <f>'Unit Data from Audit Worksheet'!C9</f>
        <v>Net Position-Governmental Activities</v>
      </c>
      <c r="C7" s="153" t="str">
        <f>'Unit Data from Audit Worksheet'!D9</f>
        <v>Total Assets and deferred outflows</v>
      </c>
      <c r="D7" s="502"/>
      <c r="E7" s="553">
        <f>'Unit Data from Audit Worksheet'!F9</f>
        <v>0</v>
      </c>
      <c r="F7" s="238">
        <f>IF((L5+L6)&gt;L7,"Error: Please review accts (333 + 500) &gt; 385",)</f>
        <v>0</v>
      </c>
      <c r="G7" s="226" t="str">
        <f>IF(Q7=1," Included in error count"," ")</f>
        <v xml:space="preserve"> </v>
      </c>
      <c r="H7" s="138">
        <f>'Unit Data from Audit Worksheet'!I9</f>
        <v>0</v>
      </c>
      <c r="I7" s="501"/>
      <c r="J7" s="216">
        <v>385</v>
      </c>
      <c r="K7" s="217" t="s">
        <v>117</v>
      </c>
      <c r="L7" s="563">
        <f>IF(D7="",E7,D7)+IF(D9="",E9,D9)</f>
        <v>0</v>
      </c>
      <c r="N7" s="218" t="s">
        <v>547</v>
      </c>
      <c r="P7" s="313"/>
      <c r="R7" s="498"/>
      <c r="T7" s="239">
        <v>7</v>
      </c>
      <c r="W7" s="498" t="b">
        <f t="shared" si="0"/>
        <v>1</v>
      </c>
      <c r="X7" s="581">
        <f t="shared" si="1"/>
        <v>0</v>
      </c>
      <c r="Y7" s="581">
        <f t="shared" si="2"/>
        <v>0</v>
      </c>
      <c r="AA7" s="314"/>
    </row>
    <row r="8" spans="1:27" s="154" customFormat="1" ht="88.5" customHeight="1" x14ac:dyDescent="0.25">
      <c r="A8" s="289">
        <f>'Unit Data from Audit Worksheet'!A10</f>
        <v>575</v>
      </c>
      <c r="B8" s="165" t="str">
        <f>'Unit Data from Audit Worksheet'!C10</f>
        <v>Net Position-Governmental Activities</v>
      </c>
      <c r="C8" s="172" t="str">
        <f>'Unit Data from Audit Worksheet'!D10</f>
        <v xml:space="preserve">Record any positive Internal balances on the net position statements that appear in the Asset Section of the Net Position Statement
</v>
      </c>
      <c r="D8" s="502"/>
      <c r="E8" s="553">
        <f>'Unit Data from Audit Worksheet'!F10</f>
        <v>0</v>
      </c>
      <c r="F8" s="145">
        <f>IF(L8&lt;0,"Error: Number is normally positive.",)</f>
        <v>0</v>
      </c>
      <c r="G8" s="210"/>
      <c r="H8" s="138">
        <f>'Unit Data from Audit Worksheet'!I10</f>
        <v>0</v>
      </c>
      <c r="I8" s="501"/>
      <c r="J8" s="134">
        <v>575</v>
      </c>
      <c r="K8" s="231" t="s">
        <v>550</v>
      </c>
      <c r="L8" s="562">
        <f>IF(D8="",E8,D8)</f>
        <v>0</v>
      </c>
      <c r="N8" s="184"/>
      <c r="P8" s="313"/>
      <c r="Q8" s="246"/>
      <c r="R8" s="498"/>
      <c r="W8" s="498" t="b">
        <f t="shared" si="0"/>
        <v>1</v>
      </c>
      <c r="X8" s="581">
        <f t="shared" si="1"/>
        <v>0</v>
      </c>
      <c r="Y8" s="581">
        <f t="shared" si="2"/>
        <v>0</v>
      </c>
      <c r="AA8" s="314"/>
    </row>
    <row r="9" spans="1:27" s="154" customFormat="1" ht="103.5" customHeight="1" x14ac:dyDescent="0.25">
      <c r="A9" s="289">
        <f>'Unit Data from Audit Worksheet'!A11</f>
        <v>576</v>
      </c>
      <c r="B9" s="165" t="str">
        <f>'Unit Data from Audit Worksheet'!C11</f>
        <v>Net Position-Governmental Activities</v>
      </c>
      <c r="C9" s="172" t="str">
        <f>'Unit Data from Audit Worksheet'!D11</f>
        <v xml:space="preserve">Record any negative Internal balances on the net position statements that appear in the Asset Section of the Net Position Statement.
Enter as a positive
</v>
      </c>
      <c r="D9" s="330"/>
      <c r="E9" s="560">
        <f>'Unit Data from Audit Worksheet'!F11</f>
        <v>0</v>
      </c>
      <c r="F9" s="47">
        <f>IF(E9&lt;0,"Error: Enter as positive.",)</f>
        <v>0</v>
      </c>
      <c r="G9" s="332"/>
      <c r="H9" s="333">
        <f>'Unit Data from Audit Worksheet'!I11</f>
        <v>0</v>
      </c>
      <c r="I9" s="501"/>
      <c r="J9" s="309">
        <v>576</v>
      </c>
      <c r="K9" s="231" t="s">
        <v>551</v>
      </c>
      <c r="L9" s="552">
        <f>IF(D9="",E9,D9)</f>
        <v>0</v>
      </c>
      <c r="N9" s="184"/>
      <c r="P9" s="313"/>
      <c r="Q9" s="246"/>
      <c r="R9" s="498"/>
      <c r="W9" s="498" t="b">
        <f t="shared" si="0"/>
        <v>1</v>
      </c>
      <c r="X9" s="581">
        <f t="shared" si="1"/>
        <v>0</v>
      </c>
      <c r="Y9" s="581">
        <f t="shared" si="2"/>
        <v>0</v>
      </c>
      <c r="AA9" s="314"/>
    </row>
    <row r="10" spans="1:27" s="499" customFormat="1" ht="104.25" customHeight="1" x14ac:dyDescent="0.25">
      <c r="A10" s="719">
        <f>'Unit Data from Audit Worksheet'!A12</f>
        <v>626</v>
      </c>
      <c r="B10" s="262" t="str">
        <f>'Unit Data from Audit Worksheet'!C12</f>
        <v>Net Position-Governmental Activities</v>
      </c>
      <c r="C10" s="484" t="str">
        <f>'Unit Data from Audit Worksheet'!D12</f>
        <v xml:space="preserve">Total Current liabilities (as reported on Statement of Net Position)
Include:   Current liabilities including current portion of long-term debt.  Deferred inflows should not be included in Current Liabilities     
</v>
      </c>
      <c r="D10" s="485"/>
      <c r="E10" s="559">
        <f>'Unit Data from Audit Worksheet'!F12</f>
        <v>0</v>
      </c>
      <c r="F10" s="367">
        <f>IF(L10&lt;0,"Error: Enter as a positive.",)</f>
        <v>0</v>
      </c>
      <c r="G10" s="368"/>
      <c r="H10" s="367">
        <f>'Unit Data from Audit Worksheet'!I12</f>
        <v>0</v>
      </c>
      <c r="I10" s="501"/>
      <c r="J10" s="369">
        <v>626</v>
      </c>
      <c r="K10" s="370" t="s">
        <v>776</v>
      </c>
      <c r="L10" s="537">
        <f>IF(D10="",E10,D10)+IF(D9="",E9,D9)</f>
        <v>0</v>
      </c>
      <c r="M10" s="371"/>
      <c r="N10" s="903" t="s">
        <v>547</v>
      </c>
      <c r="O10" s="711"/>
      <c r="P10" s="712"/>
      <c r="Q10" s="713"/>
      <c r="W10" s="499" t="b">
        <f t="shared" si="0"/>
        <v>1</v>
      </c>
      <c r="X10" s="276">
        <f t="shared" si="1"/>
        <v>0</v>
      </c>
      <c r="Y10" s="276">
        <f t="shared" si="2"/>
        <v>0</v>
      </c>
    </row>
    <row r="11" spans="1:27" s="499" customFormat="1" ht="101.25" customHeight="1" x14ac:dyDescent="0.25">
      <c r="A11" s="719">
        <f>'Unit Data from Audit Worksheet'!A13</f>
        <v>627</v>
      </c>
      <c r="B11" s="262" t="str">
        <f>'Unit Data from Audit Worksheet'!C13</f>
        <v>Net Position-Governmental Activities</v>
      </c>
      <c r="C11" s="484" t="str">
        <f>'Unit Data from Audit Worksheet'!D13</f>
        <v>Please enter any bond anticipation notes that are classified as current liabilities and included in account 626 above (amounts entered should agree to the current amount included in the changes to long-term debt note)</v>
      </c>
      <c r="D11" s="485"/>
      <c r="E11" s="559">
        <f>'Unit Data from Audit Worksheet'!F13</f>
        <v>0</v>
      </c>
      <c r="F11" s="367"/>
      <c r="G11" s="368"/>
      <c r="H11" s="367"/>
      <c r="I11" s="501"/>
      <c r="J11" s="369">
        <v>627</v>
      </c>
      <c r="K11" s="370" t="s">
        <v>768</v>
      </c>
      <c r="L11" s="543">
        <f t="shared" ref="L11:L16" si="3">IF(D11="",E11,D11)</f>
        <v>0</v>
      </c>
      <c r="M11" s="371"/>
      <c r="N11" s="714"/>
      <c r="O11" s="711"/>
      <c r="P11" s="712"/>
      <c r="Q11" s="713"/>
      <c r="W11" s="499" t="b">
        <f t="shared" si="0"/>
        <v>1</v>
      </c>
      <c r="X11" s="276">
        <f t="shared" si="1"/>
        <v>0</v>
      </c>
      <c r="Y11" s="276">
        <f t="shared" si="2"/>
        <v>0</v>
      </c>
    </row>
    <row r="12" spans="1:27" s="499" customFormat="1" ht="96.75" customHeight="1" x14ac:dyDescent="0.25">
      <c r="A12" s="719">
        <f>'Unit Data from Audit Worksheet'!A14</f>
        <v>628</v>
      </c>
      <c r="B12" s="262" t="str">
        <f>'Unit Data from Audit Worksheet'!C14</f>
        <v>Net Position-Governmental Activities</v>
      </c>
      <c r="C12" s="484" t="str">
        <f>'Unit Data from Audit Worksheet'!D14</f>
        <v>Please enter any compensated absences that are classified as current liabilities and included in account 626 above (amounts entered should agree to the current amount included in the changes to long-term debt note)</v>
      </c>
      <c r="D12" s="485"/>
      <c r="E12" s="559">
        <f>'Unit Data from Audit Worksheet'!F14</f>
        <v>0</v>
      </c>
      <c r="F12" s="367"/>
      <c r="G12" s="368"/>
      <c r="H12" s="367"/>
      <c r="I12" s="501"/>
      <c r="J12" s="369">
        <v>628</v>
      </c>
      <c r="K12" s="370" t="s">
        <v>773</v>
      </c>
      <c r="L12" s="543">
        <f t="shared" si="3"/>
        <v>0</v>
      </c>
      <c r="M12" s="371"/>
      <c r="N12" s="714"/>
      <c r="O12" s="711"/>
      <c r="P12" s="712"/>
      <c r="Q12" s="713"/>
      <c r="W12" s="499" t="b">
        <f t="shared" si="0"/>
        <v>1</v>
      </c>
      <c r="X12" s="276">
        <f t="shared" si="1"/>
        <v>0</v>
      </c>
      <c r="Y12" s="276">
        <f t="shared" si="2"/>
        <v>0</v>
      </c>
    </row>
    <row r="13" spans="1:27" s="499" customFormat="1" ht="98.25" customHeight="1" x14ac:dyDescent="0.25">
      <c r="A13" s="719">
        <f>'Unit Data from Audit Worksheet'!A15</f>
        <v>629</v>
      </c>
      <c r="B13" s="262" t="str">
        <f>'Unit Data from Audit Worksheet'!C15</f>
        <v>Net Position-Governmental Activities</v>
      </c>
      <c r="C13" s="484" t="str">
        <f>'Unit Data from Audit Worksheet'!D15</f>
        <v>Please enter any pension liabilities that are classified as current liabilities and included in account 626 above (amounts entered should agree to the current amount included in the changes to long-term debt note)</v>
      </c>
      <c r="D13" s="485"/>
      <c r="E13" s="559">
        <f>'Unit Data from Audit Worksheet'!F15</f>
        <v>0</v>
      </c>
      <c r="F13" s="367"/>
      <c r="G13" s="368"/>
      <c r="H13" s="367"/>
      <c r="I13" s="501"/>
      <c r="J13" s="369">
        <v>629</v>
      </c>
      <c r="K13" s="370" t="s">
        <v>772</v>
      </c>
      <c r="L13" s="543">
        <f t="shared" si="3"/>
        <v>0</v>
      </c>
      <c r="M13" s="371"/>
      <c r="N13" s="714"/>
      <c r="O13" s="711"/>
      <c r="P13" s="712"/>
      <c r="Q13" s="713"/>
      <c r="W13" s="499" t="b">
        <f t="shared" si="0"/>
        <v>1</v>
      </c>
      <c r="X13" s="276">
        <f t="shared" si="1"/>
        <v>0</v>
      </c>
      <c r="Y13" s="276">
        <f t="shared" si="2"/>
        <v>0</v>
      </c>
    </row>
    <row r="14" spans="1:27" s="499" customFormat="1" ht="86.25" customHeight="1" x14ac:dyDescent="0.25">
      <c r="A14" s="719">
        <f>'Unit Data from Audit Worksheet'!A16</f>
        <v>630</v>
      </c>
      <c r="B14" s="262" t="str">
        <f>'Unit Data from Audit Worksheet'!C16</f>
        <v>Net Position-Governmental Activities</v>
      </c>
      <c r="C14" s="484" t="str">
        <f>'Unit Data from Audit Worksheet'!D16</f>
        <v>Please enter any current liabilities that are payable from restricted assets and included in account 626 above</v>
      </c>
      <c r="D14" s="485"/>
      <c r="E14" s="559">
        <f>'Unit Data from Audit Worksheet'!F16</f>
        <v>0</v>
      </c>
      <c r="F14" s="367"/>
      <c r="G14" s="368"/>
      <c r="H14" s="367"/>
      <c r="I14" s="501"/>
      <c r="J14" s="369">
        <v>630</v>
      </c>
      <c r="K14" s="370" t="s">
        <v>771</v>
      </c>
      <c r="L14" s="543">
        <f t="shared" si="3"/>
        <v>0</v>
      </c>
      <c r="M14" s="371"/>
      <c r="N14" s="714"/>
      <c r="O14" s="711"/>
      <c r="P14" s="712"/>
      <c r="Q14" s="713"/>
      <c r="W14" s="499" t="b">
        <f t="shared" si="0"/>
        <v>1</v>
      </c>
      <c r="X14" s="276">
        <f t="shared" si="1"/>
        <v>0</v>
      </c>
      <c r="Y14" s="276">
        <f t="shared" si="2"/>
        <v>0</v>
      </c>
    </row>
    <row r="15" spans="1:27" s="499" customFormat="1" ht="115.5" customHeight="1" x14ac:dyDescent="0.25">
      <c r="A15" s="719">
        <f>'Unit Data from Audit Worksheet'!A17</f>
        <v>631</v>
      </c>
      <c r="B15" s="262" t="str">
        <f>'Unit Data from Audit Worksheet'!C17</f>
        <v>Net Position-Governmental Activities</v>
      </c>
      <c r="C15" s="484" t="str">
        <f>'Unit Data from Audit Worksheet'!D17</f>
        <v>Please enter any OPEB liabilities that are classified as current liabilities and included in account 626 above (amounts entered should agree to the current amount included in the changes to long-term debt note)</v>
      </c>
      <c r="D15" s="485"/>
      <c r="E15" s="559">
        <f>'Unit Data from Audit Worksheet'!F17</f>
        <v>0</v>
      </c>
      <c r="F15" s="367"/>
      <c r="G15" s="368"/>
      <c r="H15" s="367"/>
      <c r="I15" s="501"/>
      <c r="J15" s="369">
        <v>631</v>
      </c>
      <c r="K15" s="370" t="s">
        <v>770</v>
      </c>
      <c r="L15" s="543">
        <f t="shared" si="3"/>
        <v>0</v>
      </c>
      <c r="M15" s="371"/>
      <c r="N15" s="714"/>
      <c r="O15" s="711"/>
      <c r="P15" s="712"/>
      <c r="Q15" s="713"/>
      <c r="W15" s="499" t="b">
        <f t="shared" si="0"/>
        <v>1</v>
      </c>
      <c r="X15" s="276">
        <f t="shared" si="1"/>
        <v>0</v>
      </c>
      <c r="Y15" s="276">
        <f t="shared" si="2"/>
        <v>0</v>
      </c>
    </row>
    <row r="16" spans="1:27" s="499" customFormat="1" ht="111.75" customHeight="1" x14ac:dyDescent="0.25">
      <c r="A16" s="719">
        <f>'Unit Data from Audit Worksheet'!A18</f>
        <v>632</v>
      </c>
      <c r="B16" s="262" t="str">
        <f>'Unit Data from Audit Worksheet'!C18</f>
        <v>Net Position-Governmental Activities</v>
      </c>
      <c r="C16" s="484"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485"/>
      <c r="E16" s="559">
        <f>'Unit Data from Audit Worksheet'!F18</f>
        <v>0</v>
      </c>
      <c r="F16" s="367"/>
      <c r="G16" s="368"/>
      <c r="H16" s="367"/>
      <c r="I16" s="501"/>
      <c r="J16" s="369">
        <v>632</v>
      </c>
      <c r="K16" s="370" t="s">
        <v>769</v>
      </c>
      <c r="L16" s="543">
        <f t="shared" si="3"/>
        <v>0</v>
      </c>
      <c r="M16" s="371"/>
      <c r="N16" s="714"/>
      <c r="O16" s="711"/>
      <c r="P16" s="712"/>
      <c r="Q16" s="713"/>
      <c r="W16" s="499" t="b">
        <f t="shared" si="0"/>
        <v>1</v>
      </c>
      <c r="X16" s="276">
        <f t="shared" si="1"/>
        <v>0</v>
      </c>
      <c r="Y16" s="276">
        <f t="shared" si="2"/>
        <v>0</v>
      </c>
    </row>
    <row r="17" spans="1:27" ht="39.75" customHeight="1" x14ac:dyDescent="0.25">
      <c r="A17" s="289">
        <f>'Unit Data from Audit Worksheet'!A19</f>
        <v>338</v>
      </c>
      <c r="B17" s="165" t="str">
        <f>'Unit Data from Audit Worksheet'!C19</f>
        <v>Net Position-Governmental Activities</v>
      </c>
      <c r="C17" s="153" t="str">
        <f>'Unit Data from Audit Worksheet'!D19</f>
        <v>Total Liabilities and total deferred inflows</v>
      </c>
      <c r="D17" s="502"/>
      <c r="E17" s="551">
        <f>'Unit Data from Audit Worksheet'!F19</f>
        <v>0</v>
      </c>
      <c r="F17" s="472" t="str">
        <f>IF(L10&gt;L17,"Please review accounts 626 greater than 338","")</f>
        <v/>
      </c>
      <c r="G17" s="209"/>
      <c r="H17" s="138">
        <f>'Unit Data from Audit Worksheet'!I19</f>
        <v>0</v>
      </c>
      <c r="I17" s="501"/>
      <c r="J17" s="334">
        <v>338</v>
      </c>
      <c r="K17" s="335" t="s">
        <v>118</v>
      </c>
      <c r="L17" s="563">
        <f>IF(D17="",E17,D17)+IF(D9="",E9,D9)</f>
        <v>0</v>
      </c>
      <c r="N17" s="218" t="s">
        <v>547</v>
      </c>
      <c r="P17" s="313"/>
      <c r="R17" s="498"/>
      <c r="W17" s="498" t="b">
        <f t="shared" si="0"/>
        <v>1</v>
      </c>
      <c r="X17" s="581">
        <f t="shared" si="1"/>
        <v>0</v>
      </c>
      <c r="Y17" s="581">
        <f t="shared" si="2"/>
        <v>0</v>
      </c>
      <c r="AA17" s="314"/>
    </row>
    <row r="18" spans="1:27" ht="91.5" customHeight="1" x14ac:dyDescent="0.25">
      <c r="A18" s="289">
        <f>'Unit Data from Audit Worksheet'!A20</f>
        <v>335</v>
      </c>
      <c r="B18" s="165" t="str">
        <f>'Unit Data from Audit Worksheet'!C20</f>
        <v>Net Position-Governmental Activities</v>
      </c>
      <c r="C18" s="153" t="str">
        <f>'Unit Data from Audit Worksheet'!D20</f>
        <v>Unearned revenues that were included in current liabilities in your audit report or entered in acct # 626 above. 
Exclude - unearned revenues that are listed in deferred inflows.</v>
      </c>
      <c r="D18" s="502"/>
      <c r="E18" s="553">
        <f>'Unit Data from Audit Worksheet'!F20</f>
        <v>0</v>
      </c>
      <c r="F18" s="145">
        <f>IF(L18&lt;0,"Error: Enter as a positive.",)</f>
        <v>0</v>
      </c>
      <c r="G18" s="210"/>
      <c r="H18" s="138">
        <f>'Unit Data from Audit Worksheet'!I20</f>
        <v>0</v>
      </c>
      <c r="I18" s="501"/>
      <c r="J18" s="134">
        <v>335</v>
      </c>
      <c r="K18" s="127" t="s">
        <v>119</v>
      </c>
      <c r="L18" s="555">
        <f t="shared" ref="L18:L52" si="4">IF(D18="",E18,D18)</f>
        <v>0</v>
      </c>
      <c r="P18" s="313"/>
      <c r="R18" s="498"/>
      <c r="W18" s="498" t="b">
        <f t="shared" si="0"/>
        <v>1</v>
      </c>
      <c r="X18" s="581">
        <f t="shared" si="1"/>
        <v>0</v>
      </c>
      <c r="Y18" s="581">
        <f t="shared" si="2"/>
        <v>0</v>
      </c>
      <c r="AA18" s="314"/>
    </row>
    <row r="19" spans="1:27" ht="42.75" customHeight="1" x14ac:dyDescent="0.25">
      <c r="A19" s="289">
        <f>'Unit Data from Audit Worksheet'!A21</f>
        <v>252</v>
      </c>
      <c r="B19" s="165" t="str">
        <f>'Unit Data from Audit Worksheet'!C21</f>
        <v>Net Position-Governmental Activities</v>
      </c>
      <c r="C19" s="153" t="str">
        <f>'Unit Data from Audit Worksheet'!D21</f>
        <v xml:space="preserve"> Total Net investment in capital assets</v>
      </c>
      <c r="D19" s="502"/>
      <c r="E19" s="553">
        <f>'Unit Data from Audit Worksheet'!F21</f>
        <v>0</v>
      </c>
      <c r="F19" s="145"/>
      <c r="G19" s="210"/>
      <c r="H19" s="138">
        <f>'Unit Data from Audit Worksheet'!I21</f>
        <v>0</v>
      </c>
      <c r="I19" s="501"/>
      <c r="J19" s="134">
        <v>252</v>
      </c>
      <c r="K19" s="127" t="s">
        <v>105</v>
      </c>
      <c r="L19" s="555">
        <f t="shared" si="4"/>
        <v>0</v>
      </c>
      <c r="O19" s="122" t="e">
        <f>'Unit Data from Audit Worksheet'!E21</f>
        <v>#N/A</v>
      </c>
      <c r="P19" s="313"/>
      <c r="R19" s="498"/>
      <c r="W19" s="498" t="b">
        <f t="shared" si="0"/>
        <v>1</v>
      </c>
      <c r="X19" s="581">
        <f t="shared" si="1"/>
        <v>0</v>
      </c>
      <c r="Y19" s="581">
        <f t="shared" si="2"/>
        <v>0</v>
      </c>
      <c r="AA19" s="314"/>
    </row>
    <row r="20" spans="1:27" ht="33.75" x14ac:dyDescent="0.25">
      <c r="A20" s="289">
        <f>'Unit Data from Audit Worksheet'!A22</f>
        <v>253</v>
      </c>
      <c r="B20" s="165" t="str">
        <f>'Unit Data from Audit Worksheet'!C22</f>
        <v>Net Position-Governmental Activities</v>
      </c>
      <c r="C20" s="153" t="str">
        <f>'Unit Data from Audit Worksheet'!D22</f>
        <v xml:space="preserve"> Total Net Position, Restricted</v>
      </c>
      <c r="D20" s="502"/>
      <c r="E20" s="553">
        <f>'Unit Data from Audit Worksheet'!F22</f>
        <v>0</v>
      </c>
      <c r="F20" s="145"/>
      <c r="G20" s="210"/>
      <c r="H20" s="138">
        <f>'Unit Data from Audit Worksheet'!I22</f>
        <v>0</v>
      </c>
      <c r="I20" s="501"/>
      <c r="J20" s="134">
        <v>253</v>
      </c>
      <c r="K20" s="127" t="s">
        <v>106</v>
      </c>
      <c r="L20" s="555">
        <f t="shared" si="4"/>
        <v>0</v>
      </c>
      <c r="O20" s="122" t="e">
        <f>'Unit Data from Audit Worksheet'!E22</f>
        <v>#N/A</v>
      </c>
      <c r="P20" s="313"/>
      <c r="R20" s="498"/>
      <c r="W20" s="498" t="b">
        <f t="shared" si="0"/>
        <v>1</v>
      </c>
      <c r="X20" s="581">
        <f t="shared" si="1"/>
        <v>0</v>
      </c>
      <c r="Y20" s="581">
        <f t="shared" si="2"/>
        <v>0</v>
      </c>
      <c r="AA20" s="314"/>
    </row>
    <row r="21" spans="1:27" ht="73.5" customHeight="1" x14ac:dyDescent="0.25">
      <c r="A21" s="289">
        <f>'Unit Data from Audit Worksheet'!A23</f>
        <v>254</v>
      </c>
      <c r="B21" s="165" t="str">
        <f>'Unit Data from Audit Worksheet'!C23</f>
        <v>Net Position-Governmental Activities</v>
      </c>
      <c r="C21" s="153" t="str">
        <f>'Unit Data from Audit Worksheet'!D23</f>
        <v>Total Net Position, Unrestricted - enter negative unrestricted net position as a negative)</v>
      </c>
      <c r="D21" s="502"/>
      <c r="E21" s="553">
        <f>'Unit Data from Audit Worksheet'!F23</f>
        <v>0</v>
      </c>
      <c r="F21" s="145">
        <f>IF((L7-L17-L19-L20-L21)=0,,"Error: Total assets and deferred outflows less total liabilities and deferred inflows do not equal total net position accts 385-338-252-253-254")</f>
        <v>0</v>
      </c>
      <c r="G21" s="257">
        <f>+L7-L17-L19-L20-L21</f>
        <v>0</v>
      </c>
      <c r="H21" s="138">
        <f>'Unit Data from Audit Worksheet'!I23</f>
        <v>0</v>
      </c>
      <c r="I21" s="501"/>
      <c r="J21" s="134">
        <v>254</v>
      </c>
      <c r="K21" s="127" t="s">
        <v>107</v>
      </c>
      <c r="L21" s="555">
        <f t="shared" si="4"/>
        <v>0</v>
      </c>
      <c r="O21" s="122" t="e">
        <f>'Unit Data from Audit Worksheet'!E23</f>
        <v>#N/A</v>
      </c>
      <c r="P21" s="313"/>
      <c r="Q21" s="246">
        <f>IF(G21&lt;&gt;0,1,0)</f>
        <v>0</v>
      </c>
      <c r="R21" s="498"/>
      <c r="W21" s="498" t="b">
        <f t="shared" si="0"/>
        <v>1</v>
      </c>
      <c r="X21" s="581">
        <f t="shared" si="1"/>
        <v>0</v>
      </c>
      <c r="Y21" s="581">
        <f t="shared" si="2"/>
        <v>0</v>
      </c>
      <c r="AA21" s="314"/>
    </row>
    <row r="22" spans="1:27" ht="55.5" customHeight="1" x14ac:dyDescent="0.25">
      <c r="A22" s="289">
        <f>'Unit Data from Audit Worksheet'!A25</f>
        <v>502</v>
      </c>
      <c r="B22" s="165" t="str">
        <f>'Unit Data from Audit Worksheet'!C25</f>
        <v>Net Position-Business Activities</v>
      </c>
      <c r="C22" s="153" t="str">
        <f>'Unit Data from Audit Worksheet'!D25</f>
        <v xml:space="preserve">All unrestricted Cash and investments. 
Exclude restricted cash and cash held by a third party. </v>
      </c>
      <c r="D22" s="502"/>
      <c r="E22" s="553">
        <f>'Unit Data from Audit Worksheet'!F25</f>
        <v>0</v>
      </c>
      <c r="F22" s="145">
        <f>IF(L22&lt;0,"Error: Number is normally positive.",)</f>
        <v>0</v>
      </c>
      <c r="G22" s="210"/>
      <c r="H22" s="138">
        <f>'Unit Data from Audit Worksheet'!I25</f>
        <v>0</v>
      </c>
      <c r="I22" s="501"/>
      <c r="J22" s="134">
        <v>502</v>
      </c>
      <c r="K22" s="127" t="s">
        <v>189</v>
      </c>
      <c r="L22" s="538">
        <f t="shared" si="4"/>
        <v>0</v>
      </c>
      <c r="P22" s="313"/>
      <c r="R22" s="498"/>
      <c r="W22" s="498" t="b">
        <f t="shared" si="0"/>
        <v>1</v>
      </c>
      <c r="X22" s="581">
        <f t="shared" si="1"/>
        <v>0</v>
      </c>
      <c r="Y22" s="581">
        <f t="shared" si="2"/>
        <v>0</v>
      </c>
      <c r="AA22" s="314"/>
    </row>
    <row r="23" spans="1:27" ht="45" customHeight="1" x14ac:dyDescent="0.25">
      <c r="A23" s="289">
        <f>'Unit Data from Audit Worksheet'!A26</f>
        <v>503</v>
      </c>
      <c r="B23" s="165" t="str">
        <f>'Unit Data from Audit Worksheet'!C26</f>
        <v>Net Position-Business Activities</v>
      </c>
      <c r="C23" s="153" t="str">
        <f>'Unit Data from Audit Worksheet'!D26</f>
        <v>All restricted Cash and investments</v>
      </c>
      <c r="D23" s="502"/>
      <c r="E23" s="553">
        <f>'Unit Data from Audit Worksheet'!F26</f>
        <v>0</v>
      </c>
      <c r="F23" s="145">
        <f>IF(L23&lt;0,"Error: Number is normally positive.",)</f>
        <v>0</v>
      </c>
      <c r="G23" s="210"/>
      <c r="H23" s="138">
        <f>'Unit Data from Audit Worksheet'!I26</f>
        <v>0</v>
      </c>
      <c r="I23" s="501"/>
      <c r="J23" s="134">
        <v>503</v>
      </c>
      <c r="K23" s="127" t="s">
        <v>190</v>
      </c>
      <c r="L23" s="538">
        <f t="shared" si="4"/>
        <v>0</v>
      </c>
      <c r="P23" s="313"/>
      <c r="R23" s="498"/>
      <c r="W23" s="498" t="b">
        <f t="shared" si="0"/>
        <v>1</v>
      </c>
      <c r="X23" s="581">
        <f t="shared" si="1"/>
        <v>0</v>
      </c>
      <c r="Y23" s="581">
        <f t="shared" si="2"/>
        <v>0</v>
      </c>
      <c r="AA23" s="314"/>
    </row>
    <row r="24" spans="1:27" ht="45" customHeight="1" x14ac:dyDescent="0.25">
      <c r="A24" s="289">
        <f>'Unit Data from Audit Worksheet'!A28</f>
        <v>344</v>
      </c>
      <c r="B24" s="165" t="str">
        <f>'Unit Data from Audit Worksheet'!C28</f>
        <v>Statement of Activities - Governmental</v>
      </c>
      <c r="C24" s="153" t="str">
        <f>'Unit Data from Audit Worksheet'!D28</f>
        <v xml:space="preserve">Total Interest expense on Long-Term Debt </v>
      </c>
      <c r="D24" s="502"/>
      <c r="E24" s="553">
        <f>'Unit Data from Audit Worksheet'!F28</f>
        <v>0</v>
      </c>
      <c r="F24" s="145">
        <f>IF(L24&lt;0,"Error: Enter as a positive.",)</f>
        <v>0</v>
      </c>
      <c r="G24" s="210"/>
      <c r="H24" s="138">
        <f>'Unit Data from Audit Worksheet'!I28</f>
        <v>0</v>
      </c>
      <c r="I24" s="501"/>
      <c r="J24" s="134">
        <v>344</v>
      </c>
      <c r="K24" s="127" t="s">
        <v>191</v>
      </c>
      <c r="L24" s="538">
        <f t="shared" si="4"/>
        <v>0</v>
      </c>
      <c r="P24" s="313"/>
      <c r="R24" s="498"/>
      <c r="W24" s="498" t="b">
        <f t="shared" si="0"/>
        <v>1</v>
      </c>
      <c r="X24" s="581">
        <f t="shared" si="1"/>
        <v>0</v>
      </c>
      <c r="Y24" s="581">
        <f t="shared" si="2"/>
        <v>0</v>
      </c>
      <c r="AA24" s="314"/>
    </row>
    <row r="25" spans="1:27" ht="45" customHeight="1" x14ac:dyDescent="0.25">
      <c r="A25" s="289">
        <f>'Unit Data from Audit Worksheet'!A29</f>
        <v>388</v>
      </c>
      <c r="B25" s="165" t="str">
        <f>'Unit Data from Audit Worksheet'!C29</f>
        <v>Statement of Activities - Governmental</v>
      </c>
      <c r="C25" s="153" t="str">
        <f>'Unit Data from Audit Worksheet'!D29</f>
        <v>Total Expenses</v>
      </c>
      <c r="D25" s="502"/>
      <c r="E25" s="553">
        <f>'Unit Data from Audit Worksheet'!F29</f>
        <v>0</v>
      </c>
      <c r="F25" s="145">
        <f t="shared" ref="F25:F30" si="5">IF(L25&lt;0,"Error: Number is normally positive.",)</f>
        <v>0</v>
      </c>
      <c r="G25" s="210"/>
      <c r="H25" s="138">
        <f>'Unit Data from Audit Worksheet'!I29</f>
        <v>0</v>
      </c>
      <c r="I25" s="501"/>
      <c r="J25" s="134">
        <v>388</v>
      </c>
      <c r="K25" s="127" t="s">
        <v>192</v>
      </c>
      <c r="L25" s="538">
        <f t="shared" si="4"/>
        <v>0</v>
      </c>
      <c r="P25" s="313"/>
      <c r="R25" s="498"/>
      <c r="W25" s="498" t="b">
        <f t="shared" si="0"/>
        <v>1</v>
      </c>
      <c r="X25" s="581">
        <f t="shared" si="1"/>
        <v>0</v>
      </c>
      <c r="Y25" s="581">
        <f t="shared" si="2"/>
        <v>0</v>
      </c>
      <c r="AA25" s="314"/>
    </row>
    <row r="26" spans="1:27" ht="45" customHeight="1" x14ac:dyDescent="0.25">
      <c r="A26" s="289">
        <f>'Unit Data from Audit Worksheet'!A30</f>
        <v>339</v>
      </c>
      <c r="B26" s="165" t="str">
        <f>'Unit Data from Audit Worksheet'!C30</f>
        <v>Statement of Activities - Governmental</v>
      </c>
      <c r="C26" s="153" t="str">
        <f>'Unit Data from Audit Worksheet'!D30</f>
        <v xml:space="preserve">Charges for services </v>
      </c>
      <c r="D26" s="502"/>
      <c r="E26" s="553">
        <f>'Unit Data from Audit Worksheet'!F30</f>
        <v>0</v>
      </c>
      <c r="F26" s="145">
        <f t="shared" si="5"/>
        <v>0</v>
      </c>
      <c r="G26" s="210"/>
      <c r="H26" s="138">
        <f>'Unit Data from Audit Worksheet'!I30</f>
        <v>0</v>
      </c>
      <c r="I26" s="501"/>
      <c r="J26" s="134">
        <v>339</v>
      </c>
      <c r="K26" s="127" t="s">
        <v>193</v>
      </c>
      <c r="L26" s="538">
        <f t="shared" si="4"/>
        <v>0</v>
      </c>
      <c r="P26" s="313"/>
      <c r="R26" s="498"/>
      <c r="W26" s="498" t="b">
        <f t="shared" si="0"/>
        <v>1</v>
      </c>
      <c r="X26" s="581">
        <f t="shared" si="1"/>
        <v>0</v>
      </c>
      <c r="Y26" s="581">
        <f t="shared" si="2"/>
        <v>0</v>
      </c>
      <c r="AA26" s="314"/>
    </row>
    <row r="27" spans="1:27" ht="45" customHeight="1" x14ac:dyDescent="0.25">
      <c r="A27" s="289">
        <f>'Unit Data from Audit Worksheet'!A31</f>
        <v>504</v>
      </c>
      <c r="B27" s="165" t="str">
        <f>'Unit Data from Audit Worksheet'!C31</f>
        <v>Statement of Activities - Governmental</v>
      </c>
      <c r="C27" s="153" t="str">
        <f>'Unit Data from Audit Worksheet'!D31</f>
        <v>Operating grants and contributions</v>
      </c>
      <c r="D27" s="502"/>
      <c r="E27" s="553">
        <f>'Unit Data from Audit Worksheet'!F31</f>
        <v>0</v>
      </c>
      <c r="F27" s="145">
        <f t="shared" si="5"/>
        <v>0</v>
      </c>
      <c r="G27" s="210"/>
      <c r="H27" s="138">
        <f>'Unit Data from Audit Worksheet'!I31</f>
        <v>0</v>
      </c>
      <c r="I27" s="501"/>
      <c r="J27" s="134">
        <v>504</v>
      </c>
      <c r="K27" s="127" t="s">
        <v>194</v>
      </c>
      <c r="L27" s="538">
        <f t="shared" si="4"/>
        <v>0</v>
      </c>
      <c r="P27" s="313"/>
      <c r="R27" s="498"/>
      <c r="W27" s="498" t="b">
        <f t="shared" si="0"/>
        <v>1</v>
      </c>
      <c r="X27" s="581">
        <f t="shared" si="1"/>
        <v>0</v>
      </c>
      <c r="Y27" s="581">
        <f t="shared" si="2"/>
        <v>0</v>
      </c>
      <c r="AA27" s="314"/>
    </row>
    <row r="28" spans="1:27" ht="45" customHeight="1" x14ac:dyDescent="0.25">
      <c r="A28" s="289">
        <f>'Unit Data from Audit Worksheet'!A32</f>
        <v>505</v>
      </c>
      <c r="B28" s="165" t="str">
        <f>'Unit Data from Audit Worksheet'!C32</f>
        <v>Statement of Activities - Governmental</v>
      </c>
      <c r="C28" s="153" t="str">
        <f>'Unit Data from Audit Worksheet'!D32</f>
        <v>Capital grants and contributions</v>
      </c>
      <c r="D28" s="502"/>
      <c r="E28" s="553">
        <f>'Unit Data from Audit Worksheet'!F32</f>
        <v>0</v>
      </c>
      <c r="F28" s="145">
        <f t="shared" si="5"/>
        <v>0</v>
      </c>
      <c r="G28" s="210"/>
      <c r="H28" s="138">
        <f>'Unit Data from Audit Worksheet'!I32</f>
        <v>0</v>
      </c>
      <c r="I28" s="501"/>
      <c r="J28" s="134">
        <v>505</v>
      </c>
      <c r="K28" s="127" t="s">
        <v>195</v>
      </c>
      <c r="L28" s="538">
        <f t="shared" si="4"/>
        <v>0</v>
      </c>
      <c r="P28" s="313"/>
      <c r="R28" s="498"/>
      <c r="W28" s="498" t="b">
        <f t="shared" si="0"/>
        <v>1</v>
      </c>
      <c r="X28" s="581">
        <f t="shared" si="1"/>
        <v>0</v>
      </c>
      <c r="Y28" s="581">
        <f t="shared" si="2"/>
        <v>0</v>
      </c>
      <c r="AA28" s="314"/>
    </row>
    <row r="29" spans="1:27" ht="72" customHeight="1" x14ac:dyDescent="0.25">
      <c r="A29" s="289">
        <f>'Unit Data from Audit Worksheet'!A33</f>
        <v>341</v>
      </c>
      <c r="B29" s="165" t="str">
        <f>'Unit Data from Audit Worksheet'!C33</f>
        <v>Statement of Activities - Governmental</v>
      </c>
      <c r="C29" s="153" t="str">
        <f>'Unit Data from Audit Worksheet'!D33</f>
        <v>Total General revenues
Exclude: transfers-in or out,
                 special items,
                 extraordinary amounts</v>
      </c>
      <c r="D29" s="502"/>
      <c r="E29" s="553">
        <f>'Unit Data from Audit Worksheet'!F33</f>
        <v>0</v>
      </c>
      <c r="F29" s="145">
        <f t="shared" si="5"/>
        <v>0</v>
      </c>
      <c r="G29" s="210"/>
      <c r="H29" s="138">
        <f>'Unit Data from Audit Worksheet'!I33</f>
        <v>0</v>
      </c>
      <c r="I29" s="501"/>
      <c r="J29" s="134">
        <v>341</v>
      </c>
      <c r="K29" s="127" t="s">
        <v>196</v>
      </c>
      <c r="L29" s="538">
        <f t="shared" si="4"/>
        <v>0</v>
      </c>
      <c r="P29" s="313"/>
      <c r="R29" s="498"/>
      <c r="W29" s="498" t="b">
        <f t="shared" si="0"/>
        <v>1</v>
      </c>
      <c r="X29" s="581">
        <f t="shared" si="1"/>
        <v>0</v>
      </c>
      <c r="Y29" s="581">
        <f t="shared" si="2"/>
        <v>0</v>
      </c>
      <c r="AA29" s="314"/>
    </row>
    <row r="30" spans="1:27" ht="56.25" customHeight="1" x14ac:dyDescent="0.25">
      <c r="A30" s="289">
        <f>'Unit Data from Audit Worksheet'!A34</f>
        <v>386</v>
      </c>
      <c r="B30" s="165" t="str">
        <f>'Unit Data from Audit Worksheet'!C34</f>
        <v>Statement of Activities - Governmental</v>
      </c>
      <c r="C30" s="153" t="str">
        <f>'Unit Data from Audit Worksheet'!D34</f>
        <v>Total Transfers in    (Preference is that transfers-in  are not netted against transfers-out)</v>
      </c>
      <c r="D30" s="502"/>
      <c r="E30" s="553">
        <f>'Unit Data from Audit Worksheet'!F34</f>
        <v>0</v>
      </c>
      <c r="F30" s="145">
        <f t="shared" si="5"/>
        <v>0</v>
      </c>
      <c r="G30" s="210"/>
      <c r="H30" s="138">
        <f>'Unit Data from Audit Worksheet'!I34</f>
        <v>0</v>
      </c>
      <c r="I30" s="501"/>
      <c r="J30" s="134">
        <v>386</v>
      </c>
      <c r="K30" s="127" t="s">
        <v>197</v>
      </c>
      <c r="L30" s="538">
        <f t="shared" si="4"/>
        <v>0</v>
      </c>
      <c r="P30" s="313"/>
      <c r="R30" s="498"/>
      <c r="W30" s="498" t="b">
        <f t="shared" si="0"/>
        <v>1</v>
      </c>
      <c r="X30" s="581">
        <f t="shared" si="1"/>
        <v>0</v>
      </c>
      <c r="Y30" s="581">
        <f t="shared" si="2"/>
        <v>0</v>
      </c>
      <c r="AA30" s="314"/>
    </row>
    <row r="31" spans="1:27" ht="54" customHeight="1" x14ac:dyDescent="0.25">
      <c r="A31" s="289">
        <f>'Unit Data from Audit Worksheet'!A35</f>
        <v>387</v>
      </c>
      <c r="B31" s="165" t="str">
        <f>'Unit Data from Audit Worksheet'!C35</f>
        <v>Statement of Activities - Governmental</v>
      </c>
      <c r="C31" s="153" t="str">
        <f>'Unit Data from Audit Worksheet'!D35</f>
        <v>Total Transfers out    (Preference is that transfers-in  are not netted against transfers-out)</v>
      </c>
      <c r="D31" s="502"/>
      <c r="E31" s="553">
        <f>'Unit Data from Audit Worksheet'!F35</f>
        <v>0</v>
      </c>
      <c r="F31" s="145">
        <f>IF(L31&lt;0,"Error: Enter as a positive.",)</f>
        <v>0</v>
      </c>
      <c r="G31" s="210"/>
      <c r="H31" s="138">
        <f>'Unit Data from Audit Worksheet'!I35</f>
        <v>0</v>
      </c>
      <c r="I31" s="501"/>
      <c r="J31" s="134">
        <v>387</v>
      </c>
      <c r="K31" s="127" t="s">
        <v>198</v>
      </c>
      <c r="L31" s="538">
        <f t="shared" si="4"/>
        <v>0</v>
      </c>
      <c r="P31" s="313"/>
      <c r="R31" s="498"/>
      <c r="W31" s="498" t="b">
        <f t="shared" si="0"/>
        <v>1</v>
      </c>
      <c r="X31" s="581">
        <f t="shared" si="1"/>
        <v>0</v>
      </c>
      <c r="Y31" s="581">
        <f t="shared" si="2"/>
        <v>0</v>
      </c>
      <c r="AA31" s="314"/>
    </row>
    <row r="32" spans="1:27" ht="88.5" customHeight="1" x14ac:dyDescent="0.25">
      <c r="A32" s="289">
        <f>'Unit Data from Audit Worksheet'!A36</f>
        <v>389</v>
      </c>
      <c r="B32" s="165" t="str">
        <f>'Unit Data from Audit Worksheet'!C36</f>
        <v>Statement of Activities - Governmental</v>
      </c>
      <c r="C32" s="153" t="str">
        <f>'Unit Data from Audit Worksheet'!D36</f>
        <v>Total Special and Extraordinary items.    (Amounts that increase net position are recorded as positive and amounts that decrease net position are recorded as negative)</v>
      </c>
      <c r="D32" s="502"/>
      <c r="E32" s="553">
        <f>'Unit Data from Audit Worksheet'!F36</f>
        <v>0</v>
      </c>
      <c r="F32" s="145"/>
      <c r="G32" s="226"/>
      <c r="H32" s="138">
        <f>'Unit Data from Audit Worksheet'!I36</f>
        <v>0</v>
      </c>
      <c r="I32" s="501"/>
      <c r="J32" s="134">
        <v>389</v>
      </c>
      <c r="K32" s="127" t="s">
        <v>199</v>
      </c>
      <c r="L32" s="538">
        <f t="shared" si="4"/>
        <v>0</v>
      </c>
      <c r="N32" s="326"/>
      <c r="P32" s="313"/>
      <c r="R32" s="498"/>
      <c r="W32" s="498" t="b">
        <f t="shared" si="0"/>
        <v>1</v>
      </c>
      <c r="X32" s="581">
        <f t="shared" si="1"/>
        <v>0</v>
      </c>
      <c r="Y32" s="581">
        <f t="shared" si="2"/>
        <v>0</v>
      </c>
      <c r="AA32" s="314"/>
    </row>
    <row r="33" spans="1:27" ht="79.5" customHeight="1" x14ac:dyDescent="0.25">
      <c r="A33" s="289">
        <f>'Unit Data from Audit Worksheet'!A37</f>
        <v>255</v>
      </c>
      <c r="B33" s="165" t="str">
        <f>'Unit Data from Audit Worksheet'!C37</f>
        <v>Statement of Activities - Governmental</v>
      </c>
      <c r="C33" s="153" t="str">
        <f>'Unit Data from Audit Worksheet'!D37</f>
        <v>Total Change in net position - (Increase in net position is recorded as a positive and a decrease in net position is recorded as a negative)</v>
      </c>
      <c r="D33" s="502"/>
      <c r="E33" s="553">
        <f>'Unit Data from Audit Worksheet'!F37</f>
        <v>0</v>
      </c>
      <c r="F33" s="145">
        <f>IF((L26+L27+L28+L29+L30-L31+L32-L25-L33)=0,,"Total revenues less total expenses do not equal total change in net position. Acct 339+504+505+341+386-387+389-388-255=0")</f>
        <v>0</v>
      </c>
      <c r="G33" s="258">
        <f>L26+L27+L28+L29+L30-L31+L32-L25-L33</f>
        <v>0</v>
      </c>
      <c r="H33" s="138">
        <f>'Unit Data from Audit Worksheet'!I37</f>
        <v>0</v>
      </c>
      <c r="I33" s="501"/>
      <c r="J33" s="134">
        <v>255</v>
      </c>
      <c r="K33" s="127" t="s">
        <v>200</v>
      </c>
      <c r="L33" s="538">
        <f t="shared" si="4"/>
        <v>0</v>
      </c>
      <c r="O33" s="122" t="e">
        <f>'Unit Data from Audit Worksheet'!E37</f>
        <v>#N/A</v>
      </c>
      <c r="P33" s="313"/>
      <c r="Q33" s="246">
        <f>IF(G33&lt;&gt;0,1,0)</f>
        <v>0</v>
      </c>
      <c r="R33" s="498"/>
      <c r="W33" s="498" t="b">
        <f t="shared" si="0"/>
        <v>1</v>
      </c>
      <c r="X33" s="581">
        <f t="shared" si="1"/>
        <v>0</v>
      </c>
      <c r="Y33" s="581">
        <f t="shared" si="2"/>
        <v>0</v>
      </c>
      <c r="AA33" s="314"/>
    </row>
    <row r="34" spans="1:27" ht="89.25" customHeight="1" x14ac:dyDescent="0.25">
      <c r="A34" s="289">
        <f>'Unit Data from Audit Worksheet'!A38</f>
        <v>376</v>
      </c>
      <c r="B34" s="165" t="str">
        <f>'Unit Data from Audit Worksheet'!C38</f>
        <v>Statement of Activities - Governmental</v>
      </c>
      <c r="C34" s="153" t="str">
        <f>'Unit Data from Audit Worksheet'!D38</f>
        <v>Any adjustment to beginning net position including rounding, prior period adjustments and restatements.   (Increases to net position are positive; decreases to net position are negative)</v>
      </c>
      <c r="D34" s="502"/>
      <c r="E34" s="553">
        <f>'Unit Data from Audit Worksheet'!F38</f>
        <v>0</v>
      </c>
      <c r="F34" s="144" t="e">
        <f>IF(L19+L20+L21-L33-L34=O19+O20+O21,,"Beginning Balance does not agree with our records acct (252+253+254-255-376=PY252+PY253+PY254)")</f>
        <v>#N/A</v>
      </c>
      <c r="G34" s="259" t="e">
        <f>L19+L20+L21-L33-L34-(O19+O20+O21)</f>
        <v>#N/A</v>
      </c>
      <c r="H34" s="138">
        <f>'Unit Data from Audit Worksheet'!I38</f>
        <v>0</v>
      </c>
      <c r="I34" s="501"/>
      <c r="J34" s="134">
        <v>376</v>
      </c>
      <c r="K34" s="127" t="s">
        <v>110</v>
      </c>
      <c r="L34" s="538">
        <f t="shared" si="4"/>
        <v>0</v>
      </c>
      <c r="O34" s="122" t="e">
        <f>'Unit Data from Audit Worksheet'!E38</f>
        <v>#N/A</v>
      </c>
      <c r="P34" s="313"/>
      <c r="Q34" s="246" t="e">
        <f>IF(G34&lt;&gt;0,1,0)</f>
        <v>#N/A</v>
      </c>
      <c r="R34" s="498"/>
      <c r="W34" s="498" t="b">
        <f t="shared" si="0"/>
        <v>1</v>
      </c>
      <c r="X34" s="581">
        <f t="shared" si="1"/>
        <v>0</v>
      </c>
      <c r="Y34" s="581">
        <f t="shared" si="2"/>
        <v>0</v>
      </c>
      <c r="AA34" s="314"/>
    </row>
    <row r="35" spans="1:27" s="154" customFormat="1" ht="147" customHeight="1" x14ac:dyDescent="0.25">
      <c r="A35" s="289">
        <f>'Unit Data from Audit Worksheet'!A39</f>
        <v>597</v>
      </c>
      <c r="B35" s="253" t="str">
        <f>'Unit Data from Audit Worksheet'!C39</f>
        <v>Statement of Activities                               (all governmental and business funds)</v>
      </c>
      <c r="C35" s="252"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502"/>
      <c r="E35" s="553">
        <f>'Unit Data from Audit Worksheet'!F39</f>
        <v>0</v>
      </c>
      <c r="F35" s="145">
        <f>IF(L35&lt;0,"Error: Number is normally positive.",)</f>
        <v>0</v>
      </c>
      <c r="G35" s="210"/>
      <c r="H35" s="138">
        <f>'Unit Data from Audit Worksheet'!I39</f>
        <v>0</v>
      </c>
      <c r="I35" s="501"/>
      <c r="J35" s="251">
        <v>597</v>
      </c>
      <c r="K35" s="250" t="s">
        <v>681</v>
      </c>
      <c r="L35" s="538">
        <f t="shared" si="4"/>
        <v>0</v>
      </c>
      <c r="O35" s="122"/>
      <c r="P35" s="313"/>
      <c r="Q35" s="246"/>
      <c r="R35" s="498"/>
      <c r="W35" s="498" t="b">
        <f t="shared" si="0"/>
        <v>1</v>
      </c>
      <c r="X35" s="581">
        <f t="shared" si="1"/>
        <v>0</v>
      </c>
      <c r="Y35" s="581">
        <f t="shared" si="2"/>
        <v>0</v>
      </c>
      <c r="AA35" s="314"/>
    </row>
    <row r="36" spans="1:27" s="154" customFormat="1" ht="90" customHeight="1" x14ac:dyDescent="0.25">
      <c r="A36" s="289">
        <f>'Unit Data from Audit Worksheet'!A41</f>
        <v>592</v>
      </c>
      <c r="B36" s="253" t="str">
        <f>'Unit Data from Audit Worksheet'!C41</f>
        <v>Statement of Activities - Business Activities</v>
      </c>
      <c r="C36" s="252" t="str">
        <f>'Unit Data from Audit Worksheet'!D41</f>
        <v>Total Change in net position Business Type 
(Increase in net position is recorded as a positive and a decrease in net position is recorded as a negative)</v>
      </c>
      <c r="D36" s="502"/>
      <c r="E36" s="553">
        <f>'Unit Data from Audit Worksheet'!F41</f>
        <v>0</v>
      </c>
      <c r="F36" s="219"/>
      <c r="G36" s="226"/>
      <c r="H36" s="138">
        <f>'Unit Data from Audit Worksheet'!I41</f>
        <v>0</v>
      </c>
      <c r="I36" s="501"/>
      <c r="J36" s="251">
        <v>592</v>
      </c>
      <c r="K36" s="250" t="s">
        <v>615</v>
      </c>
      <c r="L36" s="538">
        <f t="shared" si="4"/>
        <v>0</v>
      </c>
      <c r="O36" s="122"/>
      <c r="P36" s="313"/>
      <c r="Q36" s="246"/>
      <c r="R36" s="498"/>
      <c r="W36" s="498" t="b">
        <f t="shared" si="0"/>
        <v>1</v>
      </c>
      <c r="X36" s="581">
        <f t="shared" si="1"/>
        <v>0</v>
      </c>
      <c r="Y36" s="581">
        <f t="shared" si="2"/>
        <v>0</v>
      </c>
      <c r="AA36" s="314"/>
    </row>
    <row r="37" spans="1:27" s="154" customFormat="1" ht="55.5" customHeight="1" x14ac:dyDescent="0.25">
      <c r="A37" s="289">
        <f>'Unit Data from Audit Worksheet'!A42</f>
        <v>591</v>
      </c>
      <c r="B37" s="253" t="str">
        <f>'Unit Data from Audit Worksheet'!C42</f>
        <v>Statement of Activities - Business Activities</v>
      </c>
      <c r="C37" s="252" t="str">
        <f>'Unit Data from Audit Worksheet'!D42</f>
        <v>Total Expenses - Exclude Transfers</v>
      </c>
      <c r="D37" s="502"/>
      <c r="E37" s="553">
        <f>'Unit Data from Audit Worksheet'!F42</f>
        <v>0</v>
      </c>
      <c r="F37" s="249">
        <f>IF(L37&lt;0,"Error: Enter as a positive.",)</f>
        <v>0</v>
      </c>
      <c r="G37" s="226"/>
      <c r="H37" s="138">
        <f>'Unit Data from Audit Worksheet'!I42</f>
        <v>0</v>
      </c>
      <c r="I37" s="501"/>
      <c r="J37" s="251">
        <v>591</v>
      </c>
      <c r="K37" s="250" t="s">
        <v>614</v>
      </c>
      <c r="L37" s="538">
        <f t="shared" si="4"/>
        <v>0</v>
      </c>
      <c r="O37" s="122"/>
      <c r="P37" s="313"/>
      <c r="Q37" s="246"/>
      <c r="R37" s="498"/>
      <c r="W37" s="498" t="b">
        <f t="shared" si="0"/>
        <v>1</v>
      </c>
      <c r="X37" s="581">
        <f t="shared" si="1"/>
        <v>0</v>
      </c>
      <c r="Y37" s="581">
        <f t="shared" si="2"/>
        <v>0</v>
      </c>
      <c r="AA37" s="314"/>
    </row>
    <row r="38" spans="1:27" ht="60.75" customHeight="1" x14ac:dyDescent="0.25">
      <c r="A38" s="289">
        <f>'Unit Data from Audit Worksheet'!A44</f>
        <v>506</v>
      </c>
      <c r="B38" s="166" t="str">
        <f>'Unit Data from Audit Worksheet'!C44</f>
        <v>General Fund-Balance Sheet</v>
      </c>
      <c r="C38" s="148" t="str">
        <f>'Unit Data from Audit Worksheet'!D44</f>
        <v xml:space="preserve">All unrestricted cash and investments.  
Exclude restricted cash and cash held by a third party. </v>
      </c>
      <c r="D38" s="502"/>
      <c r="E38" s="558">
        <f>'Unit Data from Audit Worksheet'!F44</f>
        <v>0</v>
      </c>
      <c r="F38" s="128">
        <f>IF(L38&lt;0,"Error: Number is normally positive.",)</f>
        <v>0</v>
      </c>
      <c r="G38" s="211"/>
      <c r="H38" s="138">
        <f>'Unit Data from Audit Worksheet'!I44</f>
        <v>0</v>
      </c>
      <c r="I38" s="501"/>
      <c r="J38" s="133">
        <v>506</v>
      </c>
      <c r="K38" s="127" t="s">
        <v>201</v>
      </c>
      <c r="L38" s="539">
        <f t="shared" si="4"/>
        <v>0</v>
      </c>
      <c r="P38" s="313"/>
      <c r="R38" s="498"/>
      <c r="W38" s="498" t="b">
        <f t="shared" si="0"/>
        <v>1</v>
      </c>
      <c r="X38" s="581">
        <f t="shared" si="1"/>
        <v>0</v>
      </c>
      <c r="Y38" s="581">
        <f t="shared" si="2"/>
        <v>0</v>
      </c>
      <c r="AA38" s="314"/>
    </row>
    <row r="39" spans="1:27" ht="45.75" customHeight="1" x14ac:dyDescent="0.25">
      <c r="A39" s="289">
        <f>'Unit Data from Audit Worksheet'!A45</f>
        <v>536</v>
      </c>
      <c r="B39" s="166" t="str">
        <f>'Unit Data from Audit Worksheet'!C45</f>
        <v>General Fund-Balance Sheet</v>
      </c>
      <c r="C39" s="148" t="str">
        <f>'Unit Data from Audit Worksheet'!D45</f>
        <v>All restricted cash and investments</v>
      </c>
      <c r="D39" s="502"/>
      <c r="E39" s="558">
        <f>'Unit Data from Audit Worksheet'!F45</f>
        <v>0</v>
      </c>
      <c r="F39" s="128">
        <f>IF(L39&lt;0,"Error: Number is normally positive.",)</f>
        <v>0</v>
      </c>
      <c r="G39" s="211"/>
      <c r="H39" s="138">
        <f>'Unit Data from Audit Worksheet'!I45</f>
        <v>0</v>
      </c>
      <c r="I39" s="501"/>
      <c r="J39" s="133">
        <v>536</v>
      </c>
      <c r="K39" s="127" t="s">
        <v>202</v>
      </c>
      <c r="L39" s="539">
        <f t="shared" si="4"/>
        <v>0</v>
      </c>
      <c r="P39" s="313"/>
      <c r="R39" s="498"/>
      <c r="W39" s="498" t="b">
        <f t="shared" si="0"/>
        <v>1</v>
      </c>
      <c r="X39" s="581">
        <f t="shared" si="1"/>
        <v>0</v>
      </c>
      <c r="Y39" s="581">
        <f t="shared" si="2"/>
        <v>0</v>
      </c>
      <c r="AA39" s="314"/>
    </row>
    <row r="40" spans="1:27" s="154" customFormat="1" ht="57.75" customHeight="1" x14ac:dyDescent="0.25">
      <c r="A40" s="289">
        <f>'Unit Data from Audit Worksheet'!A46</f>
        <v>586</v>
      </c>
      <c r="B40" s="165" t="str">
        <f>'Unit Data from Audit Worksheet'!C46</f>
        <v>General Fund-Balance Sheet</v>
      </c>
      <c r="C40" s="172" t="str">
        <f>'Unit Data from Audit Worksheet'!D46</f>
        <v>Advance To: Interfund loan receivable-portion of repayment plan longer than 12 months</v>
      </c>
      <c r="D40" s="502"/>
      <c r="E40" s="553">
        <f>'Unit Data from Audit Worksheet'!F46</f>
        <v>0</v>
      </c>
      <c r="F40" s="145"/>
      <c r="G40" s="210"/>
      <c r="H40" s="138"/>
      <c r="I40" s="501"/>
      <c r="J40" s="134">
        <v>586</v>
      </c>
      <c r="K40" s="172" t="s">
        <v>566</v>
      </c>
      <c r="L40" s="554">
        <f t="shared" si="4"/>
        <v>0</v>
      </c>
      <c r="P40" s="313"/>
      <c r="Q40" s="246"/>
      <c r="R40" s="498"/>
      <c r="W40" s="498" t="b">
        <f t="shared" si="0"/>
        <v>1</v>
      </c>
      <c r="X40" s="581">
        <f t="shared" si="1"/>
        <v>0</v>
      </c>
      <c r="Y40" s="581">
        <f t="shared" si="2"/>
        <v>0</v>
      </c>
      <c r="AA40" s="314"/>
    </row>
    <row r="41" spans="1:27" ht="35.25" customHeight="1" x14ac:dyDescent="0.25">
      <c r="A41" s="289">
        <f>'Unit Data from Audit Worksheet'!A47</f>
        <v>379</v>
      </c>
      <c r="B41" s="165" t="str">
        <f>'Unit Data from Audit Worksheet'!C47</f>
        <v>General Fund-Balance Sheet</v>
      </c>
      <c r="C41" s="153" t="str">
        <f>'Unit Data from Audit Worksheet'!D47</f>
        <v>Total Assets and deferred outflows</v>
      </c>
      <c r="D41" s="502"/>
      <c r="E41" s="553">
        <f>'Unit Data from Audit Worksheet'!F47</f>
        <v>0</v>
      </c>
      <c r="F41" s="236">
        <f>IF((L38+L39)&gt;L41,"Error: Please review accts (506+536)&gt;379",)</f>
        <v>0</v>
      </c>
      <c r="G41" s="226" t="str">
        <f>IF(Q41=1," Included in error count"," ")</f>
        <v xml:space="preserve"> </v>
      </c>
      <c r="H41" s="138">
        <f>'Unit Data from Audit Worksheet'!I47</f>
        <v>0</v>
      </c>
      <c r="I41" s="501"/>
      <c r="J41" s="134">
        <v>379</v>
      </c>
      <c r="K41" s="127" t="s">
        <v>120</v>
      </c>
      <c r="L41" s="538">
        <f t="shared" si="4"/>
        <v>0</v>
      </c>
      <c r="P41" s="313"/>
      <c r="Q41" s="246">
        <f>IF(L38+L39&gt;L41,1,0)</f>
        <v>0</v>
      </c>
      <c r="R41" s="498"/>
      <c r="W41" s="498" t="b">
        <f t="shared" si="0"/>
        <v>1</v>
      </c>
      <c r="X41" s="581">
        <f t="shared" si="1"/>
        <v>0</v>
      </c>
      <c r="Y41" s="581">
        <f t="shared" si="2"/>
        <v>0</v>
      </c>
      <c r="AA41" s="314"/>
    </row>
    <row r="42" spans="1:27" ht="97.5" customHeight="1" x14ac:dyDescent="0.25">
      <c r="A42" s="289">
        <f>'Unit Data from Audit Worksheet'!A48</f>
        <v>368</v>
      </c>
      <c r="B42" s="165" t="str">
        <f>'Unit Data from Audit Worksheet'!C48</f>
        <v>General Fund-Balance Sheet</v>
      </c>
      <c r="C42" s="153" t="str">
        <f>'Unit Data from Audit Worksheet'!D48</f>
        <v>Total Liabilities payable from restricted assets (only complete if this is listed in your financial statements for the general fund and the auditor has listed the cash to be used to pay the liabilities as restricted)</v>
      </c>
      <c r="D42" s="502"/>
      <c r="E42" s="553">
        <f>'Unit Data from Audit Worksheet'!F48</f>
        <v>0</v>
      </c>
      <c r="F42" s="145">
        <f>IF(L42&lt;0,"Error: Enter as a positive.",)</f>
        <v>0</v>
      </c>
      <c r="G42" s="210"/>
      <c r="H42" s="138">
        <f>'Unit Data from Audit Worksheet'!I48</f>
        <v>0</v>
      </c>
      <c r="I42" s="501"/>
      <c r="J42" s="134">
        <v>368</v>
      </c>
      <c r="K42" s="127" t="s">
        <v>203</v>
      </c>
      <c r="L42" s="538">
        <f t="shared" si="4"/>
        <v>0</v>
      </c>
      <c r="P42" s="313"/>
      <c r="R42" s="498"/>
      <c r="W42" s="498" t="b">
        <f t="shared" si="0"/>
        <v>1</v>
      </c>
      <c r="X42" s="581">
        <f t="shared" si="1"/>
        <v>0</v>
      </c>
      <c r="Y42" s="581">
        <f t="shared" si="2"/>
        <v>0</v>
      </c>
      <c r="AA42" s="314"/>
    </row>
    <row r="43" spans="1:27" ht="85.5" customHeight="1" x14ac:dyDescent="0.25">
      <c r="A43" s="289">
        <f>'Unit Data from Audit Worksheet'!A49</f>
        <v>4</v>
      </c>
      <c r="B43" s="166" t="str">
        <f>'Unit Data from Audit Worksheet'!C49</f>
        <v>General Fund-Balance Sheet</v>
      </c>
      <c r="C43" s="346" t="str">
        <f>'Unit Data from Audit Worksheet'!D49</f>
        <v>Current Liabilities (as reported on the Balance Sheet)
Exclude all deferred inflows. 
Include advance from(long-term portion of interfund loans)</v>
      </c>
      <c r="D43" s="502"/>
      <c r="E43" s="558">
        <f>'Unit Data from Audit Worksheet'!F49</f>
        <v>0</v>
      </c>
      <c r="F43" s="128">
        <f t="shared" ref="F43:F52" si="6">IF(L43&lt;0,"Error: Enter as a positive.",)</f>
        <v>0</v>
      </c>
      <c r="G43" s="211"/>
      <c r="H43" s="138">
        <f>'Unit Data from Audit Worksheet'!I49</f>
        <v>0</v>
      </c>
      <c r="I43" s="501"/>
      <c r="J43" s="133">
        <v>4</v>
      </c>
      <c r="K43" s="127" t="s">
        <v>121</v>
      </c>
      <c r="L43" s="539">
        <f t="shared" si="4"/>
        <v>0</v>
      </c>
      <c r="P43" s="313"/>
      <c r="R43" s="498"/>
      <c r="W43" s="498" t="b">
        <f t="shared" si="0"/>
        <v>1</v>
      </c>
      <c r="X43" s="581">
        <f t="shared" si="1"/>
        <v>0</v>
      </c>
      <c r="Y43" s="581">
        <f t="shared" si="2"/>
        <v>0</v>
      </c>
      <c r="AA43" s="314"/>
    </row>
    <row r="44" spans="1:27" ht="138.75" customHeight="1" x14ac:dyDescent="0.25">
      <c r="A44" s="289">
        <f>'Unit Data from Audit Worksheet'!A50</f>
        <v>5</v>
      </c>
      <c r="B44" s="166" t="str">
        <f>'Unit Data from Audit Worksheet'!C50</f>
        <v>General Fund-Balance Sheet</v>
      </c>
      <c r="C44" s="148"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502"/>
      <c r="E44" s="558">
        <f>'Unit Data from Audit Worksheet'!F50</f>
        <v>0</v>
      </c>
      <c r="F44" s="128">
        <f t="shared" si="6"/>
        <v>0</v>
      </c>
      <c r="G44" s="211"/>
      <c r="H44" s="138">
        <f>'Unit Data from Audit Worksheet'!I50</f>
        <v>0</v>
      </c>
      <c r="I44" s="501"/>
      <c r="J44" s="133">
        <v>5</v>
      </c>
      <c r="K44" s="127" t="s">
        <v>122</v>
      </c>
      <c r="L44" s="539">
        <f t="shared" si="4"/>
        <v>0</v>
      </c>
      <c r="P44" s="313"/>
      <c r="R44" s="498"/>
      <c r="W44" s="498" t="b">
        <f t="shared" si="0"/>
        <v>1</v>
      </c>
      <c r="X44" s="581">
        <f t="shared" si="1"/>
        <v>0</v>
      </c>
      <c r="Y44" s="581">
        <f t="shared" si="2"/>
        <v>0</v>
      </c>
      <c r="AA44" s="314"/>
    </row>
    <row r="45" spans="1:27" ht="104.25" customHeight="1" x14ac:dyDescent="0.25">
      <c r="A45" s="289">
        <f>'Unit Data from Audit Worksheet'!A51</f>
        <v>380</v>
      </c>
      <c r="B45" s="165" t="str">
        <f>'Unit Data from Audit Worksheet'!C51</f>
        <v>General Fund-Balance Sheet</v>
      </c>
      <c r="C45" s="153" t="str">
        <f>'Unit Data from Audit Worksheet'!D51</f>
        <v>Total Deferred inflows not derived from cash receipts.  Deferred inflows on the face of the statements can include cash and non-cash.  You may have to refer to the note disclosure where the cash and non-cash is broken out.</v>
      </c>
      <c r="D45" s="502"/>
      <c r="E45" s="553">
        <f>'Unit Data from Audit Worksheet'!F51</f>
        <v>0</v>
      </c>
      <c r="F45" s="145">
        <f t="shared" si="6"/>
        <v>0</v>
      </c>
      <c r="G45" s="210"/>
      <c r="H45" s="138">
        <f>'Unit Data from Audit Worksheet'!I51</f>
        <v>0</v>
      </c>
      <c r="I45" s="501"/>
      <c r="J45" s="134">
        <v>380</v>
      </c>
      <c r="K45" s="127" t="s">
        <v>123</v>
      </c>
      <c r="L45" s="538">
        <f t="shared" si="4"/>
        <v>0</v>
      </c>
      <c r="P45" s="313"/>
      <c r="R45" s="498"/>
      <c r="W45" s="498" t="b">
        <f t="shared" si="0"/>
        <v>1</v>
      </c>
      <c r="X45" s="581">
        <f t="shared" si="1"/>
        <v>0</v>
      </c>
      <c r="Y45" s="581">
        <f t="shared" si="2"/>
        <v>0</v>
      </c>
      <c r="AA45" s="314"/>
    </row>
    <row r="46" spans="1:27" ht="52.5" customHeight="1" x14ac:dyDescent="0.25">
      <c r="A46" s="289">
        <f>'Unit Data from Audit Worksheet'!A52</f>
        <v>391</v>
      </c>
      <c r="B46" s="165" t="str">
        <f>'Unit Data from Audit Worksheet'!C52</f>
        <v>General Fund-Balance Sheet</v>
      </c>
      <c r="C46" s="153" t="str">
        <f>'Unit Data from Audit Worksheet'!D52</f>
        <v xml:space="preserve">Fund balance, Restricted for Stabilization by State Statute </v>
      </c>
      <c r="D46" s="502"/>
      <c r="E46" s="553">
        <f>'Unit Data from Audit Worksheet'!F52</f>
        <v>0</v>
      </c>
      <c r="F46" s="145">
        <f t="shared" si="6"/>
        <v>0</v>
      </c>
      <c r="G46" s="210"/>
      <c r="H46" s="138">
        <f>'Unit Data from Audit Worksheet'!I52</f>
        <v>0</v>
      </c>
      <c r="I46" s="501"/>
      <c r="J46" s="134">
        <v>391</v>
      </c>
      <c r="K46" s="127" t="s">
        <v>204</v>
      </c>
      <c r="L46" s="538">
        <f t="shared" si="4"/>
        <v>0</v>
      </c>
      <c r="P46" s="313"/>
      <c r="R46" s="498"/>
      <c r="W46" s="498" t="b">
        <f t="shared" si="0"/>
        <v>1</v>
      </c>
      <c r="X46" s="581">
        <f t="shared" si="1"/>
        <v>0</v>
      </c>
      <c r="Y46" s="581">
        <f t="shared" si="2"/>
        <v>0</v>
      </c>
      <c r="AA46" s="314"/>
    </row>
    <row r="47" spans="1:27" ht="52.5" customHeight="1" x14ac:dyDescent="0.25">
      <c r="A47" s="289">
        <f>'Unit Data from Audit Worksheet'!A53</f>
        <v>7</v>
      </c>
      <c r="B47" s="166" t="str">
        <f>'Unit Data from Audit Worksheet'!C53</f>
        <v>General Fund-Balance Sheet</v>
      </c>
      <c r="C47" s="148" t="str">
        <f>'Unit Data from Audit Worksheet'!D53</f>
        <v>Fund balance, Nonspendable-  inventory/prepaids/etc.</v>
      </c>
      <c r="D47" s="502"/>
      <c r="E47" s="558">
        <f>'Unit Data from Audit Worksheet'!F53</f>
        <v>0</v>
      </c>
      <c r="F47" s="128">
        <f t="shared" si="6"/>
        <v>0</v>
      </c>
      <c r="G47" s="211"/>
      <c r="H47" s="138">
        <f>'Unit Data from Audit Worksheet'!I53</f>
        <v>0</v>
      </c>
      <c r="I47" s="501"/>
      <c r="J47" s="133">
        <v>7</v>
      </c>
      <c r="K47" s="127" t="s">
        <v>205</v>
      </c>
      <c r="L47" s="539">
        <f t="shared" si="4"/>
        <v>0</v>
      </c>
      <c r="P47" s="313"/>
      <c r="R47" s="498"/>
      <c r="W47" s="498" t="b">
        <f t="shared" si="0"/>
        <v>1</v>
      </c>
      <c r="X47" s="581">
        <f t="shared" si="1"/>
        <v>0</v>
      </c>
      <c r="Y47" s="581">
        <f t="shared" si="2"/>
        <v>0</v>
      </c>
      <c r="AA47" s="314"/>
    </row>
    <row r="48" spans="1:27" ht="89.25" customHeight="1" x14ac:dyDescent="0.25">
      <c r="A48" s="720">
        <f>'Unit Data from Audit Worksheet'!A54</f>
        <v>11</v>
      </c>
      <c r="B48" s="337" t="str">
        <f>'Unit Data from Audit Worksheet'!C54</f>
        <v>General Fund-Balance Sheet</v>
      </c>
      <c r="C48" s="338" t="str">
        <f>'Unit Data from Audit Worksheet'!D54</f>
        <v>Fund balance, Restricted for Streets (unspent Powell Bill balance).  You may have to refer to the note disclosure where restricted fund balance is described.</v>
      </c>
      <c r="D48" s="330"/>
      <c r="E48" s="560">
        <f>'Unit Data from Audit Worksheet'!F54</f>
        <v>0</v>
      </c>
      <c r="F48" s="331">
        <f t="shared" si="6"/>
        <v>0</v>
      </c>
      <c r="G48" s="332"/>
      <c r="H48" s="333">
        <f>'Unit Data from Audit Worksheet'!I54</f>
        <v>0</v>
      </c>
      <c r="I48" s="501"/>
      <c r="J48" s="309">
        <v>11</v>
      </c>
      <c r="K48" s="139" t="s">
        <v>206</v>
      </c>
      <c r="L48" s="545">
        <f t="shared" si="4"/>
        <v>0</v>
      </c>
      <c r="M48"/>
      <c r="P48" s="313"/>
      <c r="R48" s="498"/>
      <c r="W48" s="498" t="b">
        <f t="shared" si="0"/>
        <v>1</v>
      </c>
      <c r="X48" s="581">
        <f t="shared" si="1"/>
        <v>0</v>
      </c>
      <c r="Y48" s="581">
        <f t="shared" si="2"/>
        <v>0</v>
      </c>
      <c r="AA48" s="314"/>
    </row>
    <row r="49" spans="1:27" s="499" customFormat="1" ht="75.75" customHeight="1" x14ac:dyDescent="0.25">
      <c r="A49" s="721">
        <f>'Unit Data from Audit Worksheet'!A55</f>
        <v>645</v>
      </c>
      <c r="B49" s="366" t="str">
        <f>'Unit Data from Audit Worksheet'!C55</f>
        <v>General Fund-Balance Sheet</v>
      </c>
      <c r="C49" s="365" t="str">
        <f>'Unit Data from Audit Worksheet'!D55</f>
        <v>Fund balance, Assigned (total of all assigned components)</v>
      </c>
      <c r="D49" s="336"/>
      <c r="E49" s="559">
        <f>'Unit Data from Audit Worksheet'!F55</f>
        <v>0</v>
      </c>
      <c r="F49" s="367">
        <f>IF(L49&lt;0,"Error: Enter as a positive.",)</f>
        <v>0</v>
      </c>
      <c r="G49" s="368"/>
      <c r="H49" s="367">
        <f>'Unit Data from Audit Worksheet'!I55</f>
        <v>0</v>
      </c>
      <c r="I49" s="522"/>
      <c r="J49" s="369">
        <v>645</v>
      </c>
      <c r="K49" s="365" t="s">
        <v>787</v>
      </c>
      <c r="L49" s="744">
        <f t="shared" si="4"/>
        <v>0</v>
      </c>
      <c r="M49"/>
      <c r="N49" s="711"/>
      <c r="O49" s="711"/>
      <c r="P49" s="712"/>
      <c r="Q49" s="713"/>
      <c r="S49" s="711"/>
      <c r="T49" s="711"/>
      <c r="U49" s="711"/>
      <c r="V49" s="711"/>
      <c r="W49" s="499" t="b">
        <f t="shared" si="0"/>
        <v>1</v>
      </c>
      <c r="X49" s="276">
        <f t="shared" si="1"/>
        <v>0</v>
      </c>
      <c r="Y49" s="276">
        <f t="shared" si="2"/>
        <v>0</v>
      </c>
    </row>
    <row r="50" spans="1:27" s="499" customFormat="1" ht="74.25" customHeight="1" x14ac:dyDescent="0.25">
      <c r="A50" s="721">
        <f>'Unit Data from Audit Worksheet'!A56</f>
        <v>646</v>
      </c>
      <c r="B50" s="366" t="str">
        <f>'Unit Data from Audit Worksheet'!C56</f>
        <v>General Fund-Balance Sheet</v>
      </c>
      <c r="C50" s="365" t="str">
        <f>'Unit Data from Audit Worksheet'!D56</f>
        <v>Fund Balance, Unassigned</v>
      </c>
      <c r="D50" s="336"/>
      <c r="E50" s="559">
        <f>'Unit Data from Audit Worksheet'!F56</f>
        <v>0</v>
      </c>
      <c r="F50" s="367">
        <f>IF(L50&lt;0,"Error: Enter as a positive.",)</f>
        <v>0</v>
      </c>
      <c r="G50" s="368"/>
      <c r="H50" s="367">
        <f>'Unit Data from Audit Worksheet'!I56</f>
        <v>0</v>
      </c>
      <c r="I50" s="522"/>
      <c r="J50" s="369">
        <v>646</v>
      </c>
      <c r="K50" s="365" t="s">
        <v>788</v>
      </c>
      <c r="L50" s="744">
        <f t="shared" si="4"/>
        <v>0</v>
      </c>
      <c r="M50"/>
      <c r="N50" s="711"/>
      <c r="O50" s="711"/>
      <c r="P50" s="712"/>
      <c r="Q50" s="713"/>
      <c r="S50" s="711"/>
      <c r="T50" s="711"/>
      <c r="U50" s="711"/>
      <c r="V50" s="711"/>
      <c r="W50" s="499" t="b">
        <f t="shared" si="0"/>
        <v>1</v>
      </c>
      <c r="X50" s="276">
        <f t="shared" si="1"/>
        <v>0</v>
      </c>
      <c r="Y50" s="276">
        <f t="shared" si="2"/>
        <v>0</v>
      </c>
    </row>
    <row r="51" spans="1:27" ht="55.5" customHeight="1" x14ac:dyDescent="0.25">
      <c r="A51" s="718">
        <f>'Unit Data from Audit Worksheet'!A57</f>
        <v>9</v>
      </c>
      <c r="B51" s="339" t="str">
        <f>'Unit Data from Audit Worksheet'!C57</f>
        <v>General Fund-Balance Sheet</v>
      </c>
      <c r="C51" s="340" t="str">
        <f>'Unit Data from Audit Worksheet'!D57</f>
        <v>Total Fund balance (enter fund deficits as negative)</v>
      </c>
      <c r="D51" s="502"/>
      <c r="E51" s="557">
        <f>'Unit Data from Audit Worksheet'!F57</f>
        <v>0</v>
      </c>
      <c r="F51" s="341">
        <f>IF(L41-L43-L44-L45-L51=0,,"Error: Total assets less total liabilities do not equal Acct +379-4-5-380-9=0")</f>
        <v>0</v>
      </c>
      <c r="G51" s="342">
        <f>L41-L43-L44-L45-L51</f>
        <v>0</v>
      </c>
      <c r="H51" s="138">
        <f>'Unit Data from Audit Worksheet'!I57</f>
        <v>0</v>
      </c>
      <c r="I51" s="501"/>
      <c r="J51" s="343">
        <v>9</v>
      </c>
      <c r="K51" s="160" t="s">
        <v>207</v>
      </c>
      <c r="L51" s="544">
        <f t="shared" si="4"/>
        <v>0</v>
      </c>
      <c r="O51" s="122" t="e">
        <f>'Unit Data from Audit Worksheet'!E57</f>
        <v>#N/A</v>
      </c>
      <c r="P51" s="313"/>
      <c r="Q51" s="246">
        <f>IF(G51&lt;&gt;0,1,0)</f>
        <v>0</v>
      </c>
      <c r="R51" s="498"/>
      <c r="W51" s="498" t="b">
        <f t="shared" si="0"/>
        <v>1</v>
      </c>
      <c r="X51" s="581">
        <f t="shared" si="1"/>
        <v>0</v>
      </c>
      <c r="Y51" s="581">
        <f t="shared" si="2"/>
        <v>0</v>
      </c>
      <c r="AA51" s="314"/>
    </row>
    <row r="52" spans="1:27" s="3" customFormat="1" ht="75.75" customHeight="1" x14ac:dyDescent="0.25">
      <c r="A52" s="289">
        <f>'Unit Data from Audit Worksheet'!A58</f>
        <v>540</v>
      </c>
      <c r="B52" s="165" t="str">
        <f>'Unit Data from Audit Worksheet'!C58</f>
        <v>General Fund - Budget Actual Statement</v>
      </c>
      <c r="C52" s="172" t="str">
        <f>'Unit Data from Audit Worksheet'!D58</f>
        <v>Amount of the General Fund Balance appropriated in next year's budget. As reported on the General Fund Balance Sheet.</v>
      </c>
      <c r="D52" s="502"/>
      <c r="E52" s="553">
        <f>'Unit Data from Audit Worksheet'!F58</f>
        <v>0</v>
      </c>
      <c r="F52" s="145">
        <f t="shared" si="6"/>
        <v>0</v>
      </c>
      <c r="G52" s="210"/>
      <c r="H52" s="138">
        <f>'Unit Data from Audit Worksheet'!I58</f>
        <v>0</v>
      </c>
      <c r="I52" s="501"/>
      <c r="J52" s="134">
        <v>540</v>
      </c>
      <c r="K52" s="127" t="s">
        <v>270</v>
      </c>
      <c r="L52" s="554">
        <f t="shared" si="4"/>
        <v>0</v>
      </c>
      <c r="P52" s="313"/>
      <c r="Q52" s="246"/>
      <c r="R52" s="498"/>
      <c r="W52" s="498" t="b">
        <f t="shared" si="0"/>
        <v>1</v>
      </c>
      <c r="X52" s="581">
        <f t="shared" si="1"/>
        <v>0</v>
      </c>
      <c r="Y52" s="581">
        <f t="shared" si="2"/>
        <v>0</v>
      </c>
      <c r="AA52" s="314"/>
    </row>
    <row r="53" spans="1:27" ht="51.75" customHeight="1" x14ac:dyDescent="0.25">
      <c r="A53" s="289">
        <f>'Unit Data from Audit Worksheet'!A60</f>
        <v>369</v>
      </c>
      <c r="B53" s="165" t="str">
        <f>'Unit Data from Audit Worksheet'!C60</f>
        <v>General Fund-Rev, Exp. Change in Fund Balance</v>
      </c>
      <c r="C53" s="153" t="str">
        <f>'Unit Data from Audit Worksheet'!D60</f>
        <v>Total Intergovernmental revenue 
Include restricted and unrestricted revenues</v>
      </c>
      <c r="D53" s="502"/>
      <c r="E53" s="553">
        <f>'Unit Data from Audit Worksheet'!F60</f>
        <v>0</v>
      </c>
      <c r="F53" s="219"/>
      <c r="G53" s="210"/>
      <c r="H53" s="138">
        <f>'Unit Data from Audit Worksheet'!I60</f>
        <v>0</v>
      </c>
      <c r="I53" s="501"/>
      <c r="J53" s="134">
        <v>369</v>
      </c>
      <c r="K53" s="127" t="s">
        <v>208</v>
      </c>
      <c r="L53" s="554">
        <f t="shared" ref="L53:L115" si="7">IF(D53="",E53,D53)</f>
        <v>0</v>
      </c>
      <c r="P53" s="313"/>
      <c r="R53" s="498"/>
      <c r="W53" s="498" t="b">
        <f t="shared" si="0"/>
        <v>1</v>
      </c>
      <c r="X53" s="581">
        <f t="shared" si="1"/>
        <v>0</v>
      </c>
      <c r="Y53" s="581">
        <f t="shared" si="2"/>
        <v>0</v>
      </c>
      <c r="AA53" s="314"/>
    </row>
    <row r="54" spans="1:27" ht="36.75" customHeight="1" x14ac:dyDescent="0.25">
      <c r="A54" s="289">
        <f>'Unit Data from Audit Worksheet'!A61</f>
        <v>16</v>
      </c>
      <c r="B54" s="165" t="str">
        <f>'Unit Data from Audit Worksheet'!C61</f>
        <v>General Fund-Rev, Exp. Change in Fund Balance</v>
      </c>
      <c r="C54" s="153" t="str">
        <f>'Unit Data from Audit Worksheet'!D61</f>
        <v>Total revenues</v>
      </c>
      <c r="D54" s="502"/>
      <c r="E54" s="553">
        <f>'Unit Data from Audit Worksheet'!F61</f>
        <v>0</v>
      </c>
      <c r="F54" s="219"/>
      <c r="G54" s="210"/>
      <c r="H54" s="138">
        <f>'Unit Data from Audit Worksheet'!I61</f>
        <v>0</v>
      </c>
      <c r="I54" s="501"/>
      <c r="J54" s="134">
        <v>16</v>
      </c>
      <c r="K54" s="127" t="s">
        <v>209</v>
      </c>
      <c r="L54" s="554">
        <f t="shared" si="7"/>
        <v>0</v>
      </c>
      <c r="P54" s="313"/>
      <c r="R54" s="498"/>
      <c r="W54" s="498" t="b">
        <f t="shared" si="0"/>
        <v>1</v>
      </c>
      <c r="X54" s="581">
        <f t="shared" si="1"/>
        <v>0</v>
      </c>
      <c r="Y54" s="581">
        <f t="shared" si="2"/>
        <v>0</v>
      </c>
      <c r="AA54" s="314"/>
    </row>
    <row r="55" spans="1:27" ht="71.25" customHeight="1" x14ac:dyDescent="0.25">
      <c r="A55" s="289">
        <f>'Unit Data from Audit Worksheet'!A62</f>
        <v>370</v>
      </c>
      <c r="B55" s="165" t="str">
        <f>'Unit Data from Audit Worksheet'!C62</f>
        <v>General Fund-Rev, Exp. Change in Fund Balance</v>
      </c>
      <c r="C55" s="153" t="str">
        <f>'Unit Data from Audit Worksheet'!D62</f>
        <v>Debt service expenditures. 
Include principal, interest paid, and bond/debt issuance costs on long-term debt</v>
      </c>
      <c r="D55" s="502"/>
      <c r="E55" s="553">
        <f>'Unit Data from Audit Worksheet'!F62</f>
        <v>0</v>
      </c>
      <c r="F55" s="145">
        <f t="shared" ref="F55:F61" si="8">IF(L55&lt;0,"Error: Enter as a positive.",)</f>
        <v>0</v>
      </c>
      <c r="G55" s="210"/>
      <c r="H55" s="138">
        <f>'Unit Data from Audit Worksheet'!I62</f>
        <v>0</v>
      </c>
      <c r="I55" s="501"/>
      <c r="J55" s="134">
        <v>370</v>
      </c>
      <c r="K55" s="127" t="s">
        <v>210</v>
      </c>
      <c r="L55" s="554">
        <f t="shared" si="7"/>
        <v>0</v>
      </c>
      <c r="P55" s="313"/>
      <c r="R55" s="498"/>
      <c r="W55" s="498" t="b">
        <f t="shared" si="0"/>
        <v>1</v>
      </c>
      <c r="X55" s="581">
        <f t="shared" si="1"/>
        <v>0</v>
      </c>
      <c r="Y55" s="581">
        <f t="shared" si="2"/>
        <v>0</v>
      </c>
      <c r="AA55" s="314"/>
    </row>
    <row r="56" spans="1:27" ht="60" x14ac:dyDescent="0.25">
      <c r="A56" s="289">
        <f>'Unit Data from Audit Worksheet'!A63</f>
        <v>532</v>
      </c>
      <c r="B56" s="165" t="str">
        <f>'Unit Data from Audit Worksheet'!C63</f>
        <v>General Fund-Rev, Exp. Change in Fund Balance</v>
      </c>
      <c r="C56" s="153" t="str">
        <f>'Unit Data from Audit Worksheet'!D63</f>
        <v xml:space="preserve">Total expenditures  
Exclude expenditures in the "other financing sources (uses)" section.
</v>
      </c>
      <c r="D56" s="502"/>
      <c r="E56" s="553">
        <f>'Unit Data from Audit Worksheet'!F63</f>
        <v>0</v>
      </c>
      <c r="F56" s="145">
        <f t="shared" si="8"/>
        <v>0</v>
      </c>
      <c r="G56" s="210"/>
      <c r="H56" s="138">
        <f>'Unit Data from Audit Worksheet'!I63</f>
        <v>0</v>
      </c>
      <c r="I56" s="501"/>
      <c r="J56" s="134">
        <v>532</v>
      </c>
      <c r="K56" s="143" t="s">
        <v>211</v>
      </c>
      <c r="L56" s="554">
        <f t="shared" si="7"/>
        <v>0</v>
      </c>
      <c r="P56" s="313"/>
      <c r="R56" s="498"/>
      <c r="W56" s="498" t="b">
        <f t="shared" si="0"/>
        <v>1</v>
      </c>
      <c r="X56" s="581">
        <f t="shared" si="1"/>
        <v>0</v>
      </c>
      <c r="Y56" s="581">
        <f t="shared" si="2"/>
        <v>0</v>
      </c>
      <c r="AA56" s="314"/>
    </row>
    <row r="57" spans="1:27" ht="54" customHeight="1" x14ac:dyDescent="0.25">
      <c r="A57" s="289">
        <f>'Unit Data from Audit Worksheet'!A64</f>
        <v>17</v>
      </c>
      <c r="B57" s="165" t="str">
        <f>'Unit Data from Audit Worksheet'!C64</f>
        <v>General Fund-Rev, Exp. Change in Fund Balance</v>
      </c>
      <c r="C57" s="153" t="str">
        <f>'Unit Data from Audit Worksheet'!D64</f>
        <v>Total Transfers in    (Preference is that transfers-in  are not netted against transfers-out)</v>
      </c>
      <c r="D57" s="502"/>
      <c r="E57" s="553">
        <f>'Unit Data from Audit Worksheet'!F64</f>
        <v>0</v>
      </c>
      <c r="F57" s="145">
        <f t="shared" si="8"/>
        <v>0</v>
      </c>
      <c r="G57" s="210"/>
      <c r="H57" s="138">
        <f>'Unit Data from Audit Worksheet'!I64</f>
        <v>0</v>
      </c>
      <c r="I57" s="501"/>
      <c r="J57" s="134">
        <v>17</v>
      </c>
      <c r="K57" s="127" t="s">
        <v>212</v>
      </c>
      <c r="L57" s="554">
        <f t="shared" si="7"/>
        <v>0</v>
      </c>
      <c r="P57" s="313"/>
      <c r="R57" s="498"/>
      <c r="W57" s="498" t="b">
        <f t="shared" si="0"/>
        <v>1</v>
      </c>
      <c r="X57" s="581">
        <f t="shared" si="1"/>
        <v>0</v>
      </c>
      <c r="Y57" s="581">
        <f t="shared" si="2"/>
        <v>0</v>
      </c>
      <c r="AA57" s="314"/>
    </row>
    <row r="58" spans="1:27" ht="56.25" customHeight="1" x14ac:dyDescent="0.25">
      <c r="A58" s="289">
        <f>'Unit Data from Audit Worksheet'!A65</f>
        <v>20</v>
      </c>
      <c r="B58" s="165" t="str">
        <f>'Unit Data from Audit Worksheet'!C65</f>
        <v>General Fund-Rev, Exp. Change in Fund Balance</v>
      </c>
      <c r="C58" s="153" t="str">
        <f>'Unit Data from Audit Worksheet'!D65</f>
        <v>Total Transfers out    (Preference is that transfers-in  are not netted against transfers-out)</v>
      </c>
      <c r="D58" s="502"/>
      <c r="E58" s="553">
        <f>'Unit Data from Audit Worksheet'!F65</f>
        <v>0</v>
      </c>
      <c r="F58" s="145">
        <f t="shared" si="8"/>
        <v>0</v>
      </c>
      <c r="G58" s="210"/>
      <c r="H58" s="138">
        <f>'Unit Data from Audit Worksheet'!I65</f>
        <v>0</v>
      </c>
      <c r="I58" s="501"/>
      <c r="J58" s="134">
        <v>20</v>
      </c>
      <c r="K58" s="127" t="s">
        <v>213</v>
      </c>
      <c r="L58" s="554">
        <f t="shared" si="7"/>
        <v>0</v>
      </c>
      <c r="P58" s="313"/>
      <c r="R58" s="498"/>
      <c r="W58" s="498" t="b">
        <f t="shared" si="0"/>
        <v>1</v>
      </c>
      <c r="X58" s="581">
        <f t="shared" si="1"/>
        <v>0</v>
      </c>
      <c r="Y58" s="581">
        <f t="shared" si="2"/>
        <v>0</v>
      </c>
      <c r="AA58" s="314"/>
    </row>
    <row r="59" spans="1:27" ht="60.75" customHeight="1" x14ac:dyDescent="0.25">
      <c r="A59" s="289">
        <f>'Unit Data from Audit Worksheet'!A66</f>
        <v>533</v>
      </c>
      <c r="B59" s="165" t="str">
        <f>'Unit Data from Audit Worksheet'!C66</f>
        <v>General Fund-Rev, Exp. Change in Fund Balance</v>
      </c>
      <c r="C59" s="153" t="str">
        <f>'Unit Data from Audit Worksheet'!D66</f>
        <v>Total Proceeds from all long-term debt issuances 
Exclude proceeds from refundings</v>
      </c>
      <c r="D59" s="502"/>
      <c r="E59" s="553">
        <f>'Unit Data from Audit Worksheet'!F66</f>
        <v>0</v>
      </c>
      <c r="F59" s="145">
        <f t="shared" si="8"/>
        <v>0</v>
      </c>
      <c r="G59" s="210"/>
      <c r="H59" s="138">
        <f>'Unit Data from Audit Worksheet'!I66</f>
        <v>0</v>
      </c>
      <c r="I59" s="501"/>
      <c r="J59" s="134">
        <v>533</v>
      </c>
      <c r="K59" s="143" t="s">
        <v>214</v>
      </c>
      <c r="L59" s="554">
        <f t="shared" si="7"/>
        <v>0</v>
      </c>
      <c r="P59" s="313"/>
      <c r="R59" s="498"/>
      <c r="W59" s="498" t="b">
        <f t="shared" si="0"/>
        <v>1</v>
      </c>
      <c r="X59" s="581">
        <f t="shared" si="1"/>
        <v>0</v>
      </c>
      <c r="Y59" s="581">
        <f t="shared" si="2"/>
        <v>0</v>
      </c>
      <c r="AA59" s="314"/>
    </row>
    <row r="60" spans="1:27" ht="60.75" customHeight="1" x14ac:dyDescent="0.25">
      <c r="A60" s="289">
        <f>'Unit Data from Audit Worksheet'!A67</f>
        <v>508</v>
      </c>
      <c r="B60" s="165" t="str">
        <f>'Unit Data from Audit Worksheet'!C67</f>
        <v>General Fund-Rev, Exp. Change in Fund Balance</v>
      </c>
      <c r="C60" s="153" t="str">
        <f>'Unit Data from Audit Worksheet'!D67</f>
        <v>Debt Refunding - Net refunding proceeds against debt payoff and if positive place results on this line.</v>
      </c>
      <c r="D60" s="502"/>
      <c r="E60" s="553">
        <f>'Unit Data from Audit Worksheet'!F67</f>
        <v>0</v>
      </c>
      <c r="F60" s="145">
        <f t="shared" si="8"/>
        <v>0</v>
      </c>
      <c r="G60" s="210"/>
      <c r="H60" s="138">
        <f>'Unit Data from Audit Worksheet'!I67</f>
        <v>0</v>
      </c>
      <c r="I60" s="501"/>
      <c r="J60" s="134">
        <v>508</v>
      </c>
      <c r="K60" s="127" t="s">
        <v>216</v>
      </c>
      <c r="L60" s="554">
        <f t="shared" si="7"/>
        <v>0</v>
      </c>
      <c r="P60" s="313"/>
      <c r="R60" s="498"/>
      <c r="W60" s="498" t="b">
        <f t="shared" si="0"/>
        <v>1</v>
      </c>
      <c r="X60" s="581">
        <f t="shared" si="1"/>
        <v>0</v>
      </c>
      <c r="Y60" s="581">
        <f t="shared" si="2"/>
        <v>0</v>
      </c>
      <c r="AA60" s="314"/>
    </row>
    <row r="61" spans="1:27" ht="51.75" customHeight="1" x14ac:dyDescent="0.25">
      <c r="A61" s="289">
        <f>'Unit Data from Audit Worksheet'!A68</f>
        <v>509</v>
      </c>
      <c r="B61" s="165" t="str">
        <f>'Unit Data from Audit Worksheet'!C68</f>
        <v>General Fund-Rev, Exp. Change in Fund Balance</v>
      </c>
      <c r="C61" s="153" t="str">
        <f>'Unit Data from Audit Worksheet'!D68</f>
        <v>Debt Refunding - Net refunding proceeds against debt payoff and if negative place results on this line.</v>
      </c>
      <c r="D61" s="502"/>
      <c r="E61" s="553">
        <f>'Unit Data from Audit Worksheet'!F68</f>
        <v>0</v>
      </c>
      <c r="F61" s="145">
        <f t="shared" si="8"/>
        <v>0</v>
      </c>
      <c r="G61" s="210"/>
      <c r="H61" s="138">
        <f>'Unit Data from Audit Worksheet'!I68</f>
        <v>0</v>
      </c>
      <c r="I61" s="501"/>
      <c r="J61" s="134">
        <v>509</v>
      </c>
      <c r="K61" s="127" t="s">
        <v>217</v>
      </c>
      <c r="L61" s="554">
        <f t="shared" si="7"/>
        <v>0</v>
      </c>
      <c r="P61" s="313"/>
      <c r="R61" s="498"/>
      <c r="W61" s="498" t="b">
        <f t="shared" si="0"/>
        <v>1</v>
      </c>
      <c r="X61" s="581">
        <f t="shared" si="1"/>
        <v>0</v>
      </c>
      <c r="Y61" s="581">
        <f t="shared" si="2"/>
        <v>0</v>
      </c>
      <c r="AA61" s="314"/>
    </row>
    <row r="62" spans="1:27" ht="69.75" customHeight="1" x14ac:dyDescent="0.25">
      <c r="A62" s="289">
        <f>'Unit Data from Audit Worksheet'!A69</f>
        <v>22</v>
      </c>
      <c r="B62" s="165" t="str">
        <f>'Unit Data from Audit Worksheet'!C69</f>
        <v>General Fund-Rev, Exp. Change in Fund Balance</v>
      </c>
      <c r="C62" s="153" t="str">
        <f>'Unit Data from Audit Worksheet'!D69</f>
        <v xml:space="preserve">All other items on this statement that were not included in total revenues, total expenditures, transfers in or out, or proceeds from long-term debt above.  </v>
      </c>
      <c r="D62" s="502"/>
      <c r="E62" s="553">
        <f>'Unit Data from Audit Worksheet'!F69</f>
        <v>0</v>
      </c>
      <c r="F62" s="145"/>
      <c r="G62" s="210"/>
      <c r="H62" s="138">
        <f>'Unit Data from Audit Worksheet'!I69</f>
        <v>0</v>
      </c>
      <c r="I62" s="501"/>
      <c r="J62" s="134">
        <v>22</v>
      </c>
      <c r="K62" s="127" t="s">
        <v>215</v>
      </c>
      <c r="L62" s="554">
        <f t="shared" si="7"/>
        <v>0</v>
      </c>
      <c r="P62" s="313"/>
      <c r="R62" s="498"/>
      <c r="W62" s="498" t="b">
        <f t="shared" si="0"/>
        <v>1</v>
      </c>
      <c r="X62" s="581">
        <f t="shared" si="1"/>
        <v>0</v>
      </c>
      <c r="Y62" s="581">
        <f t="shared" si="2"/>
        <v>0</v>
      </c>
      <c r="AA62" s="314"/>
    </row>
    <row r="63" spans="1:27" ht="75" customHeight="1" x14ac:dyDescent="0.25">
      <c r="A63" s="289">
        <f>'Unit Data from Audit Worksheet'!A70</f>
        <v>23</v>
      </c>
      <c r="B63" s="165" t="str">
        <f>'Unit Data from Audit Worksheet'!C70</f>
        <v>General Fund-Rev, Exp. Change in Fund Balance</v>
      </c>
      <c r="C63" s="153" t="str">
        <f>'Unit Data from Audit Worksheet'!D70</f>
        <v>Change in fund balance - (Increase in Fund balance is recorded as a positive and a decrease in fund balance is recorded as a negative)</v>
      </c>
      <c r="D63" s="502"/>
      <c r="E63" s="553">
        <f>'Unit Data from Audit Worksheet'!F70</f>
        <v>0</v>
      </c>
      <c r="F63" s="145">
        <f>IF(+L54-L56+L57-L58+L59+L60-L61+L62-L63=0,,"Error:Total revenues less toal Expenditures do not equal change in fund balance")</f>
        <v>0</v>
      </c>
      <c r="G63" s="258">
        <f>+L54-L56+L57-L58+L59+L62+L60-L61-L63</f>
        <v>0</v>
      </c>
      <c r="H63" s="138">
        <f>'Unit Data from Audit Worksheet'!I70</f>
        <v>0</v>
      </c>
      <c r="I63" s="501"/>
      <c r="J63" s="134">
        <v>23</v>
      </c>
      <c r="K63" s="127" t="s">
        <v>218</v>
      </c>
      <c r="L63" s="554">
        <f t="shared" si="7"/>
        <v>0</v>
      </c>
      <c r="P63" s="313"/>
      <c r="Q63" s="246">
        <f>IF(G63&lt;&gt;0,1,0)</f>
        <v>0</v>
      </c>
      <c r="R63" s="498"/>
      <c r="W63" s="498" t="b">
        <f t="shared" si="0"/>
        <v>1</v>
      </c>
      <c r="X63" s="581">
        <f t="shared" si="1"/>
        <v>0</v>
      </c>
      <c r="Y63" s="581">
        <f t="shared" si="2"/>
        <v>0</v>
      </c>
      <c r="AA63" s="314"/>
    </row>
    <row r="64" spans="1:27" ht="117" customHeight="1" x14ac:dyDescent="0.25">
      <c r="A64" s="720">
        <f>'Unit Data from Audit Worksheet'!A72</f>
        <v>507</v>
      </c>
      <c r="B64" s="337" t="str">
        <f>'Unit Data from Audit Worksheet'!C72</f>
        <v>General Fund-Rev, Exp. Change in Fund Balance</v>
      </c>
      <c r="C64" s="338" t="str">
        <f>'Unit Data from Audit Worksheet'!D72</f>
        <v>Any adjustment to beginning fund balance including rounding, prior period adjustments and restatements.   (Amounts that increase fund balance are recorded as positive and amounts that decrease fund balance are recorded as negative)</v>
      </c>
      <c r="D64" s="330"/>
      <c r="E64" s="560">
        <f>'Unit Data from Audit Worksheet'!F72</f>
        <v>0</v>
      </c>
      <c r="F64" s="331" t="e">
        <f>IF(+L51-L63-L64=O51,,"Error: Beginning Fund Bal does not equal our records Accts 9-23-507= PY9")</f>
        <v>#N/A</v>
      </c>
      <c r="G64" s="344" t="e">
        <f>L51-L63-L64-O51</f>
        <v>#N/A</v>
      </c>
      <c r="H64" s="333">
        <f>'Unit Data from Audit Worksheet'!I72</f>
        <v>0</v>
      </c>
      <c r="I64" s="501"/>
      <c r="J64" s="309">
        <v>507</v>
      </c>
      <c r="K64" s="139" t="s">
        <v>219</v>
      </c>
      <c r="L64" s="541">
        <f t="shared" si="7"/>
        <v>0</v>
      </c>
      <c r="M64"/>
      <c r="N64" s="326"/>
      <c r="O64" s="122"/>
      <c r="P64" s="313"/>
      <c r="Q64" s="246" t="e">
        <f>IF(G64&lt;&gt;0,1,0)</f>
        <v>#N/A</v>
      </c>
      <c r="R64" s="498"/>
      <c r="W64" s="498" t="b">
        <f t="shared" si="0"/>
        <v>1</v>
      </c>
      <c r="X64" s="581">
        <f t="shared" si="1"/>
        <v>0</v>
      </c>
      <c r="Y64" s="581">
        <f t="shared" si="2"/>
        <v>0</v>
      </c>
      <c r="AA64" s="314"/>
    </row>
    <row r="65" spans="1:27" s="499" customFormat="1" ht="48" customHeight="1" x14ac:dyDescent="0.25">
      <c r="A65" s="721">
        <f>'Unit Data from Audit Worksheet'!A73</f>
        <v>647</v>
      </c>
      <c r="B65" s="366" t="str">
        <f>'Unit Data from Audit Worksheet'!C73</f>
        <v>Debt Service Fund</v>
      </c>
      <c r="C65" s="365" t="str">
        <f>'Unit Data from Audit Worksheet'!D73</f>
        <v>Please enter the Total Fund Balance for any Debt Service Funds</v>
      </c>
      <c r="D65" s="336"/>
      <c r="E65" s="559">
        <f>'Unit Data from Audit Worksheet'!F73</f>
        <v>0</v>
      </c>
      <c r="F65" s="367"/>
      <c r="G65" s="745"/>
      <c r="H65" s="367">
        <f>'Unit Data from Audit Worksheet'!I73</f>
        <v>0</v>
      </c>
      <c r="I65" s="522"/>
      <c r="J65" s="369">
        <v>647</v>
      </c>
      <c r="K65" s="370" t="s">
        <v>789</v>
      </c>
      <c r="L65" s="537">
        <f t="shared" si="7"/>
        <v>0</v>
      </c>
      <c r="M65"/>
      <c r="N65" s="711"/>
      <c r="O65" s="715"/>
      <c r="P65" s="712"/>
      <c r="Q65" s="713"/>
      <c r="S65" s="711"/>
      <c r="T65" s="711"/>
      <c r="U65" s="711"/>
      <c r="V65" s="711"/>
      <c r="W65" s="499" t="b">
        <f t="shared" si="0"/>
        <v>1</v>
      </c>
      <c r="X65" s="276">
        <f t="shared" si="1"/>
        <v>0</v>
      </c>
      <c r="Y65" s="276">
        <f t="shared" si="2"/>
        <v>0</v>
      </c>
    </row>
    <row r="66" spans="1:27" ht="75" customHeight="1" x14ac:dyDescent="0.25">
      <c r="A66" s="718">
        <f>'Unit Data from Audit Worksheet'!A75</f>
        <v>171</v>
      </c>
      <c r="B66" s="168" t="str">
        <f>'Unit Data from Audit Worksheet'!C75</f>
        <v>Fund Statements - all Governmental Funds</v>
      </c>
      <c r="C66" s="146" t="str">
        <f>'Unit Data from Audit Worksheet'!D75</f>
        <v>Debt service expenditures from all governmental funds.  Include principal, interest paid, and debt issuance costs on long-term debt.</v>
      </c>
      <c r="D66" s="502"/>
      <c r="E66" s="551">
        <f>'Unit Data from Audit Worksheet'!F75</f>
        <v>0</v>
      </c>
      <c r="F66" s="150">
        <f>IF(L66&lt;0,"Error: Enter as a positive.",)</f>
        <v>0</v>
      </c>
      <c r="G66" s="209"/>
      <c r="H66" s="138">
        <f>'Unit Data from Audit Worksheet'!I75</f>
        <v>0</v>
      </c>
      <c r="I66" s="501"/>
      <c r="J66" s="135">
        <v>171</v>
      </c>
      <c r="K66" s="160" t="s">
        <v>220</v>
      </c>
      <c r="L66" s="562">
        <f t="shared" si="7"/>
        <v>0</v>
      </c>
      <c r="P66" s="313"/>
      <c r="R66" s="498"/>
      <c r="W66" s="498" t="b">
        <f t="shared" si="0"/>
        <v>1</v>
      </c>
      <c r="X66" s="581">
        <f t="shared" si="1"/>
        <v>0</v>
      </c>
      <c r="Y66" s="581">
        <f t="shared" si="2"/>
        <v>0</v>
      </c>
      <c r="AA66" s="314"/>
    </row>
    <row r="67" spans="1:27" s="154" customFormat="1" ht="69.75" customHeight="1" x14ac:dyDescent="0.25">
      <c r="A67" s="289">
        <f>'Unit Data from Audit Worksheet'!A79</f>
        <v>596</v>
      </c>
      <c r="B67" s="165"/>
      <c r="C67" s="172" t="str">
        <f>'Unit Data from Audit Worksheet'!D79</f>
        <v>Indicate if your water/sewer system:
50 - Became Operational
51 - Ceased Operations
52 - No Change</v>
      </c>
      <c r="D67" s="502"/>
      <c r="E67" s="553">
        <f>'Unit Data from Audit Worksheet'!F79</f>
        <v>0</v>
      </c>
      <c r="F67" s="219"/>
      <c r="G67" s="219"/>
      <c r="H67" s="138">
        <f>'Unit Data from Audit Worksheet'!I79</f>
        <v>0</v>
      </c>
      <c r="I67" s="501"/>
      <c r="J67" s="134">
        <v>596</v>
      </c>
      <c r="K67" s="127" t="s">
        <v>621</v>
      </c>
      <c r="L67" s="554">
        <f t="shared" si="7"/>
        <v>0</v>
      </c>
      <c r="P67" s="313"/>
      <c r="Q67" s="246"/>
      <c r="R67" s="498"/>
      <c r="W67" s="498" t="b">
        <f t="shared" si="0"/>
        <v>1</v>
      </c>
      <c r="X67" s="581">
        <f t="shared" si="1"/>
        <v>0</v>
      </c>
      <c r="Y67" s="581">
        <f t="shared" si="2"/>
        <v>0</v>
      </c>
      <c r="AA67" s="314"/>
    </row>
    <row r="68" spans="1:27" ht="58.5" customHeight="1" x14ac:dyDescent="0.25">
      <c r="A68" s="289">
        <f>'Unit Data from Audit Worksheet'!A80</f>
        <v>80</v>
      </c>
      <c r="B68" s="165" t="str">
        <f>'Unit Data from Audit Worksheet'!C80</f>
        <v>Water Sewer Net Position Statement</v>
      </c>
      <c r="C68" s="153" t="str">
        <f>'Unit Data from Audit Worksheet'!D80</f>
        <v>Unrestricted Cash and investments 
Exclude restricted cash and/or restricted investments.</v>
      </c>
      <c r="D68" s="502"/>
      <c r="E68" s="553">
        <f>'Unit Data from Audit Worksheet'!F80</f>
        <v>0</v>
      </c>
      <c r="F68" s="145">
        <f>IF(L68&lt;0,"Error: Number is normally positive.",)</f>
        <v>0</v>
      </c>
      <c r="G68" s="145" t="e">
        <f>'Unit Data from Audit Worksheet'!G80</f>
        <v>#N/A</v>
      </c>
      <c r="H68" s="138">
        <f>'Unit Data from Audit Worksheet'!I80</f>
        <v>0</v>
      </c>
      <c r="I68" s="501"/>
      <c r="J68" s="134">
        <v>80</v>
      </c>
      <c r="K68" s="127" t="s">
        <v>221</v>
      </c>
      <c r="L68" s="554">
        <f t="shared" si="7"/>
        <v>0</v>
      </c>
      <c r="P68" s="313"/>
      <c r="R68" s="498"/>
      <c r="W68" s="498" t="b">
        <f t="shared" si="0"/>
        <v>1</v>
      </c>
      <c r="X68" s="581">
        <f t="shared" si="1"/>
        <v>0</v>
      </c>
      <c r="Y68" s="581">
        <f t="shared" si="2"/>
        <v>0</v>
      </c>
      <c r="AA68" s="314"/>
    </row>
    <row r="69" spans="1:27" ht="60" x14ac:dyDescent="0.25">
      <c r="A69" s="289">
        <f>'Unit Data from Audit Worksheet'!A81</f>
        <v>81</v>
      </c>
      <c r="B69" s="165" t="str">
        <f>'Unit Data from Audit Worksheet'!C81</f>
        <v>Water Sewer Net Position Statement</v>
      </c>
      <c r="C69" s="153" t="str">
        <f>'Unit Data from Audit Worksheet'!D81</f>
        <v>Customer accounts receivable (net of allowance accounts). 
Include both billed and unbilled amounts.</v>
      </c>
      <c r="D69" s="502"/>
      <c r="E69" s="553">
        <f>'Unit Data from Audit Worksheet'!F81</f>
        <v>0</v>
      </c>
      <c r="F69" s="145">
        <f>IF(L69&lt;0,"Error: Number is normally positive.",)</f>
        <v>0</v>
      </c>
      <c r="G69" s="210"/>
      <c r="H69" s="138">
        <f>'Unit Data from Audit Worksheet'!I81</f>
        <v>0</v>
      </c>
      <c r="I69" s="501"/>
      <c r="J69" s="134">
        <v>81</v>
      </c>
      <c r="K69" s="127" t="s">
        <v>222</v>
      </c>
      <c r="L69" s="554">
        <f t="shared" si="7"/>
        <v>0</v>
      </c>
      <c r="P69" s="313"/>
      <c r="R69" s="498"/>
      <c r="W69" s="498" t="b">
        <f t="shared" ref="W69:W132" si="9">EXACT(A69,J69)</f>
        <v>1</v>
      </c>
      <c r="X69" s="581">
        <f t="shared" ref="X69:X132" si="10">E69-L69</f>
        <v>0</v>
      </c>
      <c r="Y69" s="581">
        <f t="shared" ref="Y69:Y132" si="11">D69-L69</f>
        <v>0</v>
      </c>
      <c r="AA69" s="314"/>
    </row>
    <row r="70" spans="1:27" s="154" customFormat="1" ht="68.25" customHeight="1" x14ac:dyDescent="0.25">
      <c r="A70" s="289">
        <f>'Unit Data from Audit Worksheet'!A82</f>
        <v>579</v>
      </c>
      <c r="B70" s="253" t="str">
        <f>'Unit Data from Audit Worksheet'!C82</f>
        <v>Water Sewer Net Position Statement</v>
      </c>
      <c r="C70" s="252" t="str">
        <f>'Unit Data from Audit Worksheet'!D82</f>
        <v>Water Sewer - Advance To:
Interfund loan receivable-portion of repayment plan longer than 12 months</v>
      </c>
      <c r="D70" s="502"/>
      <c r="E70" s="553">
        <f>'Unit Data from Audit Worksheet'!F82</f>
        <v>0</v>
      </c>
      <c r="F70" s="145"/>
      <c r="G70" s="210"/>
      <c r="H70" s="138"/>
      <c r="I70" s="501"/>
      <c r="J70" s="251">
        <v>579</v>
      </c>
      <c r="K70" s="250" t="s">
        <v>567</v>
      </c>
      <c r="L70" s="554">
        <f t="shared" si="7"/>
        <v>0</v>
      </c>
      <c r="N70" s="2" t="s">
        <v>679</v>
      </c>
      <c r="P70" s="313"/>
      <c r="Q70" s="246"/>
      <c r="R70" s="498"/>
      <c r="W70" s="498" t="b">
        <f t="shared" si="9"/>
        <v>1</v>
      </c>
      <c r="X70" s="581">
        <f t="shared" si="10"/>
        <v>0</v>
      </c>
      <c r="Y70" s="581">
        <f t="shared" si="11"/>
        <v>0</v>
      </c>
      <c r="AA70" s="314"/>
    </row>
    <row r="71" spans="1:27" ht="47.25" customHeight="1" x14ac:dyDescent="0.25">
      <c r="A71" s="289">
        <f>'Unit Data from Audit Worksheet'!A83</f>
        <v>510</v>
      </c>
      <c r="B71" s="165" t="str">
        <f>'Unit Data from Audit Worksheet'!C83</f>
        <v>Water Sewer Net Position Statement</v>
      </c>
      <c r="C71" s="153" t="str">
        <f>'Unit Data from Audit Worksheet'!D83</f>
        <v>Amount of Inventories and Prepaid expenses in current assets</v>
      </c>
      <c r="D71" s="502"/>
      <c r="E71" s="553">
        <f>'Unit Data from Audit Worksheet'!F83</f>
        <v>0</v>
      </c>
      <c r="F71" s="145"/>
      <c r="G71" s="210"/>
      <c r="H71" s="138">
        <f>'Unit Data from Audit Worksheet'!I83</f>
        <v>0</v>
      </c>
      <c r="I71" s="501"/>
      <c r="J71" s="134">
        <v>510</v>
      </c>
      <c r="K71" s="127" t="s">
        <v>223</v>
      </c>
      <c r="L71" s="554">
        <f t="shared" si="7"/>
        <v>0</v>
      </c>
      <c r="P71" s="313"/>
      <c r="R71" s="498"/>
      <c r="W71" s="498" t="b">
        <f t="shared" si="9"/>
        <v>1</v>
      </c>
      <c r="X71" s="581">
        <f t="shared" si="10"/>
        <v>0</v>
      </c>
      <c r="Y71" s="581">
        <f t="shared" si="11"/>
        <v>0</v>
      </c>
      <c r="AA71" s="314"/>
    </row>
    <row r="72" spans="1:27" ht="45" x14ac:dyDescent="0.25">
      <c r="A72" s="719">
        <f>'Unit Data from Audit Worksheet'!A84</f>
        <v>654</v>
      </c>
      <c r="B72" s="262" t="str">
        <f>'Unit Data from Audit Worksheet'!C84</f>
        <v>Water Sewer Net Position Statement</v>
      </c>
      <c r="C72" s="372" t="str">
        <f>'Unit Data from Audit Worksheet'!D84</f>
        <v xml:space="preserve">Total Current assets as listed on the WS Net Position Statement.  
</v>
      </c>
      <c r="D72" s="502"/>
      <c r="E72" s="556">
        <f>'Unit Data from Audit Worksheet'!F84</f>
        <v>0</v>
      </c>
      <c r="F72" s="274">
        <f>IF((+L68+L69+L71)&gt;L72,"Please review components of current assets above Acct. (80+81+510&gt;654",)</f>
        <v>0</v>
      </c>
      <c r="G72" s="267" t="str">
        <f>IF(Q72=1," Included in error count"," ")</f>
        <v xml:space="preserve"> </v>
      </c>
      <c r="H72" s="275">
        <f>'Unit Data from Audit Worksheet'!I84</f>
        <v>0</v>
      </c>
      <c r="I72" s="501"/>
      <c r="J72" s="293">
        <v>654</v>
      </c>
      <c r="K72" s="372" t="s">
        <v>863</v>
      </c>
      <c r="L72" s="546">
        <f t="shared" si="7"/>
        <v>0</v>
      </c>
      <c r="P72" s="313"/>
      <c r="Q72" s="246">
        <f>IF((+L68+L69+L71)&gt;L72,1,0)</f>
        <v>0</v>
      </c>
      <c r="R72" s="498"/>
      <c r="W72" s="498" t="b">
        <f t="shared" si="9"/>
        <v>1</v>
      </c>
      <c r="X72" s="581">
        <f t="shared" si="10"/>
        <v>0</v>
      </c>
      <c r="Y72" s="581">
        <f t="shared" si="11"/>
        <v>0</v>
      </c>
      <c r="AA72" s="314"/>
    </row>
    <row r="73" spans="1:27" s="498" customFormat="1" ht="51" customHeight="1" x14ac:dyDescent="0.25">
      <c r="A73" s="719">
        <f>'Unit Data from Audit Worksheet'!A85</f>
        <v>655</v>
      </c>
      <c r="B73" s="262" t="str">
        <f>'Unit Data from Audit Worksheet'!C85</f>
        <v>Water Sewer Net Position Statement</v>
      </c>
      <c r="C73" s="372" t="str">
        <f>'Unit Data from Audit Worksheet'!D85</f>
        <v>WS-Any current assets that are restricted (Cash, Accounts Rec., etc..) and included in account 654 above</v>
      </c>
      <c r="D73" s="502"/>
      <c r="E73" s="556">
        <f>'Unit Data from Audit Worksheet'!F85</f>
        <v>0</v>
      </c>
      <c r="F73" s="274"/>
      <c r="G73" s="267"/>
      <c r="H73" s="275"/>
      <c r="I73" s="501"/>
      <c r="J73" s="293">
        <v>655</v>
      </c>
      <c r="K73" s="514" t="s">
        <v>1092</v>
      </c>
      <c r="L73" s="546">
        <f t="shared" si="7"/>
        <v>0</v>
      </c>
      <c r="P73" s="313"/>
      <c r="Q73" s="503"/>
      <c r="W73" s="498" t="b">
        <f t="shared" si="9"/>
        <v>1</v>
      </c>
      <c r="X73" s="581">
        <f t="shared" si="10"/>
        <v>0</v>
      </c>
      <c r="Y73" s="581">
        <f t="shared" si="11"/>
        <v>0</v>
      </c>
    </row>
    <row r="74" spans="1:27" ht="42.75" customHeight="1" x14ac:dyDescent="0.25">
      <c r="A74" s="289">
        <f>'Unit Data from Audit Worksheet'!A86</f>
        <v>381</v>
      </c>
      <c r="B74" s="165" t="str">
        <f>'Unit Data from Audit Worksheet'!C86</f>
        <v>Water Sewer Net Position Statement</v>
      </c>
      <c r="C74" s="153" t="str">
        <f>'Unit Data from Audit Worksheet'!D86</f>
        <v>Total Assets and deferred outflows</v>
      </c>
      <c r="D74" s="502"/>
      <c r="E74" s="553">
        <f>'Unit Data from Audit Worksheet'!F86</f>
        <v>0</v>
      </c>
      <c r="F74" s="145" t="str">
        <f>IF(L74&lt;L72,"Please review components of current assets above acct. 381&lt;654"," ")</f>
        <v xml:space="preserve"> </v>
      </c>
      <c r="G74" s="245" t="str">
        <f>IF(Q74=1," Included in error count"," ")</f>
        <v xml:space="preserve"> </v>
      </c>
      <c r="H74" s="138">
        <f>'Unit Data from Audit Worksheet'!I86</f>
        <v>0</v>
      </c>
      <c r="I74" s="501"/>
      <c r="J74" s="134">
        <v>381</v>
      </c>
      <c r="K74" s="127" t="s">
        <v>115</v>
      </c>
      <c r="L74" s="554">
        <f t="shared" si="7"/>
        <v>0</v>
      </c>
      <c r="P74" s="313"/>
      <c r="Q74" s="246">
        <f>IF(L74&lt;L72,1,0)</f>
        <v>0</v>
      </c>
      <c r="R74" s="498"/>
      <c r="W74" s="498" t="b">
        <f t="shared" si="9"/>
        <v>1</v>
      </c>
      <c r="X74" s="581">
        <f t="shared" si="10"/>
        <v>0</v>
      </c>
      <c r="Y74" s="581">
        <f t="shared" si="11"/>
        <v>0</v>
      </c>
      <c r="AA74" s="314"/>
    </row>
    <row r="75" spans="1:27" s="154" customFormat="1" ht="60.75" customHeight="1" x14ac:dyDescent="0.25">
      <c r="A75" s="720">
        <f>'Unit Data from Audit Worksheet'!A87</f>
        <v>578</v>
      </c>
      <c r="B75" s="337" t="str">
        <f>'Unit Data from Audit Worksheet'!C87</f>
        <v>Water Sewer Net Position Statement</v>
      </c>
      <c r="C75" s="338" t="str">
        <f>'Unit Data from Audit Worksheet'!D87</f>
        <v>Water Sewer - Advance From: 
Interfund loan Payable-portion of repayment plan longer than 12 months</v>
      </c>
      <c r="D75" s="330"/>
      <c r="E75" s="560">
        <f>'Unit Data from Audit Worksheet'!F87</f>
        <v>0</v>
      </c>
      <c r="F75" s="331"/>
      <c r="G75" s="332"/>
      <c r="H75" s="333"/>
      <c r="I75" s="501"/>
      <c r="J75" s="309">
        <v>578</v>
      </c>
      <c r="K75" s="139" t="s">
        <v>568</v>
      </c>
      <c r="L75" s="541">
        <f t="shared" si="7"/>
        <v>0</v>
      </c>
      <c r="P75" s="313"/>
      <c r="Q75" s="247"/>
      <c r="R75" s="498"/>
      <c r="W75" s="498" t="b">
        <f t="shared" si="9"/>
        <v>1</v>
      </c>
      <c r="X75" s="581">
        <f t="shared" si="10"/>
        <v>0</v>
      </c>
      <c r="Y75" s="581">
        <f t="shared" si="11"/>
        <v>0</v>
      </c>
      <c r="AA75" s="314"/>
    </row>
    <row r="76" spans="1:27" s="499" customFormat="1" ht="104.25" customHeight="1" x14ac:dyDescent="0.25">
      <c r="A76" s="721">
        <v>633</v>
      </c>
      <c r="B76" s="366" t="str">
        <f>'Unit Data from Audit Worksheet'!C88</f>
        <v>Water Sewer Net Position Statement</v>
      </c>
      <c r="C76" s="365" t="str">
        <f>'Unit Data from Audit Worksheet'!D88</f>
        <v xml:space="preserve">Current liabilities (as reported on the Statement of Fund Net Position)
Include:   Current liabilities including current portion of long-term debt.  Deferred inflows should not be included in Current Liabilities    
</v>
      </c>
      <c r="D76" s="330"/>
      <c r="E76" s="559">
        <f>'Unit Data from Audit Worksheet'!F88</f>
        <v>0</v>
      </c>
      <c r="F76" s="367"/>
      <c r="G76" s="368"/>
      <c r="H76" s="367"/>
      <c r="I76" s="522"/>
      <c r="J76" s="369">
        <v>633</v>
      </c>
      <c r="K76" s="370" t="s">
        <v>777</v>
      </c>
      <c r="L76" s="537">
        <f t="shared" si="7"/>
        <v>0</v>
      </c>
      <c r="M76" s="371"/>
      <c r="N76" s="711"/>
      <c r="O76" s="711"/>
      <c r="P76" s="712"/>
      <c r="Q76" s="713"/>
      <c r="S76" s="711"/>
      <c r="T76" s="711"/>
      <c r="U76" s="711"/>
      <c r="V76" s="711"/>
      <c r="W76" s="499" t="b">
        <f t="shared" si="9"/>
        <v>1</v>
      </c>
      <c r="X76" s="276">
        <f t="shared" si="10"/>
        <v>0</v>
      </c>
      <c r="Y76" s="276">
        <f t="shared" si="11"/>
        <v>0</v>
      </c>
    </row>
    <row r="77" spans="1:27" s="499" customFormat="1" ht="103.5" customHeight="1" x14ac:dyDescent="0.25">
      <c r="A77" s="721">
        <v>634</v>
      </c>
      <c r="B77" s="366" t="str">
        <f>'Unit Data from Audit Worksheet'!C89</f>
        <v>Water Sewer Net Position Statement</v>
      </c>
      <c r="C77" s="365" t="str">
        <f>'Unit Data from Audit Worksheet'!D89</f>
        <v>Please enter any bond anticipation notes that are classified as current liabilities and included in account 633 above (amounts entered should agree to the current amount included in the changes to long-term debt note)</v>
      </c>
      <c r="D77" s="330"/>
      <c r="E77" s="559">
        <f>'Unit Data from Audit Worksheet'!F89</f>
        <v>0</v>
      </c>
      <c r="F77" s="367"/>
      <c r="G77" s="368"/>
      <c r="H77" s="367"/>
      <c r="I77" s="522"/>
      <c r="J77" s="369">
        <v>634</v>
      </c>
      <c r="K77" s="370" t="s">
        <v>778</v>
      </c>
      <c r="L77" s="537">
        <f t="shared" si="7"/>
        <v>0</v>
      </c>
      <c r="M77" s="371"/>
      <c r="N77" s="711"/>
      <c r="O77" s="711"/>
      <c r="P77" s="712"/>
      <c r="Q77" s="713"/>
      <c r="S77" s="711"/>
      <c r="T77" s="711"/>
      <c r="U77" s="711"/>
      <c r="V77" s="711"/>
      <c r="W77" s="499" t="b">
        <f t="shared" si="9"/>
        <v>1</v>
      </c>
      <c r="X77" s="276">
        <f t="shared" si="10"/>
        <v>0</v>
      </c>
      <c r="Y77" s="276">
        <f t="shared" si="11"/>
        <v>0</v>
      </c>
    </row>
    <row r="78" spans="1:27" s="499" customFormat="1" ht="100.5" customHeight="1" x14ac:dyDescent="0.25">
      <c r="A78" s="721">
        <v>635</v>
      </c>
      <c r="B78" s="366" t="str">
        <f>'Unit Data from Audit Worksheet'!C90</f>
        <v>Water Sewer Net Position Statement</v>
      </c>
      <c r="C78" s="365" t="str">
        <f>'Unit Data from Audit Worksheet'!D90</f>
        <v>Please enter any compensated absences that are classified as current liabilities and included in account 633 above (amounts entered should agree to the current amount included in the changes to long-term debt note)</v>
      </c>
      <c r="D78" s="330"/>
      <c r="E78" s="559">
        <f>'Unit Data from Audit Worksheet'!F90</f>
        <v>0</v>
      </c>
      <c r="F78" s="367"/>
      <c r="G78" s="368"/>
      <c r="H78" s="367"/>
      <c r="I78" s="522"/>
      <c r="J78" s="369">
        <v>635</v>
      </c>
      <c r="K78" s="370" t="s">
        <v>779</v>
      </c>
      <c r="L78" s="537">
        <f t="shared" si="7"/>
        <v>0</v>
      </c>
      <c r="M78" s="371"/>
      <c r="N78" s="711"/>
      <c r="O78" s="711"/>
      <c r="P78" s="712"/>
      <c r="Q78" s="713"/>
      <c r="S78" s="711"/>
      <c r="T78" s="711"/>
      <c r="U78" s="711"/>
      <c r="V78" s="711"/>
      <c r="W78" s="499" t="b">
        <f t="shared" si="9"/>
        <v>1</v>
      </c>
      <c r="X78" s="276">
        <f t="shared" si="10"/>
        <v>0</v>
      </c>
      <c r="Y78" s="276">
        <f t="shared" si="11"/>
        <v>0</v>
      </c>
    </row>
    <row r="79" spans="1:27" s="499" customFormat="1" ht="100.5" customHeight="1" x14ac:dyDescent="0.25">
      <c r="A79" s="721">
        <v>636</v>
      </c>
      <c r="B79" s="366" t="str">
        <f>'Unit Data from Audit Worksheet'!C91</f>
        <v>Water Sewer Net Position Statement</v>
      </c>
      <c r="C79" s="365" t="str">
        <f>'Unit Data from Audit Worksheet'!D91</f>
        <v>Please enter any pension liabilities that are classified as current liabilities and included in account 633 above (amounts entered should agree to the current amount included in the changes to long-term debt note)</v>
      </c>
      <c r="D79" s="330"/>
      <c r="E79" s="559">
        <f>'Unit Data from Audit Worksheet'!F91</f>
        <v>0</v>
      </c>
      <c r="F79" s="367"/>
      <c r="G79" s="368"/>
      <c r="H79" s="367"/>
      <c r="I79" s="522"/>
      <c r="J79" s="369">
        <v>636</v>
      </c>
      <c r="K79" s="370" t="s">
        <v>774</v>
      </c>
      <c r="L79" s="537">
        <f t="shared" si="7"/>
        <v>0</v>
      </c>
      <c r="M79" s="371"/>
      <c r="N79" s="711"/>
      <c r="O79" s="711"/>
      <c r="P79" s="712"/>
      <c r="Q79" s="713"/>
      <c r="S79" s="711"/>
      <c r="T79" s="711"/>
      <c r="U79" s="711"/>
      <c r="V79" s="711"/>
      <c r="W79" s="499" t="b">
        <f t="shared" si="9"/>
        <v>1</v>
      </c>
      <c r="X79" s="276">
        <f t="shared" si="10"/>
        <v>0</v>
      </c>
      <c r="Y79" s="276">
        <f t="shared" si="11"/>
        <v>0</v>
      </c>
    </row>
    <row r="80" spans="1:27" s="499" customFormat="1" ht="58.5" customHeight="1" x14ac:dyDescent="0.25">
      <c r="A80" s="721">
        <v>637</v>
      </c>
      <c r="B80" s="366" t="str">
        <f>'Unit Data from Audit Worksheet'!C92</f>
        <v>Water Sewer Net Position Statement</v>
      </c>
      <c r="C80" s="365" t="str">
        <f>'Unit Data from Audit Worksheet'!D92</f>
        <v>Please enter any current liabilities that are payable from restricted assets and included in account 633 above.</v>
      </c>
      <c r="D80" s="330"/>
      <c r="E80" s="559">
        <f>'Unit Data from Audit Worksheet'!F92</f>
        <v>0</v>
      </c>
      <c r="F80" s="367"/>
      <c r="G80" s="368"/>
      <c r="H80" s="367"/>
      <c r="I80" s="522"/>
      <c r="J80" s="369">
        <v>637</v>
      </c>
      <c r="K80" s="370" t="s">
        <v>775</v>
      </c>
      <c r="L80" s="537">
        <f t="shared" si="7"/>
        <v>0</v>
      </c>
      <c r="M80" s="371"/>
      <c r="N80" s="711"/>
      <c r="O80" s="711"/>
      <c r="P80" s="712"/>
      <c r="Q80" s="713"/>
      <c r="S80" s="711"/>
      <c r="T80" s="711"/>
      <c r="U80" s="711"/>
      <c r="V80" s="711"/>
      <c r="W80" s="499" t="b">
        <f t="shared" si="9"/>
        <v>1</v>
      </c>
      <c r="X80" s="276">
        <f t="shared" si="10"/>
        <v>0</v>
      </c>
      <c r="Y80" s="276">
        <f t="shared" si="11"/>
        <v>0</v>
      </c>
    </row>
    <row r="81" spans="1:27" s="499" customFormat="1" ht="100.5" customHeight="1" x14ac:dyDescent="0.25">
      <c r="A81" s="721">
        <v>638</v>
      </c>
      <c r="B81" s="366" t="str">
        <f>'Unit Data from Audit Worksheet'!C93</f>
        <v>Water Sewer Net Position Statement</v>
      </c>
      <c r="C81" s="365" t="str">
        <f>'Unit Data from Audit Worksheet'!D93</f>
        <v>Please enter any OPEB liabilities that are classified as current liabilities and included in account 633 above (amounts entered should agree to the current amount included in the changes to long-term debt note)</v>
      </c>
      <c r="D81" s="330"/>
      <c r="E81" s="559">
        <f>'Unit Data from Audit Worksheet'!F93</f>
        <v>0</v>
      </c>
      <c r="F81" s="367"/>
      <c r="G81" s="368"/>
      <c r="H81" s="367"/>
      <c r="I81" s="522"/>
      <c r="J81" s="369">
        <v>638</v>
      </c>
      <c r="K81" s="370" t="s">
        <v>780</v>
      </c>
      <c r="L81" s="537">
        <f t="shared" si="7"/>
        <v>0</v>
      </c>
      <c r="M81" s="371"/>
      <c r="N81" s="711"/>
      <c r="O81" s="711"/>
      <c r="P81" s="712"/>
      <c r="Q81" s="713"/>
      <c r="S81" s="711"/>
      <c r="T81" s="711"/>
      <c r="U81" s="711"/>
      <c r="V81" s="711"/>
      <c r="W81" s="499" t="b">
        <f t="shared" si="9"/>
        <v>1</v>
      </c>
      <c r="X81" s="276">
        <f t="shared" si="10"/>
        <v>0</v>
      </c>
      <c r="Y81" s="276">
        <f t="shared" si="11"/>
        <v>0</v>
      </c>
    </row>
    <row r="82" spans="1:27" ht="76.5" customHeight="1" x14ac:dyDescent="0.25">
      <c r="A82" s="718">
        <f>'Unit Data from Audit Worksheet'!A94</f>
        <v>383</v>
      </c>
      <c r="B82" s="168" t="str">
        <f>'Unit Data from Audit Worksheet'!C94</f>
        <v>Water Sewer Net Position Statement</v>
      </c>
      <c r="C82" s="146" t="str">
        <f>'Unit Data from Audit Worksheet'!D94</f>
        <v>Unearned revenue (arising from cash receipts) that were included in Current Liabilities in the question in account 633 above.</v>
      </c>
      <c r="D82" s="502"/>
      <c r="E82" s="551">
        <f>'Unit Data from Audit Worksheet'!F94</f>
        <v>0</v>
      </c>
      <c r="F82" s="150">
        <f>IF(L82&lt;0,"Error: Enter as a positive.",)</f>
        <v>0</v>
      </c>
      <c r="G82" s="209"/>
      <c r="H82" s="138">
        <f>'Unit Data from Audit Worksheet'!I94</f>
        <v>0</v>
      </c>
      <c r="I82" s="501"/>
      <c r="J82" s="135">
        <v>383</v>
      </c>
      <c r="K82" s="160" t="s">
        <v>224</v>
      </c>
      <c r="L82" s="562">
        <f t="shared" si="7"/>
        <v>0</v>
      </c>
      <c r="P82" s="313"/>
      <c r="R82" s="498"/>
      <c r="W82" s="498" t="b">
        <f t="shared" si="9"/>
        <v>1</v>
      </c>
      <c r="X82" s="581">
        <f t="shared" si="10"/>
        <v>0</v>
      </c>
      <c r="Y82" s="581">
        <f t="shared" si="11"/>
        <v>0</v>
      </c>
      <c r="AA82" s="314"/>
    </row>
    <row r="83" spans="1:27" ht="54" customHeight="1" x14ac:dyDescent="0.25">
      <c r="A83" s="289">
        <f>'Unit Data from Audit Worksheet'!A95</f>
        <v>349</v>
      </c>
      <c r="B83" s="165" t="str">
        <f>'Unit Data from Audit Worksheet'!C95</f>
        <v>Water Sewer Net Position Statement</v>
      </c>
      <c r="C83" s="153" t="str">
        <f>'Unit Data from Audit Worksheet'!D95</f>
        <v>Total Liabilities and deferred inflows</v>
      </c>
      <c r="D83" s="502"/>
      <c r="E83" s="553">
        <f>'Unit Data from Audit Worksheet'!F95</f>
        <v>0</v>
      </c>
      <c r="F83" s="243">
        <f>IF(L76&gt;L83,"Error: Please review accts 633&gt;349",)</f>
        <v>0</v>
      </c>
      <c r="G83" s="245" t="str">
        <f>IF(Q83=1," Included in error count"," ")</f>
        <v xml:space="preserve"> </v>
      </c>
      <c r="H83" s="138">
        <f>'Unit Data from Audit Worksheet'!I95</f>
        <v>0</v>
      </c>
      <c r="I83" s="501"/>
      <c r="J83" s="134">
        <v>349</v>
      </c>
      <c r="K83" s="127" t="s">
        <v>124</v>
      </c>
      <c r="L83" s="554">
        <f t="shared" si="7"/>
        <v>0</v>
      </c>
      <c r="P83" s="313"/>
      <c r="Q83" s="246">
        <f>IF(L76&gt;L83,1,0)</f>
        <v>0</v>
      </c>
      <c r="R83" s="498"/>
      <c r="W83" s="498" t="b">
        <f t="shared" si="9"/>
        <v>1</v>
      </c>
      <c r="X83" s="581">
        <f t="shared" si="10"/>
        <v>0</v>
      </c>
      <c r="Y83" s="581">
        <f t="shared" si="11"/>
        <v>0</v>
      </c>
      <c r="AA83" s="314"/>
    </row>
    <row r="84" spans="1:27" ht="59.25" customHeight="1" x14ac:dyDescent="0.25">
      <c r="A84" s="289">
        <f>'Unit Data from Audit Worksheet'!A96</f>
        <v>375</v>
      </c>
      <c r="B84" s="165" t="str">
        <f>'Unit Data from Audit Worksheet'!C96</f>
        <v>Water Sewer Net Position Statement</v>
      </c>
      <c r="C84" s="153" t="str">
        <f>'Unit Data from Audit Worksheet'!D96</f>
        <v>Total Net position, Unrestricted - enter negative unrestricted net position as a negative</v>
      </c>
      <c r="D84" s="502"/>
      <c r="E84" s="553">
        <f>'Unit Data from Audit Worksheet'!F96</f>
        <v>0</v>
      </c>
      <c r="F84" s="145"/>
      <c r="G84" s="210"/>
      <c r="H84" s="138">
        <f>'Unit Data from Audit Worksheet'!I96</f>
        <v>0</v>
      </c>
      <c r="I84" s="501"/>
      <c r="J84" s="134">
        <v>375</v>
      </c>
      <c r="K84" s="127" t="s">
        <v>225</v>
      </c>
      <c r="L84" s="554">
        <f t="shared" si="7"/>
        <v>0</v>
      </c>
      <c r="P84" s="313"/>
      <c r="R84" s="498"/>
      <c r="W84" s="498" t="b">
        <f t="shared" si="9"/>
        <v>1</v>
      </c>
      <c r="X84" s="581">
        <f t="shared" si="10"/>
        <v>0</v>
      </c>
      <c r="Y84" s="581">
        <f t="shared" si="11"/>
        <v>0</v>
      </c>
      <c r="AA84" s="314"/>
    </row>
    <row r="85" spans="1:27" ht="39.75" customHeight="1" x14ac:dyDescent="0.25">
      <c r="A85" s="289">
        <f>'Unit Data from Audit Worksheet'!A97</f>
        <v>83</v>
      </c>
      <c r="B85" s="165" t="str">
        <f>'Unit Data from Audit Worksheet'!C97</f>
        <v>Water Sewer Net Position Statement</v>
      </c>
      <c r="C85" s="153" t="str">
        <f>'Unit Data from Audit Worksheet'!D97</f>
        <v>Total Net position</v>
      </c>
      <c r="D85" s="502"/>
      <c r="E85" s="553">
        <f>'Unit Data from Audit Worksheet'!F97</f>
        <v>0</v>
      </c>
      <c r="F85" s="145">
        <f>IF(+L74-L83-L85=0,,"Error: Total assets less total liabilities do not equal net position acct 381-349-83=0")</f>
        <v>0</v>
      </c>
      <c r="G85" s="258">
        <f>L74-L83-L85</f>
        <v>0</v>
      </c>
      <c r="H85" s="138">
        <f>'Unit Data from Audit Worksheet'!I97</f>
        <v>0</v>
      </c>
      <c r="I85" s="501"/>
      <c r="J85" s="134">
        <v>83</v>
      </c>
      <c r="K85" s="127" t="s">
        <v>104</v>
      </c>
      <c r="L85" s="554">
        <f t="shared" si="7"/>
        <v>0</v>
      </c>
      <c r="O85" s="122" t="e">
        <f>'Unit Data from Audit Worksheet'!E97</f>
        <v>#N/A</v>
      </c>
      <c r="P85" s="313"/>
      <c r="Q85" s="246">
        <f>IF(G85&lt;&gt;0,1,0)</f>
        <v>0</v>
      </c>
      <c r="R85" s="498"/>
      <c r="W85" s="498" t="b">
        <f t="shared" si="9"/>
        <v>1</v>
      </c>
      <c r="X85" s="581">
        <f t="shared" si="10"/>
        <v>0</v>
      </c>
      <c r="Y85" s="581">
        <f t="shared" si="11"/>
        <v>0</v>
      </c>
      <c r="AA85" s="314"/>
    </row>
    <row r="86" spans="1:27" ht="55.5" customHeight="1" x14ac:dyDescent="0.25">
      <c r="A86" s="289">
        <f>'Unit Data from Audit Worksheet'!A99</f>
        <v>90</v>
      </c>
      <c r="B86" s="165" t="str">
        <f>'Unit Data from Audit Worksheet'!C99</f>
        <v>Electric Fund Net Position Statement</v>
      </c>
      <c r="C86" s="153" t="str">
        <f>'Unit Data from Audit Worksheet'!D99</f>
        <v>All Unrestricted Cash and Investments.  
Exclude any restricted cash and investments.</v>
      </c>
      <c r="D86" s="502"/>
      <c r="E86" s="553">
        <f>'Unit Data from Audit Worksheet'!F99</f>
        <v>0</v>
      </c>
      <c r="F86" s="145">
        <f>IF(L86&lt;0,"Error: Number is normally positive.",)</f>
        <v>0</v>
      </c>
      <c r="G86" s="210"/>
      <c r="H86" s="138">
        <f>'Unit Data from Audit Worksheet'!I99</f>
        <v>0</v>
      </c>
      <c r="I86" s="501"/>
      <c r="J86" s="134">
        <v>90</v>
      </c>
      <c r="K86" s="127" t="s">
        <v>226</v>
      </c>
      <c r="L86" s="554">
        <f t="shared" si="7"/>
        <v>0</v>
      </c>
      <c r="P86" s="313"/>
      <c r="R86" s="498"/>
      <c r="W86" s="498" t="b">
        <f t="shared" si="9"/>
        <v>1</v>
      </c>
      <c r="X86" s="581">
        <f t="shared" si="10"/>
        <v>0</v>
      </c>
      <c r="Y86" s="581">
        <f t="shared" si="11"/>
        <v>0</v>
      </c>
      <c r="AA86" s="314"/>
    </row>
    <row r="87" spans="1:27" ht="65.25" customHeight="1" x14ac:dyDescent="0.25">
      <c r="A87" s="289">
        <f>'Unit Data from Audit Worksheet'!A100</f>
        <v>91</v>
      </c>
      <c r="B87" s="165" t="str">
        <f>'Unit Data from Audit Worksheet'!C100</f>
        <v>Electric Fund Net Position Statement</v>
      </c>
      <c r="C87" s="153" t="str">
        <f>'Unit Data from Audit Worksheet'!D100</f>
        <v xml:space="preserve">Customer accounts receivable (net of allowance accounts)
Include billed and unbilled amounts </v>
      </c>
      <c r="D87" s="502"/>
      <c r="E87" s="553">
        <f>'Unit Data from Audit Worksheet'!F100</f>
        <v>0</v>
      </c>
      <c r="F87" s="145">
        <f>IF(L87&lt;0,"Error: Number is normally positive.",)</f>
        <v>0</v>
      </c>
      <c r="G87" s="210"/>
      <c r="H87" s="138">
        <f>'Unit Data from Audit Worksheet'!I100</f>
        <v>0</v>
      </c>
      <c r="I87" s="501"/>
      <c r="J87" s="134">
        <v>91</v>
      </c>
      <c r="K87" s="127" t="s">
        <v>227</v>
      </c>
      <c r="L87" s="554">
        <f t="shared" si="7"/>
        <v>0</v>
      </c>
      <c r="P87" s="313"/>
      <c r="R87" s="498"/>
      <c r="W87" s="498" t="b">
        <f t="shared" si="9"/>
        <v>1</v>
      </c>
      <c r="X87" s="581">
        <f t="shared" si="10"/>
        <v>0</v>
      </c>
      <c r="Y87" s="581">
        <f t="shared" si="11"/>
        <v>0</v>
      </c>
      <c r="AA87" s="314"/>
    </row>
    <row r="88" spans="1:27" s="154" customFormat="1" ht="58.5" customHeight="1" x14ac:dyDescent="0.25">
      <c r="A88" s="289">
        <f>'Unit Data from Audit Worksheet'!A101</f>
        <v>581</v>
      </c>
      <c r="B88" s="253" t="str">
        <f>'Unit Data from Audit Worksheet'!C101</f>
        <v>Electric Fund Net Position Statement</v>
      </c>
      <c r="C88" s="252" t="str">
        <f>'Unit Data from Audit Worksheet'!D101</f>
        <v>Electric Fund - Advance To:
Interfund loan receivable-portion of repayment plan longer than 12 months</v>
      </c>
      <c r="D88" s="502"/>
      <c r="E88" s="553">
        <f>'Unit Data from Audit Worksheet'!F101</f>
        <v>0</v>
      </c>
      <c r="F88" s="145"/>
      <c r="G88" s="210"/>
      <c r="H88" s="138"/>
      <c r="I88" s="501"/>
      <c r="J88" s="251">
        <v>581</v>
      </c>
      <c r="K88" s="250" t="s">
        <v>569</v>
      </c>
      <c r="L88" s="554">
        <f t="shared" si="7"/>
        <v>0</v>
      </c>
      <c r="P88" s="313"/>
      <c r="Q88" s="246"/>
      <c r="R88" s="498"/>
      <c r="W88" s="498" t="b">
        <f t="shared" si="9"/>
        <v>1</v>
      </c>
      <c r="X88" s="581">
        <f t="shared" si="10"/>
        <v>0</v>
      </c>
      <c r="Y88" s="581">
        <f t="shared" si="11"/>
        <v>0</v>
      </c>
      <c r="AA88" s="314"/>
    </row>
    <row r="89" spans="1:27" ht="40.5" customHeight="1" x14ac:dyDescent="0.25">
      <c r="A89" s="289">
        <f>'Unit Data from Audit Worksheet'!A102</f>
        <v>511</v>
      </c>
      <c r="B89" s="165" t="str">
        <f>'Unit Data from Audit Worksheet'!C102</f>
        <v>Electric Fund Net Position Statement</v>
      </c>
      <c r="C89" s="153" t="str">
        <f>'Unit Data from Audit Worksheet'!D102</f>
        <v>Amount of inventories and prepaids</v>
      </c>
      <c r="D89" s="502"/>
      <c r="E89" s="553">
        <f>'Unit Data from Audit Worksheet'!F102</f>
        <v>0</v>
      </c>
      <c r="F89" s="145">
        <f t="shared" ref="F89:F94" si="12">IF(L89&lt;0,"Error: Number is normally positive.",)</f>
        <v>0</v>
      </c>
      <c r="G89" s="210"/>
      <c r="H89" s="138">
        <f>'Unit Data from Audit Worksheet'!I102</f>
        <v>0</v>
      </c>
      <c r="I89" s="501"/>
      <c r="J89" s="134">
        <v>511</v>
      </c>
      <c r="K89" s="127" t="s">
        <v>228</v>
      </c>
      <c r="L89" s="554">
        <f t="shared" si="7"/>
        <v>0</v>
      </c>
      <c r="P89" s="313"/>
      <c r="R89" s="498"/>
      <c r="W89" s="498" t="b">
        <f t="shared" si="9"/>
        <v>1</v>
      </c>
      <c r="X89" s="581">
        <f t="shared" si="10"/>
        <v>0</v>
      </c>
      <c r="Y89" s="581">
        <f t="shared" si="11"/>
        <v>0</v>
      </c>
      <c r="AA89" s="314"/>
    </row>
    <row r="90" spans="1:27" s="314" customFormat="1" ht="45" x14ac:dyDescent="0.25">
      <c r="A90" s="719">
        <f>'Unit Data from Audit Worksheet'!A103</f>
        <v>657</v>
      </c>
      <c r="B90" s="262" t="str">
        <f>'Unit Data from Audit Worksheet'!C103</f>
        <v>Electric Fund Net Position Statement</v>
      </c>
      <c r="C90" s="372" t="str">
        <f>'Unit Data from Audit Worksheet'!D103</f>
        <v xml:space="preserve">Total Current assets as listed on the Electric Net Position Statement.  
</v>
      </c>
      <c r="D90" s="502"/>
      <c r="E90" s="556">
        <f>'Unit Data from Audit Worksheet'!F103</f>
        <v>0</v>
      </c>
      <c r="F90" s="274">
        <f t="shared" si="12"/>
        <v>0</v>
      </c>
      <c r="G90" s="267"/>
      <c r="H90" s="275">
        <f>'Unit Data from Audit Worksheet'!I103</f>
        <v>0</v>
      </c>
      <c r="I90" s="501"/>
      <c r="J90" s="293">
        <v>657</v>
      </c>
      <c r="K90" s="373" t="s">
        <v>892</v>
      </c>
      <c r="L90" s="546">
        <f t="shared" si="7"/>
        <v>0</v>
      </c>
      <c r="P90" s="313"/>
      <c r="Q90" s="325">
        <f>IF((L86+L87+L89)&gt;L92,1,0)</f>
        <v>0</v>
      </c>
      <c r="R90" s="498"/>
      <c r="W90" s="498" t="b">
        <f t="shared" si="9"/>
        <v>1</v>
      </c>
      <c r="X90" s="581">
        <f t="shared" si="10"/>
        <v>0</v>
      </c>
      <c r="Y90" s="581">
        <f t="shared" si="11"/>
        <v>0</v>
      </c>
    </row>
    <row r="91" spans="1:27" s="498" customFormat="1" ht="61.5" customHeight="1" x14ac:dyDescent="0.25">
      <c r="A91" s="719">
        <f>'Unit Data from Audit Worksheet'!A104</f>
        <v>658</v>
      </c>
      <c r="B91" s="262" t="str">
        <f>'Unit Data from Audit Worksheet'!C104</f>
        <v>Electric Fund Net Position Statement</v>
      </c>
      <c r="C91" s="372" t="str">
        <f>'Unit Data from Audit Worksheet'!D104</f>
        <v>Electric-Any current assets that are restricted (Cash, Accounts Rec., etc..) and included in account 657 above</v>
      </c>
      <c r="D91" s="502"/>
      <c r="E91" s="556">
        <f>'Unit Data from Audit Worksheet'!F104</f>
        <v>0</v>
      </c>
      <c r="F91" s="274">
        <f t="shared" si="12"/>
        <v>0</v>
      </c>
      <c r="G91" s="267"/>
      <c r="H91" s="275"/>
      <c r="I91" s="501"/>
      <c r="J91" s="293">
        <v>658</v>
      </c>
      <c r="K91" s="373" t="s">
        <v>1091</v>
      </c>
      <c r="L91" s="546">
        <f t="shared" si="7"/>
        <v>0</v>
      </c>
      <c r="P91" s="313"/>
      <c r="Q91" s="503"/>
      <c r="W91" s="498" t="b">
        <f t="shared" si="9"/>
        <v>1</v>
      </c>
      <c r="X91" s="581">
        <f t="shared" si="10"/>
        <v>0</v>
      </c>
      <c r="Y91" s="581">
        <f t="shared" si="11"/>
        <v>0</v>
      </c>
    </row>
    <row r="92" spans="1:27" s="314" customFormat="1" ht="36.75" customHeight="1" x14ac:dyDescent="0.25">
      <c r="A92" s="289">
        <f>'Unit Data from Audit Worksheet'!A105</f>
        <v>382</v>
      </c>
      <c r="B92" s="323" t="str">
        <f>'Unit Data from Audit Worksheet'!C105</f>
        <v>Electric Fund Net Position Statement</v>
      </c>
      <c r="C92" s="321" t="str">
        <f>'Unit Data from Audit Worksheet'!D105</f>
        <v>Total Assets and deferred outflows</v>
      </c>
      <c r="D92" s="502"/>
      <c r="E92" s="553">
        <f>'Unit Data from Audit Worksheet'!F105</f>
        <v>0</v>
      </c>
      <c r="F92" s="320">
        <f t="shared" si="12"/>
        <v>0</v>
      </c>
      <c r="G92" s="324"/>
      <c r="H92" s="318">
        <f>'Unit Data from Audit Worksheet'!I105</f>
        <v>0</v>
      </c>
      <c r="I92" s="501"/>
      <c r="J92" s="328">
        <v>382</v>
      </c>
      <c r="K92" s="327" t="s">
        <v>116</v>
      </c>
      <c r="L92" s="554">
        <f t="shared" si="7"/>
        <v>0</v>
      </c>
      <c r="P92" s="313"/>
      <c r="Q92" s="325"/>
      <c r="R92" s="498"/>
      <c r="W92" s="498" t="b">
        <f t="shared" si="9"/>
        <v>1</v>
      </c>
      <c r="X92" s="581">
        <f t="shared" si="10"/>
        <v>0</v>
      </c>
      <c r="Y92" s="581">
        <f t="shared" si="11"/>
        <v>0</v>
      </c>
    </row>
    <row r="93" spans="1:27" s="314" customFormat="1" ht="36" customHeight="1" x14ac:dyDescent="0.25">
      <c r="A93" s="289">
        <f>'Unit Data from Audit Worksheet'!A106</f>
        <v>360</v>
      </c>
      <c r="B93" s="323" t="str">
        <f>'Unit Data from Audit Worksheet'!C106</f>
        <v>Electric Fund Net Position Statement</v>
      </c>
      <c r="C93" s="321" t="str">
        <f>'Unit Data from Audit Worksheet'!D106</f>
        <v>Total liabilities and total deferred inflows</v>
      </c>
      <c r="D93" s="502"/>
      <c r="E93" s="553">
        <f>'Unit Data from Audit Worksheet'!F106</f>
        <v>0</v>
      </c>
      <c r="F93" s="320">
        <f t="shared" si="12"/>
        <v>0</v>
      </c>
      <c r="G93" s="324"/>
      <c r="H93" s="318">
        <f>'Unit Data from Audit Worksheet'!I106</f>
        <v>0</v>
      </c>
      <c r="I93" s="501"/>
      <c r="J93" s="328">
        <v>360</v>
      </c>
      <c r="K93" s="329" t="s">
        <v>127</v>
      </c>
      <c r="L93" s="554">
        <f t="shared" si="7"/>
        <v>0</v>
      </c>
      <c r="P93" s="313"/>
      <c r="Q93" s="325"/>
      <c r="R93" s="498"/>
      <c r="W93" s="498" t="b">
        <f t="shared" si="9"/>
        <v>1</v>
      </c>
      <c r="X93" s="581">
        <f t="shared" si="10"/>
        <v>0</v>
      </c>
      <c r="Y93" s="581">
        <f t="shared" si="11"/>
        <v>0</v>
      </c>
    </row>
    <row r="94" spans="1:27" s="314" customFormat="1" ht="60" customHeight="1" x14ac:dyDescent="0.25">
      <c r="A94" s="289">
        <f>'Unit Data from Audit Worksheet'!A107</f>
        <v>580</v>
      </c>
      <c r="B94" s="323" t="str">
        <f>'Unit Data from Audit Worksheet'!C107</f>
        <v>Electric Fund Net Position Statement</v>
      </c>
      <c r="C94" s="321" t="str">
        <f>'Unit Data from Audit Worksheet'!D107</f>
        <v>Electric Fund - Advance From:
Interfund loans payable-portion of repayment plan longer than 12 months</v>
      </c>
      <c r="D94" s="502"/>
      <c r="E94" s="553">
        <f>'Unit Data from Audit Worksheet'!F107</f>
        <v>0</v>
      </c>
      <c r="F94" s="320">
        <f t="shared" si="12"/>
        <v>0</v>
      </c>
      <c r="G94" s="324"/>
      <c r="H94" s="318">
        <f>'Unit Data from Audit Worksheet'!I107</f>
        <v>0</v>
      </c>
      <c r="I94" s="501"/>
      <c r="J94" s="328">
        <v>580</v>
      </c>
      <c r="K94" s="329" t="s">
        <v>570</v>
      </c>
      <c r="L94" s="554">
        <f t="shared" si="7"/>
        <v>0</v>
      </c>
      <c r="M94" s="499"/>
      <c r="N94" s="904"/>
      <c r="P94" s="313"/>
      <c r="Q94" s="325"/>
      <c r="R94" s="498"/>
      <c r="W94" s="498" t="b">
        <f t="shared" si="9"/>
        <v>1</v>
      </c>
      <c r="X94" s="581">
        <f t="shared" si="10"/>
        <v>0</v>
      </c>
      <c r="Y94" s="581">
        <f t="shared" si="11"/>
        <v>0</v>
      </c>
    </row>
    <row r="95" spans="1:27" s="499" customFormat="1" ht="120.75" customHeight="1" x14ac:dyDescent="0.25">
      <c r="A95" s="719">
        <f>'Unit Data from Audit Worksheet'!A108</f>
        <v>639</v>
      </c>
      <c r="B95" s="262" t="str">
        <f>'Unit Data from Audit Worksheet'!C108</f>
        <v>Electric Fund Net Position Statement</v>
      </c>
      <c r="C95" s="372" t="str">
        <f>'Unit Data from Audit Worksheet'!D108</f>
        <v xml:space="preserve">Current liabilities (as reported on the Statement of Fund Net Position)
Include:   Current liabilities including current portion of long-term debt.  Deferred inflows should not be included in Current Liabilities        
</v>
      </c>
      <c r="D95" s="502"/>
      <c r="E95" s="556">
        <f>'Unit Data from Audit Worksheet'!F108</f>
        <v>0</v>
      </c>
      <c r="F95" s="274"/>
      <c r="G95" s="267"/>
      <c r="H95" s="275">
        <f>'Unit Data from Audit Worksheet'!I108</f>
        <v>0</v>
      </c>
      <c r="I95" s="501"/>
      <c r="J95" s="293">
        <v>639</v>
      </c>
      <c r="K95" s="373" t="s">
        <v>781</v>
      </c>
      <c r="L95" s="546">
        <f t="shared" si="7"/>
        <v>0</v>
      </c>
      <c r="P95" s="477"/>
      <c r="Q95" s="585"/>
      <c r="W95" s="499" t="b">
        <f t="shared" si="9"/>
        <v>1</v>
      </c>
      <c r="X95" s="276">
        <f t="shared" si="10"/>
        <v>0</v>
      </c>
      <c r="Y95" s="276">
        <f t="shared" si="11"/>
        <v>0</v>
      </c>
    </row>
    <row r="96" spans="1:27" s="499" customFormat="1" ht="99.75" customHeight="1" x14ac:dyDescent="0.25">
      <c r="A96" s="719">
        <f>'Unit Data from Audit Worksheet'!A109</f>
        <v>640</v>
      </c>
      <c r="B96" s="262" t="str">
        <f>'Unit Data from Audit Worksheet'!C109</f>
        <v>Electric Fund Net Position Statement</v>
      </c>
      <c r="C96" s="372" t="str">
        <f>'Unit Data from Audit Worksheet'!D109</f>
        <v>Please enter any bond anticipation notes that are classified as current liabilities and included in account 639 above (amounts entered should agree to the current amount included in the changes to long-term debt note)</v>
      </c>
      <c r="D96" s="502"/>
      <c r="E96" s="556">
        <f>'Unit Data from Audit Worksheet'!F109</f>
        <v>0</v>
      </c>
      <c r="F96" s="274">
        <f t="shared" ref="F96:F100" si="13">IF(L96&lt;0,"Error: Number is normally positive.",)</f>
        <v>0</v>
      </c>
      <c r="G96" s="267"/>
      <c r="H96" s="275">
        <f>'Unit Data from Audit Worksheet'!I109</f>
        <v>0</v>
      </c>
      <c r="I96" s="501"/>
      <c r="J96" s="293">
        <v>640</v>
      </c>
      <c r="K96" s="373" t="s">
        <v>782</v>
      </c>
      <c r="L96" s="546">
        <f t="shared" si="7"/>
        <v>0</v>
      </c>
      <c r="M96" s="355"/>
      <c r="P96" s="477"/>
      <c r="Q96" s="585"/>
      <c r="W96" s="499" t="b">
        <f t="shared" si="9"/>
        <v>1</v>
      </c>
      <c r="X96" s="276">
        <f t="shared" si="10"/>
        <v>0</v>
      </c>
      <c r="Y96" s="276">
        <f t="shared" si="11"/>
        <v>0</v>
      </c>
    </row>
    <row r="97" spans="1:27" s="499" customFormat="1" ht="104.25" customHeight="1" x14ac:dyDescent="0.25">
      <c r="A97" s="719">
        <f>'Unit Data from Audit Worksheet'!A110</f>
        <v>641</v>
      </c>
      <c r="B97" s="262" t="str">
        <f>'Unit Data from Audit Worksheet'!C110</f>
        <v>Electric Fund Net Position Statement</v>
      </c>
      <c r="C97" s="372" t="str">
        <f>'Unit Data from Audit Worksheet'!D110</f>
        <v>Please enter any compensated absences that are classified as current liabilities and included in account 639 above (amounts entered should agree to the current amount included in the changes to long-term debt note)</v>
      </c>
      <c r="D97" s="502"/>
      <c r="E97" s="556">
        <f>'Unit Data from Audit Worksheet'!F110</f>
        <v>0</v>
      </c>
      <c r="F97" s="274">
        <f t="shared" si="13"/>
        <v>0</v>
      </c>
      <c r="G97" s="267"/>
      <c r="H97" s="275">
        <f>'Unit Data from Audit Worksheet'!I110</f>
        <v>0</v>
      </c>
      <c r="I97" s="501"/>
      <c r="J97" s="293">
        <v>641</v>
      </c>
      <c r="K97" s="373" t="s">
        <v>783</v>
      </c>
      <c r="L97" s="546">
        <f t="shared" si="7"/>
        <v>0</v>
      </c>
      <c r="M97" s="470"/>
      <c r="P97" s="477"/>
      <c r="Q97" s="585"/>
      <c r="W97" s="499" t="b">
        <f t="shared" si="9"/>
        <v>1</v>
      </c>
      <c r="X97" s="276">
        <f t="shared" si="10"/>
        <v>0</v>
      </c>
      <c r="Y97" s="276">
        <f t="shared" si="11"/>
        <v>0</v>
      </c>
    </row>
    <row r="98" spans="1:27" s="499" customFormat="1" ht="105" customHeight="1" x14ac:dyDescent="0.25">
      <c r="A98" s="719">
        <f>'Unit Data from Audit Worksheet'!A111</f>
        <v>642</v>
      </c>
      <c r="B98" s="262" t="str">
        <f>'Unit Data from Audit Worksheet'!C111</f>
        <v>Electric Fund Net Position Statement</v>
      </c>
      <c r="C98" s="372" t="str">
        <f>'Unit Data from Audit Worksheet'!D111</f>
        <v>Please enter any pension liabilities that are classified as current liabilities and included account in 639 above (amounts entered should agree to the current amount included in the changes to long-term debt note)</v>
      </c>
      <c r="D98" s="502"/>
      <c r="E98" s="556">
        <f>'Unit Data from Audit Worksheet'!F111</f>
        <v>0</v>
      </c>
      <c r="F98" s="274">
        <f t="shared" si="13"/>
        <v>0</v>
      </c>
      <c r="G98" s="267"/>
      <c r="H98" s="275">
        <f>'Unit Data from Audit Worksheet'!I111</f>
        <v>0</v>
      </c>
      <c r="I98" s="501"/>
      <c r="J98" s="293">
        <v>642</v>
      </c>
      <c r="K98" s="373" t="s">
        <v>784</v>
      </c>
      <c r="L98" s="546">
        <f t="shared" si="7"/>
        <v>0</v>
      </c>
      <c r="M98" s="470"/>
      <c r="P98" s="477"/>
      <c r="Q98" s="585"/>
      <c r="W98" s="499" t="b">
        <f t="shared" si="9"/>
        <v>1</v>
      </c>
      <c r="X98" s="276">
        <f t="shared" si="10"/>
        <v>0</v>
      </c>
      <c r="Y98" s="276">
        <f t="shared" si="11"/>
        <v>0</v>
      </c>
    </row>
    <row r="99" spans="1:27" s="499" customFormat="1" ht="63" customHeight="1" x14ac:dyDescent="0.25">
      <c r="A99" s="719">
        <f>'Unit Data from Audit Worksheet'!A112</f>
        <v>643</v>
      </c>
      <c r="B99" s="262" t="str">
        <f>'Unit Data from Audit Worksheet'!C112</f>
        <v>Electric Fund Net Position Statement</v>
      </c>
      <c r="C99" s="372" t="str">
        <f>'Unit Data from Audit Worksheet'!D112</f>
        <v xml:space="preserve">Please enter any current liabilities that are payable from restricted assets and included in account 639 above. </v>
      </c>
      <c r="D99" s="502"/>
      <c r="E99" s="556">
        <f>'Unit Data from Audit Worksheet'!F112</f>
        <v>0</v>
      </c>
      <c r="F99" s="274">
        <f t="shared" si="13"/>
        <v>0</v>
      </c>
      <c r="G99" s="267"/>
      <c r="H99" s="275">
        <f>'Unit Data from Audit Worksheet'!I112</f>
        <v>0</v>
      </c>
      <c r="I99" s="501"/>
      <c r="J99" s="293">
        <v>643</v>
      </c>
      <c r="K99" s="373" t="s">
        <v>785</v>
      </c>
      <c r="L99" s="546">
        <f t="shared" si="7"/>
        <v>0</v>
      </c>
      <c r="M99" s="470"/>
      <c r="P99" s="477"/>
      <c r="Q99" s="585"/>
      <c r="W99" s="499" t="b">
        <f t="shared" si="9"/>
        <v>1</v>
      </c>
      <c r="X99" s="276">
        <f t="shared" si="10"/>
        <v>0</v>
      </c>
      <c r="Y99" s="276">
        <f t="shared" si="11"/>
        <v>0</v>
      </c>
    </row>
    <row r="100" spans="1:27" s="499" customFormat="1" ht="106.5" customHeight="1" x14ac:dyDescent="0.25">
      <c r="A100" s="719">
        <f>'Unit Data from Audit Worksheet'!A113</f>
        <v>644</v>
      </c>
      <c r="B100" s="262" t="str">
        <f>'Unit Data from Audit Worksheet'!C113</f>
        <v>Electric Fund Net Position Statement</v>
      </c>
      <c r="C100" s="372" t="str">
        <f>'Unit Data from Audit Worksheet'!D113</f>
        <v>Please enter any OPEB liabilities that are classified as current liabilities and included in account 639 above (amounts entered should agree to the current amount included in the changes to long-term debt note)</v>
      </c>
      <c r="D100" s="502"/>
      <c r="E100" s="556">
        <f>'Unit Data from Audit Worksheet'!F113</f>
        <v>0</v>
      </c>
      <c r="F100" s="274">
        <f t="shared" si="13"/>
        <v>0</v>
      </c>
      <c r="G100" s="267"/>
      <c r="H100" s="275">
        <f>'Unit Data from Audit Worksheet'!I113</f>
        <v>0</v>
      </c>
      <c r="I100" s="501"/>
      <c r="J100" s="374">
        <v>644</v>
      </c>
      <c r="K100" s="373" t="s">
        <v>786</v>
      </c>
      <c r="L100" s="546">
        <f t="shared" si="7"/>
        <v>0</v>
      </c>
      <c r="M100" s="470"/>
      <c r="P100" s="477"/>
      <c r="Q100" s="585"/>
      <c r="W100" s="499" t="b">
        <f t="shared" si="9"/>
        <v>1</v>
      </c>
      <c r="X100" s="276">
        <f t="shared" si="10"/>
        <v>0</v>
      </c>
      <c r="Y100" s="276">
        <f t="shared" si="11"/>
        <v>0</v>
      </c>
    </row>
    <row r="101" spans="1:27" ht="64.5" customHeight="1" x14ac:dyDescent="0.25">
      <c r="A101" s="289">
        <f>+'Unit Data from Audit Worksheet'!A114</f>
        <v>384</v>
      </c>
      <c r="B101" s="322" t="str">
        <f>+'Unit Data from Audit Worksheet'!C114</f>
        <v>Electric Fund Net Position Statement</v>
      </c>
      <c r="C101" s="322" t="str">
        <f>+'Unit Data from Audit Worksheet'!D114</f>
        <v>Unearned revenue (arising from cash receipts) that were included in Current Liabilities in account 639 above.</v>
      </c>
      <c r="D101" s="502"/>
      <c r="E101" s="553">
        <f>+'Unit Data from Audit Worksheet'!F114</f>
        <v>0</v>
      </c>
      <c r="F101" s="320">
        <f>IF(L101&lt;0,"Error: Number is normally positive.",)</f>
        <v>0</v>
      </c>
      <c r="G101" s="324"/>
      <c r="H101" s="318">
        <f>'Unit Data from Audit Worksheet'!I114</f>
        <v>0</v>
      </c>
      <c r="I101" s="501"/>
      <c r="J101" s="134">
        <v>384</v>
      </c>
      <c r="K101" s="175" t="s">
        <v>126</v>
      </c>
      <c r="L101" s="554">
        <f t="shared" si="7"/>
        <v>0</v>
      </c>
      <c r="P101" s="313"/>
      <c r="R101" s="498"/>
      <c r="W101" s="498" t="b">
        <f t="shared" si="9"/>
        <v>1</v>
      </c>
      <c r="X101" s="581">
        <f t="shared" si="10"/>
        <v>0</v>
      </c>
      <c r="Y101" s="581">
        <f t="shared" si="11"/>
        <v>0</v>
      </c>
      <c r="AA101" s="314"/>
    </row>
    <row r="102" spans="1:27" s="154" customFormat="1" ht="102" customHeight="1" x14ac:dyDescent="0.25">
      <c r="A102" s="289">
        <f>+'Unit Data from Audit Worksheet'!A115</f>
        <v>361</v>
      </c>
      <c r="B102" s="322" t="str">
        <f>+'Unit Data from Audit Worksheet'!C115</f>
        <v>Electric Fund Net Position Statement</v>
      </c>
      <c r="C102" s="322" t="str">
        <f>+'Unit Data from Audit Worksheet'!D115</f>
        <v>Total net position, unrestricted - Amount of negative unrestricted net position should be entered as a negative amount and the amount of positive unrestricted net position should be entered as a positive amount.</v>
      </c>
      <c r="D102" s="502"/>
      <c r="E102" s="553">
        <f>+'Unit Data from Audit Worksheet'!F115</f>
        <v>0</v>
      </c>
      <c r="F102" s="320"/>
      <c r="G102" s="324"/>
      <c r="H102" s="318">
        <f>'Unit Data from Audit Worksheet'!I115</f>
        <v>0</v>
      </c>
      <c r="I102" s="501"/>
      <c r="J102" s="134">
        <v>361</v>
      </c>
      <c r="K102" s="127" t="s">
        <v>108</v>
      </c>
      <c r="L102" s="554">
        <f t="shared" si="7"/>
        <v>0</v>
      </c>
      <c r="P102" s="313"/>
      <c r="Q102" s="246"/>
      <c r="R102" s="498"/>
      <c r="W102" s="498" t="b">
        <f t="shared" si="9"/>
        <v>1</v>
      </c>
      <c r="X102" s="581">
        <f t="shared" si="10"/>
        <v>0</v>
      </c>
      <c r="Y102" s="581">
        <f t="shared" si="11"/>
        <v>0</v>
      </c>
      <c r="AA102" s="314"/>
    </row>
    <row r="103" spans="1:27" ht="54.75" customHeight="1" x14ac:dyDescent="0.25">
      <c r="A103" s="289">
        <f>'Unit Data from Audit Worksheet'!A116</f>
        <v>362</v>
      </c>
      <c r="B103" s="165" t="str">
        <f>'Unit Data from Audit Worksheet'!C116</f>
        <v>Electric Fund Net Position Statement</v>
      </c>
      <c r="C103" s="153" t="str">
        <f>'Unit Data from Audit Worksheet'!D116</f>
        <v>Total net position</v>
      </c>
      <c r="D103" s="502"/>
      <c r="E103" s="553">
        <f>'Unit Data from Audit Worksheet'!F116</f>
        <v>0</v>
      </c>
      <c r="F103" s="145">
        <f>IF(L92-L93-L103=0,,"Error: Total assets less total liabilities do not equal net position acct 382-360-362=0")</f>
        <v>0</v>
      </c>
      <c r="G103" s="258">
        <f>+L92-L93-L103</f>
        <v>0</v>
      </c>
      <c r="H103" s="138">
        <f>'Unit Data from Audit Worksheet'!I116</f>
        <v>0</v>
      </c>
      <c r="I103" s="501"/>
      <c r="J103" s="134">
        <v>362</v>
      </c>
      <c r="K103" s="127" t="s">
        <v>109</v>
      </c>
      <c r="L103" s="554">
        <f t="shared" si="7"/>
        <v>0</v>
      </c>
      <c r="O103" s="122" t="e">
        <f>'Unit Data from Audit Worksheet'!E116</f>
        <v>#N/A</v>
      </c>
      <c r="P103" s="313"/>
      <c r="Q103" s="503">
        <f>IF(+L92-L93-L103=0,0,1)</f>
        <v>0</v>
      </c>
      <c r="R103" s="498"/>
      <c r="W103" s="498" t="b">
        <f t="shared" si="9"/>
        <v>1</v>
      </c>
      <c r="X103" s="581">
        <f t="shared" si="10"/>
        <v>0</v>
      </c>
      <c r="Y103" s="581">
        <f t="shared" si="11"/>
        <v>0</v>
      </c>
      <c r="AA103" s="314"/>
    </row>
    <row r="104" spans="1:27" ht="57.75" customHeight="1" x14ac:dyDescent="0.25">
      <c r="A104" s="289">
        <f>'Unit Data from Audit Worksheet'!A119</f>
        <v>88</v>
      </c>
      <c r="B104" s="165" t="str">
        <f>'Unit Data from Audit Worksheet'!C119</f>
        <v>Water Sewer Revenue, Expenses &amp; Changes in Fund Net Position</v>
      </c>
      <c r="C104" s="153" t="str">
        <f>'Unit Data from Audit Worksheet'!D119</f>
        <v>Charges for services. 
Exclude tap, capacity fees and other misc. income .</v>
      </c>
      <c r="D104" s="502"/>
      <c r="E104" s="553">
        <f>'Unit Data from Audit Worksheet'!F119</f>
        <v>0</v>
      </c>
      <c r="F104" s="145"/>
      <c r="G104" s="210"/>
      <c r="H104" s="138">
        <f>'Unit Data from Audit Worksheet'!I119</f>
        <v>0</v>
      </c>
      <c r="I104" s="501"/>
      <c r="J104" s="134">
        <v>88</v>
      </c>
      <c r="K104" s="127" t="s">
        <v>229</v>
      </c>
      <c r="L104" s="554">
        <f t="shared" si="7"/>
        <v>0</v>
      </c>
      <c r="P104" s="313"/>
      <c r="Q104" s="254"/>
      <c r="R104" s="498"/>
      <c r="W104" s="498" t="b">
        <f t="shared" si="9"/>
        <v>1</v>
      </c>
      <c r="X104" s="581">
        <f t="shared" si="10"/>
        <v>0</v>
      </c>
      <c r="Y104" s="581">
        <f t="shared" si="11"/>
        <v>0</v>
      </c>
      <c r="AA104" s="314"/>
    </row>
    <row r="105" spans="1:27" ht="51.75" customHeight="1" x14ac:dyDescent="0.25">
      <c r="A105" s="289">
        <f>'Unit Data from Audit Worksheet'!A120</f>
        <v>84</v>
      </c>
      <c r="B105" s="165" t="str">
        <f>'Unit Data from Audit Worksheet'!C120</f>
        <v>Water Sewer Revenue, Expenses &amp; Changes in Fund Net Position</v>
      </c>
      <c r="C105" s="153" t="str">
        <f>'Unit Data from Audit Worksheet'!D120</f>
        <v>Total Operating revenues</v>
      </c>
      <c r="D105" s="502"/>
      <c r="E105" s="553">
        <f>'Unit Data from Audit Worksheet'!F120</f>
        <v>0</v>
      </c>
      <c r="F105" s="145" t="str">
        <f>IF(L104&gt;L105,"Error: Charges for services exceed total operating revenues. Acct # 88&gt;84"," ")</f>
        <v xml:space="preserve"> </v>
      </c>
      <c r="G105" s="245" t="str">
        <f>IF(Q105=1," Included in error count"," ")</f>
        <v xml:space="preserve"> </v>
      </c>
      <c r="H105" s="138">
        <f>'Unit Data from Audit Worksheet'!I120</f>
        <v>0</v>
      </c>
      <c r="I105" s="501"/>
      <c r="J105" s="134">
        <v>84</v>
      </c>
      <c r="K105" s="127" t="s">
        <v>230</v>
      </c>
      <c r="L105" s="554">
        <f t="shared" si="7"/>
        <v>0</v>
      </c>
      <c r="P105" s="313"/>
      <c r="Q105" s="246">
        <f>IF(L104&gt;L105,1,0)</f>
        <v>0</v>
      </c>
      <c r="R105" s="498"/>
      <c r="W105" s="498" t="b">
        <f t="shared" si="9"/>
        <v>1</v>
      </c>
      <c r="X105" s="581">
        <f t="shared" si="10"/>
        <v>0</v>
      </c>
      <c r="Y105" s="581">
        <f t="shared" si="11"/>
        <v>0</v>
      </c>
      <c r="AA105" s="314"/>
    </row>
    <row r="106" spans="1:27" ht="61.5" customHeight="1" x14ac:dyDescent="0.25">
      <c r="A106" s="289">
        <f>'Unit Data from Audit Worksheet'!A121</f>
        <v>49</v>
      </c>
      <c r="B106" s="165" t="str">
        <f>'Unit Data from Audit Worksheet'!C121</f>
        <v>Water Sewer Revenue, Expenses &amp; Changes in Fund Net Position</v>
      </c>
      <c r="C106" s="153" t="str">
        <f>'Unit Data from Audit Worksheet'!D121</f>
        <v>Depreciation and amortization expense</v>
      </c>
      <c r="D106" s="502"/>
      <c r="E106" s="553">
        <f>'Unit Data from Audit Worksheet'!F121</f>
        <v>0</v>
      </c>
      <c r="F106" s="320">
        <f>IF(L106&lt;0,"Error: Number is normally positive.",)</f>
        <v>0</v>
      </c>
      <c r="G106" s="210"/>
      <c r="H106" s="138">
        <f>'Unit Data from Audit Worksheet'!I121</f>
        <v>0</v>
      </c>
      <c r="I106" s="501"/>
      <c r="J106" s="134">
        <v>49</v>
      </c>
      <c r="K106" s="127" t="s">
        <v>231</v>
      </c>
      <c r="L106" s="554">
        <f t="shared" si="7"/>
        <v>0</v>
      </c>
      <c r="O106" s="122"/>
      <c r="P106" s="313"/>
      <c r="R106" s="498"/>
      <c r="W106" s="498" t="b">
        <f t="shared" si="9"/>
        <v>1</v>
      </c>
      <c r="X106" s="581">
        <f t="shared" si="10"/>
        <v>0</v>
      </c>
      <c r="Y106" s="581">
        <f t="shared" si="11"/>
        <v>0</v>
      </c>
      <c r="AA106" s="314"/>
    </row>
    <row r="107" spans="1:27" ht="43.5" customHeight="1" x14ac:dyDescent="0.25">
      <c r="A107" s="289">
        <f>'Unit Data from Audit Worksheet'!A122</f>
        <v>85</v>
      </c>
      <c r="B107" s="165" t="str">
        <f>'Unit Data from Audit Worksheet'!C122</f>
        <v>Water Sewer Revenue, Expenses &amp; Changes in Fund Net Position</v>
      </c>
      <c r="C107" s="153" t="str">
        <f>'Unit Data from Audit Worksheet'!D122</f>
        <v>Total Operating expenses</v>
      </c>
      <c r="D107" s="502"/>
      <c r="E107" s="553">
        <f>'Unit Data from Audit Worksheet'!F122</f>
        <v>0</v>
      </c>
      <c r="F107" s="320"/>
      <c r="G107" s="210"/>
      <c r="H107" s="138">
        <f>'Unit Data from Audit Worksheet'!I122</f>
        <v>0</v>
      </c>
      <c r="I107" s="501"/>
      <c r="J107" s="134">
        <v>85</v>
      </c>
      <c r="K107" s="127" t="s">
        <v>232</v>
      </c>
      <c r="L107" s="554">
        <f t="shared" si="7"/>
        <v>0</v>
      </c>
      <c r="P107" s="313"/>
      <c r="R107" s="498"/>
      <c r="W107" s="498" t="b">
        <f t="shared" si="9"/>
        <v>1</v>
      </c>
      <c r="X107" s="581">
        <f t="shared" si="10"/>
        <v>0</v>
      </c>
      <c r="Y107" s="581">
        <f t="shared" si="11"/>
        <v>0</v>
      </c>
      <c r="AA107" s="314"/>
    </row>
    <row r="108" spans="1:27" ht="42.75" customHeight="1" x14ac:dyDescent="0.25">
      <c r="A108" s="289">
        <f>'Unit Data from Audit Worksheet'!A123</f>
        <v>89</v>
      </c>
      <c r="B108" s="165" t="str">
        <f>'Unit Data from Audit Worksheet'!C123</f>
        <v>Water Sewer Revenue, Expenses &amp; Changes in Fund Net Position</v>
      </c>
      <c r="C108" s="153" t="str">
        <f>'Unit Data from Audit Worksheet'!D123</f>
        <v>Interest expense</v>
      </c>
      <c r="D108" s="502"/>
      <c r="E108" s="553">
        <f>'Unit Data from Audit Worksheet'!F123</f>
        <v>0</v>
      </c>
      <c r="F108" s="320"/>
      <c r="G108" s="210"/>
      <c r="H108" s="138">
        <f>'Unit Data from Audit Worksheet'!I123</f>
        <v>0</v>
      </c>
      <c r="I108" s="501"/>
      <c r="J108" s="134">
        <v>89</v>
      </c>
      <c r="K108" s="127" t="s">
        <v>233</v>
      </c>
      <c r="L108" s="554">
        <f t="shared" si="7"/>
        <v>0</v>
      </c>
      <c r="P108" s="313"/>
      <c r="R108" s="498"/>
      <c r="W108" s="498" t="b">
        <f t="shared" si="9"/>
        <v>1</v>
      </c>
      <c r="X108" s="581">
        <f t="shared" si="10"/>
        <v>0</v>
      </c>
      <c r="Y108" s="581">
        <f t="shared" si="11"/>
        <v>0</v>
      </c>
      <c r="AA108" s="314"/>
    </row>
    <row r="109" spans="1:27" ht="54.75" customHeight="1" x14ac:dyDescent="0.25">
      <c r="A109" s="289">
        <f>'Unit Data from Audit Worksheet'!A124</f>
        <v>350</v>
      </c>
      <c r="B109" s="165" t="str">
        <f>'Unit Data from Audit Worksheet'!C124</f>
        <v>Water Sewer Revenue, Expenses &amp; Changes in Fund Net Position</v>
      </c>
      <c r="C109" s="153" t="str">
        <f>'Unit Data from Audit Worksheet'!D124</f>
        <v>Total all non-operating revenues  
Exclude Capital contributions.</v>
      </c>
      <c r="D109" s="502"/>
      <c r="E109" s="553">
        <f>'Unit Data from Audit Worksheet'!F124</f>
        <v>0</v>
      </c>
      <c r="F109" s="320"/>
      <c r="G109" s="210"/>
      <c r="H109" s="138">
        <f>'Unit Data from Audit Worksheet'!I124</f>
        <v>0</v>
      </c>
      <c r="I109" s="501"/>
      <c r="J109" s="134">
        <v>350</v>
      </c>
      <c r="K109" s="127" t="s">
        <v>234</v>
      </c>
      <c r="L109" s="554">
        <f t="shared" si="7"/>
        <v>0</v>
      </c>
      <c r="P109" s="313"/>
      <c r="R109" s="498"/>
      <c r="W109" s="498" t="b">
        <f t="shared" si="9"/>
        <v>1</v>
      </c>
      <c r="X109" s="581">
        <f t="shared" si="10"/>
        <v>0</v>
      </c>
      <c r="Y109" s="581">
        <f t="shared" si="11"/>
        <v>0</v>
      </c>
      <c r="AA109" s="314"/>
    </row>
    <row r="110" spans="1:27" ht="57" customHeight="1" x14ac:dyDescent="0.25">
      <c r="A110" s="289">
        <f>'Unit Data from Audit Worksheet'!A125</f>
        <v>351</v>
      </c>
      <c r="B110" s="165" t="str">
        <f>'Unit Data from Audit Worksheet'!C125</f>
        <v>Water Sewer Revenue, Expenses &amp; Changes in Fund Net Position</v>
      </c>
      <c r="C110" s="153" t="str">
        <f>'Unit Data from Audit Worksheet'!D125</f>
        <v>Total all non-operating expenses.  
Include any negative special, extraordinary, or capital contribution.</v>
      </c>
      <c r="D110" s="502"/>
      <c r="E110" s="553">
        <f>'Unit Data from Audit Worksheet'!F125</f>
        <v>0</v>
      </c>
      <c r="F110" s="320"/>
      <c r="G110" s="210"/>
      <c r="H110" s="138">
        <f>'Unit Data from Audit Worksheet'!I125</f>
        <v>0</v>
      </c>
      <c r="I110" s="501"/>
      <c r="J110" s="134">
        <v>351</v>
      </c>
      <c r="K110" s="127" t="s">
        <v>235</v>
      </c>
      <c r="L110" s="554">
        <f t="shared" si="7"/>
        <v>0</v>
      </c>
      <c r="P110" s="313"/>
      <c r="R110" s="498"/>
      <c r="W110" s="498" t="b">
        <f t="shared" si="9"/>
        <v>1</v>
      </c>
      <c r="X110" s="581">
        <f t="shared" si="10"/>
        <v>0</v>
      </c>
      <c r="Y110" s="581">
        <f t="shared" si="11"/>
        <v>0</v>
      </c>
      <c r="AA110" s="314"/>
    </row>
    <row r="111" spans="1:27" ht="75" customHeight="1" x14ac:dyDescent="0.25">
      <c r="A111" s="289">
        <f>'Unit Data from Audit Worksheet'!A126</f>
        <v>191</v>
      </c>
      <c r="B111" s="165" t="str">
        <f>'Unit Data from Audit Worksheet'!C126</f>
        <v>Water Sewer Revenue, Expenses &amp; Changes in Fund Net Position</v>
      </c>
      <c r="C111" s="153" t="str">
        <f>'Unit Data from Audit Worksheet'!D126</f>
        <v>Capital contributions. Only include positive capital contributions.  Negative capital contributions should be included with 'Total all non-operating expenses.'</v>
      </c>
      <c r="D111" s="502"/>
      <c r="E111" s="553">
        <f>'Unit Data from Audit Worksheet'!F126</f>
        <v>0</v>
      </c>
      <c r="F111" s="145">
        <f>IF(L111&lt;0,"Error: Enter as a positive.",)</f>
        <v>0</v>
      </c>
      <c r="G111" s="210"/>
      <c r="H111" s="138">
        <f>'Unit Data from Audit Worksheet'!I126</f>
        <v>0</v>
      </c>
      <c r="I111" s="501"/>
      <c r="J111" s="134">
        <v>191</v>
      </c>
      <c r="K111" s="127" t="s">
        <v>236</v>
      </c>
      <c r="L111" s="554">
        <f t="shared" si="7"/>
        <v>0</v>
      </c>
      <c r="P111" s="313"/>
      <c r="R111" s="498"/>
      <c r="W111" s="498" t="b">
        <f t="shared" si="9"/>
        <v>1</v>
      </c>
      <c r="X111" s="581">
        <f t="shared" si="10"/>
        <v>0</v>
      </c>
      <c r="Y111" s="581">
        <f t="shared" si="11"/>
        <v>0</v>
      </c>
      <c r="AA111" s="314"/>
    </row>
    <row r="112" spans="1:27" ht="45" customHeight="1" x14ac:dyDescent="0.25">
      <c r="A112" s="289">
        <f>'Unit Data from Audit Worksheet'!A127</f>
        <v>352</v>
      </c>
      <c r="B112" s="165" t="str">
        <f>'Unit Data from Audit Worksheet'!C127</f>
        <v>Water Sewer Revenue, Expenses &amp; Changes in Fund Net Position</v>
      </c>
      <c r="C112" s="153" t="str">
        <f>'Unit Data from Audit Worksheet'!D127</f>
        <v>Total Transfers in</v>
      </c>
      <c r="D112" s="502"/>
      <c r="E112" s="553">
        <f>'Unit Data from Audit Worksheet'!F127</f>
        <v>0</v>
      </c>
      <c r="F112" s="145"/>
      <c r="G112" s="210"/>
      <c r="H112" s="138">
        <f>'Unit Data from Audit Worksheet'!I127</f>
        <v>0</v>
      </c>
      <c r="I112" s="501"/>
      <c r="J112" s="134">
        <v>352</v>
      </c>
      <c r="K112" s="127" t="s">
        <v>237</v>
      </c>
      <c r="L112" s="554">
        <f t="shared" si="7"/>
        <v>0</v>
      </c>
      <c r="P112" s="313"/>
      <c r="R112" s="498"/>
      <c r="W112" s="498" t="b">
        <f t="shared" si="9"/>
        <v>1</v>
      </c>
      <c r="X112" s="581">
        <f t="shared" si="10"/>
        <v>0</v>
      </c>
      <c r="Y112" s="581">
        <f t="shared" si="11"/>
        <v>0</v>
      </c>
      <c r="AA112" s="314"/>
    </row>
    <row r="113" spans="1:27" ht="45.75" customHeight="1" x14ac:dyDescent="0.25">
      <c r="A113" s="289">
        <f>'Unit Data from Audit Worksheet'!A128</f>
        <v>353</v>
      </c>
      <c r="B113" s="165" t="str">
        <f>'Unit Data from Audit Worksheet'!C128</f>
        <v>Water Sewer Revenue, Expenses &amp; Changes in Fund Net Position</v>
      </c>
      <c r="C113" s="153" t="str">
        <f>'Unit Data from Audit Worksheet'!D128</f>
        <v>Total Transfers out</v>
      </c>
      <c r="D113" s="502"/>
      <c r="E113" s="553">
        <f>'Unit Data from Audit Worksheet'!F128</f>
        <v>0</v>
      </c>
      <c r="F113" s="145">
        <f>IF(L113&lt;0,"Error: Enter as a positive.",)</f>
        <v>0</v>
      </c>
      <c r="G113" s="210"/>
      <c r="H113" s="138">
        <f>'Unit Data from Audit Worksheet'!I128</f>
        <v>0</v>
      </c>
      <c r="I113" s="501"/>
      <c r="J113" s="132">
        <v>353</v>
      </c>
      <c r="K113" s="127" t="s">
        <v>238</v>
      </c>
      <c r="L113" s="554">
        <f t="shared" si="7"/>
        <v>0</v>
      </c>
      <c r="P113" s="313"/>
      <c r="R113" s="498"/>
      <c r="W113" s="498" t="b">
        <f t="shared" si="9"/>
        <v>1</v>
      </c>
      <c r="X113" s="581">
        <f t="shared" si="10"/>
        <v>0</v>
      </c>
      <c r="Y113" s="581">
        <f t="shared" si="11"/>
        <v>0</v>
      </c>
      <c r="AA113" s="314"/>
    </row>
    <row r="114" spans="1:27" ht="65.25" customHeight="1" x14ac:dyDescent="0.25">
      <c r="A114" s="289">
        <f>'Unit Data from Audit Worksheet'!A129</f>
        <v>50</v>
      </c>
      <c r="B114" s="165" t="str">
        <f>'Unit Data from Audit Worksheet'!C129</f>
        <v>Water Sewer Revenue, Expenses &amp; Changes in Fund Net Position</v>
      </c>
      <c r="C114" s="153" t="str">
        <f>'Unit Data from Audit Worksheet'!D129</f>
        <v>Change in net position - Increase in net position is recorded as a positive and a (Decrease) in net position is recorded as a negative.</v>
      </c>
      <c r="D114" s="502"/>
      <c r="E114" s="540">
        <f>'Unit Data from Audit Worksheet'!F129</f>
        <v>0</v>
      </c>
      <c r="F114" s="243">
        <f>IF(L105-L107+L109-L110+L112+L111-L113-L114=0,,"Error:Total revenues less total expenses do not equal total change in net position. Acct # 84-85+350-351+191+352-353-50")</f>
        <v>0</v>
      </c>
      <c r="G114" s="258">
        <f>+L105-L107+L109-L110+L112+L111-L113-L114</f>
        <v>0</v>
      </c>
      <c r="H114" s="138">
        <f>'Unit Data from Audit Worksheet'!I129</f>
        <v>0</v>
      </c>
      <c r="I114" s="501"/>
      <c r="J114" s="134">
        <v>50</v>
      </c>
      <c r="K114" s="127" t="s">
        <v>102</v>
      </c>
      <c r="L114" s="554">
        <f t="shared" si="7"/>
        <v>0</v>
      </c>
      <c r="P114" s="313"/>
      <c r="Q114" s="503">
        <f>IF(G114&lt;&gt;0,1,0)</f>
        <v>0</v>
      </c>
      <c r="R114" s="498"/>
      <c r="W114" s="498" t="b">
        <f t="shared" si="9"/>
        <v>1</v>
      </c>
      <c r="X114" s="581">
        <f t="shared" si="10"/>
        <v>0</v>
      </c>
      <c r="Y114" s="581">
        <f t="shared" si="11"/>
        <v>0</v>
      </c>
      <c r="AA114" s="314"/>
    </row>
    <row r="115" spans="1:27" ht="123.75" customHeight="1" x14ac:dyDescent="0.25">
      <c r="A115" s="289">
        <f>'Unit Data from Audit Worksheet'!A130</f>
        <v>377</v>
      </c>
      <c r="B115" s="165" t="str">
        <f>'Unit Data from Audit Worksheet'!C130</f>
        <v>Water Sewer Revenue, Expenses &amp; Changes in Fund Net Position</v>
      </c>
      <c r="C115" s="153" t="str">
        <f>'Unit Data from Audit Worksheet'!D130</f>
        <v>Increases or (decreases) to beginning water sewer net position due to rounding, prior period adjustments and restatements.  Increase amounts to beginning net position should be entered as a positive amount and (decreases) should be entered as a negative amount.</v>
      </c>
      <c r="D115" s="502"/>
      <c r="E115" s="540">
        <f>'Unit Data from Audit Worksheet'!F130</f>
        <v>0</v>
      </c>
      <c r="F115" s="144" t="e">
        <f>IF(L85-L114-L115=O85,,"Error:Beginning Balance does not agree with out records.Acct # 83-50-377=PY83")</f>
        <v>#N/A</v>
      </c>
      <c r="G115" s="258" t="e">
        <f>+L85-L114-L115-O85</f>
        <v>#N/A</v>
      </c>
      <c r="H115" s="138">
        <f>'Unit Data from Audit Worksheet'!I130</f>
        <v>0</v>
      </c>
      <c r="I115" s="501"/>
      <c r="J115" s="134">
        <v>377</v>
      </c>
      <c r="K115" s="127" t="s">
        <v>111</v>
      </c>
      <c r="L115" s="554">
        <f t="shared" si="7"/>
        <v>0</v>
      </c>
      <c r="P115" s="313"/>
      <c r="Q115" s="503" t="e">
        <f>IF(G115&lt;&gt;0,1,0)</f>
        <v>#N/A</v>
      </c>
      <c r="R115" s="498"/>
      <c r="W115" s="498" t="b">
        <f t="shared" si="9"/>
        <v>1</v>
      </c>
      <c r="X115" s="581">
        <f t="shared" si="10"/>
        <v>0</v>
      </c>
      <c r="Y115" s="581">
        <f t="shared" si="11"/>
        <v>0</v>
      </c>
      <c r="AA115" s="314"/>
    </row>
    <row r="116" spans="1:27" ht="55.5" customHeight="1" x14ac:dyDescent="0.25">
      <c r="A116" s="722">
        <f>'Unit Data from Audit Worksheet'!A131</f>
        <v>537</v>
      </c>
      <c r="B116" s="165" t="str">
        <f>'Unit Data from Audit Worksheet'!C131</f>
        <v>Water Sewer Revenue, Expenses &amp; Changes in Fund Net Position</v>
      </c>
      <c r="C116" s="172" t="str">
        <f>'Unit Data from Audit Worksheet'!D131</f>
        <v>Did unit raise Water Sewer rates during the audited fiscal period? - answer Yes or No</v>
      </c>
      <c r="D116" s="487"/>
      <c r="E116" s="553">
        <f>'Unit Data from Audit Worksheet'!F131</f>
        <v>0</v>
      </c>
      <c r="F116" s="145" t="s">
        <v>559</v>
      </c>
      <c r="G116" s="210"/>
      <c r="H116" s="138">
        <f>'Unit Data from Audit Worksheet'!I131</f>
        <v>0</v>
      </c>
      <c r="I116" s="501"/>
      <c r="J116" s="188">
        <v>537</v>
      </c>
      <c r="K116" s="185" t="s">
        <v>298</v>
      </c>
      <c r="L116" s="554">
        <f>IF(E116="Yes",1,2)</f>
        <v>2</v>
      </c>
      <c r="N116" s="180" t="s">
        <v>549</v>
      </c>
      <c r="P116" s="313"/>
      <c r="R116" s="498"/>
      <c r="W116" s="498" t="b">
        <f t="shared" si="9"/>
        <v>1</v>
      </c>
      <c r="X116" s="581">
        <f t="shared" si="10"/>
        <v>-2</v>
      </c>
      <c r="Y116" s="581">
        <f t="shared" si="11"/>
        <v>-2</v>
      </c>
      <c r="AA116" s="314"/>
    </row>
    <row r="117" spans="1:27" ht="66.75" customHeight="1" x14ac:dyDescent="0.25">
      <c r="A117" s="722">
        <f>'Unit Data from Audit Worksheet'!A132</f>
        <v>538</v>
      </c>
      <c r="B117" s="165" t="str">
        <f>'Unit Data from Audit Worksheet'!C132</f>
        <v>Water Sewer Revenue, Expenses &amp; Changes in Fund Net Position</v>
      </c>
      <c r="C117" s="172" t="str">
        <f>'Unit Data from Audit Worksheet'!D132</f>
        <v>Did unit raise Water Sewer rates during the budget year following the audited fiscal year? - answer Yes or No</v>
      </c>
      <c r="D117" s="487"/>
      <c r="E117" s="553">
        <f>'Unit Data from Audit Worksheet'!F132</f>
        <v>0</v>
      </c>
      <c r="F117" s="145" t="s">
        <v>559</v>
      </c>
      <c r="G117" s="210"/>
      <c r="H117" s="138">
        <f>'Unit Data from Audit Worksheet'!I132</f>
        <v>0</v>
      </c>
      <c r="I117" s="501"/>
      <c r="J117" s="188">
        <v>538</v>
      </c>
      <c r="K117" s="185" t="s">
        <v>297</v>
      </c>
      <c r="L117" s="554">
        <f>IF(E117="Yes",1,2)</f>
        <v>2</v>
      </c>
      <c r="N117" s="180" t="s">
        <v>549</v>
      </c>
      <c r="P117" s="313"/>
      <c r="R117" s="498"/>
      <c r="W117" s="498" t="b">
        <f t="shared" si="9"/>
        <v>1</v>
      </c>
      <c r="X117" s="581">
        <f t="shared" si="10"/>
        <v>-2</v>
      </c>
      <c r="Y117" s="581">
        <f t="shared" si="11"/>
        <v>-2</v>
      </c>
      <c r="AA117" s="314"/>
    </row>
    <row r="118" spans="1:27" ht="42.75" customHeight="1" x14ac:dyDescent="0.25">
      <c r="A118" s="289">
        <f>'Unit Data from Audit Worksheet'!A134</f>
        <v>97</v>
      </c>
      <c r="B118" s="165" t="str">
        <f>'Unit Data from Audit Worksheet'!C134</f>
        <v>Electric Fund Revenue, Expenses &amp; Changes in Fund Net Position</v>
      </c>
      <c r="C118" s="153" t="str">
        <f>'Unit Data from Audit Worksheet'!D134</f>
        <v>Charges for services</v>
      </c>
      <c r="D118" s="304"/>
      <c r="E118" s="553">
        <f>'Unit Data from Audit Worksheet'!F134</f>
        <v>0</v>
      </c>
      <c r="F118" s="145">
        <f>IF(L118&lt;0,"Error: Enter as a positive.",)</f>
        <v>0</v>
      </c>
      <c r="G118" s="210"/>
      <c r="H118" s="138">
        <f>'Unit Data from Audit Worksheet'!I134</f>
        <v>0</v>
      </c>
      <c r="I118" s="501"/>
      <c r="J118" s="134">
        <v>97</v>
      </c>
      <c r="K118" s="127" t="s">
        <v>239</v>
      </c>
      <c r="L118" s="554">
        <f t="shared" ref="L118:L182" si="14">IF(D118="",E118,D118)</f>
        <v>0</v>
      </c>
      <c r="P118" s="313"/>
      <c r="R118" s="498"/>
      <c r="W118" s="498" t="b">
        <f t="shared" si="9"/>
        <v>1</v>
      </c>
      <c r="X118" s="581">
        <f t="shared" si="10"/>
        <v>0</v>
      </c>
      <c r="Y118" s="581">
        <f t="shared" si="11"/>
        <v>0</v>
      </c>
      <c r="AA118" s="314"/>
    </row>
    <row r="119" spans="1:27" ht="51" customHeight="1" x14ac:dyDescent="0.25">
      <c r="A119" s="289">
        <f>'Unit Data from Audit Worksheet'!A135</f>
        <v>93</v>
      </c>
      <c r="B119" s="165" t="str">
        <f>'Unit Data from Audit Worksheet'!C135</f>
        <v>Electric Fund Revenue, Expenses &amp; Changes in Fund Net Position</v>
      </c>
      <c r="C119" s="153" t="str">
        <f>'Unit Data from Audit Worksheet'!D135</f>
        <v>Total Operating revenues</v>
      </c>
      <c r="D119" s="304"/>
      <c r="E119" s="553">
        <f>'Unit Data from Audit Worksheet'!F135</f>
        <v>0</v>
      </c>
      <c r="F119" s="145" t="str">
        <f>IF(L118&gt;L119,"Error: Charges for services exceeds total operating revenues Acct 97&gt;=93"," ")</f>
        <v xml:space="preserve"> </v>
      </c>
      <c r="G119" s="245" t="str">
        <f>IF(Q119=1," Included in error count"," ")</f>
        <v xml:space="preserve"> </v>
      </c>
      <c r="H119" s="138">
        <f>'Unit Data from Audit Worksheet'!I135</f>
        <v>0</v>
      </c>
      <c r="I119" s="501"/>
      <c r="J119" s="134">
        <v>93</v>
      </c>
      <c r="K119" s="127" t="s">
        <v>240</v>
      </c>
      <c r="L119" s="554">
        <f t="shared" si="14"/>
        <v>0</v>
      </c>
      <c r="P119" s="313"/>
      <c r="Q119" s="246">
        <f>IF(L118&gt;L119,1,0)</f>
        <v>0</v>
      </c>
      <c r="R119" s="498"/>
      <c r="W119" s="498" t="b">
        <f t="shared" si="9"/>
        <v>1</v>
      </c>
      <c r="X119" s="581">
        <f t="shared" si="10"/>
        <v>0</v>
      </c>
      <c r="Y119" s="581">
        <f t="shared" si="11"/>
        <v>0</v>
      </c>
      <c r="AA119" s="314"/>
    </row>
    <row r="120" spans="1:27" ht="58.5" customHeight="1" x14ac:dyDescent="0.25">
      <c r="A120" s="289">
        <f>'Unit Data from Audit Worksheet'!A136</f>
        <v>99</v>
      </c>
      <c r="B120" s="165" t="str">
        <f>'Unit Data from Audit Worksheet'!C136</f>
        <v>Electric Fund Revenue, Expenses &amp; Changes in Fund Net Position</v>
      </c>
      <c r="C120" s="153" t="str">
        <f>'Unit Data from Audit Worksheet'!D136</f>
        <v>Electrical power purchases</v>
      </c>
      <c r="D120" s="304"/>
      <c r="E120" s="553">
        <f>'Unit Data from Audit Worksheet'!F136</f>
        <v>0</v>
      </c>
      <c r="F120" s="145">
        <f>IF(L120&lt;0,"Error: Enter as a positive.",)</f>
        <v>0</v>
      </c>
      <c r="G120" s="210"/>
      <c r="H120" s="138">
        <f>'Unit Data from Audit Worksheet'!I136</f>
        <v>0</v>
      </c>
      <c r="I120" s="501"/>
      <c r="J120" s="134">
        <v>99</v>
      </c>
      <c r="K120" s="127" t="s">
        <v>241</v>
      </c>
      <c r="L120" s="554">
        <f t="shared" si="14"/>
        <v>0</v>
      </c>
      <c r="P120" s="313"/>
      <c r="R120" s="498"/>
      <c r="W120" s="498" t="b">
        <f t="shared" si="9"/>
        <v>1</v>
      </c>
      <c r="X120" s="581">
        <f t="shared" si="10"/>
        <v>0</v>
      </c>
      <c r="Y120" s="581">
        <f t="shared" si="11"/>
        <v>0</v>
      </c>
      <c r="AA120" s="314"/>
    </row>
    <row r="121" spans="1:27" ht="44.25" customHeight="1" x14ac:dyDescent="0.25">
      <c r="A121" s="289">
        <f>'Unit Data from Audit Worksheet'!A137</f>
        <v>52</v>
      </c>
      <c r="B121" s="165" t="str">
        <f>'Unit Data from Audit Worksheet'!C137</f>
        <v>Electric Fund Revenue, Expenses &amp; Changes in Fund Net Position</v>
      </c>
      <c r="C121" s="153" t="str">
        <f>'Unit Data from Audit Worksheet'!D137</f>
        <v>Depreciation and amortization expense</v>
      </c>
      <c r="D121" s="304"/>
      <c r="E121" s="553">
        <f>'Unit Data from Audit Worksheet'!F137</f>
        <v>0</v>
      </c>
      <c r="F121" s="320">
        <f>IF(L121&lt;0,"Error: Enter as a positive.",)</f>
        <v>0</v>
      </c>
      <c r="G121" s="210"/>
      <c r="H121" s="138">
        <f>'Unit Data from Audit Worksheet'!I137</f>
        <v>0</v>
      </c>
      <c r="I121" s="501"/>
      <c r="J121" s="134">
        <v>52</v>
      </c>
      <c r="K121" s="127" t="s">
        <v>242</v>
      </c>
      <c r="L121" s="554">
        <f t="shared" si="14"/>
        <v>0</v>
      </c>
      <c r="P121" s="313"/>
      <c r="R121" s="498"/>
      <c r="W121" s="498" t="b">
        <f t="shared" si="9"/>
        <v>1</v>
      </c>
      <c r="X121" s="581">
        <f t="shared" si="10"/>
        <v>0</v>
      </c>
      <c r="Y121" s="581">
        <f t="shared" si="11"/>
        <v>0</v>
      </c>
      <c r="AA121" s="314"/>
    </row>
    <row r="122" spans="1:27" ht="49.5" customHeight="1" x14ac:dyDescent="0.25">
      <c r="A122" s="289">
        <f>'Unit Data from Audit Worksheet'!A138</f>
        <v>94</v>
      </c>
      <c r="B122" s="165" t="str">
        <f>'Unit Data from Audit Worksheet'!C138</f>
        <v>Electric Fund Revenue, Expenses &amp; Changes in Fund Net Position</v>
      </c>
      <c r="C122" s="153" t="str">
        <f>'Unit Data from Audit Worksheet'!D138</f>
        <v>Total Operating expenses</v>
      </c>
      <c r="D122" s="304"/>
      <c r="E122" s="553">
        <f>'Unit Data from Audit Worksheet'!F138</f>
        <v>0</v>
      </c>
      <c r="F122" s="320">
        <f>IF(L122&lt;0,"Error: Enter as a positive.",)</f>
        <v>0</v>
      </c>
      <c r="G122" s="210"/>
      <c r="H122" s="138">
        <f>'Unit Data from Audit Worksheet'!I138</f>
        <v>0</v>
      </c>
      <c r="I122" s="501"/>
      <c r="J122" s="134">
        <v>94</v>
      </c>
      <c r="K122" s="127" t="s">
        <v>243</v>
      </c>
      <c r="L122" s="554">
        <f t="shared" si="14"/>
        <v>0</v>
      </c>
      <c r="P122" s="313"/>
      <c r="R122" s="498"/>
      <c r="W122" s="498" t="b">
        <f t="shared" si="9"/>
        <v>1</v>
      </c>
      <c r="X122" s="581">
        <f t="shared" si="10"/>
        <v>0</v>
      </c>
      <c r="Y122" s="581">
        <f t="shared" si="11"/>
        <v>0</v>
      </c>
      <c r="AA122" s="314"/>
    </row>
    <row r="123" spans="1:27" ht="41.25" customHeight="1" x14ac:dyDescent="0.25">
      <c r="A123" s="289">
        <f>'Unit Data from Audit Worksheet'!A139</f>
        <v>98</v>
      </c>
      <c r="B123" s="165" t="str">
        <f>'Unit Data from Audit Worksheet'!C139</f>
        <v>Electric Fund Revenue, Expenses &amp; Changes in Fund Net Position</v>
      </c>
      <c r="C123" s="153" t="str">
        <f>'Unit Data from Audit Worksheet'!D139</f>
        <v>Interest expense</v>
      </c>
      <c r="D123" s="304"/>
      <c r="E123" s="553">
        <f>'Unit Data from Audit Worksheet'!F139</f>
        <v>0</v>
      </c>
      <c r="F123" s="320">
        <f>IF(L123&lt;0,"Error: Enter as a positive.",)</f>
        <v>0</v>
      </c>
      <c r="G123" s="210"/>
      <c r="H123" s="138">
        <f>'Unit Data from Audit Worksheet'!I139</f>
        <v>0</v>
      </c>
      <c r="I123" s="501"/>
      <c r="J123" s="134">
        <v>98</v>
      </c>
      <c r="K123" s="127" t="s">
        <v>244</v>
      </c>
      <c r="L123" s="554">
        <f t="shared" si="14"/>
        <v>0</v>
      </c>
      <c r="P123" s="313"/>
      <c r="R123" s="498"/>
      <c r="W123" s="498" t="b">
        <f t="shared" si="9"/>
        <v>1</v>
      </c>
      <c r="X123" s="581">
        <f t="shared" si="10"/>
        <v>0</v>
      </c>
      <c r="Y123" s="581">
        <f t="shared" si="11"/>
        <v>0</v>
      </c>
      <c r="AA123" s="314"/>
    </row>
    <row r="124" spans="1:27" ht="50.25" customHeight="1" x14ac:dyDescent="0.25">
      <c r="A124" s="289">
        <f>'Unit Data from Audit Worksheet'!A140</f>
        <v>363</v>
      </c>
      <c r="B124" s="165" t="str">
        <f>'Unit Data from Audit Worksheet'!C140</f>
        <v>Electric Fund Revenue, Expenses &amp; Changes in Fund Net Position</v>
      </c>
      <c r="C124" s="153" t="str">
        <f>'Unit Data from Audit Worksheet'!D140</f>
        <v>Total all the non-operating revenues  
Exclude Capital Contributions.</v>
      </c>
      <c r="D124" s="304"/>
      <c r="E124" s="553">
        <f>'Unit Data from Audit Worksheet'!F140</f>
        <v>0</v>
      </c>
      <c r="F124" s="145"/>
      <c r="G124" s="210"/>
      <c r="H124" s="138">
        <f>'Unit Data from Audit Worksheet'!I140</f>
        <v>0</v>
      </c>
      <c r="I124" s="501"/>
      <c r="J124" s="134">
        <v>363</v>
      </c>
      <c r="K124" s="127" t="s">
        <v>245</v>
      </c>
      <c r="L124" s="554">
        <f t="shared" si="14"/>
        <v>0</v>
      </c>
      <c r="P124" s="313"/>
      <c r="R124" s="498"/>
      <c r="W124" s="498" t="b">
        <f t="shared" si="9"/>
        <v>1</v>
      </c>
      <c r="X124" s="581">
        <f t="shared" si="10"/>
        <v>0</v>
      </c>
      <c r="Y124" s="581">
        <f t="shared" si="11"/>
        <v>0</v>
      </c>
      <c r="AA124" s="314"/>
    </row>
    <row r="125" spans="1:27" ht="61.5" customHeight="1" x14ac:dyDescent="0.25">
      <c r="A125" s="289">
        <f>'Unit Data from Audit Worksheet'!A141</f>
        <v>364</v>
      </c>
      <c r="B125" s="165" t="str">
        <f>'Unit Data from Audit Worksheet'!C141</f>
        <v>Electric Fund Revenue, Expenses &amp; Changes in Fund Net Position</v>
      </c>
      <c r="C125" s="153" t="str">
        <f>'Unit Data from Audit Worksheet'!D141</f>
        <v>Total all non-operating expenses.  
Include negative special, extraordinary, or capital contribution.</v>
      </c>
      <c r="D125" s="304"/>
      <c r="E125" s="553">
        <f>'Unit Data from Audit Worksheet'!F141</f>
        <v>0</v>
      </c>
      <c r="F125" s="320">
        <f>IF(L125&lt;0,"Error: Enter as a positive.",)</f>
        <v>0</v>
      </c>
      <c r="G125" s="210"/>
      <c r="H125" s="138">
        <f>'Unit Data from Audit Worksheet'!I141</f>
        <v>0</v>
      </c>
      <c r="I125" s="501"/>
      <c r="J125" s="134">
        <v>364</v>
      </c>
      <c r="K125" s="127" t="s">
        <v>246</v>
      </c>
      <c r="L125" s="554">
        <f t="shared" si="14"/>
        <v>0</v>
      </c>
      <c r="P125" s="313"/>
      <c r="R125" s="498"/>
      <c r="W125" s="498" t="b">
        <f t="shared" si="9"/>
        <v>1</v>
      </c>
      <c r="X125" s="581">
        <f t="shared" si="10"/>
        <v>0</v>
      </c>
      <c r="Y125" s="581">
        <f t="shared" si="11"/>
        <v>0</v>
      </c>
      <c r="AA125" s="314"/>
    </row>
    <row r="126" spans="1:27" ht="87" customHeight="1" x14ac:dyDescent="0.25">
      <c r="A126" s="289">
        <f>'Unit Data from Audit Worksheet'!A142</f>
        <v>192</v>
      </c>
      <c r="B126" s="165" t="str">
        <f>'Unit Data from Audit Worksheet'!C142</f>
        <v>Electric Fund Revenue, Expenses &amp; Changes in Fund Net Position</v>
      </c>
      <c r="C126" s="153" t="str">
        <f>'Unit Data from Audit Worksheet'!D142</f>
        <v>Capital Contributions.  
Include only positive capital Contributions.  Negative capital contributions should be included with 'Total all non-operating expenses.'</v>
      </c>
      <c r="D126" s="304"/>
      <c r="E126" s="553">
        <f>'Unit Data from Audit Worksheet'!F142</f>
        <v>0</v>
      </c>
      <c r="F126" s="320">
        <f>IF(L126&lt;0,"Error: Enter as a positive.",)</f>
        <v>0</v>
      </c>
      <c r="G126" s="210"/>
      <c r="H126" s="138">
        <f>'Unit Data from Audit Worksheet'!I142</f>
        <v>0</v>
      </c>
      <c r="I126" s="501"/>
      <c r="J126" s="134">
        <v>192</v>
      </c>
      <c r="K126" s="127" t="s">
        <v>247</v>
      </c>
      <c r="L126" s="554">
        <f t="shared" si="14"/>
        <v>0</v>
      </c>
      <c r="P126" s="313"/>
      <c r="R126" s="498"/>
      <c r="W126" s="498" t="b">
        <f t="shared" si="9"/>
        <v>1</v>
      </c>
      <c r="X126" s="581">
        <f t="shared" si="10"/>
        <v>0</v>
      </c>
      <c r="Y126" s="581">
        <f t="shared" si="11"/>
        <v>0</v>
      </c>
      <c r="AA126" s="314"/>
    </row>
    <row r="127" spans="1:27" ht="41.25" customHeight="1" x14ac:dyDescent="0.25">
      <c r="A127" s="289">
        <f>'Unit Data from Audit Worksheet'!A143</f>
        <v>365</v>
      </c>
      <c r="B127" s="165" t="str">
        <f>'Unit Data from Audit Worksheet'!C143</f>
        <v>Electric Fund Revenue, Expenses &amp; Changes in Fund Net Position</v>
      </c>
      <c r="C127" s="153" t="str">
        <f>'Unit Data from Audit Worksheet'!D143</f>
        <v>Total Transfers In (From all Funds)</v>
      </c>
      <c r="D127" s="304"/>
      <c r="E127" s="553">
        <f>'Unit Data from Audit Worksheet'!F143</f>
        <v>0</v>
      </c>
      <c r="F127" s="145"/>
      <c r="G127" s="210"/>
      <c r="H127" s="138">
        <f>'Unit Data from Audit Worksheet'!I143</f>
        <v>0</v>
      </c>
      <c r="I127" s="501"/>
      <c r="J127" s="134">
        <v>365</v>
      </c>
      <c r="K127" s="127" t="s">
        <v>248</v>
      </c>
      <c r="L127" s="554">
        <f t="shared" si="14"/>
        <v>0</v>
      </c>
      <c r="P127" s="313"/>
      <c r="R127" s="498"/>
      <c r="W127" s="498" t="b">
        <f t="shared" si="9"/>
        <v>1</v>
      </c>
      <c r="X127" s="581">
        <f t="shared" si="10"/>
        <v>0</v>
      </c>
      <c r="Y127" s="581">
        <f t="shared" si="11"/>
        <v>0</v>
      </c>
      <c r="AA127" s="314"/>
    </row>
    <row r="128" spans="1:27" ht="51" customHeight="1" x14ac:dyDescent="0.25">
      <c r="A128" s="289">
        <f>'Unit Data from Audit Worksheet'!A144</f>
        <v>366</v>
      </c>
      <c r="B128" s="165" t="str">
        <f>'Unit Data from Audit Worksheet'!C144</f>
        <v>Electric Fund Revenue, Expenses &amp; Changes in Fund Net Position</v>
      </c>
      <c r="C128" s="153" t="str">
        <f>'Unit Data from Audit Worksheet'!D144</f>
        <v>Total Transfers Out (To all funds)</v>
      </c>
      <c r="D128" s="304"/>
      <c r="E128" s="553">
        <f>'Unit Data from Audit Worksheet'!F144</f>
        <v>0</v>
      </c>
      <c r="F128" s="320">
        <f>IF(L128&lt;0,"Error: Enter as a positive.",)</f>
        <v>0</v>
      </c>
      <c r="G128" s="210"/>
      <c r="H128" s="138">
        <f>'Unit Data from Audit Worksheet'!I144</f>
        <v>0</v>
      </c>
      <c r="I128" s="501"/>
      <c r="J128" s="134">
        <v>366</v>
      </c>
      <c r="K128" s="127" t="s">
        <v>539</v>
      </c>
      <c r="L128" s="554">
        <f t="shared" si="14"/>
        <v>0</v>
      </c>
      <c r="P128" s="313"/>
      <c r="R128" s="498"/>
      <c r="W128" s="498" t="b">
        <f t="shared" si="9"/>
        <v>1</v>
      </c>
      <c r="X128" s="581">
        <f t="shared" si="10"/>
        <v>0</v>
      </c>
      <c r="Y128" s="581">
        <f t="shared" si="11"/>
        <v>0</v>
      </c>
      <c r="AA128" s="314"/>
    </row>
    <row r="129" spans="1:27" s="387" customFormat="1" ht="69.75" customHeight="1" x14ac:dyDescent="0.25">
      <c r="A129" s="289">
        <f>'Unit Data from Audit Worksheet'!A145</f>
        <v>53</v>
      </c>
      <c r="B129" s="323" t="str">
        <f>'Unit Data from Audit Worksheet'!C145</f>
        <v>Electric Fund Revenue, Expenses &amp; Changes in Fund Net Position</v>
      </c>
      <c r="C129" s="321" t="str">
        <f>'Unit Data from Audit Worksheet'!D145</f>
        <v>Change in net position - Increase in net position is recorded as a positive and a (decrease) in net position is recorded as a negative.</v>
      </c>
      <c r="D129" s="304"/>
      <c r="E129" s="553">
        <f>'Unit Data from Audit Worksheet'!F145</f>
        <v>0</v>
      </c>
      <c r="F129" s="320">
        <f>IF(L119-L122+L124-L125+L126+L127-L128-L129=0,,"Error: Total revenues less total exp. does not equal change in net position Acct 93-94+363-364+192+365-366-53=0")</f>
        <v>0</v>
      </c>
      <c r="G129" s="258">
        <f>+L119-L122+L124-L125+L126+L127-L128-L129</f>
        <v>0</v>
      </c>
      <c r="H129" s="318">
        <f>'Unit Data from Audit Worksheet'!I145</f>
        <v>0</v>
      </c>
      <c r="I129" s="501"/>
      <c r="J129" s="328">
        <v>53</v>
      </c>
      <c r="K129" s="327" t="s">
        <v>103</v>
      </c>
      <c r="L129" s="554">
        <f t="shared" si="14"/>
        <v>0</v>
      </c>
      <c r="P129" s="477"/>
      <c r="Q129" s="503">
        <f>IF(G129&lt;&gt;0,1,0)</f>
        <v>0</v>
      </c>
      <c r="R129" s="498"/>
      <c r="W129" s="498" t="b">
        <f t="shared" si="9"/>
        <v>1</v>
      </c>
      <c r="X129" s="581">
        <f t="shared" si="10"/>
        <v>0</v>
      </c>
      <c r="Y129" s="581">
        <f t="shared" si="11"/>
        <v>0</v>
      </c>
    </row>
    <row r="130" spans="1:27" ht="120" x14ac:dyDescent="0.25">
      <c r="A130" s="289">
        <f>'Unit Data from Audit Worksheet'!A146</f>
        <v>378</v>
      </c>
      <c r="B130" s="165" t="str">
        <f>'Unit Data from Audit Worksheet'!C146</f>
        <v>Electric Fund Revenue, Expenses &amp; Changes in Fund Net Position</v>
      </c>
      <c r="C130" s="153" t="str">
        <f>'Unit Data from Audit Worksheet'!D146</f>
        <v>Increases or (decreases) to beginning electric net position due to rounding, prior period adjustments and restatements.  Increase amounts to beginning net position should be entered as a positive amount and (decreases) should be entered as a negative amount.</v>
      </c>
      <c r="D130" s="304"/>
      <c r="E130" s="553">
        <f>+'Unit Data from Audit Worksheet'!F146</f>
        <v>0</v>
      </c>
      <c r="F130" s="145" t="e">
        <f>IF(L103-L129-L130=O103,,"Error: Beg. Bal does not agree with our records Acct 362-53-378= pr yr 362")</f>
        <v>#N/A</v>
      </c>
      <c r="G130" s="258" t="e">
        <f>L103-L129-L130-O103</f>
        <v>#N/A</v>
      </c>
      <c r="H130" s="138">
        <f>'Unit Data from Audit Worksheet'!I146</f>
        <v>0</v>
      </c>
      <c r="I130" s="501"/>
      <c r="J130" s="134">
        <v>378</v>
      </c>
      <c r="K130" s="127" t="s">
        <v>112</v>
      </c>
      <c r="L130" s="554">
        <f t="shared" si="14"/>
        <v>0</v>
      </c>
      <c r="P130" s="313"/>
      <c r="Q130" s="503" t="e">
        <f>IF(G130&lt;&gt;0,1,0)</f>
        <v>#N/A</v>
      </c>
      <c r="R130" s="498"/>
      <c r="W130" s="498" t="b">
        <f t="shared" si="9"/>
        <v>1</v>
      </c>
      <c r="X130" s="581">
        <f t="shared" si="10"/>
        <v>0</v>
      </c>
      <c r="Y130" s="581">
        <f t="shared" si="11"/>
        <v>0</v>
      </c>
      <c r="AA130" s="314"/>
    </row>
    <row r="131" spans="1:27" ht="45" customHeight="1" x14ac:dyDescent="0.25">
      <c r="A131" s="289">
        <f>'Unit Data from Audit Worksheet'!A151</f>
        <v>51</v>
      </c>
      <c r="B131" s="165" t="str">
        <f>'Unit Data from Audit Worksheet'!C151</f>
        <v>Water Sewer Cash Flow Statement</v>
      </c>
      <c r="C131" s="153" t="str">
        <f>'Unit Data from Audit Worksheet'!D151</f>
        <v>Total Cash flow from operating activities  - (Enter negative cash flows as negative)</v>
      </c>
      <c r="D131" s="304"/>
      <c r="E131" s="553">
        <f>'Unit Data from Audit Worksheet'!F151</f>
        <v>0</v>
      </c>
      <c r="F131" s="145"/>
      <c r="G131" s="210"/>
      <c r="H131" s="138">
        <f>'Unit Data from Audit Worksheet'!I151</f>
        <v>0</v>
      </c>
      <c r="I131" s="501"/>
      <c r="J131" s="134">
        <v>51</v>
      </c>
      <c r="K131" s="127" t="s">
        <v>249</v>
      </c>
      <c r="L131" s="554">
        <f t="shared" si="14"/>
        <v>0</v>
      </c>
      <c r="P131" s="313"/>
      <c r="R131" s="498"/>
      <c r="W131" s="498" t="b">
        <f t="shared" si="9"/>
        <v>1</v>
      </c>
      <c r="X131" s="581">
        <f t="shared" si="10"/>
        <v>0</v>
      </c>
      <c r="Y131" s="581">
        <f t="shared" si="11"/>
        <v>0</v>
      </c>
      <c r="AA131" s="314"/>
    </row>
    <row r="132" spans="1:27" ht="55.5" customHeight="1" x14ac:dyDescent="0.25">
      <c r="A132" s="289">
        <f>'Unit Data from Audit Worksheet'!A152</f>
        <v>332</v>
      </c>
      <c r="B132" s="165" t="str">
        <f>'Unit Data from Audit Worksheet'!C152</f>
        <v>Water Sewer Cash Flow Statement</v>
      </c>
      <c r="C132" s="153" t="str">
        <f>'Unit Data from Audit Worksheet'!D152</f>
        <v>Total Capital outlay. 
Include acquisition and construction of capital assets.</v>
      </c>
      <c r="D132" s="304"/>
      <c r="E132" s="553">
        <f>'Unit Data from Audit Worksheet'!F152</f>
        <v>0</v>
      </c>
      <c r="F132" s="320">
        <f>IF(L132&lt;0,"Error: Enter as a positive.",)</f>
        <v>0</v>
      </c>
      <c r="G132" s="210"/>
      <c r="H132" s="138">
        <f>'Unit Data from Audit Worksheet'!I152</f>
        <v>0</v>
      </c>
      <c r="I132" s="501"/>
      <c r="J132" s="134">
        <v>332</v>
      </c>
      <c r="K132" s="127" t="s">
        <v>251</v>
      </c>
      <c r="L132" s="554">
        <f t="shared" si="14"/>
        <v>0</v>
      </c>
      <c r="O132" s="122"/>
      <c r="P132" s="313"/>
      <c r="R132" s="498"/>
      <c r="W132" s="498" t="b">
        <f t="shared" si="9"/>
        <v>1</v>
      </c>
      <c r="X132" s="581">
        <f t="shared" si="10"/>
        <v>0</v>
      </c>
      <c r="Y132" s="581">
        <f t="shared" si="11"/>
        <v>0</v>
      </c>
      <c r="AA132" s="314"/>
    </row>
    <row r="133" spans="1:27" ht="52.5" customHeight="1" x14ac:dyDescent="0.25">
      <c r="A133" s="289">
        <f>'Unit Data from Audit Worksheet'!A153</f>
        <v>331</v>
      </c>
      <c r="B133" s="165" t="str">
        <f>'Unit Data from Audit Worksheet'!C153</f>
        <v>Water Sewer Cash Flow Statement</v>
      </c>
      <c r="C133" s="153" t="str">
        <f>'Unit Data from Audit Worksheet'!D153</f>
        <v>Principal paid on long-term debt.  Amount should be reduced by principal payments for debt refunding.</v>
      </c>
      <c r="D133" s="304"/>
      <c r="E133" s="553">
        <f>'Unit Data from Audit Worksheet'!F153</f>
        <v>0</v>
      </c>
      <c r="F133" s="320">
        <f>IF(L133&lt;0,"Error: Enter as a positive.",)</f>
        <v>0</v>
      </c>
      <c r="G133" s="210"/>
      <c r="H133" s="138">
        <f>'Unit Data from Audit Worksheet'!I153</f>
        <v>0</v>
      </c>
      <c r="I133" s="501"/>
      <c r="J133" s="134">
        <v>331</v>
      </c>
      <c r="K133" s="127" t="s">
        <v>250</v>
      </c>
      <c r="L133" s="554">
        <f t="shared" si="14"/>
        <v>0</v>
      </c>
      <c r="O133" s="122"/>
      <c r="P133" s="313"/>
      <c r="R133" s="498"/>
      <c r="W133" s="498" t="b">
        <f t="shared" ref="W133:W201" si="15">EXACT(A133,J133)</f>
        <v>1</v>
      </c>
      <c r="X133" s="581">
        <f t="shared" ref="X133:X201" si="16">E133-L133</f>
        <v>0</v>
      </c>
      <c r="Y133" s="581">
        <f t="shared" ref="Y133:Y201" si="17">D133-L133</f>
        <v>0</v>
      </c>
      <c r="AA133" s="314"/>
    </row>
    <row r="134" spans="1:27" ht="40.5" customHeight="1" x14ac:dyDescent="0.25">
      <c r="A134" s="289">
        <f>'Unit Data from Audit Worksheet'!A155</f>
        <v>55</v>
      </c>
      <c r="B134" s="165" t="str">
        <f>'Unit Data from Audit Worksheet'!C155</f>
        <v>Electric Fund Cash Flow Statement</v>
      </c>
      <c r="C134" s="153" t="str">
        <f>'Unit Data from Audit Worksheet'!D155</f>
        <v>Cash flow from operating activities - (enter negative cash flows as negative)</v>
      </c>
      <c r="D134" s="304"/>
      <c r="E134" s="553">
        <f>'Unit Data from Audit Worksheet'!F155</f>
        <v>0</v>
      </c>
      <c r="F134" s="145"/>
      <c r="G134" s="210"/>
      <c r="H134" s="138">
        <f>'Unit Data from Audit Worksheet'!I155</f>
        <v>0</v>
      </c>
      <c r="I134" s="501"/>
      <c r="J134" s="134">
        <v>55</v>
      </c>
      <c r="K134" s="127" t="s">
        <v>252</v>
      </c>
      <c r="L134" s="554">
        <f t="shared" si="14"/>
        <v>0</v>
      </c>
      <c r="P134" s="313"/>
      <c r="R134" s="498"/>
      <c r="W134" s="498" t="b">
        <f t="shared" si="15"/>
        <v>1</v>
      </c>
      <c r="X134" s="581">
        <f t="shared" si="16"/>
        <v>0</v>
      </c>
      <c r="Y134" s="581">
        <f t="shared" si="17"/>
        <v>0</v>
      </c>
      <c r="AA134" s="314"/>
    </row>
    <row r="135" spans="1:27" ht="76.150000000000006" customHeight="1" x14ac:dyDescent="0.25">
      <c r="A135" s="289">
        <f>'Unit Data from Audit Worksheet'!A156</f>
        <v>101</v>
      </c>
      <c r="B135" s="165" t="str">
        <f>'Unit Data from Audit Worksheet'!C156</f>
        <v>Electric Fund Cash Flow Statement</v>
      </c>
      <c r="C135" s="153" t="str">
        <f>'Unit Data from Audit Worksheet'!D156</f>
        <v>Total Capital outlay.  
Include acquisition and construction of capital assets.</v>
      </c>
      <c r="D135" s="304"/>
      <c r="E135" s="553">
        <f>'Unit Data from Audit Worksheet'!F156</f>
        <v>0</v>
      </c>
      <c r="F135" s="320">
        <f>IF(L135&lt;0,"Error: Enter as a positive.",)</f>
        <v>0</v>
      </c>
      <c r="G135" s="210"/>
      <c r="H135" s="138">
        <f>'Unit Data from Audit Worksheet'!I156</f>
        <v>0</v>
      </c>
      <c r="I135" s="501"/>
      <c r="J135" s="134">
        <v>101</v>
      </c>
      <c r="K135" s="127" t="s">
        <v>253</v>
      </c>
      <c r="L135" s="554">
        <f t="shared" si="14"/>
        <v>0</v>
      </c>
      <c r="P135" s="313"/>
      <c r="R135" s="498"/>
      <c r="W135" s="498" t="b">
        <f t="shared" si="15"/>
        <v>1</v>
      </c>
      <c r="X135" s="581">
        <f t="shared" si="16"/>
        <v>0</v>
      </c>
      <c r="Y135" s="581">
        <f t="shared" si="17"/>
        <v>0</v>
      </c>
      <c r="AA135" s="314"/>
    </row>
    <row r="136" spans="1:27" ht="55.5" customHeight="1" x14ac:dyDescent="0.25">
      <c r="A136" s="289">
        <f>'Unit Data from Audit Worksheet'!A157</f>
        <v>100</v>
      </c>
      <c r="B136" s="165" t="str">
        <f>'Unit Data from Audit Worksheet'!C157</f>
        <v>Electric Fund Cash Flow Statement</v>
      </c>
      <c r="C136" s="153" t="str">
        <f>'Unit Data from Audit Worksheet'!D157</f>
        <v>Principal paid on long-term debt.  Amount should be reduced by principal payments for debt refunding.</v>
      </c>
      <c r="D136" s="304"/>
      <c r="E136" s="553">
        <f>'Unit Data from Audit Worksheet'!F157</f>
        <v>0</v>
      </c>
      <c r="F136" s="320">
        <f>IF(L136&lt;0,"Error: Enter as a positive.",)</f>
        <v>0</v>
      </c>
      <c r="G136" s="210"/>
      <c r="H136" s="138">
        <f>'Unit Data from Audit Worksheet'!I157</f>
        <v>0</v>
      </c>
      <c r="I136" s="501"/>
      <c r="J136" s="134">
        <v>100</v>
      </c>
      <c r="K136" s="127" t="s">
        <v>254</v>
      </c>
      <c r="L136" s="554">
        <f t="shared" si="14"/>
        <v>0</v>
      </c>
      <c r="P136" s="313"/>
      <c r="R136" s="498"/>
      <c r="W136" s="498" t="b">
        <f t="shared" si="15"/>
        <v>1</v>
      </c>
      <c r="X136" s="581">
        <f t="shared" si="16"/>
        <v>0</v>
      </c>
      <c r="Y136" s="581">
        <f t="shared" si="17"/>
        <v>0</v>
      </c>
      <c r="AA136" s="314"/>
    </row>
    <row r="137" spans="1:27" ht="69.75" customHeight="1" x14ac:dyDescent="0.25">
      <c r="A137" s="289">
        <f>'Unit Data from Audit Worksheet'!A159</f>
        <v>512</v>
      </c>
      <c r="B137" s="165" t="str">
        <f>'Unit Data from Audit Worksheet'!C159</f>
        <v>Fiduciary Statements</v>
      </c>
      <c r="C137" s="153" t="str">
        <f>'Unit Data from Audit Worksheet'!D159</f>
        <v>Cash and investments.  
Include:  unrestricted and restricted.  
                 cash and investments held by a third party</v>
      </c>
      <c r="D137" s="304"/>
      <c r="E137" s="553">
        <f>'Unit Data from Audit Worksheet'!F159</f>
        <v>0</v>
      </c>
      <c r="F137" s="145">
        <f>IF(L137&lt;0,"Error: Number is normally positive.",)</f>
        <v>0</v>
      </c>
      <c r="G137" s="210"/>
      <c r="H137" s="138">
        <f>'Unit Data from Audit Worksheet'!I159</f>
        <v>0</v>
      </c>
      <c r="I137" s="501"/>
      <c r="J137" s="134">
        <v>512</v>
      </c>
      <c r="K137" s="127" t="s">
        <v>255</v>
      </c>
      <c r="L137" s="554">
        <f t="shared" si="14"/>
        <v>0</v>
      </c>
      <c r="P137" s="313"/>
      <c r="R137" s="498"/>
      <c r="W137" s="498" t="b">
        <f t="shared" si="15"/>
        <v>1</v>
      </c>
      <c r="X137" s="581">
        <f t="shared" si="16"/>
        <v>0</v>
      </c>
      <c r="Y137" s="581">
        <f t="shared" si="17"/>
        <v>0</v>
      </c>
      <c r="AA137" s="314"/>
    </row>
    <row r="138" spans="1:27" s="498" customFormat="1" ht="68.25" customHeight="1" x14ac:dyDescent="0.25">
      <c r="A138" s="719">
        <f>'Unit Data from Audit Worksheet'!A161</f>
        <v>656</v>
      </c>
      <c r="B138" s="262">
        <f>'Unit Data from Audit Worksheet'!C161</f>
        <v>0</v>
      </c>
      <c r="C138" s="372" t="str">
        <f>'Unit Data from Audit Worksheet'!D161</f>
        <v>Do you use prepared food/occupancy tax revenue stream to support debt?  Select "1" for Yes and "2" for No</v>
      </c>
      <c r="D138" s="487"/>
      <c r="E138" s="556">
        <f>'Unit Data from Audit Worksheet'!F161</f>
        <v>0</v>
      </c>
      <c r="F138" s="274"/>
      <c r="G138" s="267"/>
      <c r="H138" s="275"/>
      <c r="I138" s="501"/>
      <c r="J138" s="293">
        <v>656</v>
      </c>
      <c r="K138" s="514" t="s">
        <v>932</v>
      </c>
      <c r="L138" s="546">
        <f>E138</f>
        <v>0</v>
      </c>
      <c r="M138" s="499"/>
      <c r="N138" s="499"/>
      <c r="O138" s="499"/>
      <c r="P138" s="477"/>
      <c r="Q138" s="503"/>
      <c r="W138" s="498" t="b">
        <f t="shared" si="15"/>
        <v>1</v>
      </c>
      <c r="X138" s="581">
        <f t="shared" si="16"/>
        <v>0</v>
      </c>
      <c r="Y138" s="581">
        <f t="shared" si="17"/>
        <v>0</v>
      </c>
    </row>
    <row r="139" spans="1:27" s="387" customFormat="1" ht="103.5" customHeight="1" x14ac:dyDescent="0.25">
      <c r="A139" s="289">
        <f>'Unit Data from Audit Worksheet'!A163</f>
        <v>535</v>
      </c>
      <c r="B139" s="323" t="str">
        <f>'Unit Data from Audit Worksheet'!C163</f>
        <v>Cash and Investment Note</v>
      </c>
      <c r="C139" s="321" t="str">
        <f>'Unit Data from Audit Worksheet'!D163</f>
        <v>Cash and Investment - Please list the book value of any unspent debt proceeds (bonds, installment, etc.) in any funds as of June 30.  This information may be on the face of your statements or in the notes</v>
      </c>
      <c r="D139" s="304"/>
      <c r="E139" s="553">
        <f>'Unit Data from Audit Worksheet'!F163</f>
        <v>0</v>
      </c>
      <c r="F139" s="242" t="str">
        <f>IF(L139&gt;1,,"Reminder: Please make sure you have entered all cash and investments from bond proceeds, if applicable")</f>
        <v>Reminder: Please make sure you have entered all cash and investments from bond proceeds, if applicable</v>
      </c>
      <c r="G139" s="324"/>
      <c r="H139" s="318">
        <f>'Unit Data from Audit Worksheet'!I163</f>
        <v>0</v>
      </c>
      <c r="I139" s="501"/>
      <c r="J139" s="328">
        <v>535</v>
      </c>
      <c r="K139" s="181" t="s">
        <v>256</v>
      </c>
      <c r="L139" s="554">
        <f t="shared" si="14"/>
        <v>0</v>
      </c>
      <c r="P139" s="477"/>
      <c r="Q139" s="325"/>
      <c r="R139" s="498"/>
      <c r="W139" s="498" t="b">
        <f t="shared" si="15"/>
        <v>1</v>
      </c>
      <c r="X139" s="581">
        <f t="shared" si="16"/>
        <v>0</v>
      </c>
      <c r="Y139" s="581">
        <f t="shared" si="17"/>
        <v>0</v>
      </c>
    </row>
    <row r="140" spans="1:27" ht="37.5" customHeight="1" x14ac:dyDescent="0.25">
      <c r="A140" s="289">
        <f>'Unit Data from Audit Worksheet'!A167</f>
        <v>334</v>
      </c>
      <c r="B140" s="165" t="str">
        <f>'Unit Data from Audit Worksheet'!C167</f>
        <v>Gov.-Capital Assets Schedule in the Notes</v>
      </c>
      <c r="C140" s="172" t="str">
        <f>'Unit Data from Audit Worksheet'!D167</f>
        <v>Gross value.  
Exclude non-depreciable.</v>
      </c>
      <c r="D140" s="304"/>
      <c r="E140" s="553">
        <f>'Unit Data from Audit Worksheet'!F167</f>
        <v>0</v>
      </c>
      <c r="F140" s="144"/>
      <c r="G140" s="210"/>
      <c r="H140" s="138">
        <f>'Unit Data from Audit Worksheet'!I167</f>
        <v>0</v>
      </c>
      <c r="I140" s="501"/>
      <c r="J140" s="134">
        <v>334</v>
      </c>
      <c r="K140" s="181" t="s">
        <v>279</v>
      </c>
      <c r="L140" s="554">
        <f t="shared" si="14"/>
        <v>0</v>
      </c>
      <c r="P140" s="313"/>
      <c r="R140" s="498"/>
      <c r="W140" s="498" t="b">
        <f t="shared" si="15"/>
        <v>1</v>
      </c>
      <c r="X140" s="581">
        <f t="shared" si="16"/>
        <v>0</v>
      </c>
      <c r="Y140" s="581">
        <f t="shared" si="17"/>
        <v>0</v>
      </c>
      <c r="AA140" s="314"/>
    </row>
    <row r="141" spans="1:27" s="46" customFormat="1" ht="40.5" customHeight="1" x14ac:dyDescent="0.25">
      <c r="A141" s="289">
        <f>'Unit Data from Audit Worksheet'!A168</f>
        <v>373</v>
      </c>
      <c r="B141" s="165" t="str">
        <f>'Unit Data from Audit Worksheet'!C168</f>
        <v>Gov.-Capital Assets Schedule in the Notes</v>
      </c>
      <c r="C141" s="172" t="str">
        <f>'Unit Data from Audit Worksheet'!D168</f>
        <v>Accumulated depreciation</v>
      </c>
      <c r="D141" s="304"/>
      <c r="E141" s="553">
        <f>'Unit Data from Audit Worksheet'!F168</f>
        <v>0</v>
      </c>
      <c r="F141" s="144"/>
      <c r="G141" s="210"/>
      <c r="H141" s="138">
        <f>'Unit Data from Audit Worksheet'!I168</f>
        <v>0</v>
      </c>
      <c r="I141" s="501"/>
      <c r="J141" s="134">
        <v>373</v>
      </c>
      <c r="K141" s="191" t="s">
        <v>552</v>
      </c>
      <c r="L141" s="554">
        <f t="shared" si="14"/>
        <v>0</v>
      </c>
      <c r="P141" s="313"/>
      <c r="Q141" s="246"/>
      <c r="R141" s="498"/>
      <c r="W141" s="498" t="b">
        <f t="shared" si="15"/>
        <v>1</v>
      </c>
      <c r="X141" s="581">
        <f t="shared" si="16"/>
        <v>0</v>
      </c>
      <c r="Y141" s="581">
        <f t="shared" si="17"/>
        <v>0</v>
      </c>
      <c r="AA141" s="314"/>
    </row>
    <row r="142" spans="1:27" ht="60" customHeight="1" x14ac:dyDescent="0.25">
      <c r="A142" s="289">
        <f>'Unit Data from Audit Worksheet'!A172</f>
        <v>327</v>
      </c>
      <c r="B142" s="165" t="str">
        <f>'Unit Data from Audit Worksheet'!C172</f>
        <v>WS-Capital Assets Schedule in the Notes</v>
      </c>
      <c r="C142" s="172" t="str">
        <f>'Unit Data from Audit Worksheet'!D172</f>
        <v>Land and all other non depreciable capital assets 
Exclude construction in progress</v>
      </c>
      <c r="D142" s="304"/>
      <c r="E142" s="553">
        <f>'Unit Data from Audit Worksheet'!F172</f>
        <v>0</v>
      </c>
      <c r="F142" s="144"/>
      <c r="G142" s="210"/>
      <c r="H142" s="138">
        <f>'Unit Data from Audit Worksheet'!I172</f>
        <v>0</v>
      </c>
      <c r="I142" s="501"/>
      <c r="J142" s="134">
        <v>327</v>
      </c>
      <c r="K142" s="192" t="s">
        <v>553</v>
      </c>
      <c r="L142" s="554">
        <f t="shared" si="14"/>
        <v>0</v>
      </c>
      <c r="P142" s="313"/>
      <c r="R142" s="498"/>
      <c r="W142" s="498" t="b">
        <f t="shared" si="15"/>
        <v>1</v>
      </c>
      <c r="X142" s="581">
        <f t="shared" si="16"/>
        <v>0</v>
      </c>
      <c r="Y142" s="581">
        <f t="shared" si="17"/>
        <v>0</v>
      </c>
      <c r="AA142" s="314"/>
    </row>
    <row r="143" spans="1:27" s="154" customFormat="1" ht="53.25" customHeight="1" x14ac:dyDescent="0.25">
      <c r="A143" s="289">
        <f>'Unit Data from Audit Worksheet'!A173</f>
        <v>328</v>
      </c>
      <c r="B143" s="165" t="str">
        <f>'Unit Data from Audit Worksheet'!C173</f>
        <v>WS-Capital Assets Schedule in the Notes</v>
      </c>
      <c r="C143" s="172" t="str">
        <f>'Unit Data from Audit Worksheet'!D173</f>
        <v>Construction in progress</v>
      </c>
      <c r="D143" s="304"/>
      <c r="E143" s="553">
        <f>'Unit Data from Audit Worksheet'!F173</f>
        <v>0</v>
      </c>
      <c r="F143" s="144"/>
      <c r="G143" s="210"/>
      <c r="H143" s="138">
        <f>'Unit Data from Audit Worksheet'!I173</f>
        <v>0</v>
      </c>
      <c r="I143" s="501"/>
      <c r="J143" s="134">
        <v>328</v>
      </c>
      <c r="K143" s="193" t="s">
        <v>554</v>
      </c>
      <c r="L143" s="554">
        <f t="shared" si="14"/>
        <v>0</v>
      </c>
      <c r="P143" s="313"/>
      <c r="Q143" s="246"/>
      <c r="R143" s="498"/>
      <c r="W143" s="498" t="b">
        <f t="shared" si="15"/>
        <v>1</v>
      </c>
      <c r="X143" s="581">
        <f t="shared" si="16"/>
        <v>0</v>
      </c>
      <c r="Y143" s="581">
        <f t="shared" si="17"/>
        <v>0</v>
      </c>
      <c r="AA143" s="314"/>
    </row>
    <row r="144" spans="1:27" s="154" customFormat="1" ht="46.5" customHeight="1" x14ac:dyDescent="0.25">
      <c r="A144" s="289">
        <f>'Unit Data from Audit Worksheet'!A177</f>
        <v>515</v>
      </c>
      <c r="B144" s="165" t="str">
        <f>'Unit Data from Audit Worksheet'!C177</f>
        <v>WS Capital Assets Schedule-Gross Value</v>
      </c>
      <c r="C144" s="172" t="str">
        <f>'Unit Data from Audit Worksheet'!D177</f>
        <v>Buildings</v>
      </c>
      <c r="D144" s="304"/>
      <c r="E144" s="553">
        <f>'Unit Data from Audit Worksheet'!F177</f>
        <v>0</v>
      </c>
      <c r="F144" s="144"/>
      <c r="G144" s="210"/>
      <c r="H144" s="138">
        <f>'Unit Data from Audit Worksheet'!I177</f>
        <v>0</v>
      </c>
      <c r="I144" s="501"/>
      <c r="J144" s="134">
        <v>515</v>
      </c>
      <c r="K144" s="194" t="s">
        <v>280</v>
      </c>
      <c r="L144" s="554">
        <f t="shared" si="14"/>
        <v>0</v>
      </c>
      <c r="P144" s="313"/>
      <c r="Q144" s="246"/>
      <c r="R144" s="498"/>
      <c r="W144" s="498" t="b">
        <f t="shared" si="15"/>
        <v>1</v>
      </c>
      <c r="X144" s="581">
        <f t="shared" si="16"/>
        <v>0</v>
      </c>
      <c r="Y144" s="581">
        <f t="shared" si="17"/>
        <v>0</v>
      </c>
      <c r="AA144" s="314"/>
    </row>
    <row r="145" spans="1:27" s="154" customFormat="1" ht="56.25" customHeight="1" x14ac:dyDescent="0.25">
      <c r="A145" s="289">
        <f>'Unit Data from Audit Worksheet'!A178</f>
        <v>516</v>
      </c>
      <c r="B145" s="165" t="str">
        <f>'Unit Data from Audit Worksheet'!C178</f>
        <v>WS Capital Assets Schedule-Gross Value</v>
      </c>
      <c r="C145" s="172" t="str">
        <f>'Unit Data from Audit Worksheet'!D178</f>
        <v>Plant / distributions systems / water lines</v>
      </c>
      <c r="D145" s="304"/>
      <c r="E145" s="553">
        <f>'Unit Data from Audit Worksheet'!F178</f>
        <v>0</v>
      </c>
      <c r="F145" s="144"/>
      <c r="G145" s="210"/>
      <c r="H145" s="138">
        <f>'Unit Data from Audit Worksheet'!I178</f>
        <v>0</v>
      </c>
      <c r="I145" s="501"/>
      <c r="J145" s="134">
        <v>516</v>
      </c>
      <c r="K145" s="194" t="s">
        <v>281</v>
      </c>
      <c r="L145" s="554">
        <f t="shared" si="14"/>
        <v>0</v>
      </c>
      <c r="P145" s="313"/>
      <c r="Q145" s="246"/>
      <c r="R145" s="498"/>
      <c r="W145" s="498" t="b">
        <f t="shared" si="15"/>
        <v>1</v>
      </c>
      <c r="X145" s="581">
        <f t="shared" si="16"/>
        <v>0</v>
      </c>
      <c r="Y145" s="581">
        <f t="shared" si="17"/>
        <v>0</v>
      </c>
      <c r="AA145" s="314"/>
    </row>
    <row r="146" spans="1:27" s="154" customFormat="1" ht="56.25" customHeight="1" x14ac:dyDescent="0.25">
      <c r="A146" s="289">
        <f>'Unit Data from Audit Worksheet'!A179</f>
        <v>517</v>
      </c>
      <c r="B146" s="165" t="str">
        <f>'Unit Data from Audit Worksheet'!C179</f>
        <v>WS Capital Assets Schedule-Gross Value</v>
      </c>
      <c r="C146" s="172" t="str">
        <f>'Unit Data from Audit Worksheet'!D179</f>
        <v>Infrastructure(other infrastructure)</v>
      </c>
      <c r="D146" s="304"/>
      <c r="E146" s="553">
        <f>'Unit Data from Audit Worksheet'!F179</f>
        <v>0</v>
      </c>
      <c r="F146" s="144"/>
      <c r="G146" s="210"/>
      <c r="H146" s="138">
        <f>'Unit Data from Audit Worksheet'!I179</f>
        <v>0</v>
      </c>
      <c r="I146" s="501"/>
      <c r="J146" s="134">
        <v>517</v>
      </c>
      <c r="K146" s="195" t="s">
        <v>282</v>
      </c>
      <c r="L146" s="554">
        <f t="shared" si="14"/>
        <v>0</v>
      </c>
      <c r="P146" s="313"/>
      <c r="Q146" s="246"/>
      <c r="R146" s="498"/>
      <c r="W146" s="498" t="b">
        <f t="shared" si="15"/>
        <v>1</v>
      </c>
      <c r="X146" s="581">
        <f t="shared" si="16"/>
        <v>0</v>
      </c>
      <c r="Y146" s="581">
        <f t="shared" si="17"/>
        <v>0</v>
      </c>
      <c r="AA146" s="314"/>
    </row>
    <row r="147" spans="1:27" s="154" customFormat="1" ht="56.25" customHeight="1" x14ac:dyDescent="0.25">
      <c r="A147" s="289">
        <f>'Unit Data from Audit Worksheet'!A180</f>
        <v>518</v>
      </c>
      <c r="B147" s="165" t="str">
        <f>'Unit Data from Audit Worksheet'!C180</f>
        <v>WS Capital Assets Schedule-Gross Value</v>
      </c>
      <c r="C147" s="172" t="str">
        <f>'Unit Data from Audit Worksheet'!D180</f>
        <v>All other depreciable capital assets</v>
      </c>
      <c r="D147" s="304"/>
      <c r="E147" s="553">
        <f>'Unit Data from Audit Worksheet'!F180</f>
        <v>0</v>
      </c>
      <c r="F147" s="144"/>
      <c r="G147" s="210"/>
      <c r="H147" s="138">
        <f>'Unit Data from Audit Worksheet'!I180</f>
        <v>0</v>
      </c>
      <c r="I147" s="501"/>
      <c r="J147" s="134">
        <v>518</v>
      </c>
      <c r="K147" s="195" t="s">
        <v>283</v>
      </c>
      <c r="L147" s="554">
        <f t="shared" si="14"/>
        <v>0</v>
      </c>
      <c r="P147" s="313"/>
      <c r="Q147" s="246"/>
      <c r="R147" s="498"/>
      <c r="W147" s="498" t="b">
        <f t="shared" si="15"/>
        <v>1</v>
      </c>
      <c r="X147" s="581">
        <f t="shared" si="16"/>
        <v>0</v>
      </c>
      <c r="Y147" s="581">
        <f t="shared" si="17"/>
        <v>0</v>
      </c>
      <c r="AA147" s="314"/>
    </row>
    <row r="148" spans="1:27" s="154" customFormat="1" ht="56.25" customHeight="1" x14ac:dyDescent="0.25">
      <c r="A148" s="289">
        <f>'Unit Data from Audit Worksheet'!A183</f>
        <v>519</v>
      </c>
      <c r="B148" s="165" t="str">
        <f>'Unit Data from Audit Worksheet'!C183</f>
        <v>WS Capital Assets Schedule-Annual Depreciation</v>
      </c>
      <c r="C148" s="172" t="str">
        <f>'Unit Data from Audit Worksheet'!D183</f>
        <v>Buildings annual depreciation</v>
      </c>
      <c r="D148" s="304"/>
      <c r="E148" s="553">
        <f>'Unit Data from Audit Worksheet'!F183</f>
        <v>0</v>
      </c>
      <c r="F148" s="144"/>
      <c r="G148" s="210"/>
      <c r="H148" s="138">
        <f>'Unit Data from Audit Worksheet'!I183</f>
        <v>0</v>
      </c>
      <c r="I148" s="501"/>
      <c r="J148" s="134">
        <v>519</v>
      </c>
      <c r="K148" s="195" t="s">
        <v>284</v>
      </c>
      <c r="L148" s="554">
        <f t="shared" si="14"/>
        <v>0</v>
      </c>
      <c r="P148" s="313"/>
      <c r="Q148" s="246"/>
      <c r="R148" s="498"/>
      <c r="W148" s="498" t="b">
        <f t="shared" si="15"/>
        <v>1</v>
      </c>
      <c r="X148" s="581">
        <f t="shared" si="16"/>
        <v>0</v>
      </c>
      <c r="Y148" s="581">
        <f t="shared" si="17"/>
        <v>0</v>
      </c>
      <c r="AA148" s="314"/>
    </row>
    <row r="149" spans="1:27" s="154" customFormat="1" ht="66" customHeight="1" x14ac:dyDescent="0.25">
      <c r="A149" s="289">
        <f>'Unit Data from Audit Worksheet'!A184</f>
        <v>520</v>
      </c>
      <c r="B149" s="165" t="str">
        <f>'Unit Data from Audit Worksheet'!C184</f>
        <v>WS Capital Assets Schedule-Annual Depreciation</v>
      </c>
      <c r="C149" s="172" t="str">
        <f>'Unit Data from Audit Worksheet'!D184</f>
        <v>Plant / distributions systems / water lines annual depreciation</v>
      </c>
      <c r="D149" s="304"/>
      <c r="E149" s="553">
        <f>'Unit Data from Audit Worksheet'!F184</f>
        <v>0</v>
      </c>
      <c r="F149" s="144"/>
      <c r="G149" s="210"/>
      <c r="H149" s="138">
        <f>'Unit Data from Audit Worksheet'!I184</f>
        <v>0</v>
      </c>
      <c r="I149" s="501"/>
      <c r="J149" s="134">
        <v>520</v>
      </c>
      <c r="K149" s="197" t="s">
        <v>285</v>
      </c>
      <c r="L149" s="554">
        <f t="shared" si="14"/>
        <v>0</v>
      </c>
      <c r="P149" s="313"/>
      <c r="Q149" s="246"/>
      <c r="R149" s="498"/>
      <c r="W149" s="498" t="b">
        <f t="shared" si="15"/>
        <v>1</v>
      </c>
      <c r="X149" s="581">
        <f t="shared" si="16"/>
        <v>0</v>
      </c>
      <c r="Y149" s="581">
        <f t="shared" si="17"/>
        <v>0</v>
      </c>
      <c r="AA149" s="314"/>
    </row>
    <row r="150" spans="1:27" s="154" customFormat="1" ht="66" customHeight="1" x14ac:dyDescent="0.25">
      <c r="A150" s="289">
        <f>'Unit Data from Audit Worksheet'!A185</f>
        <v>521</v>
      </c>
      <c r="B150" s="165" t="str">
        <f>'Unit Data from Audit Worksheet'!C185</f>
        <v>WS Capital Assets Schedule-Annual Depreciation</v>
      </c>
      <c r="C150" s="172" t="str">
        <f>'Unit Data from Audit Worksheet'!D185</f>
        <v>Infrastructure(other infrastructure) annual depreciation</v>
      </c>
      <c r="D150" s="304"/>
      <c r="E150" s="553">
        <f>'Unit Data from Audit Worksheet'!F185</f>
        <v>0</v>
      </c>
      <c r="F150" s="144"/>
      <c r="G150" s="210"/>
      <c r="H150" s="138">
        <f>'Unit Data from Audit Worksheet'!I185</f>
        <v>0</v>
      </c>
      <c r="I150" s="501"/>
      <c r="J150" s="134">
        <v>521</v>
      </c>
      <c r="K150" s="196" t="s">
        <v>286</v>
      </c>
      <c r="L150" s="554">
        <f t="shared" si="14"/>
        <v>0</v>
      </c>
      <c r="P150" s="313"/>
      <c r="Q150" s="246"/>
      <c r="R150" s="498"/>
      <c r="W150" s="498" t="b">
        <f t="shared" si="15"/>
        <v>1</v>
      </c>
      <c r="X150" s="581">
        <f t="shared" si="16"/>
        <v>0</v>
      </c>
      <c r="Y150" s="581">
        <f t="shared" si="17"/>
        <v>0</v>
      </c>
      <c r="AA150" s="314"/>
    </row>
    <row r="151" spans="1:27" s="154" customFormat="1" ht="66" customHeight="1" x14ac:dyDescent="0.25">
      <c r="A151" s="289">
        <f>'Unit Data from Audit Worksheet'!A186</f>
        <v>522</v>
      </c>
      <c r="B151" s="165" t="str">
        <f>'Unit Data from Audit Worksheet'!C186</f>
        <v>WS Capital Assets Schedule-Annual Depreciation</v>
      </c>
      <c r="C151" s="172" t="str">
        <f>'Unit Data from Audit Worksheet'!D186</f>
        <v>All other depreciable capital assets annual depreciation</v>
      </c>
      <c r="D151" s="304"/>
      <c r="E151" s="553">
        <f>'Unit Data from Audit Worksheet'!F186</f>
        <v>0</v>
      </c>
      <c r="F151" s="144"/>
      <c r="G151" s="210"/>
      <c r="H151" s="138">
        <f>'Unit Data from Audit Worksheet'!I186</f>
        <v>0</v>
      </c>
      <c r="I151" s="501"/>
      <c r="J151" s="134">
        <v>522</v>
      </c>
      <c r="K151" s="196" t="s">
        <v>287</v>
      </c>
      <c r="L151" s="554">
        <f t="shared" si="14"/>
        <v>0</v>
      </c>
      <c r="P151" s="313"/>
      <c r="Q151" s="246"/>
      <c r="R151" s="498"/>
      <c r="W151" s="498" t="b">
        <f t="shared" si="15"/>
        <v>1</v>
      </c>
      <c r="X151" s="581">
        <f t="shared" si="16"/>
        <v>0</v>
      </c>
      <c r="Y151" s="581">
        <f t="shared" si="17"/>
        <v>0</v>
      </c>
      <c r="AA151" s="314"/>
    </row>
    <row r="152" spans="1:27" s="154" customFormat="1" ht="66" customHeight="1" x14ac:dyDescent="0.25">
      <c r="A152" s="289">
        <f>'Unit Data from Audit Worksheet'!A189</f>
        <v>523</v>
      </c>
      <c r="B152" s="165" t="str">
        <f>'Unit Data from Audit Worksheet'!C189</f>
        <v>WS Capital Assets Schedule-Accumulated Depreciation</v>
      </c>
      <c r="C152" s="172" t="str">
        <f>'Unit Data from Audit Worksheet'!D189</f>
        <v>Building accumulated depreciation</v>
      </c>
      <c r="D152" s="304"/>
      <c r="E152" s="553">
        <f>'Unit Data from Audit Worksheet'!F189</f>
        <v>0</v>
      </c>
      <c r="F152" s="144"/>
      <c r="G152" s="210"/>
      <c r="H152" s="138">
        <f>'Unit Data from Audit Worksheet'!I189</f>
        <v>0</v>
      </c>
      <c r="I152" s="501"/>
      <c r="J152" s="134">
        <v>523</v>
      </c>
      <c r="K152" s="196" t="s">
        <v>288</v>
      </c>
      <c r="L152" s="554">
        <f t="shared" si="14"/>
        <v>0</v>
      </c>
      <c r="P152" s="313"/>
      <c r="Q152" s="246"/>
      <c r="R152" s="498"/>
      <c r="W152" s="498" t="b">
        <f t="shared" si="15"/>
        <v>1</v>
      </c>
      <c r="X152" s="581">
        <f t="shared" si="16"/>
        <v>0</v>
      </c>
      <c r="Y152" s="581">
        <f t="shared" si="17"/>
        <v>0</v>
      </c>
      <c r="AA152" s="314"/>
    </row>
    <row r="153" spans="1:27" s="154" customFormat="1" ht="66" customHeight="1" x14ac:dyDescent="0.25">
      <c r="A153" s="289">
        <f>'Unit Data from Audit Worksheet'!A190</f>
        <v>524</v>
      </c>
      <c r="B153" s="165" t="str">
        <f>'Unit Data from Audit Worksheet'!C190</f>
        <v>WS Capital Assets Schedule-Accumulated Depreciation</v>
      </c>
      <c r="C153" s="172" t="str">
        <f>'Unit Data from Audit Worksheet'!D190</f>
        <v>Plant / distributions systems / water lines accumulated depreciation</v>
      </c>
      <c r="D153" s="304"/>
      <c r="E153" s="553">
        <f>'Unit Data from Audit Worksheet'!F190</f>
        <v>0</v>
      </c>
      <c r="F153" s="144"/>
      <c r="G153" s="210"/>
      <c r="H153" s="138">
        <f>'Unit Data from Audit Worksheet'!I190</f>
        <v>0</v>
      </c>
      <c r="I153" s="501"/>
      <c r="J153" s="134">
        <v>524</v>
      </c>
      <c r="K153" s="196" t="s">
        <v>289</v>
      </c>
      <c r="L153" s="554">
        <f t="shared" si="14"/>
        <v>0</v>
      </c>
      <c r="P153" s="313"/>
      <c r="Q153" s="246"/>
      <c r="R153" s="498"/>
      <c r="W153" s="498" t="b">
        <f t="shared" si="15"/>
        <v>1</v>
      </c>
      <c r="X153" s="581">
        <f t="shared" si="16"/>
        <v>0</v>
      </c>
      <c r="Y153" s="581">
        <f t="shared" si="17"/>
        <v>0</v>
      </c>
      <c r="AA153" s="314"/>
    </row>
    <row r="154" spans="1:27" s="154" customFormat="1" ht="65.25" customHeight="1" x14ac:dyDescent="0.25">
      <c r="A154" s="289">
        <f>'Unit Data from Audit Worksheet'!A191</f>
        <v>525</v>
      </c>
      <c r="B154" s="165" t="str">
        <f>'Unit Data from Audit Worksheet'!C191</f>
        <v>WS Capital Assets Schedule-Accumulated Depreciation</v>
      </c>
      <c r="C154" s="172" t="str">
        <f>'Unit Data from Audit Worksheet'!D191</f>
        <v>Infrastructure(other infrastructure) accumulated depreciation</v>
      </c>
      <c r="D154" s="304"/>
      <c r="E154" s="553">
        <f>'Unit Data from Audit Worksheet'!F191</f>
        <v>0</v>
      </c>
      <c r="F154" s="144"/>
      <c r="G154" s="210"/>
      <c r="H154" s="138">
        <f>'Unit Data from Audit Worksheet'!I191</f>
        <v>0</v>
      </c>
      <c r="I154" s="501"/>
      <c r="J154" s="134">
        <v>525</v>
      </c>
      <c r="K154" s="196" t="s">
        <v>290</v>
      </c>
      <c r="L154" s="554">
        <f t="shared" si="14"/>
        <v>0</v>
      </c>
      <c r="P154" s="313"/>
      <c r="Q154" s="246"/>
      <c r="R154" s="498"/>
      <c r="W154" s="498" t="b">
        <f t="shared" si="15"/>
        <v>1</v>
      </c>
      <c r="X154" s="581">
        <f t="shared" si="16"/>
        <v>0</v>
      </c>
      <c r="Y154" s="581">
        <f t="shared" si="17"/>
        <v>0</v>
      </c>
      <c r="AA154" s="314"/>
    </row>
    <row r="155" spans="1:27" s="154" customFormat="1" ht="65.25" customHeight="1" x14ac:dyDescent="0.25">
      <c r="A155" s="289">
        <f>'Unit Data from Audit Worksheet'!A192</f>
        <v>526</v>
      </c>
      <c r="B155" s="165" t="str">
        <f>'Unit Data from Audit Worksheet'!C192</f>
        <v>WS Capital Assets Schedule-Accumulated Depreciation</v>
      </c>
      <c r="C155" s="172" t="str">
        <f>'Unit Data from Audit Worksheet'!D192</f>
        <v>All other depreciable capital assets accumulated depreciation</v>
      </c>
      <c r="D155" s="304"/>
      <c r="E155" s="553">
        <f>'Unit Data from Audit Worksheet'!F192</f>
        <v>0</v>
      </c>
      <c r="F155" s="144"/>
      <c r="G155" s="210"/>
      <c r="H155" s="138">
        <f>'Unit Data from Audit Worksheet'!I192</f>
        <v>0</v>
      </c>
      <c r="I155" s="501"/>
      <c r="J155" s="134">
        <v>526</v>
      </c>
      <c r="K155" s="198" t="s">
        <v>291</v>
      </c>
      <c r="L155" s="554">
        <f t="shared" si="14"/>
        <v>0</v>
      </c>
      <c r="P155" s="313"/>
      <c r="Q155" s="246"/>
      <c r="R155" s="498"/>
      <c r="W155" s="498" t="b">
        <f t="shared" si="15"/>
        <v>1</v>
      </c>
      <c r="X155" s="581">
        <f t="shared" si="16"/>
        <v>0</v>
      </c>
      <c r="Y155" s="581">
        <f t="shared" si="17"/>
        <v>0</v>
      </c>
      <c r="AA155" s="314"/>
    </row>
    <row r="156" spans="1:27" s="154" customFormat="1" ht="65.25" customHeight="1" x14ac:dyDescent="0.25">
      <c r="A156" s="289">
        <f>'Unit Data from Audit Worksheet'!A197</f>
        <v>527</v>
      </c>
      <c r="B156" s="165" t="str">
        <f>'Unit Data from Audit Worksheet'!C197</f>
        <v>Electric Assets</v>
      </c>
      <c r="C156" s="172" t="str">
        <f>'Unit Data from Audit Worksheet'!D197</f>
        <v>Total Assets Gross value not being depreciated for Electric Fund</v>
      </c>
      <c r="D156" s="304"/>
      <c r="E156" s="553">
        <f>'Unit Data from Audit Worksheet'!F197</f>
        <v>0</v>
      </c>
      <c r="F156" s="144"/>
      <c r="G156" s="210"/>
      <c r="H156" s="138">
        <f>'Unit Data from Audit Worksheet'!I197</f>
        <v>0</v>
      </c>
      <c r="I156" s="501"/>
      <c r="J156" s="134">
        <v>527</v>
      </c>
      <c r="K156" s="198" t="s">
        <v>292</v>
      </c>
      <c r="L156" s="554">
        <f t="shared" si="14"/>
        <v>0</v>
      </c>
      <c r="P156" s="313"/>
      <c r="Q156" s="246"/>
      <c r="R156" s="498"/>
      <c r="W156" s="498" t="b">
        <f t="shared" si="15"/>
        <v>1</v>
      </c>
      <c r="X156" s="581">
        <f t="shared" si="16"/>
        <v>0</v>
      </c>
      <c r="Y156" s="581">
        <f t="shared" si="17"/>
        <v>0</v>
      </c>
      <c r="AA156" s="314"/>
    </row>
    <row r="157" spans="1:27" s="154" customFormat="1" ht="65.25" customHeight="1" x14ac:dyDescent="0.25">
      <c r="A157" s="289">
        <f>'Unit Data from Audit Worksheet'!A198</f>
        <v>356</v>
      </c>
      <c r="B157" s="165" t="str">
        <f>'Unit Data from Audit Worksheet'!C198</f>
        <v>Electric Assets</v>
      </c>
      <c r="C157" s="172" t="str">
        <f>'Unit Data from Audit Worksheet'!D198</f>
        <v>Total Assets Gross value of assets being depreciated for Electric Fund</v>
      </c>
      <c r="D157" s="304"/>
      <c r="E157" s="553">
        <f>'Unit Data from Audit Worksheet'!F198</f>
        <v>0</v>
      </c>
      <c r="F157" s="144"/>
      <c r="G157" s="210"/>
      <c r="H157" s="138">
        <f>'Unit Data from Audit Worksheet'!I198</f>
        <v>0</v>
      </c>
      <c r="I157" s="501"/>
      <c r="J157" s="134">
        <v>356</v>
      </c>
      <c r="K157" s="199" t="s">
        <v>555</v>
      </c>
      <c r="L157" s="554">
        <f t="shared" si="14"/>
        <v>0</v>
      </c>
      <c r="P157" s="313"/>
      <c r="Q157" s="246"/>
      <c r="R157" s="498"/>
      <c r="W157" s="498" t="b">
        <f t="shared" si="15"/>
        <v>1</v>
      </c>
      <c r="X157" s="581">
        <f t="shared" si="16"/>
        <v>0</v>
      </c>
      <c r="Y157" s="581">
        <f t="shared" si="17"/>
        <v>0</v>
      </c>
      <c r="AA157" s="314"/>
    </row>
    <row r="158" spans="1:27" s="154" customFormat="1" ht="65.25" customHeight="1" x14ac:dyDescent="0.25">
      <c r="A158" s="289">
        <f>'Unit Data from Audit Worksheet'!A199</f>
        <v>357</v>
      </c>
      <c r="B158" s="165" t="str">
        <f>'Unit Data from Audit Worksheet'!C199</f>
        <v>Electric Accumulated Depreciation</v>
      </c>
      <c r="C158" s="172" t="str">
        <f>'Unit Data from Audit Worksheet'!D199</f>
        <v>Total accumulated depreciation for Electric Fund assets</v>
      </c>
      <c r="D158" s="304"/>
      <c r="E158" s="553">
        <f>'Unit Data from Audit Worksheet'!F199</f>
        <v>0</v>
      </c>
      <c r="F158" s="144"/>
      <c r="G158" s="210"/>
      <c r="H158" s="138">
        <f>'Unit Data from Audit Worksheet'!I199</f>
        <v>0</v>
      </c>
      <c r="I158" s="501"/>
      <c r="J158" s="134">
        <v>357</v>
      </c>
      <c r="K158" s="200" t="s">
        <v>556</v>
      </c>
      <c r="L158" s="554">
        <f t="shared" si="14"/>
        <v>0</v>
      </c>
      <c r="P158" s="313"/>
      <c r="Q158" s="246"/>
      <c r="R158" s="498"/>
      <c r="W158" s="498" t="b">
        <f t="shared" si="15"/>
        <v>1</v>
      </c>
      <c r="X158" s="581">
        <f t="shared" si="16"/>
        <v>0</v>
      </c>
      <c r="Y158" s="581">
        <f t="shared" si="17"/>
        <v>0</v>
      </c>
      <c r="AA158" s="314"/>
    </row>
    <row r="159" spans="1:27" s="154" customFormat="1" ht="189" customHeight="1" x14ac:dyDescent="0.25">
      <c r="A159" s="289">
        <f>'Unit Data from Audit Worksheet'!A201</f>
        <v>337</v>
      </c>
      <c r="B159" s="165" t="str">
        <f>'Unit Data from Audit Worksheet'!C201</f>
        <v>Long-Term Liability Note - Governmental Activities</v>
      </c>
      <c r="C159" s="165" t="str">
        <f>'Unit Data from Audit Worksheet'!D201</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59" s="304"/>
      <c r="E159" s="553">
        <f>'Unit Data from Audit Worksheet'!F201</f>
        <v>0</v>
      </c>
      <c r="F159" s="320">
        <f>IF(L159&lt;0,"Error: Enter as a positive.",)</f>
        <v>0</v>
      </c>
      <c r="G159" s="210"/>
      <c r="H159" s="138">
        <f>'Unit Data from Audit Worksheet'!I201</f>
        <v>0</v>
      </c>
      <c r="I159" s="501"/>
      <c r="J159" s="251">
        <v>337</v>
      </c>
      <c r="K159" s="127" t="s">
        <v>257</v>
      </c>
      <c r="L159" s="554">
        <f t="shared" si="14"/>
        <v>0</v>
      </c>
      <c r="P159" s="313"/>
      <c r="Q159" s="246"/>
      <c r="R159" s="498"/>
      <c r="W159" s="498" t="b">
        <f t="shared" si="15"/>
        <v>1</v>
      </c>
      <c r="X159" s="581">
        <f t="shared" si="16"/>
        <v>0</v>
      </c>
      <c r="Y159" s="581">
        <f t="shared" si="17"/>
        <v>0</v>
      </c>
      <c r="AA159" s="314"/>
    </row>
    <row r="160" spans="1:27" s="154" customFormat="1" ht="76.5" customHeight="1" x14ac:dyDescent="0.25">
      <c r="A160" s="289">
        <f>'Unit Data from Audit Worksheet'!A202</f>
        <v>343</v>
      </c>
      <c r="B160" s="165" t="str">
        <f>'Unit Data from Audit Worksheet'!C202</f>
        <v>Long-Term Liability Note - Governmental Activities</v>
      </c>
      <c r="C160" s="153" t="str">
        <f>'Unit Data from Audit Worksheet'!D202</f>
        <v>Decreases made (principal paid) on Long-Term Debt in current fiscal year.  Reduce for debt refunding.</v>
      </c>
      <c r="D160" s="304"/>
      <c r="E160" s="553">
        <f>'Unit Data from Audit Worksheet'!F202</f>
        <v>0</v>
      </c>
      <c r="F160" s="320">
        <f>IF(L160&lt;0,"Error: Enter as a positive.",)</f>
        <v>0</v>
      </c>
      <c r="G160" s="210"/>
      <c r="H160" s="138">
        <f>'Unit Data from Audit Worksheet'!I202</f>
        <v>0</v>
      </c>
      <c r="I160" s="501"/>
      <c r="J160" s="134">
        <v>343</v>
      </c>
      <c r="K160" s="127" t="s">
        <v>258</v>
      </c>
      <c r="L160" s="554">
        <f t="shared" si="14"/>
        <v>0</v>
      </c>
      <c r="P160" s="313"/>
      <c r="Q160" s="246"/>
      <c r="R160" s="498"/>
      <c r="W160" s="498" t="b">
        <f t="shared" si="15"/>
        <v>1</v>
      </c>
      <c r="X160" s="581">
        <f t="shared" si="16"/>
        <v>0</v>
      </c>
      <c r="Y160" s="581">
        <f t="shared" si="17"/>
        <v>0</v>
      </c>
      <c r="AA160" s="314"/>
    </row>
    <row r="161" spans="1:27" s="154" customFormat="1" ht="181.5" customHeight="1" x14ac:dyDescent="0.25">
      <c r="A161" s="289">
        <f>'Unit Data from Audit Worksheet'!A203</f>
        <v>82</v>
      </c>
      <c r="B161" s="165" t="str">
        <f>'Unit Data from Audit Worksheet'!C203</f>
        <v>Long-Term Liability Note - Water Sewer Activities</v>
      </c>
      <c r="C161" s="165" t="str">
        <f>'Unit Data from Audit Worksheet'!D203</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1" s="304"/>
      <c r="E161" s="553">
        <f>'Unit Data from Audit Worksheet'!F203</f>
        <v>0</v>
      </c>
      <c r="F161" s="320">
        <f>IF(L161&lt;0,"Error: Enter as a positive.",)</f>
        <v>0</v>
      </c>
      <c r="G161" s="210"/>
      <c r="H161" s="138">
        <f>'Unit Data from Audit Worksheet'!I203</f>
        <v>0</v>
      </c>
      <c r="I161" s="501"/>
      <c r="J161" s="134">
        <v>82</v>
      </c>
      <c r="K161" s="201" t="s">
        <v>557</v>
      </c>
      <c r="L161" s="554">
        <f t="shared" si="14"/>
        <v>0</v>
      </c>
      <c r="P161" s="313"/>
      <c r="Q161" s="246"/>
      <c r="R161" s="498"/>
      <c r="W161" s="498" t="b">
        <f t="shared" si="15"/>
        <v>1</v>
      </c>
      <c r="X161" s="581">
        <f t="shared" si="16"/>
        <v>0</v>
      </c>
      <c r="Y161" s="581">
        <f t="shared" si="17"/>
        <v>0</v>
      </c>
      <c r="AA161" s="314"/>
    </row>
    <row r="162" spans="1:27" ht="206.25" customHeight="1" x14ac:dyDescent="0.25">
      <c r="A162" s="289">
        <f>'Unit Data from Audit Worksheet'!A204</f>
        <v>359</v>
      </c>
      <c r="B162" s="165" t="str">
        <f>'Unit Data from Audit Worksheet'!C204</f>
        <v>Long-Term Liability Note - Electric Activities</v>
      </c>
      <c r="C162" s="165" t="str">
        <f>'Unit Data from Audit Worksheet'!D204</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62" s="304"/>
      <c r="E162" s="553">
        <f>'Unit Data from Audit Worksheet'!F204</f>
        <v>0</v>
      </c>
      <c r="F162" s="320">
        <f>IF(L162&lt;0,"Error: Enter as a positive.",)</f>
        <v>0</v>
      </c>
      <c r="G162" s="210"/>
      <c r="H162" s="138">
        <f>'Unit Data from Audit Worksheet'!I204</f>
        <v>0</v>
      </c>
      <c r="I162" s="501"/>
      <c r="J162" s="134">
        <v>359</v>
      </c>
      <c r="K162" s="127" t="s">
        <v>259</v>
      </c>
      <c r="L162" s="554">
        <f t="shared" si="14"/>
        <v>0</v>
      </c>
      <c r="P162" s="313"/>
      <c r="R162" s="498"/>
      <c r="W162" s="498" t="b">
        <f t="shared" si="15"/>
        <v>1</v>
      </c>
      <c r="X162" s="581">
        <f t="shared" si="16"/>
        <v>0</v>
      </c>
      <c r="Y162" s="581">
        <f t="shared" si="17"/>
        <v>0</v>
      </c>
      <c r="AA162" s="314"/>
    </row>
    <row r="163" spans="1:27" ht="75.75" customHeight="1" x14ac:dyDescent="0.25">
      <c r="A163" s="289">
        <f>'Unit Data from Audit Worksheet'!A206</f>
        <v>622</v>
      </c>
      <c r="B163" s="323" t="str">
        <f>'Unit Data from Audit Worksheet'!C206</f>
        <v>FS., Pension note or RSI</v>
      </c>
      <c r="C163" s="323" t="str">
        <f>'Unit Data from Audit Worksheet'!D206</f>
        <v xml:space="preserve">Unit's Share of Net Pension Liability ($s)
- unit of government is a participating employer in the State's TSERS (Teachers' and State Employees' Retirement System) or the LGERS (Local Governmental Employees' Retirement System).  </v>
      </c>
      <c r="D163" s="304"/>
      <c r="E163" s="553">
        <f>'Unit Data from Audit Worksheet'!F206</f>
        <v>0</v>
      </c>
      <c r="F163" s="320"/>
      <c r="G163" s="324"/>
      <c r="H163" s="318"/>
      <c r="I163" s="501"/>
      <c r="J163" s="328">
        <v>622</v>
      </c>
      <c r="K163" s="256" t="s">
        <v>732</v>
      </c>
      <c r="L163" s="554">
        <f t="shared" si="14"/>
        <v>0</v>
      </c>
      <c r="P163" s="313"/>
      <c r="R163" s="498"/>
      <c r="W163" s="498" t="b">
        <f t="shared" si="15"/>
        <v>1</v>
      </c>
      <c r="X163" s="581">
        <f t="shared" si="16"/>
        <v>0</v>
      </c>
      <c r="Y163" s="581">
        <f t="shared" si="17"/>
        <v>0</v>
      </c>
      <c r="AA163" s="314"/>
    </row>
    <row r="164" spans="1:27" ht="152.25" customHeight="1" x14ac:dyDescent="0.25">
      <c r="A164" s="289">
        <f>'Unit Data from Audit Worksheet'!A207</f>
        <v>577</v>
      </c>
      <c r="B164" s="253" t="str">
        <f>'Unit Data from Audit Worksheet'!C207</f>
        <v>Pension Notes</v>
      </c>
      <c r="C164" s="253" t="str">
        <f>'Unit Data from Audit Worksheet'!D207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164" s="304"/>
      <c r="E164" s="553" t="str">
        <f>IF('Unit Data from Audit Worksheet'!F207="Yes",1,IF('Unit Data from Audit Worksheet'!F207="No",2,IF('Unit Data from Audit Worksheet'!F207&lt;1,"",IF('Unit Data from Audit Worksheet'!F207=0&gt;2,""))))</f>
        <v/>
      </c>
      <c r="F164" s="249"/>
      <c r="G164" s="245"/>
      <c r="H164" s="138"/>
      <c r="I164" s="501"/>
      <c r="J164" s="251">
        <v>577</v>
      </c>
      <c r="K164" s="231" t="s">
        <v>616</v>
      </c>
      <c r="L164" s="554" t="str">
        <f t="shared" si="14"/>
        <v/>
      </c>
      <c r="P164" s="313"/>
      <c r="R164" s="498"/>
      <c r="W164" s="498" t="b">
        <f t="shared" si="15"/>
        <v>1</v>
      </c>
      <c r="X164" s="581" t="e">
        <f t="shared" si="16"/>
        <v>#VALUE!</v>
      </c>
      <c r="Y164" s="581" t="e">
        <f t="shared" si="17"/>
        <v>#VALUE!</v>
      </c>
      <c r="AA164" s="314"/>
    </row>
    <row r="165" spans="1:27" ht="88.5" customHeight="1" x14ac:dyDescent="0.25">
      <c r="A165" s="723">
        <f>'Unit Data from Audit Worksheet'!A209</f>
        <v>598</v>
      </c>
      <c r="B165" s="253" t="str">
        <f>'Unit Data from Audit Worksheet'!C209</f>
        <v>LEO Note</v>
      </c>
      <c r="C165" s="252" t="str">
        <f>'Unit Data from Audit Worksheet'!D209</f>
        <v>Amount the unit paid out in benefits under LEO special separation allowance to retired law enforcement officers this fiscal year if you report under GASB 68 or GASB 73.</v>
      </c>
      <c r="D165" s="304"/>
      <c r="E165" s="553">
        <f>'Unit Data from Audit Worksheet'!F209</f>
        <v>0</v>
      </c>
      <c r="F165" s="320">
        <f>IF(L165&lt;0,"Error: Enter as a positive.",)</f>
        <v>0</v>
      </c>
      <c r="G165" s="210"/>
      <c r="H165" s="138">
        <f>'Unit Data from Audit Worksheet'!I209</f>
        <v>0</v>
      </c>
      <c r="I165" s="501"/>
      <c r="J165" s="525">
        <v>598</v>
      </c>
      <c r="K165" s="264" t="s">
        <v>686</v>
      </c>
      <c r="L165" s="554">
        <f t="shared" si="14"/>
        <v>0</v>
      </c>
      <c r="P165" s="313"/>
      <c r="R165" s="498"/>
      <c r="W165" s="498" t="b">
        <f t="shared" si="15"/>
        <v>1</v>
      </c>
      <c r="X165" s="581">
        <f t="shared" si="16"/>
        <v>0</v>
      </c>
      <c r="Y165" s="581">
        <f t="shared" si="17"/>
        <v>0</v>
      </c>
      <c r="AA165" s="314"/>
    </row>
    <row r="166" spans="1:27" s="46" customFormat="1" ht="66" customHeight="1" x14ac:dyDescent="0.25">
      <c r="A166" s="289">
        <f>'Unit Data from Audit Worksheet'!A210</f>
        <v>599</v>
      </c>
      <c r="B166" s="253" t="str">
        <f>'Unit Data from Audit Worksheet'!C210</f>
        <v>LEO Note</v>
      </c>
      <c r="C166" s="252" t="str">
        <f>'Unit Data from Audit Worksheet'!D210</f>
        <v>The total LEO pension liability if you report under GASB 68 or GASB 73.</v>
      </c>
      <c r="D166" s="304"/>
      <c r="E166" s="553">
        <f>'Unit Data from Audit Worksheet'!F210</f>
        <v>0</v>
      </c>
      <c r="F166" s="320">
        <f>IF(L166&lt;0,"Error: Enter as a positive.",)</f>
        <v>0</v>
      </c>
      <c r="G166" s="245"/>
      <c r="H166" s="138">
        <f>'Unit Data from Audit Worksheet'!I210</f>
        <v>0</v>
      </c>
      <c r="I166" s="501"/>
      <c r="J166" s="251">
        <v>599</v>
      </c>
      <c r="K166" s="263" t="s">
        <v>685</v>
      </c>
      <c r="L166" s="554">
        <f t="shared" si="14"/>
        <v>0</v>
      </c>
      <c r="M166" s="38"/>
      <c r="P166" s="313"/>
      <c r="Q166" s="246"/>
      <c r="R166" s="498"/>
      <c r="W166" s="498" t="b">
        <f t="shared" si="15"/>
        <v>1</v>
      </c>
      <c r="X166" s="581">
        <f t="shared" si="16"/>
        <v>0</v>
      </c>
      <c r="Y166" s="581">
        <f t="shared" si="17"/>
        <v>0</v>
      </c>
      <c r="AA166" s="314"/>
    </row>
    <row r="167" spans="1:27" s="46" customFormat="1" ht="103.5" customHeight="1" x14ac:dyDescent="0.25">
      <c r="A167" s="289">
        <f>'Unit Data from Audit Worksheet'!A211</f>
        <v>602</v>
      </c>
      <c r="B167" s="253" t="str">
        <f>'Unit Data from Audit Worksheet'!C211</f>
        <v>LEO Note</v>
      </c>
      <c r="C167" s="252" t="str">
        <f>'Unit Data from Audit Worksheet'!D211</f>
        <v>If you have LEO pension assets and are reporting under GASB 68 please enter "Plan Fiduciary Net Position" which can be found on your RSI schedules and the Notes.</v>
      </c>
      <c r="D167" s="304"/>
      <c r="E167" s="553">
        <f>'Unit Data from Audit Worksheet'!F211</f>
        <v>0</v>
      </c>
      <c r="F167" s="320">
        <f>IF(L167&lt;0,"Error: Enter as a positive.",)</f>
        <v>0</v>
      </c>
      <c r="G167" s="245"/>
      <c r="H167" s="138">
        <f>'Unit Data from Audit Worksheet'!I211</f>
        <v>0</v>
      </c>
      <c r="I167" s="501"/>
      <c r="J167" s="251">
        <v>602</v>
      </c>
      <c r="K167" s="261" t="s">
        <v>687</v>
      </c>
      <c r="L167" s="554">
        <f t="shared" si="14"/>
        <v>0</v>
      </c>
      <c r="M167" s="38"/>
      <c r="P167" s="313"/>
      <c r="Q167" s="246"/>
      <c r="R167" s="498"/>
      <c r="W167" s="498" t="b">
        <f t="shared" si="15"/>
        <v>1</v>
      </c>
      <c r="X167" s="581">
        <f t="shared" si="16"/>
        <v>0</v>
      </c>
      <c r="Y167" s="581">
        <f t="shared" si="17"/>
        <v>0</v>
      </c>
      <c r="AA167" s="314"/>
    </row>
    <row r="168" spans="1:27" s="154" customFormat="1" ht="120" customHeight="1" x14ac:dyDescent="0.25">
      <c r="A168" s="289">
        <f>'Unit Data from Audit Worksheet'!A212</f>
        <v>619</v>
      </c>
      <c r="B168" s="253" t="str">
        <f>'Unit Data from Audit Worksheet'!C212</f>
        <v>LEO
RSI</v>
      </c>
      <c r="C168" s="278" t="str">
        <f>'Unit Data from Audit Worksheet'!D212</f>
        <v>LEOSSA – What is the plan’s fiduciary net position as a percentage of the total pension liability?  Please enter as percentage value; for example, 83.5% should be entered as 83.5.  If assets have not been set aside in a trust, please enter 0.0</v>
      </c>
      <c r="D168" s="265"/>
      <c r="E168" s="750">
        <f>'Unit Data from Audit Worksheet'!F212</f>
        <v>0</v>
      </c>
      <c r="F168" s="249" t="str">
        <f>IF(H168=L168,"","Column L does not equal Column H")</f>
        <v/>
      </c>
      <c r="G168" s="245"/>
      <c r="H168" s="291">
        <f>ROUND(IFERROR((L167/L166)*100,0),1)</f>
        <v>0</v>
      </c>
      <c r="I168" s="501"/>
      <c r="J168" s="289">
        <v>619</v>
      </c>
      <c r="K168" s="290" t="s">
        <v>1093</v>
      </c>
      <c r="L168" s="751">
        <f t="shared" si="14"/>
        <v>0</v>
      </c>
      <c r="M168" s="38"/>
      <c r="P168" s="313"/>
      <c r="Q168" s="586">
        <f>IF(H168=L168,0,1)</f>
        <v>0</v>
      </c>
      <c r="R168" s="498"/>
      <c r="W168" s="498" t="b">
        <f t="shared" si="15"/>
        <v>1</v>
      </c>
      <c r="X168" s="581">
        <f t="shared" si="16"/>
        <v>0</v>
      </c>
      <c r="Y168" s="581">
        <f t="shared" si="17"/>
        <v>0</v>
      </c>
      <c r="AA168" s="314"/>
    </row>
    <row r="169" spans="1:27" s="239" customFormat="1" ht="113.25" customHeight="1" x14ac:dyDescent="0.25">
      <c r="A169" s="289">
        <v>621</v>
      </c>
      <c r="B169" s="174" t="s">
        <v>719</v>
      </c>
      <c r="C169" s="375" t="str">
        <f>'Unit Data from Audit Worksheet'!D214</f>
        <v>Unit's share of RHBF Net OPEB Liability ($s)
- unit of government is a participating employer in the State's RHBF (Retiree Health Benefit Fund)</v>
      </c>
      <c r="D169" s="265"/>
      <c r="E169" s="553">
        <f>'Unit Data from Audit Worksheet'!F214</f>
        <v>0</v>
      </c>
      <c r="F169" s="320">
        <f>IF(L169&lt;0,"Error: Enter as a positive.",)</f>
        <v>0</v>
      </c>
      <c r="G169" s="377"/>
      <c r="H169" s="318"/>
      <c r="I169" s="501"/>
      <c r="J169" s="376">
        <v>621</v>
      </c>
      <c r="K169" s="378" t="s">
        <v>1099</v>
      </c>
      <c r="L169" s="554">
        <f t="shared" si="14"/>
        <v>0</v>
      </c>
      <c r="M169" s="38"/>
      <c r="P169" s="313"/>
      <c r="Q169"/>
      <c r="R169" s="498"/>
      <c r="W169" s="498" t="b">
        <f t="shared" si="15"/>
        <v>1</v>
      </c>
      <c r="X169" s="581">
        <f t="shared" si="16"/>
        <v>0</v>
      </c>
      <c r="Y169" s="581">
        <f t="shared" si="17"/>
        <v>0</v>
      </c>
      <c r="AA169" s="314"/>
    </row>
    <row r="170" spans="1:27" s="3" customFormat="1" ht="147.75" customHeight="1" x14ac:dyDescent="0.25">
      <c r="A170" s="723">
        <f>'Unit Data from Audit Worksheet'!A215</f>
        <v>547</v>
      </c>
      <c r="B170" s="165" t="str">
        <f>'Unit Data from Audit Worksheet'!C215</f>
        <v>OPEB Note</v>
      </c>
      <c r="C170" s="165" t="str">
        <f>'Unit Data from Audit Worksheet'!D215</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170" s="304"/>
      <c r="E170" s="553">
        <f>'Unit Data from Audit Worksheet'!F215</f>
        <v>0</v>
      </c>
      <c r="F170" s="145" t="str">
        <f>IF(L173&lt;1,"Please answer this question","")</f>
        <v>Please answer this question</v>
      </c>
      <c r="G170" s="210"/>
      <c r="H170" s="138">
        <f>'Unit Data from Audit Worksheet'!I215</f>
        <v>0</v>
      </c>
      <c r="I170" s="501"/>
      <c r="J170" s="134">
        <v>547</v>
      </c>
      <c r="K170" s="182" t="s">
        <v>544</v>
      </c>
      <c r="L170" s="554">
        <f t="shared" si="14"/>
        <v>0</v>
      </c>
      <c r="M170" s="37"/>
      <c r="P170" s="313"/>
      <c r="Q170" s="246"/>
      <c r="R170" s="498"/>
      <c r="W170" s="498" t="b">
        <f t="shared" si="15"/>
        <v>1</v>
      </c>
      <c r="X170" s="581">
        <f t="shared" si="16"/>
        <v>0</v>
      </c>
      <c r="Y170" s="581">
        <f t="shared" si="17"/>
        <v>0</v>
      </c>
      <c r="AA170" s="314"/>
    </row>
    <row r="171" spans="1:27" s="240" customFormat="1" ht="100.5" customHeight="1" x14ac:dyDescent="0.25">
      <c r="A171" s="724">
        <f>'Unit Data from Audit Worksheet'!A216</f>
        <v>659</v>
      </c>
      <c r="B171" s="262" t="str">
        <f>'Unit Data from Audit Worksheet'!C216</f>
        <v>OPEB
 Note or RSI</v>
      </c>
      <c r="C171" s="524" t="str">
        <f>'Unit Data from Audit Worksheet'!D216</f>
        <v>Total OPEB benefits - total OPEB liability
If you do not provide benefit, please enter 0</v>
      </c>
      <c r="D171" s="304"/>
      <c r="E171" s="556">
        <f>'Unit Data from Audit Worksheet'!F216</f>
        <v>0</v>
      </c>
      <c r="F171" s="274">
        <f>IF(L171&lt;0,"Error: Enter as a positive.",)</f>
        <v>0</v>
      </c>
      <c r="G171" s="747" t="s">
        <v>1100</v>
      </c>
      <c r="H171" s="275">
        <f>'Unit Data from Audit Worksheet'!I216</f>
        <v>0</v>
      </c>
      <c r="I171" s="501"/>
      <c r="J171" s="724">
        <v>659</v>
      </c>
      <c r="K171" s="516" t="s">
        <v>888</v>
      </c>
      <c r="L171" s="546">
        <f t="shared" si="14"/>
        <v>0</v>
      </c>
      <c r="M171" s="37"/>
      <c r="P171" s="313"/>
      <c r="Q171" s="246"/>
      <c r="R171" s="498"/>
      <c r="W171" s="498" t="b">
        <f t="shared" si="15"/>
        <v>1</v>
      </c>
      <c r="X171" s="581">
        <f t="shared" si="16"/>
        <v>0</v>
      </c>
      <c r="Y171" s="581">
        <f t="shared" si="17"/>
        <v>0</v>
      </c>
      <c r="AA171" s="314"/>
    </row>
    <row r="172" spans="1:27" s="240" customFormat="1" ht="106.5" customHeight="1" x14ac:dyDescent="0.25">
      <c r="A172" s="719">
        <f>'Unit Data from Audit Worksheet'!A217</f>
        <v>660</v>
      </c>
      <c r="B172" s="262" t="str">
        <f>'Unit Data from Audit Worksheet'!C217</f>
        <v>OPEB
 Note or RSI</v>
      </c>
      <c r="C172" s="372" t="str">
        <f>'Unit Data from Audit Worksheet'!D217</f>
        <v>Total OPEB benefits- OPEB plan fiduciary net position
If no fiduciary net position, enter 0</v>
      </c>
      <c r="D172" s="304"/>
      <c r="E172" s="556">
        <f>'Unit Data from Audit Worksheet'!F217</f>
        <v>0</v>
      </c>
      <c r="F172" s="360">
        <f>IF(L172&lt;0,"Note: Number is normally positive.",)</f>
        <v>0</v>
      </c>
      <c r="G172" s="747" t="s">
        <v>1100</v>
      </c>
      <c r="H172" s="275">
        <f>'Unit Data from Audit Worksheet'!I217</f>
        <v>0</v>
      </c>
      <c r="I172" s="501"/>
      <c r="J172" s="719">
        <v>660</v>
      </c>
      <c r="K172" s="516" t="s">
        <v>889</v>
      </c>
      <c r="L172" s="546">
        <f t="shared" si="14"/>
        <v>0</v>
      </c>
      <c r="M172" s="37"/>
      <c r="P172" s="313"/>
      <c r="Q172" s="246"/>
      <c r="R172" s="498"/>
      <c r="W172" s="498" t="b">
        <f t="shared" si="15"/>
        <v>1</v>
      </c>
      <c r="X172" s="581">
        <f t="shared" si="16"/>
        <v>0</v>
      </c>
      <c r="Y172" s="581">
        <f t="shared" si="17"/>
        <v>0</v>
      </c>
      <c r="AA172" s="314"/>
    </row>
    <row r="173" spans="1:27" s="15" customFormat="1" ht="129" customHeight="1" x14ac:dyDescent="0.25">
      <c r="A173" s="719">
        <f>'Unit Data from Audit Worksheet'!A218</f>
        <v>661</v>
      </c>
      <c r="B173" s="262" t="str">
        <f>'Unit Data from Audit Worksheet'!C218</f>
        <v>OPEB
RSI</v>
      </c>
      <c r="C173" s="372" t="str">
        <f>'Unit Data from Audit Worksheet'!D218</f>
        <v>Total OPEB benefits - What is the plan’s fiduciary net position as a percentage of the total OPEB liability?  Please enter as percentage value; for example, 83.5% should be entered as 83.5.  If assets have not been set aside in a trust, please enter 0.0</v>
      </c>
      <c r="D173" s="265"/>
      <c r="E173" s="748">
        <f>'Unit Data from Audit Worksheet'!F218</f>
        <v>0</v>
      </c>
      <c r="F173" s="274" t="str">
        <f>IF(H173=L173,"","Column L does not equal Column H")</f>
        <v/>
      </c>
      <c r="G173" s="747" t="s">
        <v>1100</v>
      </c>
      <c r="H173" s="743">
        <f>ROUND(IFERROR((L172/L171)*100,0),1)</f>
        <v>0</v>
      </c>
      <c r="I173" s="501"/>
      <c r="J173" s="719">
        <v>661</v>
      </c>
      <c r="K173" s="514" t="s">
        <v>931</v>
      </c>
      <c r="L173" s="749">
        <f t="shared" si="14"/>
        <v>0</v>
      </c>
      <c r="P173" s="313"/>
      <c r="Q173" s="266">
        <f>IF(H173=L173,0,1)</f>
        <v>0</v>
      </c>
      <c r="R173" s="498"/>
      <c r="W173" s="498" t="b">
        <f t="shared" si="15"/>
        <v>1</v>
      </c>
      <c r="X173" s="581">
        <f t="shared" si="16"/>
        <v>0</v>
      </c>
      <c r="Y173" s="581">
        <f t="shared" si="17"/>
        <v>0</v>
      </c>
      <c r="AA173" s="314"/>
    </row>
    <row r="174" spans="1:27" s="239" customFormat="1" ht="59.25" customHeight="1" x14ac:dyDescent="0.25">
      <c r="A174" s="289">
        <f>'Unit Data from Audit Worksheet'!A221</f>
        <v>371</v>
      </c>
      <c r="B174" s="165" t="str">
        <f>'Unit Data from Audit Worksheet'!C221</f>
        <v>Transfer Note</v>
      </c>
      <c r="C174" s="153" t="str">
        <f>'Unit Data from Audit Worksheet'!D221</f>
        <v>Amount of Transfers from the General Fund to the Debt Service Fund (Enter as positive)</v>
      </c>
      <c r="D174" s="304"/>
      <c r="E174" s="553">
        <f>'Unit Data from Audit Worksheet'!F221</f>
        <v>0</v>
      </c>
      <c r="F174" s="320">
        <f>IF(L174&lt;0,"Error: Enter as a positive.",)</f>
        <v>0</v>
      </c>
      <c r="G174" s="210"/>
      <c r="H174" s="138">
        <f>'Unit Data from Audit Worksheet'!I221</f>
        <v>0</v>
      </c>
      <c r="I174" s="129"/>
      <c r="J174" s="131">
        <v>371</v>
      </c>
      <c r="K174" s="127" t="s">
        <v>265</v>
      </c>
      <c r="L174" s="554">
        <f t="shared" si="14"/>
        <v>0</v>
      </c>
      <c r="P174" s="313"/>
      <c r="R174" s="498"/>
      <c r="W174" s="498" t="b">
        <f t="shared" si="15"/>
        <v>1</v>
      </c>
      <c r="X174" s="581">
        <f t="shared" si="16"/>
        <v>0</v>
      </c>
      <c r="Y174" s="581">
        <f t="shared" si="17"/>
        <v>0</v>
      </c>
      <c r="AA174" s="314"/>
    </row>
    <row r="175" spans="1:27" ht="61.5" customHeight="1" x14ac:dyDescent="0.25">
      <c r="A175" s="289">
        <f>'Unit Data from Audit Worksheet'!A222</f>
        <v>513</v>
      </c>
      <c r="B175" s="165" t="str">
        <f>'Unit Data from Audit Worksheet'!C222</f>
        <v>Transfer Note</v>
      </c>
      <c r="C175" s="153" t="str">
        <f>'Unit Data from Audit Worksheet'!D222</f>
        <v>Amount of Transfers from the General Fund to the Electric Fund  (Enter as positive)</v>
      </c>
      <c r="D175" s="304"/>
      <c r="E175" s="553">
        <f>'Unit Data from Audit Worksheet'!F222</f>
        <v>0</v>
      </c>
      <c r="F175" s="320">
        <f>IF(L175&lt;0,"Error: Enter as a positive.",)</f>
        <v>0</v>
      </c>
      <c r="G175" s="210"/>
      <c r="H175" s="138">
        <f>'Unit Data from Audit Worksheet'!I222</f>
        <v>0</v>
      </c>
      <c r="I175" s="501"/>
      <c r="J175" s="134">
        <v>513</v>
      </c>
      <c r="K175" s="127" t="s">
        <v>266</v>
      </c>
      <c r="L175" s="554">
        <f t="shared" si="14"/>
        <v>0</v>
      </c>
      <c r="P175" s="313"/>
      <c r="R175" s="498"/>
      <c r="W175" s="498" t="b">
        <f t="shared" si="15"/>
        <v>1</v>
      </c>
      <c r="X175" s="581">
        <f t="shared" si="16"/>
        <v>0</v>
      </c>
      <c r="Y175" s="581">
        <f t="shared" si="17"/>
        <v>0</v>
      </c>
      <c r="AA175" s="314"/>
    </row>
    <row r="176" spans="1:27" ht="77.25" customHeight="1" x14ac:dyDescent="0.25">
      <c r="A176" s="289">
        <f>'Unit Data from Audit Worksheet'!A223</f>
        <v>514</v>
      </c>
      <c r="B176" s="165" t="str">
        <f>'Unit Data from Audit Worksheet'!C223</f>
        <v>Transfer Note</v>
      </c>
      <c r="C176" s="153" t="str">
        <f>'Unit Data from Audit Worksheet'!D223</f>
        <v>Amount of Transfers from the Electric Fund to the General Fund  (Enter as positive)
Include:  Payment in Lieu of Taxes (PILOT)</v>
      </c>
      <c r="D176" s="304"/>
      <c r="E176" s="553">
        <f>'Unit Data from Audit Worksheet'!F223</f>
        <v>0</v>
      </c>
      <c r="F176" s="320">
        <f>IF(L176&lt;0,"Error: Enter as a positive.",)</f>
        <v>0</v>
      </c>
      <c r="G176" s="210"/>
      <c r="H176" s="138">
        <f>'Unit Data from Audit Worksheet'!I223</f>
        <v>0</v>
      </c>
      <c r="I176" s="501"/>
      <c r="J176" s="134">
        <v>514</v>
      </c>
      <c r="K176" s="127" t="s">
        <v>267</v>
      </c>
      <c r="L176" s="554">
        <f t="shared" si="14"/>
        <v>0</v>
      </c>
      <c r="P176" s="313"/>
      <c r="R176" s="498"/>
      <c r="W176" s="498" t="b">
        <f t="shared" si="15"/>
        <v>1</v>
      </c>
      <c r="X176" s="581">
        <f t="shared" si="16"/>
        <v>0</v>
      </c>
      <c r="Y176" s="581">
        <f t="shared" si="17"/>
        <v>0</v>
      </c>
      <c r="AA176" s="314"/>
    </row>
    <row r="177" spans="1:27" ht="79.5" customHeight="1" x14ac:dyDescent="0.25">
      <c r="A177" s="725">
        <f>'Unit Data from Audit Worksheet'!A225</f>
        <v>6</v>
      </c>
      <c r="B177" s="166" t="str">
        <f>'Unit Data from Audit Worksheet'!C225</f>
        <v>Fund Balance Note</v>
      </c>
      <c r="C177" s="148" t="str">
        <f>'Unit Data from Audit Worksheet'!D225</f>
        <v>General Fund -  Total Encumbrances.  You will probably have to refer to the note disclosure where the amount of encumbrances is listed.</v>
      </c>
      <c r="D177" s="304"/>
      <c r="E177" s="558">
        <f>'Unit Data from Audit Worksheet'!F225</f>
        <v>0</v>
      </c>
      <c r="F177" s="128">
        <f>IF(L177&lt;0,"Error: Enter as a positive.",)</f>
        <v>0</v>
      </c>
      <c r="G177" s="211"/>
      <c r="H177" s="138">
        <f>'Unit Data from Audit Worksheet'!I225</f>
        <v>0</v>
      </c>
      <c r="I177" s="501"/>
      <c r="J177" s="133">
        <v>6</v>
      </c>
      <c r="K177" s="467" t="s">
        <v>268</v>
      </c>
      <c r="L177" s="554">
        <f t="shared" si="14"/>
        <v>0</v>
      </c>
      <c r="P177" s="313"/>
      <c r="R177" s="498"/>
      <c r="W177" s="498" t="b">
        <f t="shared" si="15"/>
        <v>1</v>
      </c>
      <c r="X177" s="581">
        <f t="shared" si="16"/>
        <v>0</v>
      </c>
      <c r="Y177" s="581">
        <f t="shared" si="17"/>
        <v>0</v>
      </c>
      <c r="AA177" s="314"/>
    </row>
    <row r="178" spans="1:27" ht="109.5" customHeight="1" x14ac:dyDescent="0.25">
      <c r="A178" s="289">
        <f>'Unit Data from Audit Worksheet'!A227</f>
        <v>541</v>
      </c>
      <c r="B178" s="165" t="str">
        <f>'Unit Data from Audit Worksheet'!C227</f>
        <v>Water Sewer - Budget Actual Statement</v>
      </c>
      <c r="C178" s="165" t="str">
        <f>'Unit Data from Audit Worksheet'!D227</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78" s="304"/>
      <c r="E178" s="553">
        <f>'Unit Data from Audit Worksheet'!F227</f>
        <v>0</v>
      </c>
      <c r="F178" s="145"/>
      <c r="G178" s="210"/>
      <c r="H178" s="138">
        <f>'Unit Data from Audit Worksheet'!I227</f>
        <v>0</v>
      </c>
      <c r="I178" s="501"/>
      <c r="J178" s="134">
        <v>541</v>
      </c>
      <c r="K178" s="202" t="s">
        <v>558</v>
      </c>
      <c r="L178" s="554">
        <f t="shared" si="14"/>
        <v>0</v>
      </c>
      <c r="P178" s="313"/>
      <c r="R178" s="498"/>
      <c r="W178" s="498" t="b">
        <f t="shared" si="15"/>
        <v>1</v>
      </c>
      <c r="X178" s="581">
        <f t="shared" si="16"/>
        <v>0</v>
      </c>
      <c r="Y178" s="581">
        <f t="shared" si="17"/>
        <v>0</v>
      </c>
      <c r="AA178" s="314"/>
    </row>
    <row r="179" spans="1:27" ht="82.5" customHeight="1" x14ac:dyDescent="0.25">
      <c r="A179" s="289">
        <f>'Unit Data from Audit Worksheet'!A229</f>
        <v>542</v>
      </c>
      <c r="B179" s="323" t="str">
        <f>'Unit Data from Audit Worksheet'!C229</f>
        <v>Water Sewer - Disclosed in the Notes or in the recently approved Budget for next year.</v>
      </c>
      <c r="C179" s="172" t="str">
        <f>'Unit Data from Audit Worksheet'!D229</f>
        <v>Amount of the Water Sewer Fund Balance appropriated in next year's budget?</v>
      </c>
      <c r="D179" s="304"/>
      <c r="E179" s="553">
        <f>'Unit Data from Audit Worksheet'!F229</f>
        <v>0</v>
      </c>
      <c r="F179" s="145"/>
      <c r="G179" s="210"/>
      <c r="H179" s="318">
        <f>'Unit Data from Audit Worksheet'!I229</f>
        <v>0</v>
      </c>
      <c r="I179" s="501"/>
      <c r="J179" s="134">
        <v>542</v>
      </c>
      <c r="K179" s="127" t="s">
        <v>269</v>
      </c>
      <c r="L179" s="554">
        <f t="shared" si="14"/>
        <v>0</v>
      </c>
      <c r="N179" s="180" t="s">
        <v>549</v>
      </c>
      <c r="P179" s="313"/>
      <c r="R179" s="498"/>
      <c r="W179" s="498" t="b">
        <f t="shared" si="15"/>
        <v>1</v>
      </c>
      <c r="X179" s="581">
        <f t="shared" si="16"/>
        <v>0</v>
      </c>
      <c r="Y179" s="581">
        <f t="shared" si="17"/>
        <v>0</v>
      </c>
      <c r="AA179" s="314"/>
    </row>
    <row r="180" spans="1:27" ht="92.25" customHeight="1" x14ac:dyDescent="0.25">
      <c r="A180" s="289">
        <f>'Unit Data from Audit Worksheet'!A232</f>
        <v>528</v>
      </c>
      <c r="B180" s="165" t="str">
        <f>'Unit Data from Audit Worksheet'!C232</f>
        <v>Analysis of Current Tax Levy Schedule</v>
      </c>
      <c r="C180" s="172" t="str">
        <f>'Unit Data from Audit Worksheet'!D232</f>
        <v>Please enter the Net Current year's levy for property excluding registered motor vehicles-- (after adjusting for discoveries and abatements)
Exclude Supplemental Taxes</v>
      </c>
      <c r="D180" s="304"/>
      <c r="E180" s="553">
        <f>'Unit Data from Audit Worksheet'!F232</f>
        <v>0</v>
      </c>
      <c r="F180" s="234" t="str">
        <f>IF(L180=0,"Must be completed if unit levys taxes","")</f>
        <v>Must be completed if unit levys taxes</v>
      </c>
      <c r="G180" s="210"/>
      <c r="H180" s="138"/>
      <c r="I180" s="501"/>
      <c r="J180" s="134">
        <v>528</v>
      </c>
      <c r="K180" s="203" t="s">
        <v>274</v>
      </c>
      <c r="L180" s="554">
        <f t="shared" si="14"/>
        <v>0</v>
      </c>
      <c r="N180" s="235"/>
      <c r="P180" s="313"/>
      <c r="R180" s="498"/>
      <c r="W180" s="498" t="b">
        <f t="shared" si="15"/>
        <v>1</v>
      </c>
      <c r="X180" s="581">
        <f t="shared" si="16"/>
        <v>0</v>
      </c>
      <c r="Y180" s="581">
        <f t="shared" si="17"/>
        <v>0</v>
      </c>
      <c r="AA180" s="314"/>
    </row>
    <row r="181" spans="1:27" s="3" customFormat="1" ht="84.75" customHeight="1" x14ac:dyDescent="0.25">
      <c r="A181" s="289">
        <f>'Unit Data from Audit Worksheet'!A233</f>
        <v>529</v>
      </c>
      <c r="B181" s="165" t="str">
        <f>'Unit Data from Audit Worksheet'!C233</f>
        <v>Analysis of Current Tax Levy Schedule</v>
      </c>
      <c r="C181" s="172" t="str">
        <f>'Unit Data from Audit Worksheet'!D233</f>
        <v>Please enter the Net Current year's levy -- Motor vehicles (only) (after adjusting for discoveries and abatements)
Exclude supplemental taxes</v>
      </c>
      <c r="D181" s="304"/>
      <c r="E181" s="553">
        <f>'Unit Data from Audit Worksheet'!F233</f>
        <v>0</v>
      </c>
      <c r="F181" s="234" t="str">
        <f>IF(L181=0,"Must be completed if unit levys taxes","")</f>
        <v>Must be completed if unit levys taxes</v>
      </c>
      <c r="G181" s="210"/>
      <c r="H181" s="138"/>
      <c r="I181" s="501"/>
      <c r="J181" s="134">
        <v>529</v>
      </c>
      <c r="K181" s="203" t="s">
        <v>275</v>
      </c>
      <c r="L181" s="554">
        <f t="shared" si="14"/>
        <v>0</v>
      </c>
      <c r="N181" s="235"/>
      <c r="P181" s="313"/>
      <c r="Q181" s="246"/>
      <c r="R181" s="498"/>
      <c r="W181" s="498" t="b">
        <f t="shared" si="15"/>
        <v>1</v>
      </c>
      <c r="X181" s="581">
        <f t="shared" si="16"/>
        <v>0</v>
      </c>
      <c r="Y181" s="581">
        <f t="shared" si="17"/>
        <v>0</v>
      </c>
      <c r="AA181" s="314"/>
    </row>
    <row r="182" spans="1:27" s="3" customFormat="1" ht="63.75" customHeight="1" x14ac:dyDescent="0.25">
      <c r="A182" s="289">
        <f>'Unit Data from Audit Worksheet'!A234</f>
        <v>530</v>
      </c>
      <c r="B182" s="165" t="str">
        <f>'Unit Data from Audit Worksheet'!C234</f>
        <v>Analysis of Current Tax Levy Schedule</v>
      </c>
      <c r="C182" s="172" t="str">
        <f>'Unit Data from Audit Worksheet'!D234</f>
        <v>Uncollected Taxes - Curr Year's Levy Exclude Motor Vehicles
Exclude supplemental taxes</v>
      </c>
      <c r="D182" s="304"/>
      <c r="E182" s="553">
        <f>'Unit Data from Audit Worksheet'!F234</f>
        <v>0</v>
      </c>
      <c r="F182" s="234" t="str">
        <f>IF(L182=0,"Must be completed if unit levys taxes","")</f>
        <v>Must be completed if unit levys taxes</v>
      </c>
      <c r="G182" s="210"/>
      <c r="H182" s="138"/>
      <c r="I182" s="501"/>
      <c r="J182" s="134">
        <v>530</v>
      </c>
      <c r="K182" s="203" t="s">
        <v>276</v>
      </c>
      <c r="L182" s="554">
        <f t="shared" si="14"/>
        <v>0</v>
      </c>
      <c r="N182" s="235"/>
      <c r="P182" s="313"/>
      <c r="Q182" s="246"/>
      <c r="R182" s="498"/>
      <c r="W182" s="498" t="b">
        <f t="shared" si="15"/>
        <v>1</v>
      </c>
      <c r="X182" s="581">
        <f t="shared" si="16"/>
        <v>0</v>
      </c>
      <c r="Y182" s="581">
        <f t="shared" si="17"/>
        <v>0</v>
      </c>
      <c r="AA182" s="314"/>
    </row>
    <row r="183" spans="1:27" s="3" customFormat="1" ht="56.25" customHeight="1" x14ac:dyDescent="0.25">
      <c r="A183" s="289">
        <f>'Unit Data from Audit Worksheet'!A235</f>
        <v>531</v>
      </c>
      <c r="B183" s="165" t="str">
        <f>'Unit Data from Audit Worksheet'!C235</f>
        <v>Analysis of Current Tax Levy Schedule</v>
      </c>
      <c r="C183" s="172" t="str">
        <f>'Unit Data from Audit Worksheet'!D235</f>
        <v>Uncollected Taxes - Curr Year's Levy Motor Vehicles
Exclude supplemental taxes</v>
      </c>
      <c r="D183" s="304"/>
      <c r="E183" s="553">
        <f>'Unit Data from Audit Worksheet'!F235</f>
        <v>0</v>
      </c>
      <c r="F183" s="234" t="str">
        <f>IF(L183=0,"Must be completed if unit levys taxes","")</f>
        <v>Must be completed if unit levys taxes</v>
      </c>
      <c r="G183" s="210"/>
      <c r="H183" s="138"/>
      <c r="I183" s="501"/>
      <c r="J183" s="134">
        <v>531</v>
      </c>
      <c r="K183" s="203" t="s">
        <v>277</v>
      </c>
      <c r="L183" s="554">
        <f t="shared" ref="L183:L214" si="18">IF(D183="",E183,D183)</f>
        <v>0</v>
      </c>
      <c r="N183" s="235" t="str">
        <f t="shared" ref="N183" si="19">IF(T187=0,"Must be completed if unit levys taxes, zero acceptable if Motor Vehicle collection rate is 100%","")</f>
        <v>Must be completed if unit levys taxes, zero acceptable if Motor Vehicle collection rate is 100%</v>
      </c>
      <c r="P183" s="313"/>
      <c r="Q183" s="246"/>
      <c r="R183" s="498"/>
      <c r="W183" s="498" t="b">
        <f t="shared" si="15"/>
        <v>1</v>
      </c>
      <c r="X183" s="581">
        <f t="shared" si="16"/>
        <v>0</v>
      </c>
      <c r="Y183" s="581">
        <f t="shared" si="17"/>
        <v>0</v>
      </c>
      <c r="AA183" s="314"/>
    </row>
    <row r="184" spans="1:27" ht="78.75" customHeight="1" x14ac:dyDescent="0.25">
      <c r="A184" s="289">
        <f>'Unit Data from Audit Worksheet'!A236</f>
        <v>61</v>
      </c>
      <c r="B184" s="165" t="str">
        <f>'Unit Data from Audit Worksheet'!C236</f>
        <v>Analysis of Current Tax Levy Schedule</v>
      </c>
      <c r="C184" s="172" t="str">
        <f>'Unit Data from Audit Worksheet'!D236</f>
        <v>Tax collection rate- Total Levy UNIT-WIDE
Exclude supplemental taxes
(Enter as a percentage with two decimal places)</v>
      </c>
      <c r="D184" s="248"/>
      <c r="E184" s="542">
        <f>'Unit Data from Audit Worksheet'!F236</f>
        <v>0</v>
      </c>
      <c r="F184" s="242" t="str">
        <f>IF(L184=H184,"","Column H calculates the percentage using accounts 528, 529, 530, 531, please enter the correct amounts from the audit schedule for these cells")</f>
        <v/>
      </c>
      <c r="G184" s="245" t="str">
        <f>IF(Q184=1," Included in error count"," ")</f>
        <v xml:space="preserve"> </v>
      </c>
      <c r="H184" s="245">
        <f>ROUND(IFERROR(((L180+L181)-(L182+L183))/(L180+L181)*100,0),2)</f>
        <v>0</v>
      </c>
      <c r="I184" s="501"/>
      <c r="J184" s="134">
        <v>61</v>
      </c>
      <c r="K184" s="204" t="s">
        <v>271</v>
      </c>
      <c r="L184" s="505">
        <f t="shared" si="18"/>
        <v>0</v>
      </c>
      <c r="N184" s="235"/>
      <c r="P184" s="313"/>
      <c r="Q184" s="503">
        <f>IF(L184-H184&lt;&gt;0,1,0)</f>
        <v>0</v>
      </c>
      <c r="R184" s="498"/>
      <c r="W184" s="498" t="b">
        <f t="shared" si="15"/>
        <v>1</v>
      </c>
      <c r="X184" s="581">
        <f t="shared" si="16"/>
        <v>0</v>
      </c>
      <c r="Y184" s="581">
        <f t="shared" si="17"/>
        <v>0</v>
      </c>
      <c r="AA184" s="314"/>
    </row>
    <row r="185" spans="1:27" ht="89.25" customHeight="1" x14ac:dyDescent="0.25">
      <c r="A185" s="289">
        <f>'Unit Data from Audit Worksheet'!A237</f>
        <v>102</v>
      </c>
      <c r="B185" s="165" t="str">
        <f>'Unit Data from Audit Worksheet'!C237</f>
        <v>Analysis of Current Tax Levy Schedule</v>
      </c>
      <c r="C185" s="172" t="str">
        <f>'Unit Data from Audit Worksheet'!D237</f>
        <v>Tax collection rate - Excluding Registered motor vehicles
Exclude supplemental taxes
(Enter as a percentage with two decimal places)</v>
      </c>
      <c r="D185" s="248"/>
      <c r="E185" s="542">
        <f>'Unit Data from Audit Worksheet'!F237</f>
        <v>0</v>
      </c>
      <c r="F185" s="242" t="str">
        <f>IF(L185=H185,"","Column H calculates the percentage using accounts 528 and 530,  please enter the correct amounts from the audit schedule for these cells")</f>
        <v/>
      </c>
      <c r="G185" s="245" t="str">
        <f>IF(Q185=1," Included in error count"," ")</f>
        <v xml:space="preserve"> </v>
      </c>
      <c r="H185" s="245">
        <f>ROUND(IFERROR(((L180)-(L182))/(L180)*100,0),2)</f>
        <v>0</v>
      </c>
      <c r="I185" s="501"/>
      <c r="J185" s="134">
        <v>102</v>
      </c>
      <c r="K185" s="205" t="s">
        <v>272</v>
      </c>
      <c r="L185" s="505">
        <f t="shared" si="18"/>
        <v>0</v>
      </c>
      <c r="N185" s="235"/>
      <c r="P185" s="313"/>
      <c r="Q185" s="503">
        <f>IF(L185-H185&lt;&gt;0,1,0)</f>
        <v>0</v>
      </c>
      <c r="R185" s="498"/>
      <c r="W185" s="498" t="b">
        <f t="shared" si="15"/>
        <v>1</v>
      </c>
      <c r="X185" s="581">
        <f t="shared" si="16"/>
        <v>0</v>
      </c>
      <c r="Y185" s="581">
        <f t="shared" si="17"/>
        <v>0</v>
      </c>
      <c r="AA185" s="314"/>
    </row>
    <row r="186" spans="1:27" ht="87.75" customHeight="1" x14ac:dyDescent="0.25">
      <c r="A186" s="289">
        <f>'Unit Data from Audit Worksheet'!A238</f>
        <v>103</v>
      </c>
      <c r="B186" s="165" t="str">
        <f>'Unit Data from Audit Worksheet'!C238</f>
        <v>Analysis of Current Tax Levy Schedule</v>
      </c>
      <c r="C186" s="172" t="str">
        <f>'Unit Data from Audit Worksheet'!D238</f>
        <v>Tax collection rate - Registered motor vehicles
Exclude supplemental taxes
(Enter as a percentage with two decimal places)</v>
      </c>
      <c r="D186" s="248"/>
      <c r="E186" s="542">
        <f>'Unit Data from Audit Worksheet'!F238</f>
        <v>0</v>
      </c>
      <c r="F186" s="242" t="str">
        <f>IF(L186=H186,"","Column H calculates the percentage using accounts 529 and 531, please enter the correct amounts from the audit schedule for these cells")</f>
        <v/>
      </c>
      <c r="G186" s="245" t="str">
        <f>IF(Q186=1," Included in error count"," ")</f>
        <v xml:space="preserve"> </v>
      </c>
      <c r="H186" s="245">
        <f>ROUND(IFERROR(((L181)-(L183))/(L181)*100,0),2)</f>
        <v>0</v>
      </c>
      <c r="I186" s="501"/>
      <c r="J186" s="134">
        <v>103</v>
      </c>
      <c r="K186" s="205" t="s">
        <v>273</v>
      </c>
      <c r="L186" s="505">
        <f t="shared" si="18"/>
        <v>0</v>
      </c>
      <c r="N186" s="235"/>
      <c r="P186" s="313"/>
      <c r="Q186" s="503">
        <f>IF(L186-H186&lt;&gt;0,1,0)</f>
        <v>0</v>
      </c>
      <c r="R186" s="498"/>
      <c r="W186" s="498" t="b">
        <f t="shared" si="15"/>
        <v>1</v>
      </c>
      <c r="X186" s="581">
        <f t="shared" si="16"/>
        <v>0</v>
      </c>
      <c r="Y186" s="581">
        <f t="shared" si="17"/>
        <v>0</v>
      </c>
      <c r="AA186" s="314"/>
    </row>
    <row r="187" spans="1:27" ht="86.25" customHeight="1" x14ac:dyDescent="0.25">
      <c r="A187" s="289">
        <f>'Unit Data from Audit Worksheet'!A239</f>
        <v>544</v>
      </c>
      <c r="B187" s="165" t="str">
        <f>'Unit Data from Audit Worksheet'!C239</f>
        <v>Analysis of Current Tax Levy Schedule</v>
      </c>
      <c r="C187" s="172" t="str">
        <f>'Unit Data from Audit Worksheet'!D239</f>
        <v>Property Tax Increase for Year Audited- enter amount of  increase in cents per $100 - leave blank if no increase 
Exclude supplemental taxes</v>
      </c>
      <c r="D187" s="304"/>
      <c r="E187" s="536">
        <f>'Unit Data from Audit Worksheet'!F239</f>
        <v>0</v>
      </c>
      <c r="F187" s="142"/>
      <c r="G187" s="210"/>
      <c r="H187" s="138">
        <f>'Unit Data from Audit Worksheet'!I239</f>
        <v>0</v>
      </c>
      <c r="I187" s="501"/>
      <c r="J187" s="134">
        <v>544</v>
      </c>
      <c r="K187" s="205" t="s">
        <v>55</v>
      </c>
      <c r="L187" s="547">
        <f t="shared" si="18"/>
        <v>0</v>
      </c>
      <c r="N187" s="180" t="s">
        <v>549</v>
      </c>
      <c r="P187" s="313"/>
      <c r="R187" s="498"/>
      <c r="W187" s="498" t="b">
        <f t="shared" si="15"/>
        <v>1</v>
      </c>
      <c r="X187" s="581">
        <f t="shared" si="16"/>
        <v>0</v>
      </c>
      <c r="Y187" s="581">
        <f t="shared" si="17"/>
        <v>0</v>
      </c>
      <c r="AA187" s="314"/>
    </row>
    <row r="188" spans="1:27" ht="89.25" customHeight="1" x14ac:dyDescent="0.25">
      <c r="A188" s="289">
        <f>'Unit Data from Audit Worksheet'!A240</f>
        <v>545</v>
      </c>
      <c r="B188" s="165" t="str">
        <f>'Unit Data from Audit Worksheet'!C240</f>
        <v>Analysis of Current Tax Levy Schedule</v>
      </c>
      <c r="C188" s="172" t="str">
        <f>'Unit Data from Audit Worksheet'!D240</f>
        <v>Property Tax Increase for budget year after fiscal year being reported - enter amount of increase in cents per $100- leave blank if no increase
Exclude supplemental taxes</v>
      </c>
      <c r="D188" s="304"/>
      <c r="E188" s="536">
        <f>'Unit Data from Audit Worksheet'!F240</f>
        <v>0</v>
      </c>
      <c r="F188" s="145"/>
      <c r="G188" s="210"/>
      <c r="H188" s="138">
        <f>'Unit Data from Audit Worksheet'!I240</f>
        <v>0</v>
      </c>
      <c r="I188" s="501"/>
      <c r="J188" s="260">
        <v>545</v>
      </c>
      <c r="K188" s="205" t="s">
        <v>56</v>
      </c>
      <c r="L188" s="547">
        <f t="shared" si="18"/>
        <v>0</v>
      </c>
      <c r="N188" s="180" t="s">
        <v>549</v>
      </c>
      <c r="O188" s="326"/>
      <c r="P188" s="313"/>
      <c r="R188" s="498"/>
      <c r="W188" s="498" t="b">
        <f t="shared" si="15"/>
        <v>1</v>
      </c>
      <c r="X188" s="581">
        <f t="shared" si="16"/>
        <v>0</v>
      </c>
      <c r="Y188" s="581">
        <f t="shared" si="17"/>
        <v>0</v>
      </c>
      <c r="AA188" s="314"/>
    </row>
    <row r="189" spans="1:27" ht="63" customHeight="1" x14ac:dyDescent="0.25">
      <c r="A189" s="289">
        <f>'Unit Data from Audit Worksheet'!A241</f>
        <v>624</v>
      </c>
      <c r="B189" s="306"/>
      <c r="C189" s="305" t="str">
        <f>'Unit Data from Audit Worksheet'!D241</f>
        <v>Does the County collect real estate property taxes on your behalf? Select "1" for "yes and "2" for "No"</v>
      </c>
      <c r="D189" s="304"/>
      <c r="E189" s="561">
        <f>'Unit Data from Audit Worksheet'!F241</f>
        <v>0</v>
      </c>
      <c r="F189" s="303"/>
      <c r="G189" s="308"/>
      <c r="H189" s="301"/>
      <c r="I189" s="501"/>
      <c r="J189" s="309">
        <v>624</v>
      </c>
      <c r="K189" s="307" t="s">
        <v>727</v>
      </c>
      <c r="L189" s="564">
        <f t="shared" si="18"/>
        <v>0</v>
      </c>
      <c r="P189" s="313"/>
      <c r="R189" s="498"/>
      <c r="W189" s="498" t="b">
        <f t="shared" si="15"/>
        <v>1</v>
      </c>
      <c r="X189" s="581">
        <f t="shared" si="16"/>
        <v>0</v>
      </c>
      <c r="Y189" s="581">
        <f t="shared" si="17"/>
        <v>0</v>
      </c>
      <c r="AA189" s="314"/>
    </row>
    <row r="190" spans="1:27" s="239" customFormat="1" ht="80.25" customHeight="1" x14ac:dyDescent="0.25">
      <c r="A190" s="289">
        <f>'Unit Data from Audit Worksheet'!A243</f>
        <v>620</v>
      </c>
      <c r="B190" s="306"/>
      <c r="C190" s="305" t="str">
        <f>'Unit Data from Audit Worksheet'!D243</f>
        <v>Do you expect to issue debt requiring LGC approval within 12 months from the date that the audit is submitted - select "1" for yes and "2" for no</v>
      </c>
      <c r="D190" s="304"/>
      <c r="E190" s="561">
        <f>'Unit Data from Audit Worksheet'!F243</f>
        <v>0</v>
      </c>
      <c r="F190" s="303"/>
      <c r="G190" s="308"/>
      <c r="H190" s="301">
        <f>'Unit Data from Audit Worksheet'!I243</f>
        <v>0</v>
      </c>
      <c r="I190" s="501"/>
      <c r="J190" s="309">
        <v>620</v>
      </c>
      <c r="K190" s="307" t="s">
        <v>707</v>
      </c>
      <c r="L190" s="564">
        <f t="shared" si="18"/>
        <v>0</v>
      </c>
      <c r="N190" s="486"/>
      <c r="P190" s="313"/>
      <c r="Q190" s="246"/>
      <c r="R190" s="498"/>
      <c r="W190" s="498" t="b">
        <f t="shared" si="15"/>
        <v>1</v>
      </c>
      <c r="X190" s="581">
        <f t="shared" si="16"/>
        <v>0</v>
      </c>
      <c r="Y190" s="581">
        <f t="shared" si="17"/>
        <v>0</v>
      </c>
      <c r="AA190" s="314"/>
    </row>
    <row r="191" spans="1:27" s="498" customFormat="1" ht="33.75" customHeight="1" x14ac:dyDescent="0.25">
      <c r="A191" s="726"/>
      <c r="B191" s="270"/>
      <c r="C191" s="271"/>
      <c r="D191" s="487"/>
      <c r="E191" s="528"/>
      <c r="F191" s="186"/>
      <c r="G191" s="489"/>
      <c r="H191" s="490"/>
      <c r="I191" s="501"/>
      <c r="J191" s="737">
        <v>998</v>
      </c>
      <c r="K191" s="738" t="s">
        <v>295</v>
      </c>
      <c r="L191" s="739" t="e">
        <f>HLOOKUP('Unit Data from Audit Worksheet'!$D$3,'2019 Data(H)'!$E$2:$CN$295,246,FALSE)</f>
        <v>#N/A</v>
      </c>
      <c r="N191" s="486"/>
      <c r="P191" s="518"/>
      <c r="Q191" s="503"/>
      <c r="R191" s="549"/>
      <c r="W191" s="498" t="b">
        <f t="shared" si="15"/>
        <v>0</v>
      </c>
      <c r="X191" s="581" t="e">
        <f t="shared" si="16"/>
        <v>#N/A</v>
      </c>
      <c r="Y191" s="581" t="e">
        <f t="shared" si="17"/>
        <v>#N/A</v>
      </c>
    </row>
    <row r="192" spans="1:27" s="498" customFormat="1" ht="30" x14ac:dyDescent="0.25">
      <c r="A192" s="726"/>
      <c r="B192" s="270"/>
      <c r="C192" s="271"/>
      <c r="D192" s="141"/>
      <c r="E192" s="140"/>
      <c r="F192" s="152"/>
      <c r="G192" s="212"/>
      <c r="H192" s="137"/>
      <c r="I192" s="501"/>
      <c r="J192" s="740">
        <v>995</v>
      </c>
      <c r="K192" s="741" t="s">
        <v>293</v>
      </c>
      <c r="L192" s="742" t="e">
        <f>HLOOKUP('Unit Data from Audit Worksheet'!$D$3,'2019 Data(H)'!$E$2:$CN$295,243,FALSE)</f>
        <v>#N/A</v>
      </c>
      <c r="N192" s="2"/>
      <c r="P192" s="313"/>
      <c r="Q192" s="503"/>
      <c r="R192" s="549"/>
      <c r="W192" s="498" t="b">
        <f t="shared" si="15"/>
        <v>0</v>
      </c>
      <c r="X192" s="582" t="e">
        <f t="shared" si="16"/>
        <v>#N/A</v>
      </c>
      <c r="Y192" s="581" t="e">
        <f t="shared" si="17"/>
        <v>#N/A</v>
      </c>
    </row>
    <row r="193" spans="1:27" s="498" customFormat="1" ht="30" x14ac:dyDescent="0.25">
      <c r="A193" s="726"/>
      <c r="B193" s="270"/>
      <c r="C193" s="271"/>
      <c r="D193" s="141"/>
      <c r="E193" s="140"/>
      <c r="F193" s="152"/>
      <c r="G193" s="212"/>
      <c r="H193" s="137"/>
      <c r="I193" s="501"/>
      <c r="J193" s="740">
        <v>996</v>
      </c>
      <c r="K193" s="741" t="s">
        <v>294</v>
      </c>
      <c r="L193" s="742" t="e">
        <f>HLOOKUP('Unit Data from Audit Worksheet'!$D$3,'2019 Data(H)'!$E$2:$CN$295,244,FALSE)</f>
        <v>#N/A</v>
      </c>
      <c r="N193" s="2"/>
      <c r="P193" s="313"/>
      <c r="Q193" s="503"/>
      <c r="R193" s="549"/>
      <c r="W193" s="498" t="b">
        <f t="shared" si="15"/>
        <v>0</v>
      </c>
      <c r="X193" s="582" t="e">
        <f t="shared" si="16"/>
        <v>#N/A</v>
      </c>
      <c r="Y193" s="581" t="e">
        <f t="shared" si="17"/>
        <v>#N/A</v>
      </c>
    </row>
    <row r="194" spans="1:27" s="498" customFormat="1" ht="45" x14ac:dyDescent="0.25">
      <c r="A194" s="726"/>
      <c r="B194" s="270"/>
      <c r="C194" s="271"/>
      <c r="D194" s="141"/>
      <c r="E194" s="140"/>
      <c r="F194" s="152"/>
      <c r="G194" s="212"/>
      <c r="H194" s="730"/>
      <c r="I194" s="501"/>
      <c r="J194" s="731">
        <v>554</v>
      </c>
      <c r="K194" s="571" t="s">
        <v>582</v>
      </c>
      <c r="L194" s="554"/>
      <c r="N194" s="2"/>
      <c r="P194" s="518"/>
      <c r="Q194" s="585"/>
      <c r="R194" s="549"/>
      <c r="X194" s="582"/>
      <c r="Y194" s="581"/>
    </row>
    <row r="195" spans="1:27" s="498" customFormat="1" ht="45" x14ac:dyDescent="0.25">
      <c r="A195" s="726"/>
      <c r="B195" s="270"/>
      <c r="C195" s="271"/>
      <c r="D195" s="141"/>
      <c r="E195" s="140"/>
      <c r="F195" s="152"/>
      <c r="G195" s="212"/>
      <c r="H195" s="730"/>
      <c r="I195" s="501"/>
      <c r="J195" s="731">
        <v>555</v>
      </c>
      <c r="K195" s="571" t="s">
        <v>584</v>
      </c>
      <c r="L195" s="554"/>
      <c r="N195" s="2"/>
      <c r="P195" s="518"/>
      <c r="Q195" s="585"/>
      <c r="R195" s="549"/>
      <c r="X195" s="582"/>
      <c r="Y195" s="581"/>
    </row>
    <row r="196" spans="1:27" s="498" customFormat="1" ht="45" x14ac:dyDescent="0.25">
      <c r="A196" s="726"/>
      <c r="B196" s="270"/>
      <c r="C196" s="271"/>
      <c r="D196" s="141"/>
      <c r="E196" s="140"/>
      <c r="F196" s="152"/>
      <c r="G196" s="212"/>
      <c r="H196" s="730"/>
      <c r="I196" s="501"/>
      <c r="J196" s="731">
        <v>556</v>
      </c>
      <c r="K196" s="571" t="s">
        <v>586</v>
      </c>
      <c r="L196" s="554"/>
      <c r="N196" s="2"/>
      <c r="P196" s="518"/>
      <c r="Q196" s="585"/>
      <c r="R196" s="549"/>
      <c r="X196" s="582"/>
      <c r="Y196" s="581"/>
    </row>
    <row r="197" spans="1:27" s="498" customFormat="1" ht="45" x14ac:dyDescent="0.25">
      <c r="A197" s="726"/>
      <c r="B197" s="270"/>
      <c r="C197" s="271"/>
      <c r="D197" s="141"/>
      <c r="E197" s="140"/>
      <c r="F197" s="152"/>
      <c r="G197" s="212"/>
      <c r="H197" s="730"/>
      <c r="I197" s="501"/>
      <c r="J197" s="731">
        <v>557</v>
      </c>
      <c r="K197" s="571" t="s">
        <v>588</v>
      </c>
      <c r="L197" s="554"/>
      <c r="N197" s="2"/>
      <c r="P197" s="518"/>
      <c r="Q197" s="585"/>
      <c r="R197" s="549"/>
      <c r="X197" s="582"/>
      <c r="Y197" s="581"/>
    </row>
    <row r="198" spans="1:27" s="498" customFormat="1" ht="60" x14ac:dyDescent="0.25">
      <c r="A198" s="726"/>
      <c r="B198" s="270"/>
      <c r="C198" s="271"/>
      <c r="D198" s="141"/>
      <c r="E198" s="140"/>
      <c r="F198" s="152"/>
      <c r="G198" s="212"/>
      <c r="H198" s="730"/>
      <c r="I198" s="501"/>
      <c r="J198" s="731">
        <v>606</v>
      </c>
      <c r="K198" s="571" t="s">
        <v>1094</v>
      </c>
      <c r="L198" s="554"/>
      <c r="N198" s="2"/>
      <c r="P198" s="518"/>
      <c r="Q198" s="585"/>
      <c r="R198" s="549"/>
      <c r="X198" s="582"/>
      <c r="Y198" s="581"/>
    </row>
    <row r="199" spans="1:27" s="498" customFormat="1" ht="43.5" customHeight="1" x14ac:dyDescent="0.25">
      <c r="A199" s="726"/>
      <c r="B199" s="270"/>
      <c r="C199" s="271"/>
      <c r="D199" s="141"/>
      <c r="E199" s="140"/>
      <c r="F199" s="152"/>
      <c r="G199" s="212"/>
      <c r="H199" s="730"/>
      <c r="I199" s="501"/>
      <c r="J199" s="868">
        <v>662</v>
      </c>
      <c r="K199" s="869" t="s">
        <v>1095</v>
      </c>
      <c r="L199" s="876"/>
      <c r="N199" s="2"/>
      <c r="P199" s="518"/>
      <c r="Q199" s="585"/>
      <c r="R199" s="549"/>
      <c r="X199" s="582"/>
      <c r="Y199" s="581"/>
    </row>
    <row r="200" spans="1:27" s="498" customFormat="1" ht="42" customHeight="1" x14ac:dyDescent="0.25">
      <c r="A200" s="726"/>
      <c r="B200" s="270"/>
      <c r="C200" s="271"/>
      <c r="D200" s="141"/>
      <c r="E200" s="140"/>
      <c r="F200" s="152"/>
      <c r="G200" s="212"/>
      <c r="H200" s="730"/>
      <c r="I200" s="501"/>
      <c r="J200" s="868">
        <v>663</v>
      </c>
      <c r="K200" s="870" t="s">
        <v>1096</v>
      </c>
      <c r="L200" s="876"/>
      <c r="N200" s="2"/>
      <c r="P200" s="518"/>
      <c r="Q200" s="585"/>
      <c r="R200" s="549"/>
      <c r="X200" s="582"/>
      <c r="Y200" s="581"/>
    </row>
    <row r="201" spans="1:27" s="494" customFormat="1" ht="22.5" customHeight="1" x14ac:dyDescent="0.25">
      <c r="A201" s="726"/>
      <c r="B201" s="270"/>
      <c r="C201" s="271"/>
      <c r="D201" s="487"/>
      <c r="E201" s="488"/>
      <c r="F201" s="186"/>
      <c r="G201" s="489"/>
      <c r="H201" s="490"/>
      <c r="I201" s="501"/>
      <c r="J201" s="491"/>
      <c r="K201" s="492"/>
      <c r="L201" s="493"/>
      <c r="N201" s="495"/>
      <c r="P201" s="496"/>
      <c r="Q201" s="497"/>
      <c r="R201" s="549"/>
      <c r="W201" s="498" t="b">
        <f t="shared" si="15"/>
        <v>1</v>
      </c>
      <c r="X201" s="581">
        <f t="shared" si="16"/>
        <v>0</v>
      </c>
      <c r="Y201" s="581">
        <f t="shared" si="17"/>
        <v>0</v>
      </c>
    </row>
    <row r="202" spans="1:27" s="300" customFormat="1" ht="99" customHeight="1" x14ac:dyDescent="0.25">
      <c r="A202" s="896">
        <f>'Unit Data from Audit Worksheet'!A245</f>
        <v>947</v>
      </c>
      <c r="B202" s="897"/>
      <c r="C202" s="871" t="str">
        <f>'Unit Data from Audit Worksheet'!D245</f>
        <v>First name of finance officer or interim finance officer (please enter “vacant” for first name if the position is currently vacant)</v>
      </c>
      <c r="D202" s="587"/>
      <c r="E202" s="906">
        <f>'Unit Data from Audit Worksheet'!F245</f>
        <v>0</v>
      </c>
      <c r="F202" s="320"/>
      <c r="G202" s="324"/>
      <c r="H202" s="318"/>
      <c r="I202" s="501"/>
      <c r="J202" s="507">
        <v>947</v>
      </c>
      <c r="K202" s="871" t="s">
        <v>851</v>
      </c>
      <c r="L202" s="898">
        <f t="shared" si="18"/>
        <v>0</v>
      </c>
      <c r="P202" s="313"/>
      <c r="Q202" s="586">
        <f t="shared" ref="Q202:Q209" si="20">IF(L202=0,1,0)</f>
        <v>1</v>
      </c>
      <c r="R202" s="549"/>
      <c r="W202" s="498" t="b">
        <f t="shared" ref="W202:W215" si="21">EXACT(A202,J202)</f>
        <v>1</v>
      </c>
      <c r="X202" s="581">
        <f t="shared" ref="X202:X215" si="22">E202-L202</f>
        <v>0</v>
      </c>
      <c r="Y202" s="581">
        <f t="shared" ref="Y202:Y215" si="23">D202-L202</f>
        <v>0</v>
      </c>
      <c r="AA202" s="314"/>
    </row>
    <row r="203" spans="1:27" s="154" customFormat="1" ht="112.5" customHeight="1" x14ac:dyDescent="0.25">
      <c r="A203" s="896">
        <f>'Unit Data from Audit Worksheet'!A246</f>
        <v>948</v>
      </c>
      <c r="B203" s="897"/>
      <c r="C203" s="871" t="str">
        <f>'Unit Data from Audit Worksheet'!D246</f>
        <v>Last name of finance officer or interim finance officer (please enter “vacant” for last name if the position is currently vacant)</v>
      </c>
      <c r="D203" s="587"/>
      <c r="E203" s="906">
        <f>'Unit Data from Audit Worksheet'!F246</f>
        <v>0</v>
      </c>
      <c r="F203" s="320"/>
      <c r="G203" s="324"/>
      <c r="H203" s="318"/>
      <c r="I203" s="501"/>
      <c r="J203" s="507">
        <v>948</v>
      </c>
      <c r="K203" s="871" t="s">
        <v>853</v>
      </c>
      <c r="L203" s="898">
        <f t="shared" si="18"/>
        <v>0</v>
      </c>
      <c r="N203" s="2"/>
      <c r="P203" s="313"/>
      <c r="Q203" s="586">
        <f t="shared" si="20"/>
        <v>1</v>
      </c>
      <c r="R203" s="549"/>
      <c r="W203" s="498" t="b">
        <f t="shared" si="21"/>
        <v>1</v>
      </c>
      <c r="X203" s="581">
        <f t="shared" si="22"/>
        <v>0</v>
      </c>
      <c r="Y203" s="581">
        <f t="shared" si="23"/>
        <v>0</v>
      </c>
      <c r="AA203" s="314"/>
    </row>
    <row r="204" spans="1:27" s="386" customFormat="1" ht="66" customHeight="1" x14ac:dyDescent="0.25">
      <c r="A204" s="896">
        <f>'Unit Data from Audit Worksheet'!A247</f>
        <v>949</v>
      </c>
      <c r="B204" s="897"/>
      <c r="C204" s="871" t="str">
        <f>'Unit Data from Audit Worksheet'!D247</f>
        <v>Is the finance officer serving in a permanent role or an interim role? (select permanent/interim/vacant)</v>
      </c>
      <c r="D204" s="587"/>
      <c r="E204" s="906">
        <f>'Unit Data from Audit Worksheet'!F247</f>
        <v>0</v>
      </c>
      <c r="F204" s="320"/>
      <c r="G204" s="324"/>
      <c r="H204" s="318"/>
      <c r="I204" s="501"/>
      <c r="J204" s="507">
        <v>949</v>
      </c>
      <c r="K204" s="871" t="s">
        <v>979</v>
      </c>
      <c r="L204" s="898">
        <f t="shared" si="18"/>
        <v>0</v>
      </c>
      <c r="N204" s="2"/>
      <c r="P204" s="313"/>
      <c r="Q204" s="586">
        <f t="shared" si="20"/>
        <v>1</v>
      </c>
      <c r="R204" s="549"/>
      <c r="W204" s="498" t="b">
        <f t="shared" si="21"/>
        <v>1</v>
      </c>
      <c r="X204" s="581">
        <f t="shared" si="22"/>
        <v>0</v>
      </c>
      <c r="Y204" s="581">
        <f t="shared" si="23"/>
        <v>0</v>
      </c>
    </row>
    <row r="205" spans="1:27" s="386" customFormat="1" ht="112.5" customHeight="1" x14ac:dyDescent="0.25">
      <c r="A205" s="896">
        <f>'Unit Data from Audit Worksheet'!A248</f>
        <v>950</v>
      </c>
      <c r="B205" s="897"/>
      <c r="C205" s="871" t="str">
        <f>'Unit Data from Audit Worksheet'!D248</f>
        <v>Has the finance officer been formally appointed by the local government, public authority, or designated official?  (Y/N)</v>
      </c>
      <c r="D205" s="587"/>
      <c r="E205" s="906">
        <f>'Unit Data from Audit Worksheet'!F248</f>
        <v>0</v>
      </c>
      <c r="F205" s="320"/>
      <c r="G205" s="324"/>
      <c r="H205" s="318"/>
      <c r="I205" s="501"/>
      <c r="J205" s="507">
        <v>950</v>
      </c>
      <c r="K205" s="871" t="s">
        <v>980</v>
      </c>
      <c r="L205" s="898">
        <f t="shared" si="18"/>
        <v>0</v>
      </c>
      <c r="N205" s="2"/>
      <c r="P205" s="313"/>
      <c r="Q205" s="586">
        <f t="shared" si="20"/>
        <v>1</v>
      </c>
      <c r="R205" s="549"/>
      <c r="W205" s="498" t="b">
        <f t="shared" si="21"/>
        <v>1</v>
      </c>
      <c r="X205" s="581">
        <f t="shared" si="22"/>
        <v>0</v>
      </c>
      <c r="Y205" s="581">
        <f t="shared" si="23"/>
        <v>0</v>
      </c>
    </row>
    <row r="206" spans="1:27" s="386" customFormat="1" ht="142.5" customHeight="1" x14ac:dyDescent="0.25">
      <c r="A206" s="896">
        <f>'Unit Data from Audit Worksheet'!A249</f>
        <v>952</v>
      </c>
      <c r="B206" s="897"/>
      <c r="C206" s="871" t="str">
        <f>'Unit Data from Audit Worksheet'!D249</f>
        <v>Date on which the local government, public authority, or designated official appointed the finance officer? (If the date of appointment by the board is difficult to find you may enter January 1 and the year)    Date Format MM/DD/YYYY</v>
      </c>
      <c r="D206" s="587"/>
      <c r="E206" s="478">
        <f>'Unit Data from Audit Worksheet'!F249</f>
        <v>0</v>
      </c>
      <c r="F206" s="320"/>
      <c r="G206" s="324"/>
      <c r="H206" s="318"/>
      <c r="I206" s="501"/>
      <c r="J206" s="507">
        <v>952</v>
      </c>
      <c r="K206" s="871" t="s">
        <v>981</v>
      </c>
      <c r="L206" s="899">
        <f t="shared" si="18"/>
        <v>0</v>
      </c>
      <c r="N206" s="2"/>
      <c r="P206" s="313"/>
      <c r="Q206" s="586">
        <f t="shared" si="20"/>
        <v>1</v>
      </c>
      <c r="R206" s="549"/>
      <c r="W206" s="498" t="b">
        <f t="shared" si="21"/>
        <v>1</v>
      </c>
      <c r="X206" s="581">
        <f t="shared" si="22"/>
        <v>0</v>
      </c>
      <c r="Y206" s="581">
        <f t="shared" si="23"/>
        <v>0</v>
      </c>
    </row>
    <row r="207" spans="1:27" s="386" customFormat="1" ht="153.75" customHeight="1" x14ac:dyDescent="0.25">
      <c r="A207" s="896">
        <f>'Unit Data from Audit Worksheet'!A250</f>
        <v>954</v>
      </c>
      <c r="B207" s="897"/>
      <c r="C207" s="871" t="str">
        <f>'Unit Data from Audit Worksheet'!D250</f>
        <v>Has the finance officer or interim finance officer read, understand, and is in compliance with the requirements of N.C.G.S. 159, as applicable based on unit type and circumstances? (Y/N)</v>
      </c>
      <c r="D207" s="587"/>
      <c r="E207" s="906">
        <f>'Unit Data from Audit Worksheet'!F250</f>
        <v>0</v>
      </c>
      <c r="F207" s="320"/>
      <c r="G207" s="324"/>
      <c r="H207" s="318"/>
      <c r="I207" s="501"/>
      <c r="J207" s="507">
        <v>954</v>
      </c>
      <c r="K207" s="871" t="s">
        <v>982</v>
      </c>
      <c r="L207" s="898">
        <f t="shared" si="18"/>
        <v>0</v>
      </c>
      <c r="N207" s="2"/>
      <c r="P207" s="313"/>
      <c r="Q207" s="586">
        <f t="shared" si="20"/>
        <v>1</v>
      </c>
      <c r="R207" s="549"/>
      <c r="W207" s="498" t="b">
        <f t="shared" si="21"/>
        <v>1</v>
      </c>
      <c r="X207" s="581">
        <f t="shared" si="22"/>
        <v>0</v>
      </c>
      <c r="Y207" s="581">
        <f t="shared" si="23"/>
        <v>0</v>
      </c>
    </row>
    <row r="208" spans="1:27" s="386" customFormat="1" ht="144" customHeight="1" x14ac:dyDescent="0.25">
      <c r="A208" s="896">
        <f>'Unit Data from Audit Worksheet'!A251</f>
        <v>956</v>
      </c>
      <c r="B208" s="897"/>
      <c r="C208" s="871" t="str">
        <f>'Unit Data from Audit Worksheet'!D251</f>
        <v>Does the finance officer or interim finance officer maintain and update (or ensures the maintenance and update of)  financial records monthly, including reconciliation of bank accounts to the general ledger? (Y/N)</v>
      </c>
      <c r="D208" s="587"/>
      <c r="E208" s="906">
        <f>'Unit Data from Audit Worksheet'!F251</f>
        <v>0</v>
      </c>
      <c r="F208" s="320"/>
      <c r="G208" s="324"/>
      <c r="H208" s="318"/>
      <c r="I208" s="501"/>
      <c r="J208" s="507">
        <v>956</v>
      </c>
      <c r="K208" s="871" t="s">
        <v>983</v>
      </c>
      <c r="L208" s="898">
        <f t="shared" si="18"/>
        <v>0</v>
      </c>
      <c r="N208" s="2"/>
      <c r="P208" s="313"/>
      <c r="Q208" s="586">
        <f t="shared" si="20"/>
        <v>1</v>
      </c>
      <c r="R208" s="549"/>
      <c r="W208" s="498" t="b">
        <f t="shared" si="21"/>
        <v>1</v>
      </c>
      <c r="X208" s="581">
        <f t="shared" si="22"/>
        <v>0</v>
      </c>
      <c r="Y208" s="581">
        <f t="shared" si="23"/>
        <v>0</v>
      </c>
    </row>
    <row r="209" spans="1:27" s="386" customFormat="1" ht="201" customHeight="1" x14ac:dyDescent="0.25">
      <c r="A209" s="896">
        <f>'Unit Data from Audit Worksheet'!A252</f>
        <v>958</v>
      </c>
      <c r="B209" s="897"/>
      <c r="C209" s="871" t="str">
        <f>'Unit Data from Audit Worksheet'!D252</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209" s="587"/>
      <c r="E209" s="906">
        <f>'Unit Data from Audit Worksheet'!F252</f>
        <v>0</v>
      </c>
      <c r="F209" s="320"/>
      <c r="G209" s="324"/>
      <c r="H209" s="318"/>
      <c r="I209" s="501"/>
      <c r="J209" s="507">
        <v>958</v>
      </c>
      <c r="K209" s="871" t="s">
        <v>984</v>
      </c>
      <c r="L209" s="902">
        <f t="shared" si="18"/>
        <v>0</v>
      </c>
      <c r="N209" s="2"/>
      <c r="P209" s="313"/>
      <c r="Q209" s="586">
        <f t="shared" si="20"/>
        <v>1</v>
      </c>
      <c r="R209" s="549"/>
      <c r="W209" s="498" t="b">
        <f t="shared" si="21"/>
        <v>1</v>
      </c>
      <c r="X209" s="581">
        <f t="shared" si="22"/>
        <v>0</v>
      </c>
      <c r="Y209" s="581">
        <f t="shared" si="23"/>
        <v>0</v>
      </c>
    </row>
    <row r="210" spans="1:27" s="498" customFormat="1" ht="30.75" customHeight="1" x14ac:dyDescent="0.25">
      <c r="A210" s="891">
        <f>+'Unit Data from Audit Worksheet'!A260</f>
        <v>960</v>
      </c>
      <c r="B210" s="892"/>
      <c r="C210" s="893" t="str">
        <f>'Unit Data from Audit Worksheet'!B260</f>
        <v>Name of Finance Officer</v>
      </c>
      <c r="D210" s="587"/>
      <c r="E210" s="907">
        <f>'Unit Data from Audit Worksheet'!D260</f>
        <v>0</v>
      </c>
      <c r="F210" s="320"/>
      <c r="G210" s="324"/>
      <c r="H210" s="318"/>
      <c r="I210" s="501"/>
      <c r="J210" s="894">
        <v>960</v>
      </c>
      <c r="K210" s="895" t="s">
        <v>975</v>
      </c>
      <c r="L210" s="900">
        <f t="shared" si="18"/>
        <v>0</v>
      </c>
      <c r="N210" s="2"/>
      <c r="P210" s="518"/>
      <c r="Q210" s="586">
        <f>IF(L210=0,1,0)</f>
        <v>1</v>
      </c>
      <c r="R210" s="549"/>
      <c r="X210" s="581"/>
      <c r="Y210" s="581"/>
    </row>
    <row r="211" spans="1:27" s="498" customFormat="1" ht="30.75" customHeight="1" x14ac:dyDescent="0.25">
      <c r="A211" s="891">
        <f>+'Unit Data from Audit Worksheet'!A261</f>
        <v>962</v>
      </c>
      <c r="B211" s="892"/>
      <c r="C211" s="893" t="str">
        <f>'Unit Data from Audit Worksheet'!B261</f>
        <v>Title of Official</v>
      </c>
      <c r="D211" s="587"/>
      <c r="E211" s="908">
        <f>'Unit Data from Audit Worksheet'!D261</f>
        <v>0</v>
      </c>
      <c r="F211" s="320"/>
      <c r="G211" s="324"/>
      <c r="H211" s="318"/>
      <c r="I211" s="501"/>
      <c r="J211" s="894">
        <v>962</v>
      </c>
      <c r="K211" s="895" t="s">
        <v>826</v>
      </c>
      <c r="L211" s="900">
        <f t="shared" si="18"/>
        <v>0</v>
      </c>
      <c r="N211" s="2"/>
      <c r="P211" s="518"/>
      <c r="Q211" s="586">
        <f t="shared" ref="Q211:Q214" si="24">IF(L211=0,1,0)</f>
        <v>1</v>
      </c>
      <c r="R211" s="549"/>
      <c r="X211" s="581"/>
      <c r="Y211" s="581"/>
    </row>
    <row r="212" spans="1:27" s="498" customFormat="1" ht="30.75" customHeight="1" x14ac:dyDescent="0.25">
      <c r="A212" s="891">
        <f>+'Unit Data from Audit Worksheet'!A262</f>
        <v>964</v>
      </c>
      <c r="B212" s="892"/>
      <c r="C212" s="893" t="str">
        <f>'Unit Data from Audit Worksheet'!B262</f>
        <v>Date                        (Enter as "MM/DD/YYYY")</v>
      </c>
      <c r="D212" s="587"/>
      <c r="E212" s="909">
        <f>'Unit Data from Audit Worksheet'!D262</f>
        <v>0</v>
      </c>
      <c r="F212" s="320"/>
      <c r="G212" s="324"/>
      <c r="H212" s="318"/>
      <c r="I212" s="501"/>
      <c r="J212" s="894">
        <v>964</v>
      </c>
      <c r="K212" s="895" t="s">
        <v>827</v>
      </c>
      <c r="L212" s="901">
        <f t="shared" si="18"/>
        <v>0</v>
      </c>
      <c r="N212" s="2"/>
      <c r="P212" s="518"/>
      <c r="Q212" s="586">
        <f t="shared" si="24"/>
        <v>1</v>
      </c>
      <c r="R212" s="549"/>
      <c r="X212" s="581"/>
      <c r="Y212" s="581"/>
    </row>
    <row r="213" spans="1:27" s="498" customFormat="1" ht="30.75" customHeight="1" x14ac:dyDescent="0.25">
      <c r="A213" s="891">
        <f>+'Unit Data from Audit Worksheet'!A263</f>
        <v>966</v>
      </c>
      <c r="B213" s="892"/>
      <c r="C213" s="893" t="str">
        <f>'Unit Data from Audit Worksheet'!B263</f>
        <v>Telephone number</v>
      </c>
      <c r="D213" s="587"/>
      <c r="E213" s="908">
        <f>'Unit Data from Audit Worksheet'!D263</f>
        <v>0</v>
      </c>
      <c r="F213" s="320"/>
      <c r="G213" s="324"/>
      <c r="H213" s="318"/>
      <c r="I213" s="501"/>
      <c r="J213" s="894">
        <v>966</v>
      </c>
      <c r="K213" s="895" t="s">
        <v>828</v>
      </c>
      <c r="L213" s="900">
        <f t="shared" si="18"/>
        <v>0</v>
      </c>
      <c r="N213" s="2"/>
      <c r="P213" s="518"/>
      <c r="Q213" s="586">
        <f t="shared" si="24"/>
        <v>1</v>
      </c>
      <c r="R213" s="549"/>
      <c r="X213" s="581"/>
      <c r="Y213" s="581"/>
    </row>
    <row r="214" spans="1:27" s="498" customFormat="1" ht="30.75" customHeight="1" x14ac:dyDescent="0.25">
      <c r="A214" s="891">
        <f>+'Unit Data from Audit Worksheet'!A264</f>
        <v>968</v>
      </c>
      <c r="B214" s="892"/>
      <c r="C214" s="893" t="str">
        <f>'Unit Data from Audit Worksheet'!B264</f>
        <v>E-mail address</v>
      </c>
      <c r="D214" s="587"/>
      <c r="E214" s="908">
        <f>'Unit Data from Audit Worksheet'!D264</f>
        <v>0</v>
      </c>
      <c r="F214" s="320"/>
      <c r="G214" s="324"/>
      <c r="H214" s="318"/>
      <c r="I214" s="501"/>
      <c r="J214" s="894">
        <v>968</v>
      </c>
      <c r="K214" s="895" t="s">
        <v>829</v>
      </c>
      <c r="L214" s="900">
        <f t="shared" si="18"/>
        <v>0</v>
      </c>
      <c r="N214" s="2"/>
      <c r="P214" s="518"/>
      <c r="Q214" s="586">
        <f t="shared" si="24"/>
        <v>1</v>
      </c>
      <c r="R214" s="549"/>
      <c r="X214" s="581"/>
      <c r="Y214" s="581"/>
    </row>
    <row r="215" spans="1:27" s="386" customFormat="1" ht="36" customHeight="1" x14ac:dyDescent="0.25">
      <c r="A215" s="726"/>
      <c r="B215" s="270"/>
      <c r="C215" s="271"/>
      <c r="D215" s="141"/>
      <c r="E215" s="140"/>
      <c r="F215" s="152"/>
      <c r="G215" s="212"/>
      <c r="H215" s="137"/>
      <c r="I215" s="501"/>
      <c r="J215" s="507">
        <v>999</v>
      </c>
      <c r="K215" s="871" t="s">
        <v>296</v>
      </c>
      <c r="L215" s="508" t="e">
        <f>'Unit Data from Audit Worksheet'!D3</f>
        <v>#N/A</v>
      </c>
      <c r="N215" s="2" t="s">
        <v>1243</v>
      </c>
      <c r="P215" s="313"/>
      <c r="Q215" s="585"/>
      <c r="R215" s="549"/>
      <c r="W215" s="498" t="b">
        <f t="shared" si="21"/>
        <v>0</v>
      </c>
      <c r="X215" s="581" t="e">
        <f t="shared" si="22"/>
        <v>#N/A</v>
      </c>
      <c r="Y215" s="581" t="e">
        <f t="shared" si="23"/>
        <v>#N/A</v>
      </c>
    </row>
    <row r="216" spans="1:27" x14ac:dyDescent="0.25">
      <c r="A216" s="289"/>
      <c r="B216" s="910"/>
      <c r="C216" s="321"/>
      <c r="D216" s="911"/>
      <c r="E216" s="912"/>
      <c r="F216" s="913"/>
      <c r="G216" s="914"/>
      <c r="H216" s="915"/>
      <c r="I216" s="521"/>
      <c r="J216" s="499"/>
      <c r="K216" s="1"/>
      <c r="L216" s="1"/>
      <c r="N216" s="287"/>
      <c r="P216" s="313"/>
      <c r="R216" s="239"/>
      <c r="W216" s="239"/>
      <c r="X216" s="154"/>
      <c r="AA216" s="314"/>
    </row>
    <row r="217" spans="1:27" x14ac:dyDescent="0.25">
      <c r="D217" s="21"/>
      <c r="E217" s="19"/>
      <c r="F217" s="19"/>
      <c r="G217" s="213"/>
      <c r="H217" s="19"/>
      <c r="I217" s="521"/>
      <c r="K217" s="31"/>
      <c r="L217" s="319"/>
      <c r="N217" s="287"/>
      <c r="P217" s="313"/>
      <c r="R217" s="239"/>
      <c r="W217" s="239"/>
      <c r="AA217" s="314"/>
    </row>
    <row r="218" spans="1:27" ht="18.75" x14ac:dyDescent="0.3">
      <c r="A218" s="727" t="s">
        <v>726</v>
      </c>
      <c r="B218" s="611"/>
      <c r="C218" s="612"/>
      <c r="D218" s="613"/>
      <c r="E218" s="614"/>
      <c r="F218" s="19"/>
      <c r="G218" s="213"/>
      <c r="H218" s="19"/>
      <c r="I218" s="521"/>
      <c r="L218" s="319"/>
      <c r="N218" s="287"/>
      <c r="P218" s="313"/>
      <c r="R218" s="239"/>
      <c r="W218" s="239"/>
      <c r="AA218" s="314"/>
    </row>
    <row r="219" spans="1:27" ht="99" customHeight="1" x14ac:dyDescent="0.55000000000000004">
      <c r="A219" s="289">
        <f>'Unit Data from Audit Worksheet'!A71</f>
        <v>590</v>
      </c>
      <c r="B219" s="155" t="str">
        <f>'Unit Data from Audit Worksheet'!B71</f>
        <v>Fiscal Review</v>
      </c>
      <c r="C219" s="228" t="str">
        <f>'Unit Data from Audit Worksheet'!D71</f>
        <v>If you appropriated General Fund Balance in your 2020 budget and your "change in fund balance": (row 70 above) is negative, please select from the drop down box in column F either "operations" or "capital", whichever best describes what the fund balance was used for.  If you select "Capital" please briefly describe in column G to the right the capital items.</v>
      </c>
      <c r="D219" s="227"/>
      <c r="E219" s="302">
        <f>'Unit Data from Audit Worksheet'!F71</f>
        <v>0</v>
      </c>
      <c r="F219" s="227">
        <f>'Unit Data from Audit Worksheet'!G71</f>
        <v>0</v>
      </c>
      <c r="G219" s="213"/>
      <c r="H219" s="19"/>
      <c r="I219" s="521"/>
      <c r="J219" s="584" t="e">
        <f>SUM(Q5:Q219)</f>
        <v>#N/A</v>
      </c>
      <c r="K219" s="583" t="s">
        <v>972</v>
      </c>
      <c r="L219" s="319" t="e">
        <f>SUM(G5:G190)</f>
        <v>#N/A</v>
      </c>
      <c r="N219" s="287"/>
      <c r="P219" s="313"/>
      <c r="R219" s="239"/>
      <c r="W219" s="239"/>
      <c r="AA219" s="314"/>
    </row>
    <row r="220" spans="1:27" ht="14.25" customHeight="1" x14ac:dyDescent="0.25">
      <c r="A220" s="665"/>
      <c r="B220"/>
      <c r="C220"/>
      <c r="D220"/>
      <c r="E220"/>
      <c r="F220" s="19"/>
      <c r="G220" s="213"/>
      <c r="H220" s="19"/>
      <c r="I220" s="521"/>
      <c r="K220" s="31"/>
      <c r="L220" s="187"/>
      <c r="P220" s="313"/>
      <c r="Q220" s="237"/>
      <c r="R220" s="239"/>
      <c r="W220" s="239"/>
      <c r="AA220" s="314"/>
    </row>
    <row r="221" spans="1:27" x14ac:dyDescent="0.25">
      <c r="A221" s="665"/>
      <c r="B221"/>
      <c r="C221"/>
      <c r="D221"/>
      <c r="E221"/>
      <c r="F221" s="19"/>
      <c r="G221" s="213"/>
      <c r="H221" s="19"/>
      <c r="I221" s="521"/>
      <c r="K221" s="31"/>
      <c r="L221" s="187"/>
      <c r="P221" s="313"/>
      <c r="R221" s="239"/>
      <c r="AA221" s="314"/>
    </row>
    <row r="222" spans="1:27" customFormat="1" x14ac:dyDescent="0.25"/>
    <row r="223" spans="1:27" customFormat="1" ht="30.75" customHeight="1" x14ac:dyDescent="0.25"/>
    <row r="224" spans="1:27" customFormat="1" ht="30.75" customHeight="1" x14ac:dyDescent="0.25"/>
    <row r="225" spans="1:27" customFormat="1" ht="30.75" customHeight="1" x14ac:dyDescent="0.25"/>
    <row r="226" spans="1:27" customFormat="1" ht="30.75" customHeight="1" x14ac:dyDescent="0.25"/>
    <row r="227" spans="1:27" customFormat="1" ht="30.75" customHeight="1" x14ac:dyDescent="0.25"/>
    <row r="228" spans="1:27" x14ac:dyDescent="0.25">
      <c r="D228" s="22"/>
      <c r="I228" s="521"/>
      <c r="K228" s="31"/>
      <c r="L228" s="187"/>
      <c r="AA228" s="314"/>
    </row>
    <row r="229" spans="1:27" x14ac:dyDescent="0.25">
      <c r="A229" s="14"/>
      <c r="B229" s="167"/>
      <c r="C229" s="161"/>
      <c r="D229" s="22"/>
      <c r="I229" s="521"/>
      <c r="L229" s="187"/>
      <c r="AA229" s="314"/>
    </row>
    <row r="230" spans="1:27" x14ac:dyDescent="0.25">
      <c r="A230" s="14"/>
      <c r="B230" s="167"/>
      <c r="C230" s="161"/>
      <c r="D230" s="22"/>
      <c r="I230" s="521"/>
      <c r="L230" s="187"/>
      <c r="AA230" s="314"/>
    </row>
    <row r="231" spans="1:27" x14ac:dyDescent="0.25">
      <c r="A231" s="14"/>
      <c r="B231" s="167"/>
      <c r="C231" s="161"/>
      <c r="D231" s="22"/>
      <c r="L231" s="187"/>
      <c r="AA231" s="314"/>
    </row>
    <row r="232" spans="1:27" x14ac:dyDescent="0.25">
      <c r="D232" s="22"/>
      <c r="AA232" s="314"/>
    </row>
    <row r="233" spans="1:27" x14ac:dyDescent="0.25">
      <c r="D233" s="22"/>
      <c r="AA233" s="314"/>
    </row>
    <row r="234" spans="1:27" x14ac:dyDescent="0.25">
      <c r="D234" s="22"/>
      <c r="AA234" s="314"/>
    </row>
    <row r="235" spans="1:27" x14ac:dyDescent="0.25">
      <c r="D235" s="22"/>
      <c r="AA235" s="314"/>
    </row>
    <row r="236" spans="1:27" x14ac:dyDescent="0.25">
      <c r="A236" s="14"/>
      <c r="B236" s="167"/>
      <c r="C236" s="161"/>
      <c r="D236" s="22"/>
      <c r="AA236" s="314"/>
    </row>
    <row r="237" spans="1:27" x14ac:dyDescent="0.25">
      <c r="A237" s="14"/>
      <c r="B237" s="167"/>
      <c r="C237" s="161"/>
      <c r="D237" s="22"/>
      <c r="AA237" s="314"/>
    </row>
    <row r="238" spans="1:27" x14ac:dyDescent="0.25">
      <c r="D238" s="22"/>
      <c r="AA238" s="314"/>
    </row>
    <row r="239" spans="1:27" x14ac:dyDescent="0.25">
      <c r="D239" s="22"/>
      <c r="AA239" s="314"/>
    </row>
    <row r="240" spans="1:27" x14ac:dyDescent="0.25">
      <c r="D240" s="22"/>
      <c r="AA240" s="314"/>
    </row>
    <row r="241" spans="1:27" x14ac:dyDescent="0.25">
      <c r="D241" s="22"/>
      <c r="AA241" s="314"/>
    </row>
    <row r="242" spans="1:27" x14ac:dyDescent="0.25">
      <c r="A242" s="14"/>
      <c r="B242" s="167"/>
      <c r="C242" s="161"/>
      <c r="D242" s="22"/>
      <c r="AA242" s="314"/>
    </row>
    <row r="243" spans="1:27" x14ac:dyDescent="0.25">
      <c r="A243" s="14"/>
      <c r="B243" s="167"/>
      <c r="C243" s="161"/>
      <c r="D243" s="22"/>
      <c r="AA243" s="314"/>
    </row>
    <row r="244" spans="1:27" x14ac:dyDescent="0.25">
      <c r="D244" s="22"/>
      <c r="AA244" s="314"/>
    </row>
    <row r="245" spans="1:27" x14ac:dyDescent="0.25">
      <c r="D245" s="22"/>
      <c r="AA245" s="314"/>
    </row>
    <row r="246" spans="1:27" x14ac:dyDescent="0.25">
      <c r="D246" s="22"/>
      <c r="AA246" s="314"/>
    </row>
    <row r="247" spans="1:27" x14ac:dyDescent="0.25">
      <c r="D247" s="22"/>
      <c r="AA247" s="314"/>
    </row>
    <row r="248" spans="1:27" x14ac:dyDescent="0.25">
      <c r="A248" s="14"/>
      <c r="B248" s="167"/>
      <c r="C248" s="161"/>
      <c r="D248" s="22"/>
      <c r="AA248" s="314"/>
    </row>
    <row r="249" spans="1:27" x14ac:dyDescent="0.25">
      <c r="A249" s="14"/>
      <c r="B249" s="167"/>
      <c r="C249" s="161"/>
      <c r="D249" s="22"/>
      <c r="AA249" s="314"/>
    </row>
    <row r="250" spans="1:27" x14ac:dyDescent="0.25">
      <c r="A250" s="14"/>
      <c r="B250" s="167"/>
      <c r="C250" s="161"/>
      <c r="D250" s="22"/>
      <c r="AA250" s="314"/>
    </row>
    <row r="251" spans="1:27" x14ac:dyDescent="0.25">
      <c r="A251" s="14"/>
      <c r="B251" s="167"/>
      <c r="C251" s="161"/>
      <c r="D251" s="22"/>
      <c r="AA251" s="314"/>
    </row>
    <row r="252" spans="1:27" x14ac:dyDescent="0.25">
      <c r="D252" s="22"/>
      <c r="AA252" s="314"/>
    </row>
    <row r="253" spans="1:27" x14ac:dyDescent="0.25">
      <c r="D253" s="22"/>
      <c r="AA253" s="314"/>
    </row>
    <row r="254" spans="1:27" x14ac:dyDescent="0.25">
      <c r="D254" s="22"/>
      <c r="AA254" s="314"/>
    </row>
    <row r="255" spans="1:27" x14ac:dyDescent="0.25">
      <c r="A255" s="14"/>
      <c r="B255" s="167"/>
      <c r="C255" s="161"/>
      <c r="D255" s="22"/>
      <c r="AA255" s="314"/>
    </row>
    <row r="256" spans="1:27" x14ac:dyDescent="0.25">
      <c r="A256" s="14"/>
      <c r="B256" s="167"/>
      <c r="C256" s="161"/>
      <c r="D256" s="22"/>
      <c r="AA256" s="314"/>
    </row>
    <row r="257" spans="1:27" x14ac:dyDescent="0.25">
      <c r="A257" s="14"/>
      <c r="B257" s="167"/>
      <c r="C257" s="161"/>
      <c r="D257" s="22"/>
      <c r="AA257" s="314"/>
    </row>
    <row r="258" spans="1:27" x14ac:dyDescent="0.25">
      <c r="A258" s="14"/>
      <c r="B258" s="167"/>
      <c r="C258" s="161"/>
      <c r="D258" s="22"/>
      <c r="AA258" s="314"/>
    </row>
    <row r="259" spans="1:27" x14ac:dyDescent="0.25">
      <c r="A259" s="14"/>
      <c r="B259" s="167"/>
      <c r="C259" s="161"/>
      <c r="D259" s="22"/>
      <c r="AA259" s="314"/>
    </row>
    <row r="260" spans="1:27" x14ac:dyDescent="0.25">
      <c r="A260" s="14"/>
      <c r="B260" s="167"/>
      <c r="C260" s="161"/>
      <c r="D260" s="22"/>
      <c r="AA260" s="314"/>
    </row>
    <row r="261" spans="1:27" x14ac:dyDescent="0.25">
      <c r="A261" s="14"/>
      <c r="B261" s="167"/>
      <c r="C261" s="161"/>
      <c r="D261" s="22"/>
      <c r="AA261" s="314"/>
    </row>
    <row r="262" spans="1:27" x14ac:dyDescent="0.25">
      <c r="A262" s="14"/>
      <c r="B262" s="167"/>
      <c r="C262" s="161"/>
      <c r="D262" s="22"/>
      <c r="AA262" s="314"/>
    </row>
    <row r="263" spans="1:27" x14ac:dyDescent="0.25">
      <c r="A263" s="14"/>
      <c r="B263" s="167"/>
      <c r="C263" s="161"/>
      <c r="D263" s="22"/>
      <c r="AA263" s="314"/>
    </row>
    <row r="264" spans="1:27" x14ac:dyDescent="0.25">
      <c r="A264" s="14"/>
      <c r="B264" s="167"/>
      <c r="C264" s="161"/>
      <c r="D264" s="22"/>
      <c r="AA264" s="314"/>
    </row>
    <row r="265" spans="1:27" x14ac:dyDescent="0.25">
      <c r="A265" s="14"/>
      <c r="B265" s="167"/>
      <c r="C265" s="161"/>
      <c r="D265" s="22"/>
      <c r="AA265" s="314"/>
    </row>
    <row r="266" spans="1:27" x14ac:dyDescent="0.25">
      <c r="A266" s="14"/>
      <c r="B266" s="167"/>
      <c r="C266" s="161"/>
      <c r="D266" s="22"/>
      <c r="AA266" s="314"/>
    </row>
    <row r="267" spans="1:27" x14ac:dyDescent="0.25">
      <c r="A267" s="14"/>
      <c r="B267" s="167"/>
      <c r="C267" s="161"/>
      <c r="D267" s="22"/>
      <c r="AA267" s="314"/>
    </row>
    <row r="268" spans="1:27" x14ac:dyDescent="0.25">
      <c r="A268" s="14"/>
      <c r="B268" s="167"/>
      <c r="C268" s="161"/>
      <c r="D268" s="22"/>
      <c r="AA268" s="314"/>
    </row>
    <row r="269" spans="1:27" x14ac:dyDescent="0.25">
      <c r="A269" s="14"/>
      <c r="B269" s="167"/>
      <c r="C269" s="161"/>
      <c r="D269" s="22"/>
      <c r="AA269" s="314"/>
    </row>
    <row r="270" spans="1:27" x14ac:dyDescent="0.25">
      <c r="A270" s="14"/>
      <c r="B270" s="167"/>
      <c r="C270" s="161"/>
      <c r="D270" s="22"/>
      <c r="AA270" s="314"/>
    </row>
    <row r="271" spans="1:27" x14ac:dyDescent="0.25">
      <c r="A271" s="14"/>
      <c r="B271" s="167"/>
      <c r="C271" s="161"/>
      <c r="D271" s="22"/>
      <c r="AA271" s="314"/>
    </row>
    <row r="272" spans="1:27" x14ac:dyDescent="0.25">
      <c r="A272" s="14"/>
      <c r="B272" s="167"/>
      <c r="C272" s="161"/>
      <c r="D272" s="22"/>
      <c r="AA272" s="314"/>
    </row>
    <row r="273" spans="1:27" x14ac:dyDescent="0.25">
      <c r="A273" s="14"/>
      <c r="B273" s="167"/>
      <c r="C273" s="161"/>
      <c r="D273" s="22"/>
      <c r="AA273" s="314"/>
    </row>
    <row r="274" spans="1:27" x14ac:dyDescent="0.25">
      <c r="A274" s="14"/>
      <c r="B274" s="167"/>
      <c r="C274" s="161"/>
      <c r="D274" s="22"/>
      <c r="AA274" s="314"/>
    </row>
    <row r="275" spans="1:27" x14ac:dyDescent="0.25">
      <c r="A275" s="14"/>
      <c r="B275" s="167"/>
      <c r="C275" s="161"/>
      <c r="D275" s="22"/>
      <c r="AA275" s="314"/>
    </row>
    <row r="276" spans="1:27" x14ac:dyDescent="0.25">
      <c r="A276" s="14"/>
      <c r="B276" s="167"/>
      <c r="C276" s="161"/>
      <c r="D276" s="22"/>
      <c r="AA276" s="314"/>
    </row>
    <row r="277" spans="1:27" x14ac:dyDescent="0.25">
      <c r="A277" s="14"/>
      <c r="B277" s="167"/>
      <c r="C277" s="161"/>
      <c r="D277" s="22"/>
      <c r="AA277" s="314"/>
    </row>
    <row r="278" spans="1:27" x14ac:dyDescent="0.25">
      <c r="A278" s="14"/>
      <c r="B278" s="167"/>
      <c r="C278" s="161"/>
      <c r="D278" s="22"/>
      <c r="AA278" s="314"/>
    </row>
    <row r="279" spans="1:27" x14ac:dyDescent="0.25">
      <c r="A279" s="14"/>
      <c r="B279" s="167"/>
      <c r="C279" s="161"/>
      <c r="D279" s="22"/>
      <c r="AA279" s="314"/>
    </row>
    <row r="280" spans="1:27" x14ac:dyDescent="0.25">
      <c r="A280" s="14"/>
      <c r="B280" s="167"/>
      <c r="C280" s="161"/>
      <c r="D280" s="22"/>
      <c r="AA280" s="314"/>
    </row>
    <row r="281" spans="1:27" x14ac:dyDescent="0.25">
      <c r="A281" s="14"/>
      <c r="B281" s="167"/>
      <c r="C281" s="161"/>
      <c r="D281" s="22"/>
      <c r="AA281" s="314"/>
    </row>
    <row r="282" spans="1:27" x14ac:dyDescent="0.25">
      <c r="A282" s="14"/>
      <c r="B282" s="167"/>
      <c r="C282" s="161"/>
      <c r="D282" s="22"/>
      <c r="AA282" s="314"/>
    </row>
    <row r="283" spans="1:27" x14ac:dyDescent="0.25">
      <c r="A283" s="14"/>
      <c r="B283" s="167"/>
      <c r="C283" s="161"/>
      <c r="D283" s="22"/>
      <c r="AA283" s="314"/>
    </row>
    <row r="284" spans="1:27" x14ac:dyDescent="0.25">
      <c r="A284" s="14"/>
      <c r="B284" s="167"/>
      <c r="C284" s="161"/>
      <c r="D284" s="22"/>
      <c r="AA284" s="314"/>
    </row>
    <row r="285" spans="1:27" x14ac:dyDescent="0.25">
      <c r="A285" s="14"/>
      <c r="B285" s="167"/>
      <c r="C285" s="161"/>
      <c r="D285" s="22"/>
      <c r="AA285" s="314"/>
    </row>
    <row r="286" spans="1:27" x14ac:dyDescent="0.25">
      <c r="A286" s="14"/>
      <c r="B286" s="167"/>
      <c r="C286" s="161"/>
      <c r="D286" s="22"/>
      <c r="AA286" s="314"/>
    </row>
    <row r="287" spans="1:27" x14ac:dyDescent="0.25">
      <c r="A287" s="14"/>
      <c r="B287" s="167"/>
      <c r="C287" s="161"/>
      <c r="D287" s="22"/>
      <c r="AA287" s="314"/>
    </row>
    <row r="288" spans="1:27" x14ac:dyDescent="0.25">
      <c r="A288" s="14"/>
      <c r="B288" s="167"/>
      <c r="C288" s="161"/>
      <c r="D288" s="22"/>
      <c r="AA288" s="314"/>
    </row>
    <row r="289" spans="1:27" x14ac:dyDescent="0.25">
      <c r="A289" s="14"/>
      <c r="B289" s="167"/>
      <c r="C289" s="161"/>
      <c r="D289" s="22"/>
      <c r="AA289" s="314"/>
    </row>
    <row r="290" spans="1:27" x14ac:dyDescent="0.25">
      <c r="A290" s="14"/>
      <c r="B290" s="167"/>
      <c r="C290" s="161"/>
      <c r="D290" s="22"/>
      <c r="AA290" s="314"/>
    </row>
    <row r="291" spans="1:27" x14ac:dyDescent="0.25">
      <c r="A291" s="14"/>
      <c r="B291" s="167"/>
      <c r="C291" s="161"/>
      <c r="D291" s="22"/>
      <c r="AA291" s="314"/>
    </row>
    <row r="292" spans="1:27" x14ac:dyDescent="0.25">
      <c r="A292" s="14"/>
      <c r="B292" s="167"/>
      <c r="C292" s="161"/>
      <c r="D292" s="22"/>
      <c r="AA292" s="314"/>
    </row>
    <row r="293" spans="1:27" x14ac:dyDescent="0.25">
      <c r="A293" s="14"/>
      <c r="B293" s="167"/>
      <c r="C293" s="161"/>
      <c r="D293" s="22"/>
      <c r="AA293" s="314"/>
    </row>
    <row r="294" spans="1:27" x14ac:dyDescent="0.25">
      <c r="A294" s="14"/>
      <c r="B294" s="167"/>
      <c r="C294" s="161"/>
      <c r="D294" s="22"/>
      <c r="AA294" s="314"/>
    </row>
    <row r="295" spans="1:27" x14ac:dyDescent="0.25">
      <c r="A295" s="14"/>
      <c r="B295" s="167"/>
      <c r="C295" s="161"/>
      <c r="D295" s="22"/>
      <c r="AA295" s="314"/>
    </row>
    <row r="296" spans="1:27" x14ac:dyDescent="0.25">
      <c r="A296" s="14"/>
      <c r="B296" s="167"/>
      <c r="C296" s="161"/>
      <c r="D296" s="22"/>
      <c r="AA296" s="314"/>
    </row>
    <row r="297" spans="1:27" x14ac:dyDescent="0.25">
      <c r="A297" s="14"/>
      <c r="B297" s="167"/>
      <c r="C297" s="161"/>
      <c r="D297" s="22"/>
      <c r="AA297" s="314"/>
    </row>
    <row r="298" spans="1:27" x14ac:dyDescent="0.25">
      <c r="A298" s="14"/>
      <c r="B298" s="167"/>
      <c r="C298" s="161"/>
      <c r="D298" s="22"/>
      <c r="AA298" s="314"/>
    </row>
    <row r="299" spans="1:27" x14ac:dyDescent="0.25">
      <c r="A299" s="14"/>
      <c r="B299" s="167"/>
      <c r="C299" s="161"/>
      <c r="D299" s="22"/>
      <c r="AA299" s="314"/>
    </row>
    <row r="300" spans="1:27" x14ac:dyDescent="0.25">
      <c r="A300" s="14"/>
      <c r="B300" s="167"/>
      <c r="C300" s="161"/>
      <c r="D300" s="22"/>
      <c r="AA300" s="314"/>
    </row>
    <row r="301" spans="1:27" x14ac:dyDescent="0.25">
      <c r="A301" s="14"/>
      <c r="B301" s="167"/>
      <c r="C301" s="161"/>
      <c r="D301" s="22"/>
      <c r="AA301" s="314"/>
    </row>
    <row r="302" spans="1:27" x14ac:dyDescent="0.25">
      <c r="A302" s="14"/>
      <c r="B302" s="167"/>
      <c r="C302" s="161"/>
      <c r="D302" s="22"/>
      <c r="AA302" s="314"/>
    </row>
    <row r="303" spans="1:27" x14ac:dyDescent="0.25">
      <c r="A303" s="14"/>
      <c r="B303" s="167"/>
      <c r="C303" s="161"/>
      <c r="D303" s="22"/>
      <c r="AA303" s="314"/>
    </row>
    <row r="304" spans="1:27" x14ac:dyDescent="0.25">
      <c r="A304" s="14"/>
      <c r="B304" s="167"/>
      <c r="C304" s="161"/>
      <c r="D304" s="22"/>
      <c r="AA304" s="314"/>
    </row>
    <row r="305" spans="1:27" x14ac:dyDescent="0.25">
      <c r="A305" s="14"/>
      <c r="B305" s="167"/>
      <c r="C305" s="161"/>
      <c r="D305" s="22"/>
      <c r="AA305" s="314"/>
    </row>
    <row r="306" spans="1:27" x14ac:dyDescent="0.25">
      <c r="A306" s="14"/>
      <c r="B306" s="167"/>
      <c r="C306" s="161"/>
      <c r="D306" s="22"/>
      <c r="AA306" s="314"/>
    </row>
    <row r="307" spans="1:27" x14ac:dyDescent="0.25">
      <c r="A307" s="14"/>
      <c r="B307" s="167"/>
      <c r="C307" s="161"/>
      <c r="D307" s="22"/>
      <c r="AA307" s="314"/>
    </row>
    <row r="308" spans="1:27" x14ac:dyDescent="0.25">
      <c r="A308" s="14"/>
      <c r="B308" s="167"/>
      <c r="C308" s="161"/>
      <c r="D308" s="22"/>
      <c r="AA308" s="314"/>
    </row>
    <row r="309" spans="1:27" x14ac:dyDescent="0.25">
      <c r="A309" s="14"/>
      <c r="B309" s="167"/>
      <c r="C309" s="161"/>
      <c r="D309" s="22"/>
      <c r="AA309" s="314"/>
    </row>
    <row r="310" spans="1:27" x14ac:dyDescent="0.25">
      <c r="A310" s="14"/>
      <c r="B310" s="167"/>
      <c r="C310" s="161"/>
      <c r="D310" s="22"/>
      <c r="AA310" s="314"/>
    </row>
    <row r="311" spans="1:27" x14ac:dyDescent="0.25">
      <c r="A311" s="14"/>
      <c r="B311" s="167"/>
      <c r="C311" s="161"/>
      <c r="D311" s="22"/>
      <c r="AA311" s="314"/>
    </row>
    <row r="312" spans="1:27" x14ac:dyDescent="0.25">
      <c r="A312" s="14"/>
      <c r="B312" s="167"/>
      <c r="C312" s="161"/>
      <c r="D312" s="22"/>
      <c r="AA312" s="314"/>
    </row>
    <row r="313" spans="1:27" x14ac:dyDescent="0.25">
      <c r="A313" s="14"/>
      <c r="B313" s="167"/>
      <c r="C313" s="161"/>
      <c r="D313" s="22"/>
      <c r="AA313" s="314"/>
    </row>
    <row r="314" spans="1:27" x14ac:dyDescent="0.25">
      <c r="A314" s="14"/>
      <c r="B314" s="167"/>
      <c r="C314" s="161"/>
      <c r="D314" s="22"/>
      <c r="AA314" s="314"/>
    </row>
    <row r="315" spans="1:27" x14ac:dyDescent="0.25">
      <c r="A315" s="14"/>
      <c r="B315" s="167"/>
      <c r="C315" s="161"/>
      <c r="D315" s="22"/>
      <c r="AA315" s="314"/>
    </row>
    <row r="316" spans="1:27" x14ac:dyDescent="0.25">
      <c r="A316" s="14"/>
      <c r="B316" s="167"/>
      <c r="C316" s="161"/>
      <c r="D316" s="22"/>
      <c r="AA316" s="314"/>
    </row>
    <row r="317" spans="1:27" x14ac:dyDescent="0.25">
      <c r="A317" s="14"/>
      <c r="B317" s="167"/>
      <c r="C317" s="161"/>
      <c r="D317" s="22"/>
      <c r="AA317" s="314"/>
    </row>
    <row r="318" spans="1:27" x14ac:dyDescent="0.25">
      <c r="A318" s="14"/>
      <c r="B318" s="167"/>
      <c r="C318" s="161"/>
      <c r="D318" s="22"/>
      <c r="AA318" s="314"/>
    </row>
    <row r="319" spans="1:27" x14ac:dyDescent="0.25">
      <c r="A319" s="14"/>
      <c r="B319" s="167"/>
      <c r="C319" s="161"/>
      <c r="D319" s="22"/>
      <c r="AA319" s="314"/>
    </row>
    <row r="320" spans="1:27" x14ac:dyDescent="0.25">
      <c r="A320" s="14"/>
      <c r="B320" s="167"/>
      <c r="C320" s="161"/>
      <c r="D320" s="22"/>
      <c r="AA320" s="314"/>
    </row>
    <row r="321" spans="1:27" x14ac:dyDescent="0.25">
      <c r="A321" s="14"/>
      <c r="B321" s="167"/>
      <c r="C321" s="161"/>
      <c r="D321" s="22"/>
      <c r="AA321" s="314"/>
    </row>
    <row r="322" spans="1:27" x14ac:dyDescent="0.25">
      <c r="A322" s="14"/>
      <c r="B322" s="167"/>
      <c r="C322" s="161"/>
      <c r="D322" s="22"/>
      <c r="AA322" s="314"/>
    </row>
    <row r="323" spans="1:27" x14ac:dyDescent="0.25">
      <c r="A323" s="14"/>
      <c r="B323" s="167"/>
      <c r="C323" s="161"/>
      <c r="D323" s="22"/>
      <c r="AA323" s="314"/>
    </row>
    <row r="324" spans="1:27" x14ac:dyDescent="0.25">
      <c r="A324" s="14"/>
      <c r="B324" s="167"/>
      <c r="C324" s="161"/>
      <c r="D324" s="22"/>
      <c r="AA324" s="314"/>
    </row>
    <row r="325" spans="1:27" x14ac:dyDescent="0.25">
      <c r="A325" s="14"/>
      <c r="B325" s="167"/>
      <c r="C325" s="161"/>
      <c r="D325" s="22"/>
      <c r="AA325" s="314"/>
    </row>
    <row r="326" spans="1:27" x14ac:dyDescent="0.25">
      <c r="A326" s="14"/>
      <c r="B326" s="167"/>
      <c r="C326" s="161"/>
      <c r="D326" s="22"/>
      <c r="AA326" s="314"/>
    </row>
    <row r="327" spans="1:27" x14ac:dyDescent="0.25">
      <c r="A327" s="14"/>
      <c r="B327" s="167"/>
      <c r="C327" s="161"/>
      <c r="D327" s="22"/>
      <c r="AA327" s="314"/>
    </row>
    <row r="328" spans="1:27" x14ac:dyDescent="0.25">
      <c r="A328" s="14"/>
      <c r="B328" s="167"/>
      <c r="C328" s="161"/>
      <c r="D328" s="22"/>
      <c r="AA328" s="314"/>
    </row>
    <row r="329" spans="1:27" x14ac:dyDescent="0.25">
      <c r="A329" s="14"/>
      <c r="B329" s="167"/>
      <c r="C329" s="161"/>
      <c r="D329" s="22"/>
      <c r="AA329" s="314"/>
    </row>
    <row r="330" spans="1:27" x14ac:dyDescent="0.25">
      <c r="A330" s="14"/>
      <c r="B330" s="167"/>
      <c r="C330" s="161"/>
      <c r="D330" s="22"/>
      <c r="AA330" s="314"/>
    </row>
    <row r="331" spans="1:27" x14ac:dyDescent="0.25">
      <c r="A331" s="14"/>
      <c r="B331" s="167"/>
      <c r="C331" s="161"/>
      <c r="D331" s="22"/>
      <c r="AA331" s="314"/>
    </row>
    <row r="332" spans="1:27" x14ac:dyDescent="0.25">
      <c r="A332" s="14"/>
      <c r="B332" s="167"/>
      <c r="C332" s="161"/>
      <c r="D332" s="22"/>
      <c r="AA332" s="314"/>
    </row>
    <row r="333" spans="1:27" x14ac:dyDescent="0.25">
      <c r="A333" s="14"/>
      <c r="B333" s="167"/>
      <c r="C333" s="161"/>
      <c r="D333" s="22"/>
      <c r="AA333" s="314"/>
    </row>
    <row r="334" spans="1:27" x14ac:dyDescent="0.25">
      <c r="A334" s="14"/>
      <c r="B334" s="167"/>
      <c r="C334" s="161"/>
      <c r="D334" s="22"/>
      <c r="AA334" s="314"/>
    </row>
    <row r="335" spans="1:27" x14ac:dyDescent="0.25">
      <c r="A335" s="14"/>
      <c r="B335" s="167"/>
      <c r="C335" s="161"/>
      <c r="D335" s="22"/>
      <c r="AA335" s="314"/>
    </row>
    <row r="336" spans="1:27" x14ac:dyDescent="0.25">
      <c r="A336" s="14"/>
      <c r="B336" s="167"/>
      <c r="C336" s="161"/>
      <c r="D336" s="22"/>
      <c r="AA336" s="314"/>
    </row>
    <row r="337" spans="1:27" x14ac:dyDescent="0.25">
      <c r="A337" s="14"/>
      <c r="B337" s="167"/>
      <c r="C337" s="161"/>
      <c r="D337" s="22"/>
      <c r="AA337" s="314"/>
    </row>
    <row r="338" spans="1:27" x14ac:dyDescent="0.25">
      <c r="A338" s="14"/>
      <c r="B338" s="167"/>
      <c r="C338" s="161"/>
      <c r="D338" s="22"/>
      <c r="AA338" s="314"/>
    </row>
    <row r="339" spans="1:27" x14ac:dyDescent="0.25">
      <c r="A339" s="14"/>
      <c r="B339" s="167"/>
      <c r="C339" s="161"/>
      <c r="D339" s="22"/>
      <c r="AA339" s="314"/>
    </row>
    <row r="340" spans="1:27" x14ac:dyDescent="0.25">
      <c r="A340" s="14"/>
      <c r="B340" s="167"/>
      <c r="C340" s="161"/>
      <c r="D340" s="22"/>
      <c r="AA340" s="314"/>
    </row>
    <row r="341" spans="1:27" x14ac:dyDescent="0.25">
      <c r="A341" s="14"/>
      <c r="B341" s="167"/>
      <c r="C341" s="161"/>
      <c r="D341" s="22"/>
      <c r="AA341" s="314"/>
    </row>
    <row r="342" spans="1:27" x14ac:dyDescent="0.25">
      <c r="A342" s="14"/>
      <c r="B342" s="167"/>
      <c r="C342" s="161"/>
      <c r="D342" s="22"/>
      <c r="AA342" s="314"/>
    </row>
    <row r="343" spans="1:27" x14ac:dyDescent="0.25">
      <c r="A343" s="14"/>
      <c r="B343" s="167"/>
      <c r="C343" s="161"/>
      <c r="D343" s="22"/>
      <c r="AA343" s="314"/>
    </row>
    <row r="344" spans="1:27" x14ac:dyDescent="0.25">
      <c r="A344" s="14"/>
      <c r="B344" s="167"/>
      <c r="C344" s="161"/>
      <c r="D344" s="22"/>
      <c r="AA344" s="314"/>
    </row>
    <row r="345" spans="1:27" x14ac:dyDescent="0.25">
      <c r="A345" s="14"/>
      <c r="B345" s="167"/>
      <c r="C345" s="161"/>
      <c r="D345" s="22"/>
      <c r="AA345" s="314"/>
    </row>
    <row r="346" spans="1:27" x14ac:dyDescent="0.25">
      <c r="A346" s="14"/>
      <c r="B346" s="167"/>
      <c r="C346" s="161"/>
      <c r="D346" s="22"/>
      <c r="AA346" s="314"/>
    </row>
    <row r="347" spans="1:27" x14ac:dyDescent="0.25">
      <c r="A347" s="14"/>
      <c r="B347" s="167"/>
      <c r="C347" s="161"/>
      <c r="D347" s="22"/>
      <c r="AA347" s="314"/>
    </row>
    <row r="348" spans="1:27" x14ac:dyDescent="0.25">
      <c r="A348" s="14"/>
      <c r="B348" s="167"/>
      <c r="C348" s="161"/>
      <c r="D348" s="22"/>
      <c r="AA348" s="314"/>
    </row>
    <row r="349" spans="1:27" x14ac:dyDescent="0.25">
      <c r="A349" s="14"/>
      <c r="B349" s="167"/>
      <c r="C349" s="161"/>
      <c r="D349" s="22"/>
      <c r="AA349" s="314"/>
    </row>
    <row r="350" spans="1:27" x14ac:dyDescent="0.25">
      <c r="A350" s="14"/>
      <c r="B350" s="167"/>
      <c r="C350" s="161"/>
      <c r="D350" s="22"/>
      <c r="AA350" s="314"/>
    </row>
    <row r="351" spans="1:27" x14ac:dyDescent="0.25">
      <c r="A351" s="14"/>
      <c r="B351" s="167"/>
      <c r="C351" s="161"/>
      <c r="D351" s="22"/>
      <c r="AA351" s="314"/>
    </row>
    <row r="352" spans="1:27" x14ac:dyDescent="0.25">
      <c r="A352" s="14"/>
      <c r="B352" s="167"/>
      <c r="C352" s="161"/>
      <c r="D352" s="22"/>
      <c r="AA352" s="314"/>
    </row>
    <row r="353" spans="1:27" x14ac:dyDescent="0.25">
      <c r="A353" s="14"/>
      <c r="B353" s="167"/>
      <c r="C353" s="161"/>
      <c r="D353" s="22"/>
      <c r="AA353" s="314"/>
    </row>
    <row r="354" spans="1:27" x14ac:dyDescent="0.25">
      <c r="A354" s="14"/>
      <c r="B354" s="167"/>
      <c r="C354" s="161"/>
      <c r="D354" s="22"/>
      <c r="AA354" s="314"/>
    </row>
    <row r="355" spans="1:27" x14ac:dyDescent="0.25">
      <c r="A355" s="14"/>
      <c r="B355" s="167"/>
      <c r="C355" s="161"/>
      <c r="D355" s="22"/>
      <c r="AA355" s="314"/>
    </row>
    <row r="356" spans="1:27" x14ac:dyDescent="0.25">
      <c r="A356" s="14"/>
      <c r="B356" s="167"/>
      <c r="C356" s="161"/>
      <c r="D356" s="22"/>
      <c r="AA356" s="314"/>
    </row>
    <row r="357" spans="1:27" x14ac:dyDescent="0.25">
      <c r="A357" s="14"/>
      <c r="B357" s="167"/>
      <c r="C357" s="161"/>
      <c r="D357" s="22"/>
      <c r="AA357" s="314"/>
    </row>
    <row r="358" spans="1:27" x14ac:dyDescent="0.25">
      <c r="A358" s="14"/>
      <c r="B358" s="167"/>
      <c r="C358" s="161"/>
      <c r="D358" s="22"/>
      <c r="AA358" s="314"/>
    </row>
    <row r="359" spans="1:27" x14ac:dyDescent="0.25">
      <c r="A359" s="14"/>
      <c r="B359" s="167"/>
      <c r="C359" s="161"/>
      <c r="D359" s="22"/>
      <c r="AA359" s="314"/>
    </row>
    <row r="360" spans="1:27" x14ac:dyDescent="0.25">
      <c r="A360" s="14"/>
      <c r="B360" s="167"/>
      <c r="C360" s="161"/>
      <c r="D360" s="22"/>
      <c r="AA360" s="314"/>
    </row>
    <row r="361" spans="1:27" x14ac:dyDescent="0.25">
      <c r="A361" s="14"/>
      <c r="B361" s="167"/>
      <c r="C361" s="161"/>
      <c r="D361" s="22"/>
      <c r="AA361" s="314"/>
    </row>
    <row r="362" spans="1:27" x14ac:dyDescent="0.25">
      <c r="A362" s="14"/>
      <c r="B362" s="167"/>
      <c r="C362" s="161"/>
      <c r="D362" s="22"/>
      <c r="AA362" s="314"/>
    </row>
    <row r="363" spans="1:27" x14ac:dyDescent="0.25">
      <c r="A363" s="14"/>
      <c r="B363" s="167"/>
      <c r="C363" s="161"/>
      <c r="D363" s="22"/>
      <c r="AA363" s="314"/>
    </row>
    <row r="364" spans="1:27" x14ac:dyDescent="0.25">
      <c r="A364" s="14"/>
      <c r="B364" s="167"/>
      <c r="C364" s="161"/>
      <c r="D364" s="22"/>
      <c r="AA364" s="314"/>
    </row>
    <row r="365" spans="1:27" x14ac:dyDescent="0.25">
      <c r="A365" s="14"/>
      <c r="B365" s="167"/>
      <c r="C365" s="161"/>
      <c r="D365" s="22"/>
      <c r="AA365" s="314"/>
    </row>
    <row r="366" spans="1:27" x14ac:dyDescent="0.25">
      <c r="A366" s="14"/>
      <c r="B366" s="167"/>
      <c r="C366" s="161"/>
      <c r="D366" s="22"/>
      <c r="AA366" s="314"/>
    </row>
    <row r="367" spans="1:27" x14ac:dyDescent="0.25">
      <c r="D367" s="22"/>
      <c r="AA367" s="314"/>
    </row>
    <row r="368" spans="1:27" x14ac:dyDescent="0.25">
      <c r="D368" s="22"/>
      <c r="AA368" s="314"/>
    </row>
    <row r="369" spans="4:27" x14ac:dyDescent="0.25">
      <c r="D369" s="22"/>
      <c r="AA369" s="314"/>
    </row>
    <row r="370" spans="4:27" x14ac:dyDescent="0.25">
      <c r="D370" s="22"/>
      <c r="AA370" s="314"/>
    </row>
    <row r="371" spans="4:27" x14ac:dyDescent="0.25">
      <c r="D371" s="22"/>
      <c r="AA371" s="314"/>
    </row>
    <row r="372" spans="4:27" x14ac:dyDescent="0.25">
      <c r="D372" s="22"/>
      <c r="AA372" s="314"/>
    </row>
    <row r="373" spans="4:27" x14ac:dyDescent="0.25">
      <c r="D373" s="22"/>
      <c r="AA373" s="314"/>
    </row>
    <row r="374" spans="4:27" x14ac:dyDescent="0.25">
      <c r="D374" s="22"/>
      <c r="AA374" s="314"/>
    </row>
    <row r="375" spans="4:27" x14ac:dyDescent="0.25">
      <c r="D375" s="22"/>
      <c r="AA375" s="314"/>
    </row>
    <row r="376" spans="4:27" x14ac:dyDescent="0.25">
      <c r="D376" s="22"/>
      <c r="AA376" s="314"/>
    </row>
    <row r="377" spans="4:27" x14ac:dyDescent="0.25">
      <c r="D377" s="22"/>
      <c r="AA377" s="314"/>
    </row>
    <row r="378" spans="4:27" x14ac:dyDescent="0.25">
      <c r="D378" s="22"/>
      <c r="AA378" s="314"/>
    </row>
    <row r="379" spans="4:27" x14ac:dyDescent="0.25">
      <c r="D379" s="22"/>
      <c r="AA379" s="314"/>
    </row>
    <row r="380" spans="4:27" x14ac:dyDescent="0.25">
      <c r="D380" s="22"/>
      <c r="AA380" s="314"/>
    </row>
    <row r="381" spans="4:27" x14ac:dyDescent="0.25">
      <c r="D381" s="22"/>
      <c r="AA381" s="314"/>
    </row>
    <row r="382" spans="4:27" x14ac:dyDescent="0.25">
      <c r="D382" s="22"/>
      <c r="AA382" s="314"/>
    </row>
    <row r="383" spans="4:27" x14ac:dyDescent="0.25">
      <c r="D383" s="22"/>
      <c r="AA383" s="314"/>
    </row>
    <row r="384" spans="4:27" x14ac:dyDescent="0.25">
      <c r="D384" s="22"/>
      <c r="AA384" s="314"/>
    </row>
    <row r="385" spans="4:27" x14ac:dyDescent="0.25">
      <c r="D385" s="22"/>
      <c r="AA385" s="314"/>
    </row>
    <row r="386" spans="4:27" x14ac:dyDescent="0.25">
      <c r="D386" s="22"/>
      <c r="AA386" s="314"/>
    </row>
    <row r="387" spans="4:27" x14ac:dyDescent="0.25">
      <c r="D387" s="22"/>
      <c r="AA387" s="314"/>
    </row>
    <row r="388" spans="4:27" x14ac:dyDescent="0.25">
      <c r="D388" s="22"/>
      <c r="AA388" s="314"/>
    </row>
    <row r="389" spans="4:27" x14ac:dyDescent="0.25">
      <c r="D389" s="22"/>
      <c r="AA389" s="314"/>
    </row>
    <row r="390" spans="4:27" x14ac:dyDescent="0.25">
      <c r="D390" s="22"/>
      <c r="AA390" s="314"/>
    </row>
    <row r="391" spans="4:27" x14ac:dyDescent="0.25">
      <c r="D391" s="22"/>
      <c r="AA391" s="314"/>
    </row>
    <row r="392" spans="4:27" x14ac:dyDescent="0.25">
      <c r="D392" s="22"/>
      <c r="AA392" s="314"/>
    </row>
    <row r="393" spans="4:27" x14ac:dyDescent="0.25">
      <c r="D393" s="22"/>
      <c r="AA393" s="314"/>
    </row>
    <row r="394" spans="4:27" x14ac:dyDescent="0.25">
      <c r="D394" s="22"/>
      <c r="AA394" s="314"/>
    </row>
    <row r="395" spans="4:27" x14ac:dyDescent="0.25">
      <c r="D395" s="22"/>
      <c r="AA395" s="314"/>
    </row>
    <row r="396" spans="4:27" x14ac:dyDescent="0.25">
      <c r="D396" s="22"/>
      <c r="AA396" s="314"/>
    </row>
    <row r="397" spans="4:27" x14ac:dyDescent="0.25">
      <c r="D397" s="22"/>
      <c r="AA397" s="314"/>
    </row>
    <row r="398" spans="4:27" x14ac:dyDescent="0.25">
      <c r="D398" s="22"/>
      <c r="AA398" s="314"/>
    </row>
    <row r="399" spans="4:27" x14ac:dyDescent="0.25">
      <c r="D399" s="22"/>
      <c r="AA399" s="314"/>
    </row>
    <row r="400" spans="4:27" x14ac:dyDescent="0.25">
      <c r="D400" s="22"/>
      <c r="AA400" s="314"/>
    </row>
    <row r="401" spans="4:27" x14ac:dyDescent="0.25">
      <c r="D401" s="22"/>
      <c r="AA401" s="314"/>
    </row>
    <row r="402" spans="4:27" x14ac:dyDescent="0.25">
      <c r="D402" s="22"/>
      <c r="AA402" s="314"/>
    </row>
    <row r="403" spans="4:27" x14ac:dyDescent="0.25">
      <c r="D403" s="22"/>
      <c r="AA403" s="314"/>
    </row>
    <row r="404" spans="4:27" x14ac:dyDescent="0.25">
      <c r="D404" s="22"/>
      <c r="AA404" s="314"/>
    </row>
    <row r="405" spans="4:27" x14ac:dyDescent="0.25">
      <c r="D405" s="22"/>
      <c r="AA405" s="314"/>
    </row>
    <row r="406" spans="4:27" x14ac:dyDescent="0.25">
      <c r="D406" s="22"/>
      <c r="AA406" s="314"/>
    </row>
    <row r="407" spans="4:27" x14ac:dyDescent="0.25">
      <c r="D407" s="22"/>
      <c r="AA407" s="314"/>
    </row>
    <row r="408" spans="4:27" x14ac:dyDescent="0.25">
      <c r="D408" s="22"/>
      <c r="AA408" s="314"/>
    </row>
    <row r="409" spans="4:27" x14ac:dyDescent="0.25">
      <c r="D409" s="22"/>
      <c r="AA409" s="314"/>
    </row>
    <row r="410" spans="4:27" x14ac:dyDescent="0.25">
      <c r="D410" s="22"/>
      <c r="AA410" s="314"/>
    </row>
    <row r="411" spans="4:27" x14ac:dyDescent="0.25">
      <c r="D411" s="22"/>
      <c r="AA411" s="314"/>
    </row>
    <row r="412" spans="4:27" x14ac:dyDescent="0.25">
      <c r="D412" s="22"/>
      <c r="AA412" s="314"/>
    </row>
    <row r="413" spans="4:27" x14ac:dyDescent="0.25">
      <c r="D413" s="22"/>
      <c r="AA413" s="314"/>
    </row>
    <row r="414" spans="4:27" x14ac:dyDescent="0.25">
      <c r="D414" s="22"/>
      <c r="AA414" s="314"/>
    </row>
    <row r="415" spans="4:27" x14ac:dyDescent="0.25">
      <c r="D415" s="22"/>
      <c r="AA415" s="314"/>
    </row>
    <row r="416" spans="4:27" x14ac:dyDescent="0.25">
      <c r="D416" s="22"/>
      <c r="AA416" s="314"/>
    </row>
    <row r="417" spans="4:27" x14ac:dyDescent="0.25">
      <c r="D417" s="22"/>
      <c r="AA417" s="314"/>
    </row>
    <row r="418" spans="4:27" x14ac:dyDescent="0.25">
      <c r="D418" s="22"/>
      <c r="AA418" s="314"/>
    </row>
    <row r="419" spans="4:27" x14ac:dyDescent="0.25">
      <c r="D419" s="22"/>
      <c r="AA419" s="314"/>
    </row>
    <row r="420" spans="4:27" x14ac:dyDescent="0.25">
      <c r="D420" s="22"/>
      <c r="AA420" s="314"/>
    </row>
    <row r="421" spans="4:27" x14ac:dyDescent="0.25">
      <c r="D421" s="22"/>
      <c r="AA421" s="314"/>
    </row>
    <row r="422" spans="4:27" x14ac:dyDescent="0.25">
      <c r="D422" s="22"/>
      <c r="AA422" s="314"/>
    </row>
    <row r="423" spans="4:27" x14ac:dyDescent="0.25">
      <c r="D423" s="22"/>
      <c r="AA423" s="314"/>
    </row>
    <row r="424" spans="4:27" x14ac:dyDescent="0.25">
      <c r="D424" s="22"/>
      <c r="AA424" s="314"/>
    </row>
    <row r="425" spans="4:27" x14ac:dyDescent="0.25">
      <c r="D425" s="22"/>
      <c r="AA425" s="314"/>
    </row>
    <row r="426" spans="4:27" x14ac:dyDescent="0.25">
      <c r="D426" s="22"/>
      <c r="AA426" s="314"/>
    </row>
    <row r="427" spans="4:27" x14ac:dyDescent="0.25">
      <c r="D427" s="22"/>
      <c r="AA427" s="314"/>
    </row>
    <row r="428" spans="4:27" x14ac:dyDescent="0.25">
      <c r="D428" s="22"/>
      <c r="AA428" s="314"/>
    </row>
    <row r="429" spans="4:27" x14ac:dyDescent="0.25">
      <c r="D429" s="22"/>
      <c r="AA429" s="314"/>
    </row>
    <row r="430" spans="4:27" x14ac:dyDescent="0.25">
      <c r="D430" s="22"/>
      <c r="AA430" s="314"/>
    </row>
    <row r="431" spans="4:27" x14ac:dyDescent="0.25">
      <c r="D431" s="22"/>
      <c r="AA431" s="314"/>
    </row>
    <row r="432" spans="4:27" x14ac:dyDescent="0.25">
      <c r="D432" s="22"/>
      <c r="AA432" s="314"/>
    </row>
    <row r="433" spans="4:27" x14ac:dyDescent="0.25">
      <c r="D433" s="22"/>
      <c r="AA433" s="314"/>
    </row>
    <row r="434" spans="4:27" x14ac:dyDescent="0.25">
      <c r="D434" s="22"/>
      <c r="AA434" s="314"/>
    </row>
    <row r="435" spans="4:27" x14ac:dyDescent="0.25">
      <c r="D435" s="22"/>
      <c r="AA435" s="314"/>
    </row>
    <row r="436" spans="4:27" x14ac:dyDescent="0.25">
      <c r="D436" s="22"/>
      <c r="AA436" s="314"/>
    </row>
    <row r="437" spans="4:27" x14ac:dyDescent="0.25">
      <c r="D437" s="22"/>
      <c r="AA437" s="314"/>
    </row>
    <row r="438" spans="4:27" x14ac:dyDescent="0.25">
      <c r="D438" s="22"/>
      <c r="AA438" s="314"/>
    </row>
    <row r="439" spans="4:27" x14ac:dyDescent="0.25">
      <c r="D439" s="22"/>
      <c r="AA439" s="314"/>
    </row>
    <row r="440" spans="4:27" x14ac:dyDescent="0.25">
      <c r="D440" s="22"/>
      <c r="AA440" s="314"/>
    </row>
    <row r="441" spans="4:27" x14ac:dyDescent="0.25">
      <c r="D441" s="22"/>
      <c r="AA441" s="314"/>
    </row>
    <row r="442" spans="4:27" x14ac:dyDescent="0.25">
      <c r="D442" s="22"/>
      <c r="AA442" s="314"/>
    </row>
    <row r="443" spans="4:27" x14ac:dyDescent="0.25">
      <c r="D443" s="22"/>
      <c r="AA443" s="314"/>
    </row>
    <row r="444" spans="4:27" x14ac:dyDescent="0.25">
      <c r="D444" s="22"/>
      <c r="AA444" s="314"/>
    </row>
    <row r="445" spans="4:27" x14ac:dyDescent="0.25">
      <c r="D445" s="22"/>
      <c r="AA445" s="314"/>
    </row>
    <row r="446" spans="4:27" x14ac:dyDescent="0.25">
      <c r="D446" s="22"/>
    </row>
    <row r="447" spans="4:27" x14ac:dyDescent="0.25">
      <c r="D447" s="22"/>
    </row>
    <row r="448" spans="4:27" x14ac:dyDescent="0.25">
      <c r="D448" s="22"/>
    </row>
    <row r="449" spans="4:4" x14ac:dyDescent="0.25">
      <c r="D449" s="22"/>
    </row>
    <row r="450" spans="4:4" x14ac:dyDescent="0.25">
      <c r="D450" s="22"/>
    </row>
    <row r="451" spans="4:4" x14ac:dyDescent="0.25">
      <c r="D451" s="22"/>
    </row>
    <row r="452" spans="4:4" x14ac:dyDescent="0.25">
      <c r="D452" s="22"/>
    </row>
    <row r="453" spans="4:4" x14ac:dyDescent="0.25">
      <c r="D453" s="22"/>
    </row>
    <row r="454" spans="4:4" x14ac:dyDescent="0.25">
      <c r="D454" s="22"/>
    </row>
    <row r="455" spans="4:4" x14ac:dyDescent="0.25">
      <c r="D455" s="22"/>
    </row>
    <row r="456" spans="4:4" x14ac:dyDescent="0.25">
      <c r="D456" s="22"/>
    </row>
    <row r="457" spans="4:4" x14ac:dyDescent="0.25">
      <c r="D457" s="22"/>
    </row>
    <row r="458" spans="4:4" x14ac:dyDescent="0.25">
      <c r="D458" s="22"/>
    </row>
    <row r="459" spans="4:4" x14ac:dyDescent="0.25">
      <c r="D459" s="22"/>
    </row>
    <row r="460" spans="4:4" x14ac:dyDescent="0.25">
      <c r="D460" s="22"/>
    </row>
    <row r="461" spans="4:4" x14ac:dyDescent="0.25">
      <c r="D461" s="22"/>
    </row>
    <row r="462" spans="4:4" x14ac:dyDescent="0.25">
      <c r="D462" s="22"/>
    </row>
    <row r="463" spans="4:4" x14ac:dyDescent="0.25">
      <c r="D463" s="22"/>
    </row>
    <row r="464" spans="4:4" x14ac:dyDescent="0.25">
      <c r="D464" s="22"/>
    </row>
    <row r="465" spans="4:4" x14ac:dyDescent="0.25">
      <c r="D465" s="22"/>
    </row>
    <row r="466" spans="4:4" x14ac:dyDescent="0.25">
      <c r="D466" s="22"/>
    </row>
    <row r="467" spans="4:4" x14ac:dyDescent="0.25">
      <c r="D467" s="22"/>
    </row>
    <row r="468" spans="4:4" x14ac:dyDescent="0.25">
      <c r="D468" s="22"/>
    </row>
    <row r="469" spans="4:4" x14ac:dyDescent="0.25">
      <c r="D469" s="22"/>
    </row>
    <row r="470" spans="4:4" x14ac:dyDescent="0.25">
      <c r="D470" s="22"/>
    </row>
    <row r="471" spans="4:4" x14ac:dyDescent="0.25">
      <c r="D471" s="22"/>
    </row>
    <row r="472" spans="4:4" x14ac:dyDescent="0.25">
      <c r="D472" s="22"/>
    </row>
    <row r="473" spans="4:4" x14ac:dyDescent="0.25">
      <c r="D473" s="22"/>
    </row>
    <row r="474" spans="4:4" x14ac:dyDescent="0.25">
      <c r="D474" s="22"/>
    </row>
    <row r="475" spans="4:4" x14ac:dyDescent="0.25">
      <c r="D475" s="22"/>
    </row>
    <row r="476" spans="4:4" x14ac:dyDescent="0.25">
      <c r="D476" s="22"/>
    </row>
    <row r="477" spans="4:4" x14ac:dyDescent="0.25">
      <c r="D477" s="22"/>
    </row>
    <row r="478" spans="4:4" x14ac:dyDescent="0.25">
      <c r="D478" s="22"/>
    </row>
    <row r="479" spans="4:4" x14ac:dyDescent="0.25">
      <c r="D479" s="22"/>
    </row>
    <row r="480" spans="4:4" x14ac:dyDescent="0.25">
      <c r="D480" s="22"/>
    </row>
    <row r="481" spans="4:4" x14ac:dyDescent="0.25">
      <c r="D481" s="22"/>
    </row>
    <row r="482" spans="4:4" x14ac:dyDescent="0.25">
      <c r="D482" s="22"/>
    </row>
    <row r="483" spans="4:4" x14ac:dyDescent="0.25">
      <c r="D483" s="22"/>
    </row>
    <row r="484" spans="4:4" x14ac:dyDescent="0.25">
      <c r="D484" s="22"/>
    </row>
    <row r="485" spans="4:4" x14ac:dyDescent="0.25">
      <c r="D485" s="22"/>
    </row>
    <row r="486" spans="4:4" x14ac:dyDescent="0.25">
      <c r="D486" s="22"/>
    </row>
    <row r="487" spans="4:4" x14ac:dyDescent="0.25">
      <c r="D487" s="22"/>
    </row>
    <row r="488" spans="4:4" x14ac:dyDescent="0.25">
      <c r="D488" s="22"/>
    </row>
    <row r="489" spans="4:4" x14ac:dyDescent="0.25">
      <c r="D489" s="22"/>
    </row>
    <row r="490" spans="4:4" x14ac:dyDescent="0.25">
      <c r="D490" s="22"/>
    </row>
    <row r="491" spans="4:4" x14ac:dyDescent="0.25">
      <c r="D491" s="22"/>
    </row>
    <row r="492" spans="4:4" x14ac:dyDescent="0.25">
      <c r="D492" s="22"/>
    </row>
    <row r="493" spans="4:4" x14ac:dyDescent="0.25">
      <c r="D493" s="22"/>
    </row>
    <row r="494" spans="4:4" x14ac:dyDescent="0.25">
      <c r="D494" s="22"/>
    </row>
    <row r="495" spans="4:4" x14ac:dyDescent="0.25">
      <c r="D495" s="22"/>
    </row>
    <row r="496" spans="4:4" x14ac:dyDescent="0.25">
      <c r="D496" s="22"/>
    </row>
    <row r="497" spans="4:4" x14ac:dyDescent="0.25">
      <c r="D497" s="22"/>
    </row>
    <row r="498" spans="4:4" x14ac:dyDescent="0.25">
      <c r="D498" s="22"/>
    </row>
    <row r="499" spans="4:4" x14ac:dyDescent="0.25">
      <c r="D499" s="22"/>
    </row>
    <row r="500" spans="4:4" x14ac:dyDescent="0.25">
      <c r="D500" s="22"/>
    </row>
    <row r="501" spans="4:4" x14ac:dyDescent="0.25">
      <c r="D501" s="22"/>
    </row>
    <row r="502" spans="4:4" x14ac:dyDescent="0.25">
      <c r="D502" s="22"/>
    </row>
    <row r="503" spans="4:4" x14ac:dyDescent="0.25">
      <c r="D503" s="22"/>
    </row>
    <row r="504" spans="4:4" x14ac:dyDescent="0.25">
      <c r="D504" s="22"/>
    </row>
    <row r="505" spans="4:4" x14ac:dyDescent="0.25">
      <c r="D505" s="22"/>
    </row>
    <row r="506" spans="4:4" x14ac:dyDescent="0.25">
      <c r="D506" s="22"/>
    </row>
    <row r="507" spans="4:4" x14ac:dyDescent="0.25">
      <c r="D507" s="22"/>
    </row>
    <row r="508" spans="4:4" x14ac:dyDescent="0.25">
      <c r="D508" s="22"/>
    </row>
    <row r="509" spans="4:4" x14ac:dyDescent="0.25">
      <c r="D509" s="22"/>
    </row>
    <row r="510" spans="4:4" x14ac:dyDescent="0.25">
      <c r="D510" s="22"/>
    </row>
    <row r="511" spans="4:4" x14ac:dyDescent="0.25">
      <c r="D511" s="22"/>
    </row>
    <row r="512" spans="4:4" x14ac:dyDescent="0.25">
      <c r="D512" s="22"/>
    </row>
    <row r="513" spans="4:4" x14ac:dyDescent="0.25">
      <c r="D513" s="22"/>
    </row>
    <row r="514" spans="4:4" x14ac:dyDescent="0.25">
      <c r="D514" s="22"/>
    </row>
    <row r="515" spans="4:4" x14ac:dyDescent="0.25">
      <c r="D515" s="22"/>
    </row>
    <row r="516" spans="4:4" x14ac:dyDescent="0.25">
      <c r="D516" s="22"/>
    </row>
    <row r="517" spans="4:4" x14ac:dyDescent="0.25">
      <c r="D517" s="22"/>
    </row>
    <row r="518" spans="4:4" x14ac:dyDescent="0.25">
      <c r="D518" s="22"/>
    </row>
    <row r="519" spans="4:4" x14ac:dyDescent="0.25">
      <c r="D519" s="22"/>
    </row>
    <row r="520" spans="4:4" x14ac:dyDescent="0.25">
      <c r="D520" s="22"/>
    </row>
    <row r="521" spans="4:4" x14ac:dyDescent="0.25">
      <c r="D521" s="22"/>
    </row>
    <row r="522" spans="4:4" x14ac:dyDescent="0.25">
      <c r="D522" s="22"/>
    </row>
    <row r="523" spans="4:4" x14ac:dyDescent="0.25">
      <c r="D523" s="22"/>
    </row>
    <row r="524" spans="4:4" x14ac:dyDescent="0.25">
      <c r="D524" s="22"/>
    </row>
    <row r="525" spans="4:4" x14ac:dyDescent="0.25">
      <c r="D525" s="22"/>
    </row>
    <row r="526" spans="4:4" x14ac:dyDescent="0.25">
      <c r="D526" s="22"/>
    </row>
    <row r="527" spans="4:4" x14ac:dyDescent="0.25">
      <c r="D527" s="22"/>
    </row>
    <row r="528" spans="4:4" x14ac:dyDescent="0.25">
      <c r="D528" s="22"/>
    </row>
    <row r="529" spans="4:4" x14ac:dyDescent="0.25">
      <c r="D529" s="22"/>
    </row>
    <row r="530" spans="4:4" x14ac:dyDescent="0.25">
      <c r="D530" s="22"/>
    </row>
    <row r="531" spans="4:4" x14ac:dyDescent="0.25">
      <c r="D531" s="22"/>
    </row>
    <row r="532" spans="4:4" x14ac:dyDescent="0.25">
      <c r="D532" s="22"/>
    </row>
    <row r="533" spans="4:4" x14ac:dyDescent="0.25">
      <c r="D533" s="22"/>
    </row>
    <row r="534" spans="4:4" x14ac:dyDescent="0.25">
      <c r="D534" s="22"/>
    </row>
    <row r="535" spans="4:4" x14ac:dyDescent="0.25">
      <c r="D535" s="22"/>
    </row>
    <row r="536" spans="4:4" x14ac:dyDescent="0.25">
      <c r="D536" s="22"/>
    </row>
    <row r="537" spans="4:4" x14ac:dyDescent="0.25">
      <c r="D537" s="22"/>
    </row>
    <row r="538" spans="4:4" x14ac:dyDescent="0.25">
      <c r="D538" s="22"/>
    </row>
    <row r="539" spans="4:4" x14ac:dyDescent="0.25">
      <c r="D539" s="22"/>
    </row>
    <row r="540" spans="4:4" x14ac:dyDescent="0.25">
      <c r="D540" s="22"/>
    </row>
    <row r="541" spans="4:4" x14ac:dyDescent="0.25">
      <c r="D541" s="22"/>
    </row>
    <row r="542" spans="4:4" x14ac:dyDescent="0.25">
      <c r="D542" s="22"/>
    </row>
    <row r="543" spans="4:4" x14ac:dyDescent="0.25">
      <c r="D543" s="22"/>
    </row>
    <row r="544" spans="4:4" x14ac:dyDescent="0.25">
      <c r="D544" s="22"/>
    </row>
    <row r="545" spans="4:4" x14ac:dyDescent="0.25">
      <c r="D545" s="22"/>
    </row>
    <row r="546" spans="4:4" x14ac:dyDescent="0.25">
      <c r="D546" s="22"/>
    </row>
    <row r="547" spans="4:4" x14ac:dyDescent="0.25">
      <c r="D547" s="22"/>
    </row>
    <row r="548" spans="4:4" x14ac:dyDescent="0.25">
      <c r="D548" s="22"/>
    </row>
    <row r="549" spans="4:4" x14ac:dyDescent="0.25">
      <c r="D549" s="22"/>
    </row>
    <row r="550" spans="4:4" x14ac:dyDescent="0.25">
      <c r="D550" s="22"/>
    </row>
    <row r="551" spans="4:4" x14ac:dyDescent="0.25">
      <c r="D551" s="22"/>
    </row>
    <row r="552" spans="4:4" x14ac:dyDescent="0.25">
      <c r="D552" s="22"/>
    </row>
    <row r="553" spans="4:4" x14ac:dyDescent="0.25">
      <c r="D553" s="22"/>
    </row>
    <row r="554" spans="4:4" x14ac:dyDescent="0.25">
      <c r="D554" s="22"/>
    </row>
    <row r="555" spans="4:4" x14ac:dyDescent="0.25">
      <c r="D555" s="22"/>
    </row>
    <row r="556" spans="4:4" x14ac:dyDescent="0.25">
      <c r="D556" s="22"/>
    </row>
    <row r="557" spans="4:4" x14ac:dyDescent="0.25">
      <c r="D557" s="22"/>
    </row>
    <row r="558" spans="4:4" x14ac:dyDescent="0.25">
      <c r="D558" s="22"/>
    </row>
    <row r="559" spans="4:4" x14ac:dyDescent="0.25">
      <c r="D559" s="22"/>
    </row>
    <row r="560" spans="4:4" x14ac:dyDescent="0.25">
      <c r="D560" s="22"/>
    </row>
    <row r="561" spans="4:4" x14ac:dyDescent="0.25">
      <c r="D561" s="22"/>
    </row>
    <row r="562" spans="4:4" x14ac:dyDescent="0.25">
      <c r="D562" s="22"/>
    </row>
    <row r="563" spans="4:4" x14ac:dyDescent="0.25">
      <c r="D563" s="22"/>
    </row>
    <row r="564" spans="4:4" x14ac:dyDescent="0.25">
      <c r="D564" s="22"/>
    </row>
    <row r="565" spans="4:4" x14ac:dyDescent="0.25">
      <c r="D565" s="22"/>
    </row>
    <row r="566" spans="4:4" x14ac:dyDescent="0.25">
      <c r="D566" s="22"/>
    </row>
    <row r="567" spans="4:4" x14ac:dyDescent="0.25">
      <c r="D567" s="22"/>
    </row>
    <row r="568" spans="4:4" x14ac:dyDescent="0.25">
      <c r="D568" s="22"/>
    </row>
    <row r="569" spans="4:4" x14ac:dyDescent="0.25">
      <c r="D569" s="22"/>
    </row>
    <row r="570" spans="4:4" x14ac:dyDescent="0.25">
      <c r="D570" s="22"/>
    </row>
    <row r="571" spans="4:4" x14ac:dyDescent="0.25">
      <c r="D571" s="22"/>
    </row>
    <row r="572" spans="4:4" x14ac:dyDescent="0.25">
      <c r="D572" s="22"/>
    </row>
    <row r="573" spans="4:4" x14ac:dyDescent="0.25">
      <c r="D573" s="22"/>
    </row>
    <row r="574" spans="4:4" x14ac:dyDescent="0.25">
      <c r="D574" s="22"/>
    </row>
    <row r="575" spans="4:4" x14ac:dyDescent="0.25">
      <c r="D575" s="22"/>
    </row>
    <row r="576" spans="4:4" x14ac:dyDescent="0.25">
      <c r="D576" s="22"/>
    </row>
    <row r="577" spans="4:4" x14ac:dyDescent="0.25">
      <c r="D577" s="22"/>
    </row>
    <row r="578" spans="4:4" x14ac:dyDescent="0.25">
      <c r="D578" s="22"/>
    </row>
    <row r="579" spans="4:4" x14ac:dyDescent="0.25">
      <c r="D579" s="22"/>
    </row>
    <row r="580" spans="4:4" x14ac:dyDescent="0.25">
      <c r="D580" s="22"/>
    </row>
    <row r="581" spans="4:4" x14ac:dyDescent="0.25">
      <c r="D581" s="22"/>
    </row>
    <row r="582" spans="4:4" x14ac:dyDescent="0.25">
      <c r="D582" s="22"/>
    </row>
    <row r="583" spans="4:4" x14ac:dyDescent="0.25">
      <c r="D583" s="22"/>
    </row>
    <row r="584" spans="4:4" x14ac:dyDescent="0.25">
      <c r="D584" s="22"/>
    </row>
    <row r="585" spans="4:4" x14ac:dyDescent="0.25">
      <c r="D585" s="22"/>
    </row>
    <row r="586" spans="4:4" x14ac:dyDescent="0.25">
      <c r="D586" s="22"/>
    </row>
    <row r="587" spans="4:4" x14ac:dyDescent="0.25">
      <c r="D587" s="22"/>
    </row>
    <row r="588" spans="4:4" x14ac:dyDescent="0.25">
      <c r="D588" s="22"/>
    </row>
    <row r="589" spans="4:4" x14ac:dyDescent="0.25">
      <c r="D589" s="22"/>
    </row>
    <row r="590" spans="4:4" x14ac:dyDescent="0.25">
      <c r="D590" s="22"/>
    </row>
    <row r="591" spans="4:4" x14ac:dyDescent="0.25">
      <c r="D591" s="22"/>
    </row>
    <row r="592" spans="4:4" x14ac:dyDescent="0.25">
      <c r="D592" s="22"/>
    </row>
    <row r="593" spans="4:4" x14ac:dyDescent="0.25">
      <c r="D593" s="22"/>
    </row>
    <row r="594" spans="4:4" x14ac:dyDescent="0.25">
      <c r="D594" s="22"/>
    </row>
    <row r="595" spans="4:4" x14ac:dyDescent="0.25">
      <c r="D595" s="22"/>
    </row>
    <row r="596" spans="4:4" x14ac:dyDescent="0.25">
      <c r="D596" s="22"/>
    </row>
    <row r="597" spans="4:4" x14ac:dyDescent="0.25">
      <c r="D597" s="22"/>
    </row>
    <row r="598" spans="4:4" x14ac:dyDescent="0.25">
      <c r="D598" s="22"/>
    </row>
    <row r="599" spans="4:4" x14ac:dyDescent="0.25">
      <c r="D599" s="22"/>
    </row>
    <row r="600" spans="4:4" x14ac:dyDescent="0.25">
      <c r="D600" s="22"/>
    </row>
    <row r="601" spans="4:4" x14ac:dyDescent="0.25">
      <c r="D601" s="22"/>
    </row>
    <row r="602" spans="4:4" x14ac:dyDescent="0.25">
      <c r="D602" s="22"/>
    </row>
    <row r="603" spans="4:4" x14ac:dyDescent="0.25">
      <c r="D603" s="22"/>
    </row>
    <row r="604" spans="4:4" x14ac:dyDescent="0.25">
      <c r="D604" s="22"/>
    </row>
    <row r="605" spans="4:4" x14ac:dyDescent="0.25">
      <c r="D605" s="22"/>
    </row>
    <row r="606" spans="4:4" x14ac:dyDescent="0.25">
      <c r="D606" s="22"/>
    </row>
    <row r="607" spans="4:4" x14ac:dyDescent="0.25">
      <c r="D607" s="22"/>
    </row>
    <row r="608" spans="4:4" x14ac:dyDescent="0.25">
      <c r="D608" s="22"/>
    </row>
    <row r="609" spans="4:4" x14ac:dyDescent="0.25">
      <c r="D609" s="22"/>
    </row>
    <row r="610" spans="4:4" x14ac:dyDescent="0.25">
      <c r="D610" s="22"/>
    </row>
    <row r="611" spans="4:4" x14ac:dyDescent="0.25">
      <c r="D611" s="22"/>
    </row>
    <row r="612" spans="4:4" x14ac:dyDescent="0.25">
      <c r="D612" s="22"/>
    </row>
    <row r="613" spans="4:4" x14ac:dyDescent="0.25">
      <c r="D613" s="22"/>
    </row>
    <row r="614" spans="4:4" x14ac:dyDescent="0.25">
      <c r="D614" s="22"/>
    </row>
    <row r="615" spans="4:4" x14ac:dyDescent="0.25">
      <c r="D615" s="22"/>
    </row>
    <row r="616" spans="4:4" x14ac:dyDescent="0.25">
      <c r="D616" s="22"/>
    </row>
    <row r="617" spans="4:4" x14ac:dyDescent="0.25">
      <c r="D617" s="22"/>
    </row>
    <row r="618" spans="4:4" x14ac:dyDescent="0.25">
      <c r="D618" s="22"/>
    </row>
    <row r="619" spans="4:4" x14ac:dyDescent="0.25">
      <c r="D619" s="22"/>
    </row>
    <row r="620" spans="4:4" x14ac:dyDescent="0.25">
      <c r="D620" s="22"/>
    </row>
    <row r="621" spans="4:4" x14ac:dyDescent="0.25">
      <c r="D621" s="22"/>
    </row>
    <row r="622" spans="4:4" x14ac:dyDescent="0.25">
      <c r="D622" s="22"/>
    </row>
    <row r="623" spans="4:4" x14ac:dyDescent="0.25">
      <c r="D623" s="22"/>
    </row>
    <row r="624" spans="4:4" x14ac:dyDescent="0.25">
      <c r="D624" s="22"/>
    </row>
    <row r="625" spans="4:4" x14ac:dyDescent="0.25">
      <c r="D625" s="22"/>
    </row>
    <row r="626" spans="4:4" x14ac:dyDescent="0.25">
      <c r="D626" s="22"/>
    </row>
    <row r="627" spans="4:4" x14ac:dyDescent="0.25">
      <c r="D627" s="22"/>
    </row>
    <row r="628" spans="4:4" x14ac:dyDescent="0.25">
      <c r="D628" s="22"/>
    </row>
    <row r="629" spans="4:4" x14ac:dyDescent="0.25">
      <c r="D629" s="22"/>
    </row>
    <row r="630" spans="4:4" x14ac:dyDescent="0.25">
      <c r="D630" s="22"/>
    </row>
    <row r="631" spans="4:4" x14ac:dyDescent="0.25">
      <c r="D631" s="22"/>
    </row>
    <row r="632" spans="4:4" x14ac:dyDescent="0.25">
      <c r="D632" s="22"/>
    </row>
    <row r="633" spans="4:4" x14ac:dyDescent="0.25">
      <c r="D633" s="22"/>
    </row>
    <row r="634" spans="4:4" x14ac:dyDescent="0.25">
      <c r="D634" s="22"/>
    </row>
    <row r="635" spans="4:4" x14ac:dyDescent="0.25">
      <c r="D635" s="22"/>
    </row>
    <row r="636" spans="4:4" x14ac:dyDescent="0.25">
      <c r="D636" s="22"/>
    </row>
    <row r="637" spans="4:4" x14ac:dyDescent="0.25">
      <c r="D637" s="22"/>
    </row>
    <row r="638" spans="4:4" x14ac:dyDescent="0.25">
      <c r="D638" s="22"/>
    </row>
    <row r="639" spans="4:4" x14ac:dyDescent="0.25">
      <c r="D639" s="22"/>
    </row>
    <row r="640" spans="4:4" x14ac:dyDescent="0.25">
      <c r="D640" s="22"/>
    </row>
    <row r="641" spans="4:4" x14ac:dyDescent="0.25">
      <c r="D641" s="22"/>
    </row>
    <row r="642" spans="4:4" x14ac:dyDescent="0.25">
      <c r="D642" s="22"/>
    </row>
    <row r="643" spans="4:4" x14ac:dyDescent="0.25">
      <c r="D643" s="22"/>
    </row>
    <row r="644" spans="4:4" x14ac:dyDescent="0.25">
      <c r="D644" s="22"/>
    </row>
    <row r="645" spans="4:4" x14ac:dyDescent="0.25">
      <c r="D645" s="22"/>
    </row>
    <row r="646" spans="4:4" x14ac:dyDescent="0.25">
      <c r="D646" s="22"/>
    </row>
    <row r="647" spans="4:4" x14ac:dyDescent="0.25">
      <c r="D647" s="22"/>
    </row>
    <row r="648" spans="4:4" x14ac:dyDescent="0.25">
      <c r="D648" s="22"/>
    </row>
    <row r="649" spans="4:4" x14ac:dyDescent="0.25">
      <c r="D649" s="22"/>
    </row>
    <row r="650" spans="4:4" x14ac:dyDescent="0.25">
      <c r="D650" s="22"/>
    </row>
    <row r="651" spans="4:4" x14ac:dyDescent="0.25">
      <c r="D651" s="22"/>
    </row>
    <row r="652" spans="4:4" x14ac:dyDescent="0.25">
      <c r="D652" s="22"/>
    </row>
    <row r="653" spans="4:4" x14ac:dyDescent="0.25">
      <c r="D653" s="22"/>
    </row>
    <row r="654" spans="4:4" x14ac:dyDescent="0.25">
      <c r="D654" s="22"/>
    </row>
    <row r="655" spans="4:4" x14ac:dyDescent="0.25">
      <c r="D655" s="22"/>
    </row>
    <row r="656" spans="4:4" x14ac:dyDescent="0.25">
      <c r="D656" s="22"/>
    </row>
    <row r="657" spans="4:4" x14ac:dyDescent="0.25">
      <c r="D657" s="22"/>
    </row>
    <row r="658" spans="4:4" x14ac:dyDescent="0.25">
      <c r="D658" s="22"/>
    </row>
    <row r="659" spans="4:4" x14ac:dyDescent="0.25">
      <c r="D659" s="22"/>
    </row>
    <row r="660" spans="4:4" x14ac:dyDescent="0.25">
      <c r="D660" s="22"/>
    </row>
    <row r="661" spans="4:4" x14ac:dyDescent="0.25">
      <c r="D661" s="22"/>
    </row>
    <row r="662" spans="4:4" x14ac:dyDescent="0.25">
      <c r="D662" s="22"/>
    </row>
    <row r="663" spans="4:4" x14ac:dyDescent="0.25">
      <c r="D663" s="22"/>
    </row>
    <row r="664" spans="4:4" x14ac:dyDescent="0.25">
      <c r="D664" s="22"/>
    </row>
    <row r="665" spans="4:4" x14ac:dyDescent="0.25">
      <c r="D665" s="22"/>
    </row>
    <row r="666" spans="4:4" x14ac:dyDescent="0.25">
      <c r="D666" s="22"/>
    </row>
    <row r="667" spans="4:4" x14ac:dyDescent="0.25">
      <c r="D667" s="22"/>
    </row>
    <row r="668" spans="4:4" x14ac:dyDescent="0.25">
      <c r="D668" s="22"/>
    </row>
  </sheetData>
  <sheetProtection formatCells="0" formatColumns="0" formatRows="0"/>
  <conditionalFormatting sqref="G33">
    <cfRule type="cellIs" dxfId="44" priority="93" stopIfTrue="1" operator="notEqual">
      <formula>0</formula>
    </cfRule>
  </conditionalFormatting>
  <conditionalFormatting sqref="G34">
    <cfRule type="cellIs" dxfId="43" priority="92" stopIfTrue="1" operator="notEqual">
      <formula>0</formula>
    </cfRule>
  </conditionalFormatting>
  <conditionalFormatting sqref="G51">
    <cfRule type="cellIs" dxfId="42" priority="91" stopIfTrue="1" operator="notEqual">
      <formula>0</formula>
    </cfRule>
  </conditionalFormatting>
  <conditionalFormatting sqref="G63">
    <cfRule type="cellIs" dxfId="41" priority="90" stopIfTrue="1" operator="notEqual">
      <formula>0</formula>
    </cfRule>
  </conditionalFormatting>
  <conditionalFormatting sqref="G64:G65">
    <cfRule type="cellIs" dxfId="40" priority="89" stopIfTrue="1" operator="notEqual">
      <formula>0</formula>
    </cfRule>
  </conditionalFormatting>
  <conditionalFormatting sqref="G85">
    <cfRule type="cellIs" dxfId="39" priority="88" stopIfTrue="1" operator="notEqual">
      <formula>0</formula>
    </cfRule>
  </conditionalFormatting>
  <conditionalFormatting sqref="G103">
    <cfRule type="cellIs" dxfId="38" priority="87" stopIfTrue="1" operator="notEqual">
      <formula>0</formula>
    </cfRule>
  </conditionalFormatting>
  <conditionalFormatting sqref="G114">
    <cfRule type="cellIs" dxfId="37" priority="86" stopIfTrue="1" operator="notEqual">
      <formula>0</formula>
    </cfRule>
  </conditionalFormatting>
  <conditionalFormatting sqref="G115">
    <cfRule type="cellIs" dxfId="36" priority="85" stopIfTrue="1" operator="notEqual">
      <formula>0</formula>
    </cfRule>
  </conditionalFormatting>
  <conditionalFormatting sqref="G129">
    <cfRule type="cellIs" dxfId="35" priority="84" stopIfTrue="1" operator="notEqual">
      <formula>0</formula>
    </cfRule>
  </conditionalFormatting>
  <conditionalFormatting sqref="G130">
    <cfRule type="cellIs" dxfId="34" priority="83" stopIfTrue="1" operator="notEqual">
      <formula>0</formula>
    </cfRule>
  </conditionalFormatting>
  <conditionalFormatting sqref="H184:H186">
    <cfRule type="cellIs" priority="79" stopIfTrue="1" operator="equal">
      <formula>";;;"</formula>
    </cfRule>
  </conditionalFormatting>
  <conditionalFormatting sqref="H184">
    <cfRule type="cellIs" dxfId="33" priority="78" stopIfTrue="1" operator="equal">
      <formula>0</formula>
    </cfRule>
  </conditionalFormatting>
  <conditionalFormatting sqref="H185">
    <cfRule type="cellIs" dxfId="32" priority="77" stopIfTrue="1" operator="equal">
      <formula>0</formula>
    </cfRule>
  </conditionalFormatting>
  <conditionalFormatting sqref="H186">
    <cfRule type="cellIs" dxfId="31" priority="76" stopIfTrue="1" operator="equal">
      <formula>0</formula>
    </cfRule>
  </conditionalFormatting>
  <conditionalFormatting sqref="H186">
    <cfRule type="cellIs" dxfId="30" priority="75" stopIfTrue="1" operator="equal">
      <formula>0</formula>
    </cfRule>
  </conditionalFormatting>
  <conditionalFormatting sqref="H184">
    <cfRule type="cellIs" dxfId="29" priority="74" stopIfTrue="1" operator="equal">
      <formula>0</formula>
    </cfRule>
  </conditionalFormatting>
  <conditionalFormatting sqref="G21">
    <cfRule type="cellIs" dxfId="28" priority="73" stopIfTrue="1" operator="notEqual">
      <formula>0</formula>
    </cfRule>
  </conditionalFormatting>
  <conditionalFormatting sqref="G7">
    <cfRule type="containsText" dxfId="27" priority="71" stopIfTrue="1" operator="containsText" text="Included in error count">
      <formula>NOT(ISERROR(SEARCH("Included in error count",G7)))</formula>
    </cfRule>
    <cfRule type="cellIs" dxfId="26" priority="72" stopIfTrue="1" operator="equal">
      <formula>1</formula>
    </cfRule>
  </conditionalFormatting>
  <conditionalFormatting sqref="G41">
    <cfRule type="containsText" dxfId="25" priority="69" stopIfTrue="1" operator="containsText" text="Included in error count">
      <formula>NOT(ISERROR(SEARCH("Included in error count",G41)))</formula>
    </cfRule>
    <cfRule type="cellIs" dxfId="24" priority="70" stopIfTrue="1" operator="equal">
      <formula>1</formula>
    </cfRule>
  </conditionalFormatting>
  <conditionalFormatting sqref="G72:G73">
    <cfRule type="containsText" dxfId="23" priority="67" stopIfTrue="1" operator="containsText" text="Included in error count">
      <formula>NOT(ISERROR(SEARCH("Included in error count",G72)))</formula>
    </cfRule>
    <cfRule type="cellIs" dxfId="22" priority="68" stopIfTrue="1" operator="equal">
      <formula>1</formula>
    </cfRule>
  </conditionalFormatting>
  <conditionalFormatting sqref="G74">
    <cfRule type="containsText" dxfId="21" priority="65" stopIfTrue="1" operator="containsText" text="Included in error count">
      <formula>NOT(ISERROR(SEARCH("Included in error count",G74)))</formula>
    </cfRule>
    <cfRule type="cellIs" dxfId="20" priority="66" stopIfTrue="1" operator="equal">
      <formula>1</formula>
    </cfRule>
  </conditionalFormatting>
  <conditionalFormatting sqref="G83">
    <cfRule type="containsText" dxfId="19" priority="61" stopIfTrue="1" operator="containsText" text="Included in error count">
      <formula>NOT(ISERROR(SEARCH("Included in error count",G83)))</formula>
    </cfRule>
    <cfRule type="cellIs" dxfId="18" priority="62" stopIfTrue="1" operator="equal">
      <formula>1</formula>
    </cfRule>
  </conditionalFormatting>
  <conditionalFormatting sqref="G105">
    <cfRule type="containsText" dxfId="17" priority="57" stopIfTrue="1" operator="containsText" text="Included in error count">
      <formula>NOT(ISERROR(SEARCH("Included in error count",G105)))</formula>
    </cfRule>
    <cfRule type="cellIs" dxfId="16" priority="58" stopIfTrue="1" operator="equal">
      <formula>1</formula>
    </cfRule>
  </conditionalFormatting>
  <conditionalFormatting sqref="G184">
    <cfRule type="containsText" dxfId="15" priority="46" stopIfTrue="1" operator="containsText" text="Included in error count">
      <formula>NOT(ISERROR(SEARCH("Included in error count",G184)))</formula>
    </cfRule>
    <cfRule type="cellIs" dxfId="14" priority="47" stopIfTrue="1" operator="equal">
      <formula>1</formula>
    </cfRule>
  </conditionalFormatting>
  <conditionalFormatting sqref="G185">
    <cfRule type="containsText" dxfId="13" priority="44" stopIfTrue="1" operator="containsText" text="Included in error count">
      <formula>NOT(ISERROR(SEARCH("Included in error count",G185)))</formula>
    </cfRule>
    <cfRule type="cellIs" dxfId="12" priority="45" stopIfTrue="1" operator="equal">
      <formula>1</formula>
    </cfRule>
  </conditionalFormatting>
  <conditionalFormatting sqref="G186">
    <cfRule type="containsText" dxfId="11" priority="42" stopIfTrue="1" operator="containsText" text="Included in error count">
      <formula>NOT(ISERROR(SEARCH("Included in error count",G186)))</formula>
    </cfRule>
    <cfRule type="cellIs" dxfId="10" priority="43" stopIfTrue="1" operator="equal">
      <formula>1</formula>
    </cfRule>
  </conditionalFormatting>
  <conditionalFormatting sqref="G119">
    <cfRule type="containsText" dxfId="9" priority="40" stopIfTrue="1" operator="containsText" text="Included in error count">
      <formula>NOT(ISERROR(SEARCH("Included in error count",G119)))</formula>
    </cfRule>
    <cfRule type="cellIs" dxfId="8"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1"/>
  <sheetViews>
    <sheetView showGridLines="0" workbookViewId="0">
      <selection activeCell="F5" sqref="F5"/>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45" customFormat="1" x14ac:dyDescent="0.25"/>
    <row r="2" spans="1:8" ht="54.75" customHeight="1" x14ac:dyDescent="0.25">
      <c r="A2" s="942" t="s">
        <v>114</v>
      </c>
      <c r="B2" s="942"/>
      <c r="C2" s="942"/>
      <c r="D2" s="942"/>
      <c r="E2" s="942"/>
      <c r="F2" s="97"/>
      <c r="G2" s="97"/>
      <c r="H2" s="96"/>
    </row>
    <row r="3" spans="1:8" x14ac:dyDescent="0.25">
      <c r="A3" s="45"/>
      <c r="B3" s="45"/>
      <c r="C3" s="45"/>
      <c r="D3" s="45"/>
      <c r="E3" s="45"/>
      <c r="F3" s="45"/>
      <c r="G3" s="45"/>
      <c r="H3" s="45"/>
    </row>
    <row r="4" spans="1:8" ht="15.75" x14ac:dyDescent="0.25">
      <c r="A4" s="48"/>
      <c r="B4" s="49">
        <f>'Unit Data from Audit Worksheet'!D2</f>
        <v>0</v>
      </c>
      <c r="C4" s="50"/>
      <c r="D4" s="51"/>
      <c r="E4" s="52"/>
      <c r="F4" s="55">
        <f>'Unit Data from Audit Worksheet'!F5</f>
        <v>2020</v>
      </c>
      <c r="G4" s="48"/>
      <c r="H4" s="55">
        <f>'Unit Data from Audit Worksheet'!F5</f>
        <v>2020</v>
      </c>
    </row>
    <row r="5" spans="1:8" ht="38.25" x14ac:dyDescent="0.3">
      <c r="A5" s="53"/>
      <c r="B5" s="54" t="s">
        <v>74</v>
      </c>
      <c r="C5" s="53"/>
      <c r="D5" s="53"/>
      <c r="E5" s="53"/>
      <c r="F5" s="55" t="s">
        <v>75</v>
      </c>
      <c r="G5" s="53"/>
      <c r="H5" s="56" t="s">
        <v>76</v>
      </c>
    </row>
    <row r="6" spans="1:8" x14ac:dyDescent="0.25">
      <c r="A6" s="48"/>
      <c r="B6" s="57" t="s">
        <v>77</v>
      </c>
      <c r="C6" s="48"/>
      <c r="D6" s="58"/>
      <c r="E6" s="58"/>
      <c r="F6" s="58"/>
      <c r="G6" s="58"/>
      <c r="H6" s="58"/>
    </row>
    <row r="7" spans="1:8" x14ac:dyDescent="0.25">
      <c r="A7" s="48"/>
      <c r="B7" s="58" t="s">
        <v>78</v>
      </c>
      <c r="C7" s="48"/>
      <c r="D7" s="58"/>
      <c r="E7" s="58" t="s">
        <v>32</v>
      </c>
      <c r="F7" s="59">
        <f>IMPORT!L38</f>
        <v>0</v>
      </c>
      <c r="G7" s="60"/>
      <c r="H7" s="59">
        <f>F7</f>
        <v>0</v>
      </c>
    </row>
    <row r="8" spans="1:8" ht="44.25" customHeight="1" x14ac:dyDescent="0.25">
      <c r="A8" s="48"/>
      <c r="B8" s="939" t="s">
        <v>79</v>
      </c>
      <c r="C8" s="939"/>
      <c r="D8" s="939"/>
      <c r="E8" s="58" t="s">
        <v>32</v>
      </c>
      <c r="F8" s="61">
        <f>IMPORT!L39</f>
        <v>0</v>
      </c>
      <c r="G8" s="62"/>
      <c r="H8" s="62"/>
    </row>
    <row r="9" spans="1:8" x14ac:dyDescent="0.25">
      <c r="A9" s="48"/>
      <c r="B9" s="48"/>
      <c r="C9" s="58" t="s">
        <v>184</v>
      </c>
      <c r="D9" s="48"/>
      <c r="E9" s="58" t="s">
        <v>32</v>
      </c>
      <c r="F9" s="63">
        <f>IMPORT!L43</f>
        <v>0</v>
      </c>
      <c r="G9" s="62"/>
      <c r="H9" s="63">
        <f>F9</f>
        <v>0</v>
      </c>
    </row>
    <row r="10" spans="1:8" x14ac:dyDescent="0.25">
      <c r="A10" s="48"/>
      <c r="B10" s="48"/>
      <c r="C10" s="58" t="s">
        <v>80</v>
      </c>
      <c r="D10" s="48"/>
      <c r="E10" s="58" t="s">
        <v>32</v>
      </c>
      <c r="F10" s="63">
        <f>IMPORT!L177</f>
        <v>0</v>
      </c>
      <c r="G10" s="62"/>
      <c r="H10" s="63">
        <f>F10</f>
        <v>0</v>
      </c>
    </row>
    <row r="11" spans="1:8" x14ac:dyDescent="0.25">
      <c r="A11" s="48"/>
      <c r="B11" s="48"/>
      <c r="C11" s="58" t="s">
        <v>81</v>
      </c>
      <c r="D11" s="48"/>
      <c r="E11" s="58" t="s">
        <v>32</v>
      </c>
      <c r="F11" s="64">
        <f>IMPORT!L44</f>
        <v>0</v>
      </c>
      <c r="G11" s="65"/>
      <c r="H11" s="64">
        <f>F11</f>
        <v>0</v>
      </c>
    </row>
    <row r="12" spans="1:8" x14ac:dyDescent="0.25">
      <c r="A12" s="48"/>
      <c r="B12" s="66" t="s">
        <v>82</v>
      </c>
      <c r="C12" s="67" t="s">
        <v>83</v>
      </c>
      <c r="D12" s="68"/>
      <c r="E12" s="69" t="s">
        <v>32</v>
      </c>
      <c r="F12" s="70">
        <f>F7+F8-SUM(F9:F11)</f>
        <v>0</v>
      </c>
      <c r="G12" s="71"/>
      <c r="H12" s="70">
        <f>H7+H8-SUM(H9:H11)</f>
        <v>0</v>
      </c>
    </row>
    <row r="13" spans="1:8" x14ac:dyDescent="0.25">
      <c r="A13" s="48"/>
      <c r="B13" s="48"/>
      <c r="C13" s="58"/>
      <c r="D13" s="58"/>
      <c r="E13" s="58" t="s">
        <v>32</v>
      </c>
      <c r="F13" s="58"/>
      <c r="G13" s="58"/>
      <c r="H13" s="58"/>
    </row>
    <row r="14" spans="1:8" x14ac:dyDescent="0.25">
      <c r="A14" s="48"/>
      <c r="B14" s="58" t="s">
        <v>84</v>
      </c>
      <c r="C14" s="48"/>
      <c r="D14" s="58"/>
      <c r="E14" s="58" t="s">
        <v>32</v>
      </c>
      <c r="F14" s="72">
        <f>IMPORT!L51</f>
        <v>0</v>
      </c>
      <c r="G14" s="58"/>
      <c r="H14" s="58"/>
    </row>
    <row r="15" spans="1:8" x14ac:dyDescent="0.25">
      <c r="A15" s="48"/>
      <c r="B15" s="58" t="s">
        <v>85</v>
      </c>
      <c r="C15" s="48"/>
      <c r="D15" s="58"/>
      <c r="E15" s="58" t="s">
        <v>32</v>
      </c>
      <c r="F15" s="73">
        <f>F14-F12</f>
        <v>0</v>
      </c>
      <c r="G15" s="58"/>
      <c r="H15" s="58"/>
    </row>
    <row r="16" spans="1:8" x14ac:dyDescent="0.25">
      <c r="A16" s="48"/>
      <c r="B16" s="74" t="s">
        <v>86</v>
      </c>
      <c r="C16" s="48"/>
      <c r="D16" s="58"/>
      <c r="E16" s="58"/>
      <c r="F16" s="58"/>
      <c r="G16" s="58"/>
      <c r="H16" s="58"/>
    </row>
    <row r="17" spans="1:8" x14ac:dyDescent="0.25">
      <c r="A17" s="45"/>
      <c r="B17" s="75" t="s">
        <v>87</v>
      </c>
      <c r="C17" s="58" t="s">
        <v>88</v>
      </c>
      <c r="D17" s="48"/>
      <c r="E17" s="58" t="s">
        <v>32</v>
      </c>
      <c r="F17" s="76">
        <f>IMPORT!L47</f>
        <v>0</v>
      </c>
      <c r="G17" s="58"/>
      <c r="H17" s="58"/>
    </row>
    <row r="18" spans="1:8" ht="15.75" thickBot="1" x14ac:dyDescent="0.3">
      <c r="A18" s="45"/>
      <c r="B18" s="66" t="s">
        <v>82</v>
      </c>
      <c r="C18" s="67" t="s">
        <v>89</v>
      </c>
      <c r="D18" s="68"/>
      <c r="E18" s="69" t="s">
        <v>32</v>
      </c>
      <c r="F18" s="77">
        <f>(F15-SUM(F17:F17))</f>
        <v>0</v>
      </c>
      <c r="G18" s="58"/>
      <c r="H18" s="58"/>
    </row>
    <row r="19" spans="1:8" ht="15.75" thickTop="1" x14ac:dyDescent="0.25">
      <c r="A19" s="45"/>
      <c r="B19" s="48"/>
      <c r="C19" s="58"/>
      <c r="D19" s="58"/>
      <c r="E19" s="58"/>
      <c r="F19" s="58"/>
      <c r="G19" s="58"/>
      <c r="H19" s="58"/>
    </row>
    <row r="20" spans="1:8" ht="15.75" thickBot="1" x14ac:dyDescent="0.3">
      <c r="A20" s="45"/>
      <c r="B20" s="58" t="s">
        <v>90</v>
      </c>
      <c r="C20" s="48"/>
      <c r="D20" s="58"/>
      <c r="E20" s="58" t="s">
        <v>32</v>
      </c>
      <c r="F20" s="78">
        <f>IMPORT!L46</f>
        <v>0</v>
      </c>
      <c r="G20" s="58"/>
      <c r="H20" s="58"/>
    </row>
    <row r="21" spans="1:8" ht="16.5" thickTop="1" thickBot="1" x14ac:dyDescent="0.3">
      <c r="A21" s="45"/>
      <c r="B21" s="48"/>
      <c r="C21" s="79"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48"/>
      <c r="E21" s="58" t="s">
        <v>32</v>
      </c>
      <c r="F21" s="80">
        <f>ABS(F18-F20)</f>
        <v>0</v>
      </c>
      <c r="G21" s="58"/>
      <c r="H21" s="58"/>
    </row>
    <row r="22" spans="1:8" ht="50.25" customHeight="1" thickTop="1" x14ac:dyDescent="0.25">
      <c r="A22" s="45"/>
      <c r="B22" s="48"/>
      <c r="C22" s="940" t="str">
        <f>IF(F18&gt;F20,"Since Restricted-Stabilization by State Statute was understated, verfiy that the unit did not appropriate fund balance in excess of legal amount available in row 12 above.","")</f>
        <v/>
      </c>
      <c r="D22" s="940"/>
      <c r="E22" s="940"/>
      <c r="F22" s="940"/>
      <c r="G22" s="58"/>
      <c r="H22" s="58"/>
    </row>
    <row r="23" spans="1:8" x14ac:dyDescent="0.25">
      <c r="A23" s="45"/>
      <c r="B23" s="48"/>
      <c r="C23" s="941" t="s">
        <v>91</v>
      </c>
      <c r="D23" s="58"/>
      <c r="E23" s="58"/>
      <c r="F23" s="58"/>
      <c r="G23" s="58"/>
      <c r="H23" s="81" t="s">
        <v>92</v>
      </c>
    </row>
    <row r="24" spans="1:8" x14ac:dyDescent="0.25">
      <c r="A24" s="45"/>
      <c r="B24" s="48"/>
      <c r="C24" s="941"/>
      <c r="D24" s="58"/>
      <c r="E24" s="58"/>
      <c r="F24" s="55" t="s">
        <v>93</v>
      </c>
      <c r="G24" s="58"/>
      <c r="H24" s="55" t="s">
        <v>101</v>
      </c>
    </row>
    <row r="25" spans="1:8" x14ac:dyDescent="0.25">
      <c r="A25" s="45"/>
      <c r="B25" s="48"/>
      <c r="C25" s="57" t="s">
        <v>94</v>
      </c>
      <c r="D25" s="58"/>
      <c r="E25" s="58"/>
      <c r="F25" s="58"/>
      <c r="G25" s="58"/>
      <c r="H25" s="58"/>
    </row>
    <row r="26" spans="1:8" ht="25.15" customHeight="1" x14ac:dyDescent="0.25">
      <c r="A26" s="45"/>
      <c r="B26" s="48"/>
      <c r="C26" s="58" t="s">
        <v>95</v>
      </c>
      <c r="D26" s="58"/>
      <c r="E26" s="58" t="s">
        <v>32</v>
      </c>
      <c r="F26" s="59">
        <f>IMPORT!L56</f>
        <v>0</v>
      </c>
      <c r="G26" s="60"/>
      <c r="H26" s="82">
        <f>F26</f>
        <v>0</v>
      </c>
    </row>
    <row r="27" spans="1:8" x14ac:dyDescent="0.25">
      <c r="A27" s="45"/>
      <c r="B27" s="48"/>
      <c r="C27" s="75" t="s">
        <v>96</v>
      </c>
      <c r="D27" s="58"/>
      <c r="E27" s="58"/>
      <c r="F27" s="58"/>
      <c r="G27" s="58"/>
      <c r="H27" s="58"/>
    </row>
    <row r="28" spans="1:8" x14ac:dyDescent="0.25">
      <c r="A28" s="45"/>
      <c r="B28" s="48"/>
      <c r="C28" s="58" t="s">
        <v>97</v>
      </c>
      <c r="D28" s="48"/>
      <c r="E28" s="58" t="s">
        <v>32</v>
      </c>
      <c r="F28" s="92">
        <f>IMPORT!L58</f>
        <v>0</v>
      </c>
      <c r="G28" s="62"/>
      <c r="H28" s="83">
        <f>F28</f>
        <v>0</v>
      </c>
    </row>
    <row r="29" spans="1:8" x14ac:dyDescent="0.25">
      <c r="A29" s="45"/>
      <c r="B29" s="48"/>
      <c r="C29" s="58" t="s">
        <v>98</v>
      </c>
      <c r="D29" s="48"/>
      <c r="E29" s="58" t="s">
        <v>32</v>
      </c>
      <c r="F29" s="93">
        <f>IMPORT!L59+IMPORT!L60</f>
        <v>0</v>
      </c>
      <c r="G29" s="62"/>
      <c r="H29" s="84">
        <f>F29</f>
        <v>0</v>
      </c>
    </row>
    <row r="30" spans="1:8" ht="15.75" thickBot="1" x14ac:dyDescent="0.3">
      <c r="A30" s="45"/>
      <c r="B30" s="48"/>
      <c r="C30" s="58" t="s">
        <v>99</v>
      </c>
      <c r="D30" s="58"/>
      <c r="E30" s="58" t="s">
        <v>32</v>
      </c>
      <c r="F30" s="85">
        <f>SUM(F26:F28)-F29</f>
        <v>0</v>
      </c>
      <c r="G30" s="60"/>
      <c r="H30" s="85">
        <f>SUM(H26:H28)-H29</f>
        <v>0</v>
      </c>
    </row>
    <row r="31" spans="1:8" ht="15.75" thickTop="1" x14ac:dyDescent="0.25">
      <c r="A31" s="45"/>
      <c r="B31" s="48"/>
      <c r="C31" s="58"/>
      <c r="D31" s="58"/>
      <c r="E31" s="58"/>
      <c r="F31" s="58"/>
      <c r="G31" s="58"/>
      <c r="H31" s="58"/>
    </row>
    <row r="32" spans="1:8" ht="15.75" thickBot="1" x14ac:dyDescent="0.3">
      <c r="A32" s="45"/>
      <c r="B32" s="66" t="s">
        <v>82</v>
      </c>
      <c r="C32" s="79" t="s">
        <v>100</v>
      </c>
      <c r="D32" s="86"/>
      <c r="E32" s="79" t="s">
        <v>32</v>
      </c>
      <c r="F32" s="87" t="e">
        <f>F12/F30</f>
        <v>#DIV/0!</v>
      </c>
      <c r="G32" s="58"/>
      <c r="H32" s="87" t="e">
        <f>H12/H30</f>
        <v>#DIV/0!</v>
      </c>
    </row>
    <row r="33" spans="1:8" ht="15.75" thickTop="1" x14ac:dyDescent="0.25">
      <c r="A33" s="45"/>
      <c r="B33" s="45"/>
      <c r="C33" s="58"/>
      <c r="D33" s="58"/>
      <c r="E33" s="58"/>
      <c r="F33" s="58"/>
      <c r="G33" s="58"/>
      <c r="H33" s="58"/>
    </row>
    <row r="34" spans="1:8" ht="15.75" x14ac:dyDescent="0.25">
      <c r="A34" s="90"/>
      <c r="C34" s="89"/>
    </row>
    <row r="36" spans="1:8" x14ac:dyDescent="0.25">
      <c r="F36" s="91"/>
    </row>
    <row r="37" spans="1:8" x14ac:dyDescent="0.25">
      <c r="F37" s="88"/>
    </row>
    <row r="38" spans="1:8" x14ac:dyDescent="0.25">
      <c r="F38" s="88"/>
    </row>
    <row r="39" spans="1:8" x14ac:dyDescent="0.25">
      <c r="F39" s="88"/>
    </row>
    <row r="40" spans="1:8" x14ac:dyDescent="0.25">
      <c r="F40" s="88"/>
    </row>
    <row r="41" spans="1:8" x14ac:dyDescent="0.25">
      <c r="F41" s="88"/>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0B3E5-E0E3-4F34-A696-12C41D1BBE55}">
  <dimension ref="A1:O55"/>
  <sheetViews>
    <sheetView workbookViewId="0">
      <selection activeCell="E6" sqref="E6"/>
    </sheetView>
  </sheetViews>
  <sheetFormatPr defaultRowHeight="15" x14ac:dyDescent="0.25"/>
  <cols>
    <col min="1" max="1" width="41.85546875" style="498" customWidth="1"/>
    <col min="2" max="2" width="2.140625" style="498" customWidth="1"/>
    <col min="3" max="5" width="20.7109375" style="498" customWidth="1"/>
    <col min="6" max="6" width="47.5703125" style="224" customWidth="1"/>
    <col min="7" max="7" width="46.28515625" style="498" customWidth="1"/>
    <col min="8" max="8" width="9.140625" style="498"/>
    <col min="9" max="9" width="14.42578125" style="498" customWidth="1"/>
    <col min="10" max="10" width="16.5703125" style="498" customWidth="1"/>
    <col min="11" max="16384" width="9.140625" style="498"/>
  </cols>
  <sheetData>
    <row r="1" spans="1:15" ht="20.25" customHeight="1" thickBot="1" x14ac:dyDescent="0.35">
      <c r="A1" s="943">
        <f>'Unit Data from Audit Worksheet'!D2</f>
        <v>0</v>
      </c>
      <c r="B1" s="944"/>
      <c r="C1" s="944"/>
      <c r="D1" s="945"/>
      <c r="F1" s="33" t="s">
        <v>849</v>
      </c>
      <c r="G1" s="292" t="s">
        <v>850</v>
      </c>
    </row>
    <row r="2" spans="1:15" ht="21.75" customHeight="1" thickBot="1" x14ac:dyDescent="0.35">
      <c r="A2" s="946" t="e">
        <f>'Unit Data from Audit Worksheet'!D3</f>
        <v>#N/A</v>
      </c>
      <c r="B2" s="947"/>
      <c r="C2" s="947"/>
      <c r="D2" s="948"/>
      <c r="E2" s="499"/>
    </row>
    <row r="3" spans="1:15" ht="141.75" customHeight="1" x14ac:dyDescent="0.25">
      <c r="A3" s="949" t="s">
        <v>1245</v>
      </c>
      <c r="B3" s="949"/>
      <c r="C3" s="949"/>
      <c r="D3" s="949"/>
      <c r="E3" s="949"/>
      <c r="F3" s="400"/>
      <c r="G3" s="733" t="s">
        <v>1097</v>
      </c>
    </row>
    <row r="4" spans="1:15" ht="77.25" customHeight="1" x14ac:dyDescent="0.35">
      <c r="A4" s="532"/>
      <c r="C4" s="401">
        <v>2018</v>
      </c>
      <c r="D4" s="401">
        <v>2019</v>
      </c>
      <c r="E4" s="401">
        <v>2020</v>
      </c>
      <c r="F4" s="732" t="s">
        <v>1246</v>
      </c>
      <c r="G4" s="402"/>
      <c r="H4" s="402"/>
      <c r="L4" s="402"/>
      <c r="M4" s="402"/>
      <c r="N4" s="402"/>
      <c r="O4" s="402"/>
    </row>
    <row r="5" spans="1:15" ht="33" customHeight="1" x14ac:dyDescent="0.3">
      <c r="A5" s="403" t="s">
        <v>756</v>
      </c>
      <c r="C5" s="33"/>
      <c r="D5" s="33"/>
      <c r="E5" s="33"/>
      <c r="F5" s="404"/>
      <c r="G5" s="404"/>
      <c r="H5" s="404"/>
      <c r="L5" s="404"/>
      <c r="M5" s="404"/>
      <c r="N5" s="404"/>
      <c r="O5" s="404"/>
    </row>
    <row r="6" spans="1:15" ht="33" customHeight="1" thickBot="1" x14ac:dyDescent="0.35">
      <c r="A6" s="405" t="s">
        <v>757</v>
      </c>
      <c r="C6" s="406"/>
      <c r="D6" s="406"/>
      <c r="E6" s="406"/>
      <c r="F6" s="404"/>
      <c r="G6"/>
      <c r="H6"/>
      <c r="I6"/>
      <c r="J6"/>
      <c r="K6"/>
      <c r="L6" s="404"/>
      <c r="M6" s="404"/>
      <c r="N6" s="404"/>
      <c r="O6" s="404"/>
    </row>
    <row r="7" spans="1:15" ht="78" customHeight="1" x14ac:dyDescent="0.25">
      <c r="A7" s="407" t="s">
        <v>758</v>
      </c>
      <c r="B7" s="408"/>
      <c r="C7" s="409" t="e">
        <f>HLOOKUP($A$2,'2018 Data(H)'!$E$2:$CE$301,288,FALSE)</f>
        <v>#N/A</v>
      </c>
      <c r="D7" s="409" t="e">
        <f>HLOOKUP($A$2,'2019 Data(H)'!$E$2:$CE$298,289,FALSE)</f>
        <v>#N/A</v>
      </c>
      <c r="E7" s="424">
        <f>(IMPORT!L38+IMPORT!L39-IMPORT!L43-IMPORT!L44-IMPORT!L177)+IMPORT!L65</f>
        <v>0</v>
      </c>
      <c r="F7" s="33" t="s">
        <v>823</v>
      </c>
      <c r="G7"/>
      <c r="H7"/>
      <c r="I7"/>
      <c r="J7"/>
      <c r="K7"/>
      <c r="L7" s="404"/>
      <c r="M7" s="404"/>
      <c r="N7" s="404"/>
      <c r="O7" s="404"/>
    </row>
    <row r="8" spans="1:15" ht="33" customHeight="1" x14ac:dyDescent="0.25">
      <c r="A8" s="411" t="s">
        <v>843</v>
      </c>
      <c r="B8" s="38"/>
      <c r="C8" s="412" t="e">
        <f>HLOOKUP($A$2,'2018 Data(H)'!$E$2:$CE$301,289,FALSE)</f>
        <v>#N/A</v>
      </c>
      <c r="D8" s="412" t="e">
        <f>HLOOKUP($A$2,'2019 Data(H)'!$E$2:$CE$298,290,FALSE)</f>
        <v>#N/A</v>
      </c>
      <c r="E8" s="565">
        <f>+IMPORT!L56+IMPORT!L58+IMPORT!L61-IMPORT!L60-IMPORT!L59</f>
        <v>0</v>
      </c>
      <c r="F8" s="413" t="s">
        <v>864</v>
      </c>
      <c r="G8"/>
      <c r="H8"/>
      <c r="I8"/>
      <c r="J8"/>
      <c r="K8"/>
      <c r="L8" s="404"/>
      <c r="M8" s="404"/>
      <c r="N8" s="404"/>
      <c r="O8" s="404"/>
    </row>
    <row r="9" spans="1:15" ht="58.5" customHeight="1" thickBot="1" x14ac:dyDescent="0.3">
      <c r="A9" s="566" t="s">
        <v>792</v>
      </c>
      <c r="B9" s="426"/>
      <c r="C9" s="685" t="e">
        <f>HLOOKUP($A$2,'2018 Data(H)'!$E$2:$CE$301,290,FALSE)</f>
        <v>#N/A</v>
      </c>
      <c r="D9" s="685" t="e">
        <f>HLOOKUP($A$2,'2019 Data(H)'!$E$2:$CE$298,291,FALSE)</f>
        <v>#N/A</v>
      </c>
      <c r="E9" s="530" t="e">
        <f>+E7/E8</f>
        <v>#DIV/0!</v>
      </c>
      <c r="F9" s="413" t="s">
        <v>865</v>
      </c>
      <c r="G9"/>
      <c r="H9"/>
      <c r="I9"/>
      <c r="J9"/>
      <c r="K9"/>
      <c r="L9" s="404"/>
      <c r="M9" s="404"/>
      <c r="N9" s="404"/>
      <c r="O9" s="404"/>
    </row>
    <row r="10" spans="1:15" ht="45.75" customHeight="1" x14ac:dyDescent="0.25">
      <c r="A10" s="415"/>
      <c r="B10" s="37"/>
      <c r="C10" s="416"/>
      <c r="D10" s="417"/>
      <c r="E10" s="417"/>
      <c r="F10" s="404"/>
      <c r="G10"/>
      <c r="H10"/>
      <c r="I10"/>
      <c r="J10"/>
      <c r="K10"/>
      <c r="L10" s="404"/>
      <c r="M10" s="404"/>
      <c r="N10" s="404"/>
      <c r="O10" s="404"/>
    </row>
    <row r="11" spans="1:15" ht="15" customHeight="1" x14ac:dyDescent="0.25">
      <c r="A11" s="418"/>
      <c r="B11" s="418"/>
      <c r="C11" s="419"/>
      <c r="D11" s="419"/>
      <c r="E11" s="419"/>
      <c r="F11" s="531"/>
      <c r="G11" s="421"/>
      <c r="H11" s="420"/>
      <c r="I11" s="420"/>
      <c r="J11" s="420"/>
      <c r="K11" s="420"/>
      <c r="L11" s="404"/>
      <c r="M11" s="404"/>
      <c r="N11" s="404"/>
      <c r="O11" s="404"/>
    </row>
    <row r="12" spans="1:15" ht="33" customHeight="1" thickBot="1" x14ac:dyDescent="0.35">
      <c r="A12" s="405" t="s">
        <v>766</v>
      </c>
      <c r="C12" s="406"/>
      <c r="D12" s="406"/>
      <c r="E12" s="406"/>
      <c r="F12" s="404"/>
      <c r="G12" s="422"/>
      <c r="H12" s="404"/>
      <c r="I12" s="404"/>
      <c r="J12" s="404"/>
      <c r="K12" s="404"/>
      <c r="L12" s="404"/>
      <c r="M12" s="404"/>
      <c r="N12" s="404"/>
      <c r="O12" s="404"/>
    </row>
    <row r="13" spans="1:15" ht="33" customHeight="1" x14ac:dyDescent="0.25">
      <c r="A13" s="423" t="s">
        <v>759</v>
      </c>
      <c r="B13" s="408"/>
      <c r="C13" s="409" t="e">
        <f>HLOOKUP($A$2,'2018 Data(H)'!$E$2:$CE$301,293,FALSE)</f>
        <v>#N/A</v>
      </c>
      <c r="D13" s="409" t="e">
        <f>HLOOKUP($A$2,'2019 Data(H)'!$E$2:$CE$298,294,FALSE)</f>
        <v>#N/A</v>
      </c>
      <c r="E13" s="424">
        <f>+IMPORT!L72-IMPORT!L71-IMPORT!L73-IMPORT!L70</f>
        <v>0</v>
      </c>
      <c r="F13" s="438" t="s">
        <v>934</v>
      </c>
      <c r="G13" s="422"/>
      <c r="H13" s="404"/>
      <c r="I13" s="404"/>
      <c r="J13" s="404"/>
      <c r="K13" s="533"/>
      <c r="L13" s="404"/>
      <c r="M13" s="404"/>
      <c r="N13" s="404"/>
      <c r="O13" s="404"/>
    </row>
    <row r="14" spans="1:15" ht="33" customHeight="1" thickBot="1" x14ac:dyDescent="0.3">
      <c r="A14" s="425" t="s">
        <v>760</v>
      </c>
      <c r="B14" s="426"/>
      <c r="C14" s="412" t="e">
        <f>HLOOKUP($A$2,'2018 Data(H)'!$E$2:$CE$301,31,FALSE)</f>
        <v>#N/A</v>
      </c>
      <c r="D14" s="412" t="e">
        <f>HLOOKUP($A$2,'2019 Data(H)'!$E$2:$CE$298,31,FALSE)</f>
        <v>#N/A</v>
      </c>
      <c r="E14" s="439">
        <f>+IMPORT!L76-IMPORT!L77-IMPORT!L78-IMPORT!L79-IMPORT!L80-IMPORT!L81-IMPORT!L75</f>
        <v>0</v>
      </c>
      <c r="F14" s="568" t="s">
        <v>936</v>
      </c>
      <c r="G14" s="422"/>
      <c r="H14" s="404"/>
      <c r="I14" s="404"/>
      <c r="J14" s="427"/>
      <c r="K14" s="404"/>
      <c r="L14" s="404"/>
      <c r="M14" s="404"/>
      <c r="N14" s="404"/>
      <c r="O14" s="404"/>
    </row>
    <row r="15" spans="1:15" ht="46.5" customHeight="1" thickBot="1" x14ac:dyDescent="0.3">
      <c r="A15" s="428" t="s">
        <v>747</v>
      </c>
      <c r="B15" s="414"/>
      <c r="C15" s="429" t="e">
        <f>C13/C14</f>
        <v>#N/A</v>
      </c>
      <c r="D15" s="429" t="e">
        <f>D13/D14</f>
        <v>#N/A</v>
      </c>
      <c r="E15" s="440" t="e">
        <f>E13/E14</f>
        <v>#DIV/0!</v>
      </c>
      <c r="F15" s="438" t="s">
        <v>948</v>
      </c>
      <c r="G15" s="430" t="s">
        <v>795</v>
      </c>
      <c r="H15" s="438"/>
      <c r="I15" s="438"/>
      <c r="J15" s="567"/>
      <c r="K15" s="404"/>
      <c r="L15" s="404"/>
      <c r="M15" s="404"/>
      <c r="N15" s="404"/>
      <c r="O15" s="404"/>
    </row>
    <row r="16" spans="1:15" ht="17.25" customHeight="1" thickBot="1" x14ac:dyDescent="0.3">
      <c r="A16" s="499"/>
      <c r="B16" s="499"/>
      <c r="C16" s="431"/>
      <c r="D16" s="431"/>
      <c r="E16" s="431"/>
      <c r="F16" s="404"/>
      <c r="G16" s="422"/>
      <c r="H16" s="404"/>
      <c r="I16" s="404"/>
      <c r="J16" s="404"/>
      <c r="K16" s="404"/>
      <c r="L16" s="404"/>
      <c r="M16" s="404"/>
      <c r="N16" s="404"/>
      <c r="O16" s="404"/>
    </row>
    <row r="17" spans="1:15" ht="46.5" customHeight="1" x14ac:dyDescent="0.25">
      <c r="A17" s="423" t="s">
        <v>761</v>
      </c>
      <c r="B17" s="408"/>
      <c r="C17" s="409" t="e">
        <f>HLOOKUP($A$2,'2018 Data(H)'!$E$2:$CE$301,37,FALSE)</f>
        <v>#N/A</v>
      </c>
      <c r="D17" s="409" t="e">
        <f>HLOOKUP($A$2,'2019 Data(H)'!$E$2:$CE$298,37,FALSE)</f>
        <v>#N/A</v>
      </c>
      <c r="E17" s="410">
        <f>+IMPORT!L131</f>
        <v>0</v>
      </c>
      <c r="F17" s="413">
        <v>51</v>
      </c>
      <c r="G17" s="430" t="s">
        <v>796</v>
      </c>
      <c r="H17" s="404"/>
      <c r="I17" s="404"/>
      <c r="J17" s="404"/>
      <c r="K17" s="404"/>
      <c r="L17" s="404"/>
      <c r="M17" s="404"/>
      <c r="N17" s="404"/>
      <c r="O17" s="404"/>
    </row>
    <row r="18" spans="1:15" ht="33" customHeight="1" thickBot="1" x14ac:dyDescent="0.3">
      <c r="A18" s="425" t="s">
        <v>762</v>
      </c>
      <c r="B18" s="426"/>
      <c r="C18" s="412" t="e">
        <f>HLOOKUP($A$2,'2018 Data(H)'!$E$2:$CE$301,291,FALSE)</f>
        <v>#N/A</v>
      </c>
      <c r="D18" s="412" t="e">
        <f>HLOOKUP($A$2,'2019 Data(H)'!$E$2:$CE$298,292,FALSE)</f>
        <v>#N/A</v>
      </c>
      <c r="E18" s="479">
        <f>+IMPORT!L133+IMPORT!L108</f>
        <v>0</v>
      </c>
      <c r="F18" s="413" t="s">
        <v>844</v>
      </c>
      <c r="G18" s="422"/>
      <c r="H18" s="404"/>
      <c r="I18" s="404"/>
      <c r="J18" s="404"/>
      <c r="K18" s="404"/>
      <c r="L18" s="404"/>
      <c r="M18" s="404"/>
      <c r="N18" s="404"/>
      <c r="O18" s="404"/>
    </row>
    <row r="19" spans="1:15" ht="41.25" customHeight="1" thickBot="1" x14ac:dyDescent="0.3">
      <c r="A19" s="428" t="s">
        <v>763</v>
      </c>
      <c r="B19" s="414"/>
      <c r="C19" s="432" t="e">
        <f>C17-C18</f>
        <v>#N/A</v>
      </c>
      <c r="D19" s="432" t="e">
        <f>+D17-D18</f>
        <v>#N/A</v>
      </c>
      <c r="E19" s="480">
        <f>E17-E18</f>
        <v>0</v>
      </c>
      <c r="F19" s="413" t="s">
        <v>933</v>
      </c>
      <c r="G19" s="433" t="s">
        <v>860</v>
      </c>
      <c r="H19" s="404"/>
      <c r="I19" s="404"/>
      <c r="J19" s="413"/>
      <c r="K19" s="404"/>
      <c r="L19" s="404"/>
      <c r="M19" s="404"/>
      <c r="N19" s="404"/>
      <c r="O19" s="404"/>
    </row>
    <row r="20" spans="1:15" ht="16.5" customHeight="1" x14ac:dyDescent="0.25">
      <c r="A20" s="434"/>
      <c r="B20" s="434"/>
      <c r="C20" s="435"/>
      <c r="D20" s="435"/>
      <c r="E20" s="435"/>
      <c r="F20" s="436"/>
      <c r="G20" s="437"/>
      <c r="H20" s="420"/>
      <c r="I20" s="420"/>
      <c r="J20" s="420"/>
      <c r="K20" s="420"/>
      <c r="L20" s="404"/>
      <c r="M20" s="404"/>
      <c r="N20" s="404"/>
      <c r="O20" s="404"/>
    </row>
    <row r="21" spans="1:15" ht="33" customHeight="1" thickBot="1" x14ac:dyDescent="0.35">
      <c r="A21" s="405" t="s">
        <v>765</v>
      </c>
      <c r="C21" s="406"/>
      <c r="D21" s="406"/>
      <c r="E21" s="406"/>
      <c r="F21" s="404"/>
      <c r="G21" s="438"/>
      <c r="H21" s="404"/>
      <c r="I21" s="404"/>
      <c r="J21" s="404"/>
      <c r="K21" s="404"/>
      <c r="L21" s="404"/>
      <c r="M21" s="404"/>
      <c r="N21" s="404"/>
      <c r="O21" s="404"/>
    </row>
    <row r="22" spans="1:15" ht="33" customHeight="1" x14ac:dyDescent="0.25">
      <c r="A22" s="423" t="s">
        <v>759</v>
      </c>
      <c r="B22" s="408"/>
      <c r="C22" s="409" t="e">
        <f>HLOOKUP($A$2,'2018 Data(H)'!$E$2:$CE$301,33,FALSE)-HLOOKUP($A$2,'2018 Data(H)'!$E$2:$CE$301,160,FALSE)</f>
        <v>#N/A</v>
      </c>
      <c r="D22" s="409" t="e">
        <f>HLOOKUP($A$2,'2019 Data(H)'!$E$2:$CE$298,33,FALSE)-HLOOKUP($A$2,'2019 Data(H)'!$E$2:$CE$298,160,FALSE)</f>
        <v>#N/A</v>
      </c>
      <c r="E22" s="424">
        <f>+IMPORT!L90-IMPORT!L89-IMPORT!L91-IMPORT!L88</f>
        <v>0</v>
      </c>
      <c r="F22" s="438" t="s">
        <v>935</v>
      </c>
      <c r="G22" s="422"/>
      <c r="H22" s="404"/>
      <c r="I22" s="404"/>
      <c r="J22" s="404"/>
      <c r="K22" s="404"/>
      <c r="L22" s="404"/>
      <c r="M22" s="404"/>
      <c r="N22" s="404"/>
      <c r="O22" s="404"/>
    </row>
    <row r="23" spans="1:15" ht="33" customHeight="1" thickBot="1" x14ac:dyDescent="0.3">
      <c r="A23" s="425" t="s">
        <v>760</v>
      </c>
      <c r="B23" s="426"/>
      <c r="C23" s="412" t="e">
        <f>HLOOKUP($A$2,'2018 Data(H)'!$E$2:$CE$301,34,FALSE)</f>
        <v>#N/A</v>
      </c>
      <c r="D23" s="412" t="e">
        <f>HLOOKUP($A$2,'2019 Data(H)'!$E$2:$CE$298,34,FALSE)</f>
        <v>#N/A</v>
      </c>
      <c r="E23" s="439">
        <f>+IMPORT!L95-IMPORT!L96-IMPORT!L97-IMPORT!L98-IMPORT!L99-IMPORT!L100-IMPORT!L94</f>
        <v>0</v>
      </c>
      <c r="F23" s="568" t="s">
        <v>882</v>
      </c>
      <c r="G23" s="422"/>
      <c r="H23" s="404"/>
      <c r="I23" s="404"/>
      <c r="J23" s="413"/>
      <c r="K23" s="404"/>
      <c r="L23" s="404"/>
      <c r="M23" s="404"/>
      <c r="N23" s="404"/>
      <c r="O23" s="404"/>
    </row>
    <row r="24" spans="1:15" ht="41.25" customHeight="1" thickBot="1" x14ac:dyDescent="0.3">
      <c r="A24" s="428" t="s">
        <v>747</v>
      </c>
      <c r="B24" s="414"/>
      <c r="C24" s="429" t="e">
        <f>C22/C23</f>
        <v>#N/A</v>
      </c>
      <c r="D24" s="429" t="e">
        <f>D22/D23</f>
        <v>#N/A</v>
      </c>
      <c r="E24" s="440" t="e">
        <f>E22/E23</f>
        <v>#DIV/0!</v>
      </c>
      <c r="F24" s="438" t="s">
        <v>949</v>
      </c>
      <c r="G24" s="430" t="s">
        <v>795</v>
      </c>
      <c r="H24" s="438"/>
      <c r="I24" s="438"/>
      <c r="J24" s="438"/>
      <c r="K24" s="404"/>
      <c r="L24" s="404"/>
      <c r="M24" s="404"/>
      <c r="N24" s="404"/>
      <c r="O24" s="404"/>
    </row>
    <row r="25" spans="1:15" ht="17.25" customHeight="1" thickBot="1" x14ac:dyDescent="0.3">
      <c r="A25" s="499"/>
      <c r="B25" s="499"/>
      <c r="C25" s="431"/>
      <c r="D25" s="431"/>
      <c r="E25" s="431"/>
      <c r="F25" s="404"/>
      <c r="G25" s="422"/>
      <c r="H25" s="404"/>
      <c r="I25" s="404"/>
      <c r="J25" s="404"/>
      <c r="K25" s="404"/>
      <c r="L25" s="404"/>
      <c r="M25" s="404"/>
      <c r="N25" s="404"/>
      <c r="O25" s="404"/>
    </row>
    <row r="26" spans="1:15" ht="48.75" customHeight="1" x14ac:dyDescent="0.25">
      <c r="A26" s="423" t="s">
        <v>761</v>
      </c>
      <c r="B26" s="408"/>
      <c r="C26" s="409" t="e">
        <f>HLOOKUP($A$2,'2018 Data(H)'!$E$2:$CE$301,41,FALSE)</f>
        <v>#N/A</v>
      </c>
      <c r="D26" s="409" t="e">
        <f>HLOOKUP($A$2,'2019 Data(H)'!$E$2:$CE$298,41,FALSE)</f>
        <v>#N/A</v>
      </c>
      <c r="E26" s="410">
        <f>+IMPORT!L134</f>
        <v>0</v>
      </c>
      <c r="F26" s="413">
        <v>55</v>
      </c>
      <c r="G26" s="430" t="s">
        <v>796</v>
      </c>
      <c r="H26" s="404"/>
      <c r="I26" s="404"/>
      <c r="J26" s="404"/>
      <c r="K26" s="404"/>
      <c r="L26" s="404"/>
      <c r="M26" s="404"/>
      <c r="N26" s="404"/>
      <c r="O26" s="404"/>
    </row>
    <row r="27" spans="1:15" ht="33" customHeight="1" thickBot="1" x14ac:dyDescent="0.3">
      <c r="A27" s="425" t="s">
        <v>762</v>
      </c>
      <c r="B27" s="426"/>
      <c r="C27" s="412" t="e">
        <f>HLOOKUP($A$2,'2018 Data(H)'!$E$2:$CE$301,291,FALSE)</f>
        <v>#N/A</v>
      </c>
      <c r="D27" s="412" t="e">
        <f>HLOOKUP($A$2,'2019 Data(H)'!$E$2:$CE$298,293,FALSE)</f>
        <v>#N/A</v>
      </c>
      <c r="E27" s="479">
        <f>+IMPORT!L136+IMPORT!L123</f>
        <v>0</v>
      </c>
      <c r="F27" s="413" t="s">
        <v>837</v>
      </c>
      <c r="G27" s="422"/>
      <c r="H27" s="404"/>
      <c r="I27" s="404"/>
      <c r="J27" s="404"/>
      <c r="K27" s="404"/>
      <c r="L27" s="404"/>
      <c r="M27" s="404"/>
      <c r="N27" s="404"/>
      <c r="O27" s="404"/>
    </row>
    <row r="28" spans="1:15" ht="33" customHeight="1" thickBot="1" x14ac:dyDescent="0.3">
      <c r="A28" s="428" t="s">
        <v>763</v>
      </c>
      <c r="B28" s="414"/>
      <c r="C28" s="432" t="e">
        <f>C26-C27</f>
        <v>#N/A</v>
      </c>
      <c r="D28" s="432" t="e">
        <f>D26-D27</f>
        <v>#N/A</v>
      </c>
      <c r="E28" s="480">
        <f>E26-E27</f>
        <v>0</v>
      </c>
      <c r="F28" s="413" t="s">
        <v>838</v>
      </c>
      <c r="G28" s="433" t="s">
        <v>860</v>
      </c>
      <c r="H28" s="404"/>
      <c r="I28" s="404"/>
      <c r="J28" s="404"/>
      <c r="K28" s="404"/>
      <c r="L28" s="404"/>
      <c r="M28" s="404"/>
      <c r="N28" s="404"/>
      <c r="O28" s="404"/>
    </row>
    <row r="29" spans="1:15" ht="10.5" customHeight="1" x14ac:dyDescent="0.25">
      <c r="A29" s="130"/>
      <c r="B29" s="130"/>
      <c r="C29" s="441"/>
      <c r="D29" s="441"/>
      <c r="E29" s="441"/>
      <c r="F29" s="404"/>
      <c r="G29" s="583"/>
      <c r="H29" s="404"/>
      <c r="I29" s="404"/>
      <c r="J29" s="404"/>
      <c r="K29" s="404"/>
      <c r="L29" s="404"/>
      <c r="M29" s="404"/>
      <c r="N29" s="404"/>
      <c r="O29" s="404"/>
    </row>
    <row r="30" spans="1:15" ht="33" customHeight="1" x14ac:dyDescent="0.25">
      <c r="A30" s="37"/>
      <c r="B30" s="38"/>
      <c r="C30" s="442"/>
      <c r="D30" s="442"/>
      <c r="E30" s="442"/>
      <c r="F30" s="404"/>
      <c r="G30" s="404"/>
      <c r="H30" s="404"/>
      <c r="I30" s="404"/>
      <c r="J30" s="404"/>
      <c r="K30" s="404"/>
      <c r="L30" s="404"/>
      <c r="M30" s="404"/>
      <c r="N30" s="404"/>
      <c r="O30" s="404"/>
    </row>
    <row r="31" spans="1:15" ht="82.5" customHeight="1" x14ac:dyDescent="0.35">
      <c r="A31" s="403" t="s">
        <v>764</v>
      </c>
      <c r="B31" s="38"/>
      <c r="C31" s="401">
        <v>2018</v>
      </c>
      <c r="D31" s="401">
        <v>2019</v>
      </c>
      <c r="E31" s="401">
        <v>2020</v>
      </c>
      <c r="F31" s="31"/>
      <c r="G31" s="404"/>
      <c r="H31" s="404"/>
      <c r="I31" s="404"/>
      <c r="J31" s="404"/>
      <c r="K31" s="404"/>
      <c r="L31" s="404"/>
      <c r="M31" s="404"/>
      <c r="N31" s="404"/>
      <c r="O31" s="404"/>
    </row>
    <row r="32" spans="1:15" ht="18.75" x14ac:dyDescent="0.3">
      <c r="A32" s="443" t="s">
        <v>740</v>
      </c>
    </row>
    <row r="33" spans="1:12" x14ac:dyDescent="0.25">
      <c r="A33" s="15" t="s">
        <v>745</v>
      </c>
      <c r="C33" s="444" t="e">
        <f>HLOOKUP($A$2,'2018 Data(H)'!$E$2:$CE$297,155,FALSE)+HLOOKUP($A$2,'2018 Data(H)'!$E$2:$CE$297,185,FALSE)</f>
        <v>#N/A</v>
      </c>
      <c r="D33" s="444" t="e">
        <f>HLOOKUP($A$2,'2019 Data(H)'!$E$2:$CE$297,155,FALSE)+HLOOKUP($A$2,'2019 Data(H)'!$E$2:$CE$297,185,FALSE)</f>
        <v>#N/A</v>
      </c>
      <c r="E33" s="445">
        <f>+IMPORT!L38+IMPORT!L39</f>
        <v>0</v>
      </c>
      <c r="F33" s="446" t="s">
        <v>748</v>
      </c>
      <c r="G33" s="224"/>
      <c r="H33" s="447"/>
      <c r="I33" s="447"/>
      <c r="J33" s="224"/>
      <c r="K33" s="224"/>
      <c r="L33" s="224"/>
    </row>
    <row r="34" spans="1:12" x14ac:dyDescent="0.25">
      <c r="A34" s="15" t="s">
        <v>746</v>
      </c>
      <c r="C34" s="444" t="e">
        <f>HLOOKUP($A$2,'2018 Data(H)'!$E$2:$CE$297,6,FALSE)</f>
        <v>#N/A</v>
      </c>
      <c r="D34" s="444" t="e">
        <f>HLOOKUP($A$2,'2019 Data(H)'!$E$2:$CE$297,6,FALSE)</f>
        <v>#N/A</v>
      </c>
      <c r="E34" s="445">
        <f>+IMPORT!L51</f>
        <v>0</v>
      </c>
      <c r="F34" s="224">
        <v>9</v>
      </c>
      <c r="G34" s="224"/>
      <c r="H34" s="224"/>
      <c r="I34" s="224"/>
      <c r="J34" s="224"/>
      <c r="K34" s="224"/>
      <c r="L34" s="224"/>
    </row>
    <row r="35" spans="1:12" x14ac:dyDescent="0.25">
      <c r="A35" s="498" t="s">
        <v>739</v>
      </c>
      <c r="C35" s="444" t="e">
        <f>HLOOKUP($A$2,'2018 Data(H)'!$E$2:$CE$297,11,FALSE)</f>
        <v>#N/A</v>
      </c>
      <c r="D35" s="444" t="e">
        <f>HLOOKUP($A$2,'2019 Data(H)'!$E$2:$CE$297,11,FALSE)</f>
        <v>#N/A</v>
      </c>
      <c r="E35" s="445">
        <f>+IMPORT!L54</f>
        <v>0</v>
      </c>
      <c r="F35" s="224">
        <v>16</v>
      </c>
      <c r="G35" s="224"/>
      <c r="H35" s="224"/>
      <c r="I35" s="224"/>
      <c r="J35" s="224"/>
      <c r="K35" s="224"/>
      <c r="L35" s="224"/>
    </row>
    <row r="36" spans="1:12" x14ac:dyDescent="0.25">
      <c r="A36" s="498" t="s">
        <v>741</v>
      </c>
      <c r="C36" s="444" t="e">
        <f>HLOOKUP($A$2,'2018 Data(H)'!$E$2:$CE$297,181,FALSE)</f>
        <v>#N/A</v>
      </c>
      <c r="D36" s="444" t="e">
        <f>HLOOKUP($A$2,'2019 Data(H)'!$E$2:$CE$297,181,FALSE)</f>
        <v>#N/A</v>
      </c>
      <c r="E36" s="445">
        <f>+IMPORT!L56</f>
        <v>0</v>
      </c>
      <c r="F36" s="224">
        <v>532</v>
      </c>
      <c r="G36" s="224"/>
      <c r="H36" s="224"/>
      <c r="I36" s="224"/>
      <c r="J36" s="224"/>
      <c r="K36" s="224"/>
      <c r="L36" s="224"/>
    </row>
    <row r="37" spans="1:12" x14ac:dyDescent="0.25">
      <c r="A37" s="498" t="s">
        <v>743</v>
      </c>
      <c r="C37" s="444" t="e">
        <f>HLOOKUP($A$2,'2018 Data(H)'!$E$2:$CE$297,12,FALSE)</f>
        <v>#N/A</v>
      </c>
      <c r="D37" s="444" t="e">
        <f>HLOOKUP($A$2,'2019 Data(H)'!$E$2:$CE$297,12,FALSE)</f>
        <v>#N/A</v>
      </c>
      <c r="E37" s="445">
        <f>+IMPORT!L57</f>
        <v>0</v>
      </c>
      <c r="F37" s="224">
        <v>17</v>
      </c>
      <c r="G37" s="224"/>
      <c r="H37" s="224"/>
      <c r="I37" s="224"/>
      <c r="J37" s="224"/>
      <c r="K37" s="224"/>
      <c r="L37" s="224"/>
    </row>
    <row r="38" spans="1:12" x14ac:dyDescent="0.25">
      <c r="A38" s="498" t="s">
        <v>744</v>
      </c>
      <c r="C38" s="444" t="e">
        <f>HLOOKUP($A$2,'2018 Data(H)'!$E$2:$CE$297,14,FALSE)</f>
        <v>#N/A</v>
      </c>
      <c r="D38" s="444" t="e">
        <f>HLOOKUP($A$2,'2019 Data(H)'!$E$2:$CE$297,14,FALSE)</f>
        <v>#N/A</v>
      </c>
      <c r="E38" s="445">
        <f>+IMPORT!L58</f>
        <v>0</v>
      </c>
      <c r="F38" s="224">
        <v>20</v>
      </c>
      <c r="G38" s="224"/>
      <c r="H38" s="224"/>
      <c r="I38" s="224"/>
      <c r="J38" s="224"/>
      <c r="K38" s="224"/>
      <c r="L38" s="224"/>
    </row>
    <row r="39" spans="1:12" x14ac:dyDescent="0.25">
      <c r="A39" s="498" t="s">
        <v>742</v>
      </c>
      <c r="C39" s="444" t="e">
        <f>HLOOKUP($A$2,'2018 Data(H)'!$E$2:$CE$297,17,FALSE)</f>
        <v>#N/A</v>
      </c>
      <c r="D39" s="444" t="e">
        <f>HLOOKUP($A$2,'2019 Data(H)'!$E$2:$CE$297,17,FALSE)</f>
        <v>#N/A</v>
      </c>
      <c r="E39" s="445">
        <f>+IMPORT!L63</f>
        <v>0</v>
      </c>
      <c r="F39" s="224">
        <v>23</v>
      </c>
      <c r="G39" s="224"/>
      <c r="H39" s="224"/>
      <c r="I39" s="224"/>
      <c r="J39" s="224"/>
      <c r="K39" s="224"/>
      <c r="L39" s="224"/>
    </row>
    <row r="40" spans="1:12" x14ac:dyDescent="0.25">
      <c r="C40" s="448"/>
      <c r="D40" s="448"/>
      <c r="E40" s="445"/>
    </row>
    <row r="41" spans="1:12" x14ac:dyDescent="0.25">
      <c r="C41" s="448"/>
      <c r="D41" s="448"/>
      <c r="E41" s="445"/>
    </row>
    <row r="42" spans="1:12" ht="18.75" x14ac:dyDescent="0.3">
      <c r="A42" s="443" t="s">
        <v>750</v>
      </c>
      <c r="C42" s="448"/>
      <c r="D42" s="448"/>
      <c r="E42" s="445"/>
    </row>
    <row r="43" spans="1:12" x14ac:dyDescent="0.25">
      <c r="A43" s="15" t="s">
        <v>751</v>
      </c>
      <c r="C43" s="444" t="e">
        <f>HLOOKUP($A$2,'2018 Data(H)'!$E$2:$CE$297,47,FALSE)</f>
        <v>#N/A</v>
      </c>
      <c r="D43" s="444" t="e">
        <f>HLOOKUP($A$2,'2019 Data(H)'!$E$2:$CE$297,47,FALSE)</f>
        <v>#N/A</v>
      </c>
      <c r="E43" s="481">
        <f>+IMPORT!L105</f>
        <v>0</v>
      </c>
      <c r="F43" s="224">
        <v>84</v>
      </c>
    </row>
    <row r="44" spans="1:12" x14ac:dyDescent="0.25">
      <c r="A44" s="15" t="s">
        <v>752</v>
      </c>
      <c r="C44" s="444" t="e">
        <f>HLOOKUP($A$2,'2018 Data(H)'!$E$2:$CE$297,48,FALSE)</f>
        <v>#N/A</v>
      </c>
      <c r="D44" s="444" t="e">
        <f>HLOOKUP($A$2,'2019 Data(H)'!$E$2:$CE$297,48,FALSE)</f>
        <v>#N/A</v>
      </c>
      <c r="E44" s="481">
        <f>+IMPORT!L107</f>
        <v>0</v>
      </c>
      <c r="F44" s="224">
        <v>85</v>
      </c>
    </row>
    <row r="45" spans="1:12" x14ac:dyDescent="0.25">
      <c r="A45" s="15" t="s">
        <v>753</v>
      </c>
      <c r="C45" s="444" t="e">
        <f>C43-C44</f>
        <v>#N/A</v>
      </c>
      <c r="D45" s="444" t="e">
        <f>+D43-D44</f>
        <v>#N/A</v>
      </c>
      <c r="E45" s="481">
        <f>+E43-E44</f>
        <v>0</v>
      </c>
      <c r="F45" s="224" t="s">
        <v>754</v>
      </c>
    </row>
    <row r="46" spans="1:12" x14ac:dyDescent="0.25">
      <c r="A46" s="15" t="s">
        <v>861</v>
      </c>
      <c r="C46" s="728" t="e">
        <f>HLOOKUP($A$2,'2018 Data(H)'!$E$2:$CE$297,293,FALSE)</f>
        <v>#N/A</v>
      </c>
      <c r="D46" s="728" t="e">
        <f>HLOOKUP($A$2,'2019 Data(H)'!$E$2:$CE$297,295,FALSE)</f>
        <v>#N/A</v>
      </c>
      <c r="E46" s="728" t="e">
        <f>+IMPORT!L69*365/IMPORT!L104</f>
        <v>#DIV/0!</v>
      </c>
      <c r="F46" s="224" t="s">
        <v>847</v>
      </c>
      <c r="G46" s="449"/>
    </row>
    <row r="47" spans="1:12" x14ac:dyDescent="0.25">
      <c r="C47" s="448"/>
      <c r="D47" s="448"/>
      <c r="E47" s="445"/>
    </row>
    <row r="48" spans="1:12" ht="18.75" x14ac:dyDescent="0.3">
      <c r="A48" s="443" t="s">
        <v>749</v>
      </c>
      <c r="C48" s="448"/>
      <c r="D48" s="448"/>
      <c r="E48" s="445"/>
    </row>
    <row r="49" spans="1:7" x14ac:dyDescent="0.25">
      <c r="A49" s="15" t="s">
        <v>751</v>
      </c>
      <c r="C49" s="444" t="e">
        <f>HLOOKUP($A$2,'2018 Data(H)'!$E$2:$CE$297,54,FALSE)</f>
        <v>#N/A</v>
      </c>
      <c r="D49" s="444" t="e">
        <f>HLOOKUP($A$2,'2019 Data(H)'!$E$2:$CE$297,54,FALSE)</f>
        <v>#N/A</v>
      </c>
      <c r="E49" s="445">
        <f>+IMPORT!L119</f>
        <v>0</v>
      </c>
      <c r="F49" s="224">
        <v>93</v>
      </c>
    </row>
    <row r="50" spans="1:7" x14ac:dyDescent="0.25">
      <c r="A50" s="15" t="s">
        <v>752</v>
      </c>
      <c r="C50" s="444" t="e">
        <f>HLOOKUP($A$2,'2018 Data(H)'!$E$2:$CE$297,55,FALSE)</f>
        <v>#N/A</v>
      </c>
      <c r="D50" s="444" t="e">
        <f>HLOOKUP($A$2,'2019 Data(H)'!$E$2:$CE$297,55,FALSE)</f>
        <v>#N/A</v>
      </c>
      <c r="E50" s="445">
        <f>+IMPORT!L122</f>
        <v>0</v>
      </c>
      <c r="F50" s="224">
        <v>94</v>
      </c>
    </row>
    <row r="51" spans="1:7" x14ac:dyDescent="0.25">
      <c r="A51" s="15" t="s">
        <v>753</v>
      </c>
      <c r="C51" s="444" t="e">
        <f>+C49-C50</f>
        <v>#N/A</v>
      </c>
      <c r="D51" s="444" t="e">
        <f>+D49-D50</f>
        <v>#N/A</v>
      </c>
      <c r="E51" s="445">
        <f>+E49-E50</f>
        <v>0</v>
      </c>
      <c r="F51" s="224" t="s">
        <v>755</v>
      </c>
    </row>
    <row r="52" spans="1:7" x14ac:dyDescent="0.25">
      <c r="A52" s="15" t="s">
        <v>861</v>
      </c>
      <c r="C52" s="728" t="e">
        <f>HLOOKUP($A$2,'2018 Data(H)'!$E$2:$CE$297,294,FALSE)</f>
        <v>#N/A</v>
      </c>
      <c r="D52" s="728" t="e">
        <f>HLOOKUP($A$2,'2019 Data(H)'!$E$2:$CE$297,296,FALSE)</f>
        <v>#N/A</v>
      </c>
      <c r="E52" s="729" t="e">
        <f>+IMPORT!L87*365/IMPORT!L118</f>
        <v>#DIV/0!</v>
      </c>
      <c r="F52" s="224" t="s">
        <v>848</v>
      </c>
      <c r="G52" s="449"/>
    </row>
    <row r="55" spans="1:7" ht="60.75" customHeight="1" x14ac:dyDescent="0.25">
      <c r="A55" s="2"/>
      <c r="B55" s="2"/>
      <c r="C55" s="2"/>
      <c r="D55" s="2"/>
      <c r="E55" s="2"/>
      <c r="F55" s="2"/>
    </row>
  </sheetData>
  <sheetProtection password="CEAA" sheet="1" objects="1" scenarios="1"/>
  <mergeCells count="3">
    <mergeCell ref="A1:D1"/>
    <mergeCell ref="A2:D2"/>
    <mergeCell ref="A3:E3"/>
  </mergeCells>
  <phoneticPr fontId="73"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AC20D-573D-4CAC-BFD0-B45CD70D0C16}">
  <dimension ref="A1:H53"/>
  <sheetViews>
    <sheetView workbookViewId="0">
      <selection activeCell="C11" sqref="C11"/>
    </sheetView>
  </sheetViews>
  <sheetFormatPr defaultRowHeight="15" x14ac:dyDescent="0.25"/>
  <cols>
    <col min="1" max="1" width="36.7109375" style="515" customWidth="1"/>
    <col min="2" max="2" width="12.7109375" style="515" customWidth="1"/>
    <col min="3" max="3" width="57.5703125" style="515" customWidth="1"/>
    <col min="4" max="4" width="35" style="515" customWidth="1"/>
    <col min="5" max="5" width="66.7109375" style="535" customWidth="1"/>
    <col min="6" max="6" width="2.140625" style="535" customWidth="1"/>
    <col min="7" max="7" width="9.140625" style="515"/>
    <col min="8" max="8" width="34.28515625" style="515" customWidth="1"/>
    <col min="9" max="16384" width="9.140625" style="515"/>
  </cols>
  <sheetData>
    <row r="1" spans="1:7" s="513" customFormat="1" ht="63.75" customHeight="1" x14ac:dyDescent="0.3">
      <c r="B1" s="950" t="s">
        <v>963</v>
      </c>
      <c r="C1" s="950"/>
      <c r="D1" s="950"/>
      <c r="E1" s="950"/>
      <c r="F1" s="577"/>
    </row>
    <row r="2" spans="1:7" ht="30" x14ac:dyDescent="0.25">
      <c r="B2" s="535" t="s">
        <v>950</v>
      </c>
      <c r="C2" s="281" t="s">
        <v>951</v>
      </c>
      <c r="D2" s="281" t="s">
        <v>866</v>
      </c>
      <c r="E2" s="535" t="s">
        <v>867</v>
      </c>
      <c r="G2" s="535"/>
    </row>
    <row r="3" spans="1:7" x14ac:dyDescent="0.25">
      <c r="B3" s="535"/>
      <c r="C3" s="281"/>
      <c r="D3" s="281"/>
      <c r="G3" s="535"/>
    </row>
    <row r="4" spans="1:7" ht="136.5" x14ac:dyDescent="0.35">
      <c r="A4" s="512" t="s">
        <v>952</v>
      </c>
      <c r="B4" s="510">
        <v>336</v>
      </c>
      <c r="C4" s="578" t="s">
        <v>953</v>
      </c>
      <c r="D4" s="578" t="s">
        <v>954</v>
      </c>
      <c r="G4" s="535"/>
    </row>
    <row r="5" spans="1:7" x14ac:dyDescent="0.25">
      <c r="D5" s="570">
        <v>626</v>
      </c>
      <c r="E5" s="571" t="s">
        <v>870</v>
      </c>
      <c r="G5" s="535"/>
    </row>
    <row r="6" spans="1:7" x14ac:dyDescent="0.25">
      <c r="D6" s="570">
        <v>627</v>
      </c>
      <c r="E6" s="571" t="s">
        <v>871</v>
      </c>
      <c r="G6" s="535"/>
    </row>
    <row r="7" spans="1:7" x14ac:dyDescent="0.25">
      <c r="D7" s="570">
        <v>628</v>
      </c>
      <c r="E7" s="571" t="s">
        <v>872</v>
      </c>
      <c r="G7" s="535"/>
    </row>
    <row r="8" spans="1:7" x14ac:dyDescent="0.25">
      <c r="D8" s="570">
        <v>629</v>
      </c>
      <c r="E8" s="571" t="s">
        <v>873</v>
      </c>
      <c r="G8" s="535"/>
    </row>
    <row r="9" spans="1:7" x14ac:dyDescent="0.25">
      <c r="D9" s="570">
        <v>630</v>
      </c>
      <c r="E9" s="571" t="s">
        <v>874</v>
      </c>
      <c r="G9" s="535"/>
    </row>
    <row r="10" spans="1:7" x14ac:dyDescent="0.25">
      <c r="D10" s="570">
        <v>631</v>
      </c>
      <c r="E10" s="571" t="s">
        <v>875</v>
      </c>
      <c r="G10" s="535"/>
    </row>
    <row r="11" spans="1:7" x14ac:dyDescent="0.25">
      <c r="G11" s="535"/>
    </row>
    <row r="12" spans="1:7" ht="90" x14ac:dyDescent="0.35">
      <c r="A12" s="510" t="s">
        <v>876</v>
      </c>
      <c r="C12" s="515" t="s">
        <v>877</v>
      </c>
      <c r="D12" s="570">
        <v>647</v>
      </c>
      <c r="E12" s="572" t="s">
        <v>878</v>
      </c>
      <c r="G12" s="535"/>
    </row>
    <row r="13" spans="1:7" ht="21" x14ac:dyDescent="0.35">
      <c r="A13" s="510"/>
      <c r="D13" s="570"/>
      <c r="E13" s="572"/>
      <c r="G13" s="535"/>
    </row>
    <row r="14" spans="1:7" ht="61.5" x14ac:dyDescent="0.35">
      <c r="A14" s="512" t="s">
        <v>955</v>
      </c>
      <c r="B14" s="510">
        <v>44</v>
      </c>
      <c r="C14" s="535" t="s">
        <v>868</v>
      </c>
      <c r="D14" s="579" t="s">
        <v>956</v>
      </c>
    </row>
    <row r="15" spans="1:7" x14ac:dyDescent="0.25">
      <c r="D15" s="515">
        <v>654</v>
      </c>
      <c r="E15" s="535" t="s">
        <v>869</v>
      </c>
    </row>
    <row r="16" spans="1:7" ht="30" x14ac:dyDescent="0.25">
      <c r="D16" s="515">
        <v>655</v>
      </c>
      <c r="E16" s="535" t="s">
        <v>957</v>
      </c>
    </row>
    <row r="17" spans="1:6" ht="45" x14ac:dyDescent="0.25">
      <c r="D17" s="515">
        <v>579</v>
      </c>
      <c r="E17" s="573" t="s">
        <v>565</v>
      </c>
    </row>
    <row r="18" spans="1:6" x14ac:dyDescent="0.25">
      <c r="D18" s="515">
        <v>510</v>
      </c>
      <c r="E18" s="571" t="s">
        <v>534</v>
      </c>
    </row>
    <row r="21" spans="1:6" ht="196.5" x14ac:dyDescent="0.35">
      <c r="A21" s="512" t="s">
        <v>958</v>
      </c>
      <c r="B21" s="510">
        <v>45</v>
      </c>
      <c r="C21" s="535" t="s">
        <v>879</v>
      </c>
      <c r="D21" s="515" t="s">
        <v>880</v>
      </c>
    </row>
    <row r="22" spans="1:6" x14ac:dyDescent="0.25">
      <c r="D22" s="570">
        <v>633</v>
      </c>
      <c r="E22" s="571" t="s">
        <v>777</v>
      </c>
      <c r="F22" s="571"/>
    </row>
    <row r="23" spans="1:6" x14ac:dyDescent="0.25">
      <c r="D23" s="570">
        <v>634</v>
      </c>
      <c r="E23" s="571" t="s">
        <v>778</v>
      </c>
      <c r="F23" s="571"/>
    </row>
    <row r="24" spans="1:6" x14ac:dyDescent="0.25">
      <c r="D24" s="570">
        <v>635</v>
      </c>
      <c r="E24" s="571" t="s">
        <v>779</v>
      </c>
      <c r="F24" s="571"/>
    </row>
    <row r="25" spans="1:6" x14ac:dyDescent="0.25">
      <c r="D25" s="570">
        <v>636</v>
      </c>
      <c r="E25" s="571" t="s">
        <v>774</v>
      </c>
      <c r="F25" s="571"/>
    </row>
    <row r="26" spans="1:6" x14ac:dyDescent="0.25">
      <c r="D26" s="574">
        <v>637</v>
      </c>
      <c r="E26" s="571" t="s">
        <v>775</v>
      </c>
      <c r="F26" s="571"/>
    </row>
    <row r="27" spans="1:6" x14ac:dyDescent="0.25">
      <c r="D27" s="574">
        <v>638</v>
      </c>
      <c r="E27" s="571" t="s">
        <v>780</v>
      </c>
      <c r="F27" s="571"/>
    </row>
    <row r="28" spans="1:6" x14ac:dyDescent="0.25">
      <c r="D28" s="570">
        <v>578</v>
      </c>
      <c r="E28" s="571" t="s">
        <v>651</v>
      </c>
      <c r="F28" s="571"/>
    </row>
    <row r="32" spans="1:6" ht="29.25" customHeight="1" x14ac:dyDescent="0.35">
      <c r="A32" s="513" t="s">
        <v>959</v>
      </c>
      <c r="B32" s="510">
        <v>47</v>
      </c>
      <c r="C32" s="535" t="s">
        <v>891</v>
      </c>
      <c r="D32" s="515" t="s">
        <v>960</v>
      </c>
    </row>
    <row r="33" spans="1:8" x14ac:dyDescent="0.25">
      <c r="D33" s="515">
        <v>657</v>
      </c>
      <c r="E33" s="515" t="s">
        <v>891</v>
      </c>
      <c r="H33" s="569"/>
    </row>
    <row r="34" spans="1:8" ht="30" x14ac:dyDescent="0.25">
      <c r="D34" s="515">
        <v>658</v>
      </c>
      <c r="E34" s="571" t="s">
        <v>887</v>
      </c>
    </row>
    <row r="35" spans="1:8" ht="45" x14ac:dyDescent="0.25">
      <c r="D35" s="515">
        <v>581</v>
      </c>
      <c r="E35" s="573" t="s">
        <v>961</v>
      </c>
    </row>
    <row r="36" spans="1:8" x14ac:dyDescent="0.25">
      <c r="E36" s="571"/>
    </row>
    <row r="41" spans="1:8" ht="181.5" x14ac:dyDescent="0.35">
      <c r="A41" s="513" t="s">
        <v>962</v>
      </c>
      <c r="B41" s="510">
        <v>48</v>
      </c>
      <c r="C41" s="535" t="s">
        <v>881</v>
      </c>
      <c r="D41" s="509" t="s">
        <v>882</v>
      </c>
    </row>
    <row r="42" spans="1:8" ht="30" x14ac:dyDescent="0.25">
      <c r="D42" s="575">
        <v>639</v>
      </c>
      <c r="E42" s="576" t="s">
        <v>781</v>
      </c>
      <c r="F42" s="571"/>
    </row>
    <row r="43" spans="1:8" x14ac:dyDescent="0.25">
      <c r="D43" s="575">
        <v>640</v>
      </c>
      <c r="E43" s="576" t="s">
        <v>782</v>
      </c>
      <c r="F43" s="571"/>
    </row>
    <row r="44" spans="1:8" x14ac:dyDescent="0.25">
      <c r="D44" s="575">
        <v>641</v>
      </c>
      <c r="E44" s="576" t="s">
        <v>783</v>
      </c>
      <c r="F44" s="571"/>
    </row>
    <row r="45" spans="1:8" x14ac:dyDescent="0.25">
      <c r="D45" s="575">
        <v>642</v>
      </c>
      <c r="E45" s="576" t="s">
        <v>784</v>
      </c>
      <c r="F45" s="571"/>
    </row>
    <row r="46" spans="1:8" ht="30" x14ac:dyDescent="0.25">
      <c r="D46" s="575">
        <v>643</v>
      </c>
      <c r="E46" s="576" t="s">
        <v>785</v>
      </c>
      <c r="F46" s="571"/>
    </row>
    <row r="47" spans="1:8" x14ac:dyDescent="0.25">
      <c r="D47" s="575">
        <v>644</v>
      </c>
      <c r="E47" s="576" t="s">
        <v>786</v>
      </c>
      <c r="F47" s="571"/>
    </row>
    <row r="48" spans="1:8" x14ac:dyDescent="0.25">
      <c r="D48" s="575" t="s">
        <v>883</v>
      </c>
      <c r="E48" s="571" t="s">
        <v>655</v>
      </c>
      <c r="F48" s="571"/>
    </row>
    <row r="53" spans="1:1" ht="18.75" x14ac:dyDescent="0.3">
      <c r="A53" s="580" t="s">
        <v>884</v>
      </c>
    </row>
  </sheetData>
  <sheetProtection algorithmName="SHA-512" hashValue="Jeux9mfsFSEbs58PmUujfx+/KBnzUUdlt5TCVn3VwlsRt2831TYWV7FLyzNlWvFQ/nhzHNSlmM4dB+P0hFm2ig==" saltValue="bd2mSb+tLGpYO5LSQwKrVQ==" spinCount="100000" sheet="1" objects="1" scenarios="1"/>
  <mergeCells count="1">
    <mergeCell ref="B1:E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CC87-E13B-4F65-8BC5-C28CE910D5ED}">
  <dimension ref="A3:M27"/>
  <sheetViews>
    <sheetView workbookViewId="0">
      <pane xSplit="2" ySplit="4" topLeftCell="C5" activePane="bottomRight" state="frozen"/>
      <selection pane="topRight" activeCell="B1" sqref="B1"/>
      <selection pane="bottomLeft" activeCell="A5" sqref="A5"/>
      <selection pane="bottomRight" activeCell="E35" sqref="E35"/>
    </sheetView>
  </sheetViews>
  <sheetFormatPr defaultRowHeight="15" x14ac:dyDescent="0.25"/>
  <cols>
    <col min="1" max="3" width="22.7109375" style="385" customWidth="1"/>
    <col min="4" max="4" width="18.7109375" style="380" customWidth="1"/>
    <col min="5" max="10" width="18.7109375" style="385" customWidth="1"/>
    <col min="11" max="16384" width="9.140625" style="385"/>
  </cols>
  <sheetData>
    <row r="3" spans="1:13" x14ac:dyDescent="0.25">
      <c r="D3" s="379">
        <v>2019</v>
      </c>
      <c r="E3" s="379">
        <v>2018</v>
      </c>
      <c r="F3" s="379">
        <v>2017</v>
      </c>
      <c r="G3" s="379">
        <v>2016</v>
      </c>
      <c r="H3" s="379">
        <v>2015</v>
      </c>
      <c r="I3" s="379">
        <v>2014</v>
      </c>
      <c r="J3" s="379">
        <v>2013</v>
      </c>
      <c r="K3" s="380"/>
      <c r="L3" s="380"/>
      <c r="M3" s="380"/>
    </row>
    <row r="4" spans="1:13" ht="18.75" x14ac:dyDescent="0.25">
      <c r="A4" s="381" t="s">
        <v>821</v>
      </c>
      <c r="B4" s="381"/>
      <c r="C4" s="381" t="s">
        <v>822</v>
      </c>
      <c r="D4" s="382" t="s">
        <v>746</v>
      </c>
      <c r="E4" s="382" t="s">
        <v>746</v>
      </c>
      <c r="F4" s="382" t="s">
        <v>746</v>
      </c>
      <c r="G4" s="382" t="s">
        <v>746</v>
      </c>
      <c r="H4" s="382" t="s">
        <v>746</v>
      </c>
      <c r="I4" s="382" t="s">
        <v>746</v>
      </c>
      <c r="J4" s="382" t="s">
        <v>746</v>
      </c>
      <c r="K4" s="383"/>
    </row>
    <row r="5" spans="1:13" x14ac:dyDescent="0.25">
      <c r="A5" s="384">
        <v>5119</v>
      </c>
      <c r="B5" s="384" t="s">
        <v>798</v>
      </c>
      <c r="C5" s="384">
        <v>647</v>
      </c>
      <c r="D5" s="380">
        <v>20578691</v>
      </c>
      <c r="E5" s="380">
        <v>3249248</v>
      </c>
      <c r="F5" s="380">
        <v>2957570</v>
      </c>
      <c r="G5" s="380">
        <v>5709008</v>
      </c>
      <c r="H5" s="380">
        <v>5114434</v>
      </c>
      <c r="I5" s="380">
        <v>4562229</v>
      </c>
      <c r="J5" s="380">
        <v>4029652</v>
      </c>
    </row>
    <row r="6" spans="1:13" x14ac:dyDescent="0.25">
      <c r="A6" s="384">
        <v>5120</v>
      </c>
      <c r="B6" s="384" t="s">
        <v>799</v>
      </c>
      <c r="C6" s="384">
        <v>647</v>
      </c>
      <c r="D6" s="380">
        <v>0</v>
      </c>
      <c r="E6" s="380">
        <v>0</v>
      </c>
      <c r="F6" s="380">
        <v>0</v>
      </c>
      <c r="G6" s="380">
        <v>0</v>
      </c>
      <c r="H6" s="380">
        <v>0</v>
      </c>
      <c r="I6" s="380">
        <v>0</v>
      </c>
      <c r="J6" s="380">
        <v>0</v>
      </c>
    </row>
    <row r="7" spans="1:13" x14ac:dyDescent="0.25">
      <c r="A7" s="384">
        <v>5131</v>
      </c>
      <c r="B7" s="384" t="s">
        <v>800</v>
      </c>
      <c r="C7" s="384">
        <v>647</v>
      </c>
      <c r="D7" s="380">
        <v>37089245</v>
      </c>
      <c r="E7" s="380">
        <v>20299814</v>
      </c>
      <c r="F7" s="380">
        <v>8051571</v>
      </c>
      <c r="G7" s="380">
        <v>7371500</v>
      </c>
      <c r="H7" s="380">
        <v>5966665</v>
      </c>
      <c r="I7" s="380">
        <v>8207298</v>
      </c>
      <c r="J7" s="380">
        <v>7347048</v>
      </c>
    </row>
    <row r="8" spans="1:13" x14ac:dyDescent="0.25">
      <c r="A8" s="384">
        <v>5135</v>
      </c>
      <c r="B8" s="384" t="s">
        <v>801</v>
      </c>
      <c r="C8" s="384">
        <v>647</v>
      </c>
      <c r="D8" s="380">
        <v>0</v>
      </c>
      <c r="E8" s="380">
        <v>0</v>
      </c>
      <c r="F8" s="380">
        <v>4056482</v>
      </c>
      <c r="G8" s="380">
        <v>3922669</v>
      </c>
      <c r="H8" s="380">
        <v>3148233</v>
      </c>
      <c r="I8" s="380">
        <v>2755127</v>
      </c>
      <c r="J8" s="380">
        <v>2755127</v>
      </c>
    </row>
    <row r="9" spans="1:13" x14ac:dyDescent="0.25">
      <c r="A9" s="384">
        <v>5144</v>
      </c>
      <c r="B9" s="384" t="s">
        <v>802</v>
      </c>
      <c r="C9" s="384">
        <v>647</v>
      </c>
      <c r="D9" s="380">
        <v>7441890</v>
      </c>
      <c r="E9" s="380">
        <v>7441890</v>
      </c>
      <c r="F9" s="380">
        <v>4932241</v>
      </c>
      <c r="G9" s="380">
        <v>590997</v>
      </c>
      <c r="H9" s="380">
        <v>0</v>
      </c>
      <c r="I9" s="380">
        <v>3000000</v>
      </c>
      <c r="J9" s="380">
        <v>2390166</v>
      </c>
    </row>
    <row r="10" spans="1:13" x14ac:dyDescent="0.25">
      <c r="A10" s="384">
        <v>5155</v>
      </c>
      <c r="B10" s="384" t="s">
        <v>803</v>
      </c>
      <c r="C10" s="384">
        <v>647</v>
      </c>
      <c r="D10" s="380">
        <v>1008755</v>
      </c>
      <c r="E10" s="380">
        <v>781534</v>
      </c>
      <c r="F10" s="380">
        <v>663572</v>
      </c>
      <c r="G10" s="380">
        <v>6557774</v>
      </c>
      <c r="H10" s="380">
        <v>611355</v>
      </c>
      <c r="I10" s="380">
        <v>784361</v>
      </c>
      <c r="J10" s="380">
        <v>1022379</v>
      </c>
    </row>
    <row r="11" spans="1:13" x14ac:dyDescent="0.25">
      <c r="A11" s="384">
        <v>5158</v>
      </c>
      <c r="B11" s="384" t="s">
        <v>804</v>
      </c>
      <c r="C11" s="384">
        <v>647</v>
      </c>
      <c r="D11" s="380">
        <v>9</v>
      </c>
      <c r="E11" s="380">
        <v>9</v>
      </c>
      <c r="F11" s="380">
        <v>9</v>
      </c>
      <c r="G11" s="380">
        <v>9</v>
      </c>
      <c r="H11" s="380">
        <v>9</v>
      </c>
      <c r="I11" s="380">
        <v>9</v>
      </c>
      <c r="J11" s="380">
        <v>9</v>
      </c>
    </row>
    <row r="12" spans="1:13" x14ac:dyDescent="0.25">
      <c r="A12" s="384">
        <v>5159</v>
      </c>
      <c r="B12" s="384" t="s">
        <v>805</v>
      </c>
      <c r="C12" s="384">
        <v>647</v>
      </c>
      <c r="D12" s="380">
        <v>225639888</v>
      </c>
      <c r="E12" s="380">
        <v>219009306</v>
      </c>
      <c r="F12" s="380">
        <v>181812071</v>
      </c>
      <c r="G12" s="380">
        <v>193933610</v>
      </c>
      <c r="H12" s="380">
        <v>181583886</v>
      </c>
      <c r="I12" s="380">
        <v>0</v>
      </c>
      <c r="J12" s="380">
        <v>0</v>
      </c>
    </row>
    <row r="13" spans="1:13" x14ac:dyDescent="0.25">
      <c r="A13" s="384">
        <v>5164</v>
      </c>
      <c r="B13" s="384" t="s">
        <v>806</v>
      </c>
      <c r="C13" s="384">
        <v>647</v>
      </c>
      <c r="D13" s="380">
        <v>7132135</v>
      </c>
      <c r="E13" s="380">
        <v>5438631</v>
      </c>
      <c r="F13" s="380">
        <v>2427428</v>
      </c>
      <c r="G13" s="380">
        <v>157674</v>
      </c>
      <c r="H13" s="380">
        <v>0</v>
      </c>
      <c r="I13" s="380">
        <v>0</v>
      </c>
      <c r="J13" s="380">
        <v>0</v>
      </c>
    </row>
    <row r="14" spans="1:13" x14ac:dyDescent="0.25">
      <c r="A14" s="384">
        <v>5173</v>
      </c>
      <c r="B14" s="384" t="s">
        <v>807</v>
      </c>
      <c r="C14" s="384">
        <v>647</v>
      </c>
      <c r="D14" s="380">
        <v>422216</v>
      </c>
      <c r="E14" s="380">
        <v>2615544</v>
      </c>
      <c r="F14" s="380">
        <v>880554</v>
      </c>
      <c r="G14" s="380">
        <v>154942</v>
      </c>
      <c r="H14" s="380">
        <v>107456</v>
      </c>
      <c r="I14" s="380">
        <v>46240</v>
      </c>
      <c r="J14" s="380">
        <v>23390</v>
      </c>
    </row>
    <row r="15" spans="1:13" x14ac:dyDescent="0.25">
      <c r="A15" s="384">
        <v>5178</v>
      </c>
      <c r="B15" s="384" t="s">
        <v>808</v>
      </c>
      <c r="C15" s="384">
        <v>647</v>
      </c>
      <c r="D15" s="380">
        <v>75835</v>
      </c>
      <c r="E15" s="380">
        <v>66039</v>
      </c>
      <c r="F15" s="380">
        <v>57100</v>
      </c>
      <c r="G15" s="380">
        <v>52316</v>
      </c>
      <c r="H15" s="380">
        <v>23715</v>
      </c>
      <c r="I15" s="380">
        <v>899285</v>
      </c>
      <c r="J15" s="380">
        <v>1169608</v>
      </c>
    </row>
    <row r="16" spans="1:13" x14ac:dyDescent="0.25">
      <c r="A16" s="384">
        <v>5180</v>
      </c>
      <c r="B16" s="384" t="s">
        <v>809</v>
      </c>
      <c r="C16" s="384">
        <v>647</v>
      </c>
      <c r="D16" s="380">
        <v>4586780</v>
      </c>
      <c r="E16" s="380">
        <v>5165281</v>
      </c>
      <c r="F16" s="380">
        <v>4432068</v>
      </c>
      <c r="G16" s="380">
        <v>3558985</v>
      </c>
      <c r="H16" s="380">
        <v>2657915</v>
      </c>
      <c r="I16" s="380">
        <v>2071596</v>
      </c>
      <c r="J16" s="380">
        <v>1986034</v>
      </c>
    </row>
    <row r="17" spans="1:10" x14ac:dyDescent="0.25">
      <c r="A17" s="384">
        <v>5191</v>
      </c>
      <c r="B17" s="384" t="s">
        <v>810</v>
      </c>
      <c r="C17" s="384">
        <v>647</v>
      </c>
      <c r="D17" s="380">
        <v>111303046</v>
      </c>
      <c r="E17" s="380">
        <v>108974619</v>
      </c>
      <c r="F17" s="380">
        <v>120290900</v>
      </c>
      <c r="G17" s="380">
        <v>127448981</v>
      </c>
      <c r="H17" s="380">
        <v>153873846</v>
      </c>
      <c r="I17" s="380">
        <v>135252125</v>
      </c>
      <c r="J17" s="380">
        <v>169055200</v>
      </c>
    </row>
    <row r="18" spans="1:10" x14ac:dyDescent="0.25">
      <c r="A18" s="384">
        <v>50074</v>
      </c>
      <c r="B18" s="384" t="s">
        <v>811</v>
      </c>
      <c r="C18" s="384">
        <v>647</v>
      </c>
      <c r="D18" s="380">
        <v>7494829</v>
      </c>
      <c r="E18" s="380">
        <v>7189658</v>
      </c>
      <c r="F18" s="380">
        <v>7048523</v>
      </c>
      <c r="G18" s="380">
        <v>6615510</v>
      </c>
      <c r="H18" s="380">
        <v>5452410</v>
      </c>
      <c r="I18" s="380">
        <v>4803926</v>
      </c>
      <c r="J18" s="380">
        <v>5340180</v>
      </c>
    </row>
    <row r="19" spans="1:10" x14ac:dyDescent="0.25">
      <c r="A19" s="384">
        <v>50075</v>
      </c>
      <c r="B19" s="384" t="s">
        <v>812</v>
      </c>
      <c r="C19" s="384">
        <v>647</v>
      </c>
      <c r="D19" s="380">
        <v>266214000</v>
      </c>
      <c r="E19" s="380">
        <v>265541000</v>
      </c>
      <c r="F19" s="380">
        <v>274532000</v>
      </c>
      <c r="G19" s="380">
        <v>286138000</v>
      </c>
      <c r="H19" s="380">
        <v>295124000</v>
      </c>
      <c r="I19" s="380">
        <v>264645000</v>
      </c>
      <c r="J19" s="380">
        <v>231434000</v>
      </c>
    </row>
    <row r="20" spans="1:10" x14ac:dyDescent="0.25">
      <c r="A20" s="384">
        <v>50110</v>
      </c>
      <c r="B20" s="384" t="s">
        <v>813</v>
      </c>
      <c r="C20" s="384">
        <v>647</v>
      </c>
      <c r="D20" s="380">
        <v>46833536</v>
      </c>
      <c r="E20" s="380">
        <v>45660075</v>
      </c>
      <c r="F20" s="380">
        <v>8463820</v>
      </c>
      <c r="G20" s="380">
        <v>2663591</v>
      </c>
      <c r="H20" s="380">
        <v>2371109</v>
      </c>
      <c r="I20" s="380">
        <v>2878268</v>
      </c>
      <c r="J20" s="380">
        <v>4203755</v>
      </c>
    </row>
    <row r="21" spans="1:10" x14ac:dyDescent="0.25">
      <c r="A21" s="384">
        <v>50144</v>
      </c>
      <c r="B21" s="384" t="s">
        <v>814</v>
      </c>
      <c r="C21" s="384">
        <v>647</v>
      </c>
      <c r="D21" s="380">
        <v>4258932</v>
      </c>
      <c r="E21" s="380">
        <v>853434</v>
      </c>
      <c r="F21" s="380">
        <v>1622119</v>
      </c>
      <c r="G21" s="380">
        <v>1743258</v>
      </c>
      <c r="H21" s="380">
        <v>1740179</v>
      </c>
      <c r="I21" s="380">
        <v>1739958</v>
      </c>
      <c r="J21" s="380">
        <v>1739695</v>
      </c>
    </row>
    <row r="22" spans="1:10" x14ac:dyDescent="0.25">
      <c r="A22" s="384">
        <v>50159</v>
      </c>
      <c r="B22" s="384" t="s">
        <v>815</v>
      </c>
      <c r="C22" s="384">
        <v>647</v>
      </c>
      <c r="D22" s="380">
        <v>28636370</v>
      </c>
      <c r="E22" s="380">
        <v>23180822</v>
      </c>
      <c r="F22" s="380">
        <v>16487675</v>
      </c>
      <c r="G22" s="380">
        <v>10909425</v>
      </c>
      <c r="H22" s="380">
        <v>7878571</v>
      </c>
      <c r="I22" s="380">
        <v>5300679</v>
      </c>
      <c r="J22" s="380">
        <v>4801051</v>
      </c>
    </row>
    <row r="23" spans="1:10" x14ac:dyDescent="0.25">
      <c r="A23" s="384">
        <v>50160</v>
      </c>
      <c r="B23" s="384" t="s">
        <v>816</v>
      </c>
      <c r="C23" s="384">
        <v>647</v>
      </c>
      <c r="D23" s="380">
        <v>1134799</v>
      </c>
      <c r="E23" s="380">
        <v>894858</v>
      </c>
      <c r="F23" s="380">
        <v>1002425</v>
      </c>
      <c r="G23" s="380">
        <v>354061</v>
      </c>
      <c r="H23" s="380">
        <v>392698</v>
      </c>
      <c r="I23" s="380">
        <v>442800</v>
      </c>
      <c r="J23" s="380">
        <v>942821</v>
      </c>
    </row>
    <row r="24" spans="1:10" x14ac:dyDescent="0.25">
      <c r="A24" s="384">
        <v>50180</v>
      </c>
      <c r="B24" s="384" t="s">
        <v>817</v>
      </c>
      <c r="C24" s="384">
        <v>647</v>
      </c>
      <c r="D24" s="380">
        <v>13193040</v>
      </c>
      <c r="E24" s="380">
        <v>17058564</v>
      </c>
      <c r="F24" s="380">
        <v>16187505</v>
      </c>
      <c r="G24" s="380">
        <v>16428100</v>
      </c>
      <c r="H24" s="380">
        <v>16688416</v>
      </c>
      <c r="I24" s="380">
        <v>17840940</v>
      </c>
      <c r="J24" s="380">
        <v>18042019</v>
      </c>
    </row>
    <row r="25" spans="1:10" x14ac:dyDescent="0.25">
      <c r="A25" s="384">
        <v>50405</v>
      </c>
      <c r="B25" s="384" t="s">
        <v>818</v>
      </c>
      <c r="C25" s="384">
        <v>647</v>
      </c>
      <c r="D25" s="380">
        <v>302046</v>
      </c>
      <c r="E25" s="380">
        <v>1055143</v>
      </c>
      <c r="F25" s="380">
        <v>0</v>
      </c>
      <c r="G25" s="380">
        <v>0</v>
      </c>
      <c r="H25" s="380">
        <v>0</v>
      </c>
      <c r="I25" s="380">
        <v>0</v>
      </c>
      <c r="J25" s="380">
        <v>0</v>
      </c>
    </row>
    <row r="26" spans="1:10" x14ac:dyDescent="0.25">
      <c r="A26" s="384">
        <v>50425</v>
      </c>
      <c r="B26" s="384" t="s">
        <v>819</v>
      </c>
      <c r="C26" s="384">
        <v>647</v>
      </c>
      <c r="D26" s="380">
        <v>20836222</v>
      </c>
      <c r="E26" s="380">
        <v>16328642</v>
      </c>
      <c r="F26" s="380">
        <v>15202516</v>
      </c>
      <c r="G26" s="380">
        <v>12384500</v>
      </c>
      <c r="H26" s="380">
        <v>9788553</v>
      </c>
      <c r="I26" s="380">
        <v>7967199</v>
      </c>
      <c r="J26" s="380">
        <v>6398918</v>
      </c>
    </row>
    <row r="27" spans="1:10" x14ac:dyDescent="0.25">
      <c r="A27" s="384">
        <v>50431</v>
      </c>
      <c r="B27" s="384" t="s">
        <v>820</v>
      </c>
      <c r="C27" s="384">
        <v>647</v>
      </c>
      <c r="D27" s="380">
        <v>25542629</v>
      </c>
      <c r="E27" s="380">
        <v>24964077</v>
      </c>
      <c r="F27" s="380">
        <v>23618105</v>
      </c>
      <c r="G27" s="380">
        <v>22744716</v>
      </c>
      <c r="H27" s="380">
        <v>16714796</v>
      </c>
      <c r="I27" s="380">
        <v>13788676</v>
      </c>
      <c r="J27" s="380">
        <v>10895689</v>
      </c>
    </row>
  </sheetData>
  <sheetProtection algorithmName="SHA-512" hashValue="bJzbnlqZaAK7ALs5bbQL+h64q8lABUlOGnBJfq4edhEiaOw/yThmKllXr+onjgJZbpQlIehGNuA9UmmlsFljzQ==" saltValue="fa5rt8OM/kZZXsoqtjrM/Q=="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FDA7-6C6D-446A-998D-D154CD8F7C50}">
  <dimension ref="A1:G6"/>
  <sheetViews>
    <sheetView workbookViewId="0">
      <selection activeCell="G1" sqref="G1"/>
    </sheetView>
  </sheetViews>
  <sheetFormatPr defaultRowHeight="15" x14ac:dyDescent="0.25"/>
  <cols>
    <col min="1" max="1" width="51.42578125" style="701" customWidth="1"/>
    <col min="2" max="6" width="9.140625" style="701"/>
    <col min="7" max="7" width="66.42578125" style="701" customWidth="1"/>
    <col min="8" max="16384" width="9.140625" style="701"/>
  </cols>
  <sheetData>
    <row r="1" spans="1:7" s="353" customFormat="1" ht="27.75" customHeight="1" x14ac:dyDescent="0.5">
      <c r="A1" s="353" t="s">
        <v>794</v>
      </c>
    </row>
    <row r="2" spans="1:7" ht="136.5" customHeight="1" x14ac:dyDescent="0.25">
      <c r="A2" s="951" t="s">
        <v>1244</v>
      </c>
      <c r="B2" s="951"/>
      <c r="C2" s="951"/>
      <c r="D2" s="951"/>
      <c r="E2" s="951"/>
      <c r="F2" s="951"/>
      <c r="G2" s="951"/>
    </row>
    <row r="3" spans="1:7" ht="25.5" customHeight="1" x14ac:dyDescent="0.25"/>
    <row r="4" spans="1:7" x14ac:dyDescent="0.25">
      <c r="A4" s="255" t="s">
        <v>1087</v>
      </c>
      <c r="B4" s="352"/>
    </row>
    <row r="5" spans="1:7" x14ac:dyDescent="0.25">
      <c r="B5" s="352"/>
    </row>
    <row r="6" spans="1:7" x14ac:dyDescent="0.25">
      <c r="B6" s="352"/>
    </row>
  </sheetData>
  <sheetProtection password="CEAA" sheet="1" objects="1" scenarios="1"/>
  <mergeCells count="1">
    <mergeCell ref="A2:G2"/>
  </mergeCells>
  <hyperlinks>
    <hyperlink ref="A4" r:id="rId1" xr:uid="{DF038F7A-8B26-4518-B97E-04A287CD3B20}"/>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66171-2DE4-4F44-8E45-7B5D21D2ED38}">
  <dimension ref="A1:I62"/>
  <sheetViews>
    <sheetView topLeftCell="A37" workbookViewId="0">
      <selection activeCell="F66" sqref="F66"/>
    </sheetView>
  </sheetViews>
  <sheetFormatPr defaultRowHeight="15" x14ac:dyDescent="0.25"/>
  <sheetData>
    <row r="1" spans="1:1" ht="15.75" x14ac:dyDescent="0.25">
      <c r="A1" s="520" t="s">
        <v>893</v>
      </c>
    </row>
    <row r="2" spans="1:1" ht="15.75" x14ac:dyDescent="0.25">
      <c r="A2" s="520" t="s">
        <v>894</v>
      </c>
    </row>
    <row r="3" spans="1:1" ht="15.75" x14ac:dyDescent="0.25">
      <c r="A3" s="520" t="s">
        <v>895</v>
      </c>
    </row>
    <row r="4" spans="1:1" ht="15.75" x14ac:dyDescent="0.25">
      <c r="A4" s="520" t="s">
        <v>896</v>
      </c>
    </row>
    <row r="5" spans="1:1" ht="15.75" x14ac:dyDescent="0.25">
      <c r="A5" s="520"/>
    </row>
    <row r="6" spans="1:1" ht="15.75" x14ac:dyDescent="0.25">
      <c r="A6" s="520" t="s">
        <v>897</v>
      </c>
    </row>
    <row r="7" spans="1:1" ht="15.75" x14ac:dyDescent="0.25">
      <c r="A7" s="520" t="s">
        <v>898</v>
      </c>
    </row>
    <row r="8" spans="1:1" ht="15.75" x14ac:dyDescent="0.25">
      <c r="A8" s="520" t="s">
        <v>899</v>
      </c>
    </row>
    <row r="9" spans="1:1" ht="15.75" x14ac:dyDescent="0.25">
      <c r="A9" s="520" t="s">
        <v>900</v>
      </c>
    </row>
    <row r="10" spans="1:1" ht="15.75" x14ac:dyDescent="0.25">
      <c r="A10" s="520"/>
    </row>
    <row r="11" spans="1:1" ht="15.75" x14ac:dyDescent="0.25">
      <c r="A11" s="520" t="s">
        <v>901</v>
      </c>
    </row>
    <row r="12" spans="1:1" ht="15.75" x14ac:dyDescent="0.25">
      <c r="A12" s="520" t="s">
        <v>902</v>
      </c>
    </row>
    <row r="13" spans="1:1" ht="15.75" x14ac:dyDescent="0.25">
      <c r="A13" s="520" t="s">
        <v>903</v>
      </c>
    </row>
    <row r="14" spans="1:1" ht="15.75" x14ac:dyDescent="0.25">
      <c r="A14" s="520"/>
    </row>
    <row r="15" spans="1:1" ht="15.75" x14ac:dyDescent="0.25">
      <c r="A15" s="520" t="s">
        <v>904</v>
      </c>
    </row>
    <row r="16" spans="1:1" ht="15.75" x14ac:dyDescent="0.25">
      <c r="A16" s="520" t="s">
        <v>905</v>
      </c>
    </row>
    <row r="17" spans="1:1" ht="15.75" x14ac:dyDescent="0.25">
      <c r="A17" s="520" t="s">
        <v>906</v>
      </c>
    </row>
    <row r="18" spans="1:1" ht="15.75" x14ac:dyDescent="0.25">
      <c r="A18" s="520" t="s">
        <v>907</v>
      </c>
    </row>
    <row r="19" spans="1:1" ht="15.75" x14ac:dyDescent="0.25">
      <c r="A19" s="520"/>
    </row>
    <row r="20" spans="1:1" ht="15.75" x14ac:dyDescent="0.25">
      <c r="A20" s="520" t="s">
        <v>908</v>
      </c>
    </row>
    <row r="21" spans="1:1" ht="15.75" x14ac:dyDescent="0.25">
      <c r="A21" s="520" t="s">
        <v>909</v>
      </c>
    </row>
    <row r="22" spans="1:1" ht="15.75" x14ac:dyDescent="0.25">
      <c r="A22" s="520" t="s">
        <v>910</v>
      </c>
    </row>
    <row r="23" spans="1:1" ht="15.75" x14ac:dyDescent="0.25">
      <c r="A23" s="520" t="s">
        <v>911</v>
      </c>
    </row>
    <row r="24" spans="1:1" ht="15.75" x14ac:dyDescent="0.25">
      <c r="A24" s="520" t="s">
        <v>912</v>
      </c>
    </row>
    <row r="25" spans="1:1" ht="15.75" x14ac:dyDescent="0.25">
      <c r="A25" s="520" t="s">
        <v>913</v>
      </c>
    </row>
    <row r="26" spans="1:1" x14ac:dyDescent="0.25">
      <c r="A26" s="26" t="s">
        <v>914</v>
      </c>
    </row>
    <row r="27" spans="1:1" x14ac:dyDescent="0.25">
      <c r="A27" s="26" t="s">
        <v>915</v>
      </c>
    </row>
    <row r="28" spans="1:1" ht="15.75" x14ac:dyDescent="0.25">
      <c r="A28" s="520"/>
    </row>
    <row r="29" spans="1:1" ht="15.75" x14ac:dyDescent="0.25">
      <c r="A29" s="520" t="s">
        <v>916</v>
      </c>
    </row>
    <row r="30" spans="1:1" ht="15.75" x14ac:dyDescent="0.25">
      <c r="A30" s="520" t="s">
        <v>917</v>
      </c>
    </row>
    <row r="31" spans="1:1" ht="15.75" x14ac:dyDescent="0.25">
      <c r="A31" s="520" t="s">
        <v>918</v>
      </c>
    </row>
    <row r="32" spans="1:1" ht="18.75" x14ac:dyDescent="0.25">
      <c r="A32" s="511" t="s">
        <v>919</v>
      </c>
    </row>
    <row r="33" spans="1:9" x14ac:dyDescent="0.25">
      <c r="A33" s="519" t="s">
        <v>920</v>
      </c>
    </row>
    <row r="34" spans="1:9" x14ac:dyDescent="0.25">
      <c r="A34" s="519" t="s">
        <v>921</v>
      </c>
    </row>
    <row r="35" spans="1:9" x14ac:dyDescent="0.25">
      <c r="A35" s="519" t="s">
        <v>922</v>
      </c>
    </row>
    <row r="36" spans="1:9" x14ac:dyDescent="0.25">
      <c r="A36" s="519" t="s">
        <v>923</v>
      </c>
    </row>
    <row r="37" spans="1:9" x14ac:dyDescent="0.25">
      <c r="A37" s="519" t="s">
        <v>924</v>
      </c>
    </row>
    <row r="38" spans="1:9" x14ac:dyDescent="0.25">
      <c r="A38" s="519" t="s">
        <v>925</v>
      </c>
    </row>
    <row r="39" spans="1:9" x14ac:dyDescent="0.25">
      <c r="A39" s="519" t="s">
        <v>926</v>
      </c>
    </row>
    <row r="40" spans="1:9" x14ac:dyDescent="0.25">
      <c r="A40" s="519" t="s">
        <v>927</v>
      </c>
    </row>
    <row r="41" spans="1:9" x14ac:dyDescent="0.25">
      <c r="A41" s="519" t="s">
        <v>928</v>
      </c>
    </row>
    <row r="42" spans="1:9" x14ac:dyDescent="0.25">
      <c r="A42" s="519" t="s">
        <v>929</v>
      </c>
    </row>
    <row r="43" spans="1:9" x14ac:dyDescent="0.25">
      <c r="A43" s="519" t="s">
        <v>930</v>
      </c>
    </row>
    <row r="46" spans="1:9" ht="21" x14ac:dyDescent="0.35">
      <c r="A46" s="512" t="s">
        <v>937</v>
      </c>
      <c r="B46" s="510"/>
      <c r="C46" s="510"/>
      <c r="D46" s="510"/>
      <c r="E46" s="510"/>
      <c r="F46" s="510"/>
      <c r="G46" s="510"/>
      <c r="H46" s="510"/>
      <c r="I46" s="510"/>
    </row>
    <row r="49" spans="1:1" x14ac:dyDescent="0.25">
      <c r="A49" s="519" t="s">
        <v>938</v>
      </c>
    </row>
    <row r="50" spans="1:1" x14ac:dyDescent="0.25">
      <c r="A50" s="519"/>
    </row>
    <row r="51" spans="1:1" x14ac:dyDescent="0.25">
      <c r="A51" s="519" t="s">
        <v>939</v>
      </c>
    </row>
    <row r="52" spans="1:1" x14ac:dyDescent="0.25">
      <c r="A52" s="519"/>
    </row>
    <row r="53" spans="1:1" ht="18.75" x14ac:dyDescent="0.25">
      <c r="A53" s="511" t="s">
        <v>940</v>
      </c>
    </row>
    <row r="54" spans="1:1" x14ac:dyDescent="0.25">
      <c r="A54" s="519" t="s">
        <v>941</v>
      </c>
    </row>
    <row r="55" spans="1:1" x14ac:dyDescent="0.25">
      <c r="A55" s="519" t="s">
        <v>942</v>
      </c>
    </row>
    <row r="56" spans="1:1" x14ac:dyDescent="0.25">
      <c r="A56" s="519" t="s">
        <v>943</v>
      </c>
    </row>
    <row r="57" spans="1:1" x14ac:dyDescent="0.25">
      <c r="A57" s="519"/>
    </row>
    <row r="58" spans="1:1" x14ac:dyDescent="0.25">
      <c r="A58" s="519" t="s">
        <v>944</v>
      </c>
    </row>
    <row r="59" spans="1:1" x14ac:dyDescent="0.25">
      <c r="A59" s="519"/>
    </row>
    <row r="60" spans="1:1" x14ac:dyDescent="0.25">
      <c r="A60" s="519" t="s">
        <v>945</v>
      </c>
    </row>
    <row r="61" spans="1:1" x14ac:dyDescent="0.25">
      <c r="A61" s="519" t="s">
        <v>946</v>
      </c>
    </row>
    <row r="62" spans="1:1" x14ac:dyDescent="0.25">
      <c r="A62" s="519" t="s">
        <v>947</v>
      </c>
    </row>
  </sheetData>
  <hyperlinks>
    <hyperlink ref="A26" r:id="rId1" display="\\dst-flsp4A\Share\lgc\publish\AFIRTest\CCH_UploadTest" xr:uid="{673FCB50-9F53-4F95-9EE4-4166166B8C94}"/>
    <hyperlink ref="A27" r:id="rId2" display="\\dst-flsp4A\Share\LGC\publish\AFIRProduction\CCH_Upload" xr:uid="{B84D7E42-6232-49EE-A9A8-E0543CEEAAE0}"/>
  </hyperlinks>
  <pageMargins left="0.7" right="0.7" top="0.75" bottom="0.75" header="0.3" footer="0.3"/>
  <pageSetup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43076E-D01F-4418-A018-8509E507A11D}">
  <ds:schemaRefs>
    <ds:schemaRef ds:uri="http://purl.org/dc/elements/1.1/"/>
    <ds:schemaRef ds:uri="http://purl.org/dc/dcmitype/"/>
    <ds:schemaRef ds:uri="http://schemas.openxmlformats.org/package/2006/metadata/core-properties"/>
    <ds:schemaRef ds:uri="http://schemas.microsoft.com/office/2006/metadata/properties"/>
    <ds:schemaRef ds:uri="http://purl.org/dc/terms/"/>
    <ds:schemaRef ds:uri="http://www.w3.org/XML/1998/namespace"/>
    <ds:schemaRef ds:uri="http://schemas.microsoft.com/office/2006/documentManagement/types"/>
    <ds:schemaRef ds:uri="http://schemas.microsoft.com/office/infopath/2007/PartnerControls"/>
  </ds:schemaRefs>
</ds:datastoreItem>
</file>

<file path=customXml/itemProps2.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48ED7BE-98F7-46AD-806A-4A5AD2D2A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Instructions</vt:lpstr>
      <vt:lpstr>Unit Data from Audit Worksheet</vt:lpstr>
      <vt:lpstr>IMPORT</vt:lpstr>
      <vt:lpstr>RSS</vt:lpstr>
      <vt:lpstr>3-Year Analysis</vt:lpstr>
      <vt:lpstr>2020 Acct Changes</vt:lpstr>
      <vt:lpstr>Debt Service Funds (H)</vt:lpstr>
      <vt:lpstr>Average FBA</vt:lpstr>
      <vt:lpstr>sequel interface rules (H)</vt:lpstr>
      <vt:lpstr>Unit Names(H)</vt:lpstr>
      <vt:lpstr>2019 Data(H)</vt:lpstr>
      <vt:lpstr>2018 Data(H)</vt:lpstr>
      <vt:lpstr>Instructions!Print_Area</vt:lpstr>
      <vt:lpstr>'Unit Data from Audit Worksheet'!Print_Area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2019-07-31T15:12:49Z</cp:lastPrinted>
  <dcterms:created xsi:type="dcterms:W3CDTF">2011-03-11T21:05:05Z</dcterms:created>
  <dcterms:modified xsi:type="dcterms:W3CDTF">2020-09-17T14:51:24Z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